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k128 Britain In" sheetId="1" state="visible" r:id="rId2"/>
    <sheet name="Crews" sheetId="2" state="visible" r:id="rId3"/>
    <sheet name="Wages" sheetId="3" state="visible" r:id="rId4"/>
    <sheet name="Mileages" sheetId="4" state="visible" r:id="rId5"/>
    <sheet name="Lives" sheetId="5" state="visible" r:id="rId6"/>
    <sheet name="Fuel Cost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<sst xmlns="http://schemas.openxmlformats.org/spreadsheetml/2006/main" count="23779" uniqueCount="5836">
  <si>
    <t xml:space="preserve">name</t>
  </si>
  <si>
    <t xml:space="preserve">intro_year</t>
  </si>
  <si>
    <t xml:space="preserve">intro_month</t>
  </si>
  <si>
    <t xml:space="preserve">waytype</t>
  </si>
  <si>
    <t xml:space="preserve">engine_type</t>
  </si>
  <si>
    <t xml:space="preserve">power</t>
  </si>
  <si>
    <t xml:space="preserve">speed</t>
  </si>
  <si>
    <t xml:space="preserve">cost</t>
  </si>
  <si>
    <t xml:space="preserve">runningcost</t>
  </si>
  <si>
    <t xml:space="preserve">fixed_cost</t>
  </si>
  <si>
    <t xml:space="preserve">comments</t>
  </si>
  <si>
    <t xml:space="preserve">file</t>
  </si>
  <si>
    <t xml:space="preserve">file_index</t>
  </si>
  <si>
    <t xml:space="preserve">crew</t>
  </si>
  <si>
    <t xml:space="preserve">efficiency</t>
  </si>
  <si>
    <t xml:space="preserve">usage</t>
  </si>
  <si>
    <t xml:space="preserve">wage</t>
  </si>
  <si>
    <t xml:space="preserve">mileage_km</t>
  </si>
  <si>
    <t xml:space="preserve">life_years</t>
  </si>
  <si>
    <t xml:space="preserve">fuel_kw_km_cost</t>
  </si>
  <si>
    <t xml:space="preserve">LivestockDrover</t>
  </si>
  <si>
    <t xml:space="preserve">road</t>
  </si>
  <si>
    <t xml:space="preserve">bio</t>
  </si>
  <si>
    <t xml:space="preserve">The old-fashioned way of moving livestock: just a man and dog,
droving them along the road.
Average walking speed
Presumably, it takes the farmer quite a while to gather
all of the livestock together to take to market (etc.).</t>
  </si>
  <si>
    <t xml:space="preserve">bus\livestock_driver.dat</t>
  </si>
  <si>
    <t xml:space="preserve">Single</t>
  </si>
  <si>
    <t xml:space="preserve">HumanPhysical</t>
  </si>
  <si>
    <t xml:space="preserve">Human</t>
  </si>
  <si>
    <t xml:space="preserve">Dogger</t>
  </si>
  <si>
    <t xml:space="preserve">water</t>
  </si>
  <si>
    <t xml:space="preserve">sail</t>
  </si>
  <si>
    <t xml:space="preserve">1-2 hours</t>
  </si>
  <si>
    <t xml:space="preserve">boats\dogger.dat</t>
  </si>
  <si>
    <t xml:space="preserve">TinyShip</t>
  </si>
  <si>
    <t xml:space="preserve">Ship</t>
  </si>
  <si>
    <t xml:space="preserve">WoodShip</t>
  </si>
  <si>
    <t xml:space="preserve">Sail</t>
  </si>
  <si>
    <t xml:space="preserve">wagon-cool-wooden-wheels</t>
  </si>
  <si>
    <t xml:space="preserve">track</t>
  </si>
  <si>
    <t xml:space="preserve">At these low speeds, the train
guards could run alongside the trains
and operate the brakes.
Much higher than the later wagons owing to their wooden wheels
Much lower than iron wheeled wagons as wooden wheels are soft</t>
  </si>
  <si>
    <t xml:space="preserve">trains\wagon-cool-wooden-wheels.dat</t>
  </si>
  <si>
    <t xml:space="preserve">CoachDriver</t>
  </si>
  <si>
    <t xml:space="preserve">OldCoach</t>
  </si>
  <si>
    <t xml:space="preserve">Coach</t>
  </si>
  <si>
    <t xml:space="preserve">BrigAddPax</t>
  </si>
  <si>
    <t xml:space="preserve">Steerage
45-90 minutes</t>
  </si>
  <si>
    <t xml:space="preserve">boats\holds\brig-holds.dat</t>
  </si>
  <si>
    <t xml:space="preserve">BrigAddPax-first-class</t>
  </si>
  <si>
    <t xml:space="preserve">45-90 minutes</t>
  </si>
  <si>
    <t xml:space="preserve">BrigAddMail</t>
  </si>
  <si>
    <t xml:space="preserve">BrigAddBulk</t>
  </si>
  <si>
    <t xml:space="preserve">BrigAddLong</t>
  </si>
  <si>
    <t xml:space="preserve">BrigAddPiece</t>
  </si>
  <si>
    <t xml:space="preserve">BrigAddCool</t>
  </si>
  <si>
    <t xml:space="preserve">BrigAddLivestock</t>
  </si>
  <si>
    <t xml:space="preserve">wagon-piece-wooden-wheels</t>
  </si>
  <si>
    <t xml:space="preserve">trains\wagon-piece-wooden-wheels.dat</t>
  </si>
  <si>
    <t xml:space="preserve">wagon-long-wooden-wheels</t>
  </si>
  <si>
    <t xml:space="preserve">trains\wagon-long-wooden-wheels.dat</t>
  </si>
  <si>
    <t xml:space="preserve">wagon-bulk-wooden-wheels</t>
  </si>
  <si>
    <t xml:space="preserve">https://en.wikipedia.org/wiki/Chaldron
These had manual brakes - at these low speeds,
the train guards could run alongside the trains
and operate the brakes.
Much higher than the later wagons owing to their wooden wheels
Much lower than iron wheeled wagons as wooden wheels are soft</t>
  </si>
  <si>
    <t xml:space="preserve">trains\wagon-bulk-wooden-wheels.dat</t>
  </si>
  <si>
    <t xml:space="preserve">BrigHull</t>
  </si>
  <si>
    <t xml:space="preserve">gear=1200</t>
  </si>
  <si>
    <t xml:space="preserve">boats\brig.dat</t>
  </si>
  <si>
    <t xml:space="preserve">MediumShip</t>
  </si>
  <si>
    <t xml:space="preserve">EastIndiamanAddPax</t>
  </si>
  <si>
    <t xml:space="preserve">Steerage
2-3 hours</t>
  </si>
  <si>
    <t xml:space="preserve">boats\holds\east-indiaman-holds.dat</t>
  </si>
  <si>
    <t xml:space="preserve">EastIndiamanAddPax-second-class</t>
  </si>
  <si>
    <t xml:space="preserve">2-3 hours</t>
  </si>
  <si>
    <t xml:space="preserve">EastIndiamanAddPax-first-class</t>
  </si>
  <si>
    <t xml:space="preserve">EastIndiamanAddMail</t>
  </si>
  <si>
    <t xml:space="preserve">EastIndiamanAddBulk</t>
  </si>
  <si>
    <t xml:space="preserve">EastIndiamanAddLong</t>
  </si>
  <si>
    <t xml:space="preserve">EastIndiamanAddPiece</t>
  </si>
  <si>
    <t xml:space="preserve">EastIndiamanAddCool</t>
  </si>
  <si>
    <t xml:space="preserve">EastIndiamanAddLivestock</t>
  </si>
  <si>
    <t xml:space="preserve">EastIndiamanHull</t>
  </si>
  <si>
    <t xml:space="preserve">boats\boats192\east-indiaman.dat</t>
  </si>
  <si>
    <t xml:space="preserve">LargeShip</t>
  </si>
  <si>
    <t xml:space="preserve">CartMail</t>
  </si>
  <si>
    <t xml:space="preserve">Necessary to prohibit this vehicle from bridleways</t>
  </si>
  <si>
    <t xml:space="preserve">bus\carts.dat</t>
  </si>
  <si>
    <t xml:space="preserve">post-boy</t>
  </si>
  <si>
    <t xml:space="preserve">bus\post-boy.dat</t>
  </si>
  <si>
    <t xml:space="preserve">Child</t>
  </si>
  <si>
    <t xml:space="preserve">Horse</t>
  </si>
  <si>
    <t xml:space="preserve">BoatHorsesSingle</t>
  </si>
  <si>
    <t xml:space="preserve">boats\boat-horse.dat</t>
  </si>
  <si>
    <t xml:space="preserve">mail-space</t>
  </si>
  <si>
    <t xml:space="preserve">boats\holds\mail-space.dat</t>
  </si>
  <si>
    <t xml:space="preserve">rail-horse-friesian-single</t>
  </si>
  <si>
    <t xml:space="preserve">https://en.wikipedia.org/wiki/Friesian_horse
See http://gluedideas.com/content-collection/Textbook-on-Roads-and-Pavements-1908/Tractive-Power-of-Horses.html</t>
  </si>
  <si>
    <t xml:space="preserve">trains\horse-fresian-rail.dat</t>
  </si>
  <si>
    <t xml:space="preserve">NorfolkWherryBulk</t>
  </si>
  <si>
    <t xml:space="preserve">45-60 minutes</t>
  </si>
  <si>
    <t xml:space="preserve">boats\norfolk-wherry.dat</t>
  </si>
  <si>
    <t xml:space="preserve">NorfolkWherryLong</t>
  </si>
  <si>
    <t xml:space="preserve">NorfolkWherryPiece</t>
  </si>
  <si>
    <t xml:space="preserve">NorfolkWherryCool</t>
  </si>
  <si>
    <t xml:space="preserve">NorfolkWherryMail</t>
  </si>
  <si>
    <t xml:space="preserve">4-6 minutes</t>
  </si>
  <si>
    <t xml:space="preserve">NorfolkWherryPassenger</t>
  </si>
  <si>
    <t xml:space="preserve">2-3 minutes</t>
  </si>
  <si>
    <t xml:space="preserve">NorfolkWherryLivestock</t>
  </si>
  <si>
    <t xml:space="preserve">CartBulk</t>
  </si>
  <si>
    <t xml:space="preserve">Necessary to prohibit this vehicle from bridleways
Iron ore</t>
  </si>
  <si>
    <t xml:space="preserve">CartLong</t>
  </si>
  <si>
    <t xml:space="preserve">CartPiece</t>
  </si>
  <si>
    <t xml:space="preserve">CartCool</t>
  </si>
  <si>
    <t xml:space="preserve">StageWagonPiece</t>
  </si>
  <si>
    <t xml:space="preserve">bus\stage-wagons.dat</t>
  </si>
  <si>
    <t xml:space="preserve">StageWagonCool</t>
  </si>
  <si>
    <t xml:space="preserve">StageWagonMail</t>
  </si>
  <si>
    <t xml:space="preserve">skiff-wherry-passenger</t>
  </si>
  <si>
    <t xml:space="preserve">These still run:
https://www.explorewalberswick.co.uk/ferry.php
Rowing is hard work</t>
  </si>
  <si>
    <t xml:space="preserve">boats\skiff-wherry.dat</t>
  </si>
  <si>
    <t xml:space="preserve">skiff-wherry-livestock</t>
  </si>
  <si>
    <t xml:space="preserve">skiff-wherry-piece</t>
  </si>
  <si>
    <t xml:space="preserve">skiff-wherry-cool</t>
  </si>
  <si>
    <t xml:space="preserve">skiff-wherry-bulk</t>
  </si>
  <si>
    <t xml:space="preserve">skiff-wherry-long</t>
  </si>
  <si>
    <t xml:space="preserve">HackneyCarriage</t>
  </si>
  <si>
    <t xml:space="preserve">http://www.london-taxi-cabs.com/information/history-of-the-licensed-london-taxi
Necessary to prohibit this vehicle from bridleways</t>
  </si>
  <si>
    <t xml:space="preserve">bus\hackney-carriage.dat</t>
  </si>
  <si>
    <t xml:space="preserve">WoodenHullDumbBargeBulk</t>
  </si>
  <si>
    <t xml:space="preserve">boats\wooden-hull-dumb-barge.dat</t>
  </si>
  <si>
    <t xml:space="preserve">WoodenHullDumbBargeLong</t>
  </si>
  <si>
    <t xml:space="preserve">WoodenHullDumbBargePiece</t>
  </si>
  <si>
    <t xml:space="preserve">WoodenHullDumbBargeCool</t>
  </si>
  <si>
    <t xml:space="preserve">WoodenHullDumbBargeOil</t>
  </si>
  <si>
    <t xml:space="preserve">WoodenHullDumbBargeLivestock</t>
  </si>
  <si>
    <t xml:space="preserve">StageCoach</t>
  </si>
  <si>
    <t xml:space="preserve">Early, rigid type with no suspension
http://dawlishchronicles.com/naval-artists-of-the-18th-century-part-2/
http://www.fotolibra.com/gallery/68390/early-stage-coach-illustration/
Outside
Inside
The speed of theis early one is guessed.
Apparently, these have a *very* hard/bumpy ride.
Outside
Inside</t>
  </si>
  <si>
    <t xml:space="preserve">bus\stagecoach.dat</t>
  </si>
  <si>
    <t xml:space="preserve">humber-keel-mail-hold</t>
  </si>
  <si>
    <t xml:space="preserve">boats\holds\humber-keel-mail-hold.dat</t>
  </si>
  <si>
    <t xml:space="preserve">WagonBulk</t>
  </si>
  <si>
    <t xml:space="preserve">Iron ore</t>
  </si>
  <si>
    <t xml:space="preserve">bus\wagons.dat</t>
  </si>
  <si>
    <t xml:space="preserve">WagonLong</t>
  </si>
  <si>
    <t xml:space="preserve">WagonPiece</t>
  </si>
  <si>
    <t xml:space="preserve">WagonCool</t>
  </si>
  <si>
    <t xml:space="preserve">BoxBoatBulk</t>
  </si>
  <si>
    <t xml:space="preserve">20-30 minutes</t>
  </si>
  <si>
    <t xml:space="preserve">boats\box-boat.dat</t>
  </si>
  <si>
    <t xml:space="preserve">BoxBoatLong</t>
  </si>
  <si>
    <t xml:space="preserve">BoxBoatPiece</t>
  </si>
  <si>
    <t xml:space="preserve">BoxBoatCool</t>
  </si>
  <si>
    <t xml:space="preserve">rail-horse-irish-draught-single</t>
  </si>
  <si>
    <t xml:space="preserve">https://en.wikipedia.org/wiki/Irish_Draught</t>
  </si>
  <si>
    <t xml:space="preserve">trains\rail-horse-irish-draught.dat</t>
  </si>
  <si>
    <t xml:space="preserve">SingleHorse</t>
  </si>
  <si>
    <t xml:space="preserve">rail-horse-irish-draught-double</t>
  </si>
  <si>
    <t xml:space="preserve">DoubleHorse</t>
  </si>
  <si>
    <t xml:space="preserve">narrowgauge-horse-irish-draught-single</t>
  </si>
  <si>
    <t xml:space="preserve">narrowgauge_track</t>
  </si>
  <si>
    <t xml:space="preserve">narrowgauge\narrowgauge-horse-irish-draught.dat</t>
  </si>
  <si>
    <t xml:space="preserve">narrowgauge-horse-irish-draught-double</t>
  </si>
  <si>
    <t xml:space="preserve">HumberKeelBulk</t>
  </si>
  <si>
    <t xml:space="preserve">https://en.wikipedia.org/wiki/Humber_Keel
45-60 minutes</t>
  </si>
  <si>
    <t xml:space="preserve">boats\humber-keel.dat</t>
  </si>
  <si>
    <t xml:space="preserve">HumberKeelLong</t>
  </si>
  <si>
    <t xml:space="preserve">HumberKeelPiece</t>
  </si>
  <si>
    <t xml:space="preserve">HumberKeelCool</t>
  </si>
  <si>
    <t xml:space="preserve">HumberKeelLivestock</t>
  </si>
  <si>
    <t xml:space="preserve">HumberKeelPassenger</t>
  </si>
  <si>
    <t xml:space="preserve">road-horse-pony-single</t>
  </si>
  <si>
    <t xml:space="preserve">bus\horse-pony.dat</t>
  </si>
  <si>
    <t xml:space="preserve">road-horse-pony-double</t>
  </si>
  <si>
    <t xml:space="preserve">road-horse-irish-draught-single</t>
  </si>
  <si>
    <t xml:space="preserve">bus\horse-irish-draught.dat</t>
  </si>
  <si>
    <t xml:space="preserve">road-horse-irish-draught-double</t>
  </si>
  <si>
    <t xml:space="preserve">pack-horse-bulk</t>
  </si>
  <si>
    <t xml:space="preserve">bus\pack-horses.dat</t>
  </si>
  <si>
    <t xml:space="preserve">pack-horse-piece</t>
  </si>
  <si>
    <t xml:space="preserve">pack-horse-food</t>
  </si>
  <si>
    <t xml:space="preserve">pack-horse-long</t>
  </si>
  <si>
    <t xml:space="preserve">pack-horse-liquid</t>
  </si>
  <si>
    <t xml:space="preserve">road-horse-friesian-double</t>
  </si>
  <si>
    <t xml:space="preserve">bus\horse-freisian.dat</t>
  </si>
  <si>
    <t xml:space="preserve">road-horse-hackney-single</t>
  </si>
  <si>
    <t xml:space="preserve">https://en.wikipedia.org/wiki/Hackney_horse
Is this lower correct? The article suggests that these horses were "prized for their ground-covering ability", and could trot at 20mph and 50 miles in a day -
but it is unclear whether these were pulling a carriage or merely being ridden. It seems to make more sense for these slightly smaller horses, less coach
horses than cab horses, to have a shorter range than the true coach horses. Players have been observed using them instead of Fresians when their range
was the same as that of the Fresian at 30km.
http://www.dailymail.co.uk/news/article-2120454/End-road-original-Hackney-carriage-Breed-horse-pulled-London-cabs-faces-wiped-century-motors-took-over.html</t>
  </si>
  <si>
    <t xml:space="preserve">bus\horse-hackney.dat</t>
  </si>
  <si>
    <t xml:space="preserve">road-horse-hackney-double</t>
  </si>
  <si>
    <t xml:space="preserve">road-horse-shire-single</t>
  </si>
  <si>
    <t xml:space="preserve">https://en.wikipedia.org/wiki/Shire_horse
http://www.cotebrookshirehorses.co.uk/p/207/shire_horse_history
These values are not fine enough to capture
the differing power of different horses.
See http://gluedideas.com/content-collection/Textbook-on-Roads-and-Pavements-1908/Tractive-Power-of-Horses.html
(also reproduced at https://archive.org/stream/textbookonroadsp00spalrich/textbookonroadsp00spalrich_djvu.txt)
for information: an average horse will have a tractive effort
of 80lb/f, or 0.33kN at approx. 5km/h and an average power of 0.45kW. "Gear" works only for power.</t>
  </si>
  <si>
    <t xml:space="preserve">bus\horse-shire.dat</t>
  </si>
  <si>
    <t xml:space="preserve">road-horse-shire-double</t>
  </si>
  <si>
    <t xml:space="preserve">rail-horse-shire-single</t>
  </si>
  <si>
    <t xml:space="preserve">https://en.wikipedia.org/wiki/Shire_horse
http://www.cotebrookshirehorses.co.uk/p/207/shire_horse_history</t>
  </si>
  <si>
    <t xml:space="preserve">trains\rail-horse-shire.dat</t>
  </si>
  <si>
    <t xml:space="preserve">rail-horse-shire-double</t>
  </si>
  <si>
    <t xml:space="preserve">WoodenHullUnpoweredNarrowboatBulk</t>
  </si>
  <si>
    <t xml:space="preserve">boats\wooden-hull-unpowered-narrowboat.dat</t>
  </si>
  <si>
    <t xml:space="preserve">WoodenHullUnpoweredNarrowboatLong</t>
  </si>
  <si>
    <t xml:space="preserve">WoodenHullUnpoweredNarrowboatPiece</t>
  </si>
  <si>
    <t xml:space="preserve">WoodenHullUnpoweredNarrowboatCool</t>
  </si>
  <si>
    <t xml:space="preserve">WoodenHullUnpoweredNarrowboatOil</t>
  </si>
  <si>
    <t xml:space="preserve">WoodenHullUnpoweredNarrowboatLivestock</t>
  </si>
  <si>
    <t xml:space="preserve">MarketNarrowboatAddMail</t>
  </si>
  <si>
    <t xml:space="preserve">boats\holds\market-narrowboat-mail.dat</t>
  </si>
  <si>
    <t xml:space="preserve">MarketNarrowboat</t>
  </si>
  <si>
    <t xml:space="preserve">boats\market-narrowboat.dat</t>
  </si>
  <si>
    <t xml:space="preserve">MarketBargeAddMail</t>
  </si>
  <si>
    <t xml:space="preserve">boats\holds\market-barge-mail.dat</t>
  </si>
  <si>
    <t xml:space="preserve">TubBoatBulk</t>
  </si>
  <si>
    <t xml:space="preserve">See http://en.wikipedia.org/wiki/Tub_boat for capacity information.
20-30 minutes</t>
  </si>
  <si>
    <t xml:space="preserve">boats\tub-boat.dat</t>
  </si>
  <si>
    <t xml:space="preserve">TubBoatLong</t>
  </si>
  <si>
    <t xml:space="preserve">TubBoatPiece</t>
  </si>
  <si>
    <t xml:space="preserve">TubBoatCool</t>
  </si>
  <si>
    <t xml:space="preserve">MarketBarge</t>
  </si>
  <si>
    <t xml:space="preserve">boats\market-boat.dat</t>
  </si>
  <si>
    <t xml:space="preserve">PieceEarly1</t>
  </si>
  <si>
    <t xml:space="preserve">trains\wagon-piece-early1.dat</t>
  </si>
  <si>
    <t xml:space="preserve">Bulk2T</t>
  </si>
  <si>
    <t xml:space="preserve">https://en.wikipedia.org/wiki/Chaldron</t>
  </si>
  <si>
    <t xml:space="preserve">trains\wagon-bulk-2t.dat</t>
  </si>
  <si>
    <t xml:space="preserve">CoolEarly1</t>
  </si>
  <si>
    <t xml:space="preserve">trains\wagon-cool-early1.dat</t>
  </si>
  <si>
    <t xml:space="preserve">LivestockEarly1</t>
  </si>
  <si>
    <t xml:space="preserve">Is this really a thing? What is the use in a horse pulling
a lot of other farm animals - they can walk themselves.
Only steam power makes livestock wagons useful, surely?</t>
  </si>
  <si>
    <t xml:space="preserve">trains\wagon-livestock-early1.dat</t>
  </si>
  <si>
    <t xml:space="preserve">LongEarly1</t>
  </si>
  <si>
    <t xml:space="preserve">trains\wagon-long-early1.dat</t>
  </si>
  <si>
    <t xml:space="preserve">stagecoach-georgian</t>
  </si>
  <si>
    <t xml:space="preserve">1770s design with strap suspension
https://s-media-cache-ak0.pinimg.com/736x/49/a1/18/49a118c5456a5bab12aa6e0bf534a6e1.jpg
http://www.mkheritage.co.uk/sga/coaching/Royal-Mail.html
Outside
Inside
Better suspension
Outside
Inside</t>
  </si>
  <si>
    <t xml:space="preserve">bus\stagecoach-georgian.dat</t>
  </si>
  <si>
    <t xml:space="preserve">short-stagecoach</t>
  </si>
  <si>
    <t xml:space="preserve">http://www.ltmcollection.org/resources/index.html?IXglossary=Public%20transport%20in%20Victorian%20London%3A%20Part%20One%3A%20Overground
Eight wheels!</t>
  </si>
  <si>
    <t xml:space="preserve">bus\short-stagecoach.dat</t>
  </si>
  <si>
    <t xml:space="preserve">rail-horse-cleveland-bay-single</t>
  </si>
  <si>
    <t xml:space="preserve">https://en.wikipedia.org/wiki/Cleveland_Bay</t>
  </si>
  <si>
    <t xml:space="preserve">trains\horse-clevelend-bay-rail.dat</t>
  </si>
  <si>
    <t xml:space="preserve">road-horse-cleveland-bay-double</t>
  </si>
  <si>
    <t xml:space="preserve">bus\horse-cleveland-bay.dat</t>
  </si>
  <si>
    <t xml:space="preserve">stagecoach-besant</t>
  </si>
  <si>
    <t xml:space="preserve">1787 John Besant design with leaf springs
http://www.dailymail.co.uk/news/article-3333750/Last-surviving-Royal-Mail-coach-goes-sale-70-000.html
Outside
Inside
Leaf springs
Outside
Inside</t>
  </si>
  <si>
    <t xml:space="preserve">bus\stagecoach-besant.dat</t>
  </si>
  <si>
    <t xml:space="preserve">MailCoach</t>
  </si>
  <si>
    <t xml:space="preserve">Earlier, Besant type
http://www.dailymail.co.uk/news/article-3333750/Last-surviving-Royal-Mail-coach-goes-sale-70-000.html
The post is now in a separate boot
Mail coaches allowed for inside passengers only.
Leaf springs</t>
  </si>
  <si>
    <t xml:space="preserve">bus\mailcoach.dat</t>
  </si>
  <si>
    <t xml:space="preserve">mail-boot</t>
  </si>
  <si>
    <t xml:space="preserve">This is necessary to allow mail coaches to carry passengers, as they did in reality.
This has to be with the boat holds because of the image sizes (32x32 rather than 128x128)
Ensure that this is available until the parcel coach comes around.
retire_year=1842
retire_month=6</t>
  </si>
  <si>
    <t xml:space="preserve">boats\holds\mail-boot.dat</t>
  </si>
  <si>
    <t xml:space="preserve">mailcoach-regency</t>
  </si>
  <si>
    <t xml:space="preserve">Improved type with brakes
http://www.scotcities.com/railways/beforetrains.htm
http://collections.glasgowmuseums.com/viewimage.html?oid=27066&amp;i=392943
http://zephyrinus-zephyrinus.blogspot.co.uk/2016/04/the-portsmouth-regulator-tally-ho.html
http://www.themotormuseuminminiature.co.uk/1827-standard-pattern-mail-coach.php
The post is now in a separate boot
Mail coaches allowed for inside passengers only.
Ensure that this is available until the parcel coach comes around.
retire_year=1842
retire_month=6
Leaf springs</t>
  </si>
  <si>
    <t xml:space="preserve">bus\mailcoach-regency.dat</t>
  </si>
  <si>
    <t xml:space="preserve">stagecoach-regency</t>
  </si>
  <si>
    <t xml:space="preserve">John Besant's improved design with brakes
http://carriages-schroven.com/
http://www.oldtimers-youngtimers.nl/wp-content/uploads/2015/03/003-Road-Coach-Guiet-Co.6827.jpg
Outside
Inside
Leaf springs
Outside
Inside</t>
  </si>
  <si>
    <t xml:space="preserve">bus\stagecoach-regency.dat</t>
  </si>
  <si>
    <t xml:space="preserve">PacketBargeAddMail</t>
  </si>
  <si>
    <t xml:space="preserve">boats\holds\packet-boat-mail.dat</t>
  </si>
  <si>
    <t xml:space="preserve">PacketBarge</t>
  </si>
  <si>
    <t xml:space="preserve">See http://www.canalmuseum.org.uk/history/grandjun.htm
2-3 minutes</t>
  </si>
  <si>
    <t xml:space="preserve">boats\packet-barge.dat</t>
  </si>
  <si>
    <t xml:space="preserve">rail-horse-yorkshire-coach-single</t>
  </si>
  <si>
    <t xml:space="preserve">https://en.wikipedia.org/wiki/Yorkshire_Coach_Horse
https://regencyredingote.wordpress.com/2013/04/12/yorkshire-coach-horse-the-regency-aston-martin/</t>
  </si>
  <si>
    <t xml:space="preserve">trains\horse-yorkshire-coach-rail.dat</t>
  </si>
  <si>
    <t xml:space="preserve">road-horse-yorkshire-coach-double</t>
  </si>
  <si>
    <t xml:space="preserve">bus\horse-yorkshire-coach.dat</t>
  </si>
  <si>
    <t xml:space="preserve">passenger-wagon</t>
  </si>
  <si>
    <t xml:space="preserve">Based on the inauguration date of the Swansea &amp; Mumbles Railway,
which was the first railway to carry passengers, using vehicles
approximately like these (exact details not known).
See Hamilton Ellis p. 15</t>
  </si>
  <si>
    <t xml:space="preserve">trains\wagon-passenger.dat</t>
  </si>
  <si>
    <t xml:space="preserve">ThamesSailingBargeBulk</t>
  </si>
  <si>
    <t xml:space="preserve">https://en.wikipedia.org/wiki/Thames_sailing_barge
Consider these are one of the larger, seaworthy barges
45-60 minutes</t>
  </si>
  <si>
    <t xml:space="preserve">boats\thames-sailing-barge.dat</t>
  </si>
  <si>
    <t xml:space="preserve">ThamesSailingBargeLong</t>
  </si>
  <si>
    <t xml:space="preserve">ThamesSailingBargePiece</t>
  </si>
  <si>
    <t xml:space="preserve">ThamesSailingBargeCool</t>
  </si>
  <si>
    <t xml:space="preserve">ThamesSailingBargeLivestock</t>
  </si>
  <si>
    <t xml:space="preserve">PSComet</t>
  </si>
  <si>
    <t xml:space="preserve">steam</t>
  </si>
  <si>
    <t xml:space="preserve">25-30 minutes</t>
  </si>
  <si>
    <t xml:space="preserve">boats\ps-comet.dat</t>
  </si>
  <si>
    <t xml:space="preserve">Coal</t>
  </si>
  <si>
    <t xml:space="preserve">PSCometMail</t>
  </si>
  <si>
    <t xml:space="preserve">boats\holds\coastal-steamer-holds.dat</t>
  </si>
  <si>
    <t xml:space="preserve">PuffingBilly</t>
  </si>
  <si>
    <t xml:space="preserve">Based on real performance data of a locomotive said to be similar to this at p. 21 of this ebook:
https://ia600309.us.archive.org/17/items/evolutionofsteam00nokerich/evolutionofsteam00nokerich.pdf
http://www.steamlocomotive.com/locobase.php?country=Great_Britain&amp;wheel=0-4-0&amp;railroad=wylam
High as not sprung
http://www.steamlocomotive.com/locobase.php?country=Great_Britain&amp;wheel=0-4-0&amp;railroad=wylam</t>
  </si>
  <si>
    <t xml:space="preserve">trains\puffingbilly.dat</t>
  </si>
  <si>
    <t xml:space="preserve">SteamSmall</t>
  </si>
  <si>
    <t xml:space="preserve">TrainDriver</t>
  </si>
  <si>
    <t xml:space="preserve">EarlySteam</t>
  </si>
  <si>
    <t xml:space="preserve">PuffingBilly-Tender</t>
  </si>
  <si>
    <t xml:space="preserve">trains\puffingbilly-tender.dat</t>
  </si>
  <si>
    <t xml:space="preserve">PSIndustryPiece</t>
  </si>
  <si>
    <t xml:space="preserve">40-60 minutes</t>
  </si>
  <si>
    <t xml:space="preserve">boats\ps-industry.dat</t>
  </si>
  <si>
    <t xml:space="preserve">PSIndustryCool</t>
  </si>
  <si>
    <t xml:space="preserve">PSIndustryMail</t>
  </si>
  <si>
    <t xml:space="preserve">stephenson-dodd-patent</t>
  </si>
  <si>
    <t xml:space="preserve">https://www.locos-in-profile.co.uk/Early_Locomotives/Early_4.html
Unsprung
Guessed</t>
  </si>
  <si>
    <t xml:space="preserve">trains\stephenson-dodd-patent.dat</t>
  </si>
  <si>
    <t xml:space="preserve">stephenson-dodd-patent-tender</t>
  </si>
  <si>
    <t xml:space="preserve">TugBargeBulk</t>
  </si>
  <si>
    <t xml:space="preserve">boats\tug-barges.dat</t>
  </si>
  <si>
    <t xml:space="preserve">WoodenPaddleTug</t>
  </si>
  <si>
    <t xml:space="preserve">TugBargeLong</t>
  </si>
  <si>
    <t xml:space="preserve">TugBargePiece</t>
  </si>
  <si>
    <t xml:space="preserve">TugBargeCool</t>
  </si>
  <si>
    <t xml:space="preserve">TugBargeLivestock</t>
  </si>
  <si>
    <t xml:space="preserve">TugBargeOil</t>
  </si>
  <si>
    <t xml:space="preserve">stephenson-improved</t>
  </si>
  <si>
    <t xml:space="preserve">https://www.locos-in-profile.co.uk/Early_Locomotives/Early_4.html
Sprung
Guessed
50lb coke/mile:
https://www.libraryindex.com/encyclopedia/pages/cpxkvqow0x/railways-rails-tons-rail.html</t>
  </si>
  <si>
    <t xml:space="preserve">trains\stephenson-improved.dat</t>
  </si>
  <si>
    <t xml:space="preserve">stephenson-improved-tender</t>
  </si>
  <si>
    <t xml:space="preserve">SchoonerAddPax</t>
  </si>
  <si>
    <t xml:space="preserve">Pax
1-2 hours</t>
  </si>
  <si>
    <t xml:space="preserve">boats\holds\schooner-holds.dat</t>
  </si>
  <si>
    <t xml:space="preserve">SchoonerAddMail</t>
  </si>
  <si>
    <t xml:space="preserve">SchoonerAddBulk</t>
  </si>
  <si>
    <t xml:space="preserve">SchoonerAddLong</t>
  </si>
  <si>
    <t xml:space="preserve">SchoonerAddPiece</t>
  </si>
  <si>
    <t xml:space="preserve">SchoonerAddCool</t>
  </si>
  <si>
    <t xml:space="preserve">SchoonerAddLivestock</t>
  </si>
  <si>
    <t xml:space="preserve">SchoonerHull</t>
  </si>
  <si>
    <t xml:space="preserve">boats\schooner.dat</t>
  </si>
  <si>
    <t xml:space="preserve">WoodenPaddleSteamer</t>
  </si>
  <si>
    <t xml:space="preserve">30-45 minutes</t>
  </si>
  <si>
    <t xml:space="preserve">boats\wooden-paddle-steamer.dat</t>
  </si>
  <si>
    <t xml:space="preserve">PassengerShip</t>
  </si>
  <si>
    <t xml:space="preserve">WoodenPaddleSteamerMail</t>
  </si>
  <si>
    <t xml:space="preserve">CartMailNew</t>
  </si>
  <si>
    <t xml:space="preserve">Necessary to prohibit this vehicle from bridleways
Just for fun, slightly cheaper to upgrade
(just improve the axles for higher speed)</t>
  </si>
  <si>
    <t xml:space="preserve">NewCoach</t>
  </si>
  <si>
    <t xml:space="preserve">SDR-Locomotion</t>
  </si>
  <si>
    <t xml:space="preserve">Estimated based on Puffing Billy
Calculated from data from Ahrons, pp. 1-3
Loss factor set at 0.5.
Ahrons p. 3</t>
  </si>
  <si>
    <t xml:space="preserve">trains\sdr-locomotion.dat</t>
  </si>
  <si>
    <t xml:space="preserve">SDR-Locomotion-Tender</t>
  </si>
  <si>
    <t xml:space="preserve">https://ia600309.us.archive.org/17/items/evolutionofsteam00nokerich/evolutionofsteam00nokerich.pdf p. 35 (The weight of the engine is wrong there)</t>
  </si>
  <si>
    <t xml:space="preserve">trains\sdr-locomotion-tender.dat</t>
  </si>
  <si>
    <t xml:space="preserve">road-horse-clydesdale-single</t>
  </si>
  <si>
    <t xml:space="preserve">https://en.wikipedia.org/wiki/Clydesdale_horse</t>
  </si>
  <si>
    <t xml:space="preserve">bus\horse-clydesdale.dat</t>
  </si>
  <si>
    <t xml:space="preserve">road-horse-clydesdale-double</t>
  </si>
  <si>
    <t xml:space="preserve">rail-horse-clydesdale-single</t>
  </si>
  <si>
    <t xml:space="preserve">trains\rail-horse-clydesdale.dat</t>
  </si>
  <si>
    <t xml:space="preserve">rail-horse-clydesdale-double</t>
  </si>
  <si>
    <t xml:space="preserve">stagecoach-rail</t>
  </si>
  <si>
    <t xml:space="preserve">See "A short history of the railway carriage", R. W. Kidner, p. 82
This is intended for horse haulage only.
https://ebid.s3.amazonaws.com/upload_big/3/0/0/uo_1465540541-6780-23.jpg
Outside
Inside
Outside
Inside</t>
  </si>
  <si>
    <t xml:space="preserve">trains\stagecoach-rail.dat</t>
  </si>
  <si>
    <t xml:space="preserve">royal-george</t>
  </si>
  <si>
    <t xml:space="preserve">See Ahrons, p. 5 and
http://www.steamlocomotive.com/locobase.php?country=Great_Britain&amp;wheel=0-6-0&amp;railroad=sd
https://upload.wikimedia.org/wikipedia/commons/1/10/Hackworth%27s_%27Royal_George%27%2C_1827_%28British_Railway_Locomotives_1803-1853%29.jpg
Extrapolated
Guessed</t>
  </si>
  <si>
    <t xml:space="preserve">trains\royal-george.dat</t>
  </si>
  <si>
    <t xml:space="preserve">royal-george-tender</t>
  </si>
  <si>
    <t xml:space="preserve">lancashire-witch</t>
  </si>
  <si>
    <t xml:space="preserve">http://www.steamlocomotive.com/locobase.php?country=Great_Britain&amp;wheel=0-4-0&amp;railroad=bl
See also Ahrons p. 9
http://www.steamlocomotive.com/locobase.php?country=Great_Britain&amp;wheel=0-4-0&amp;railroad=bl</t>
  </si>
  <si>
    <t xml:space="preserve">trains\lancashire-witch.dat</t>
  </si>
  <si>
    <t xml:space="preserve">lancashire-witch-tender</t>
  </si>
  <si>
    <t xml:space="preserve">Bulk5T</t>
  </si>
  <si>
    <t xml:space="preserve">http://myweb.tiscali.co.uk/gansg/4-rstock/04arstock1.htm
?</t>
  </si>
  <si>
    <t xml:space="preserve">trains\wagon-bulk-5t.dat</t>
  </si>
  <si>
    <t xml:space="preserve">EarlyBulk</t>
  </si>
  <si>
    <t xml:space="preserve">PieceEarly3</t>
  </si>
  <si>
    <t xml:space="preserve">http://myweb.tiscali.co.uk/gansg/4-rstock/04arstock1.htm</t>
  </si>
  <si>
    <t xml:space="preserve">trains\wagon-piece-early3.dat</t>
  </si>
  <si>
    <t xml:space="preserve">LivestockEarly3</t>
  </si>
  <si>
    <t xml:space="preserve">trains\wagon-livestock-early3.dat</t>
  </si>
  <si>
    <t xml:space="preserve">CoolEarly3</t>
  </si>
  <si>
    <t xml:space="preserve">trains\wagon-cool-early3.dat</t>
  </si>
  <si>
    <t xml:space="preserve">LongEarly3</t>
  </si>
  <si>
    <t xml:space="preserve">trains\wagon-long-early3.dat</t>
  </si>
  <si>
    <t xml:space="preserve">OmnibusSingle</t>
  </si>
  <si>
    <t xml:space="preserve">This is uncertain; but "The Story of the London Bus"
by John Day at p. 6 gives it as probably 20.
This is contrary to what is painted inside the replica
of this vehicle in the London Transport Museum.
Single door with conductor: 2.5 seconds per passenger</t>
  </si>
  <si>
    <t xml:space="preserve">bus\omnibus-single.dat</t>
  </si>
  <si>
    <t xml:space="preserve">LMR-Rocket-Tender</t>
  </si>
  <si>
    <t xml:space="preserve">Weight confirmed by "The Railway Engineer", July 1929 ed., p. 265</t>
  </si>
  <si>
    <t xml:space="preserve">trains\lmr-rocket-tender.dat</t>
  </si>
  <si>
    <t xml:space="preserve">LMR-4wheel-first-short-wheelbase</t>
  </si>
  <si>
    <t xml:space="preserve">This is the original, short wheelbase type
See Hamilton Ellis, pp. 15-6
TODO: Liveries
liverytype[1]=MR-Early
liverytype[2]=LNWR-Early
liverytype[3]=GNR-early
liverytype[4]=LSWR-early</t>
  </si>
  <si>
    <t xml:space="preserve">trains\lmr-4wheel-first-short-wheelbase.dat</t>
  </si>
  <si>
    <t xml:space="preserve">EarlyRail</t>
  </si>
  <si>
    <t xml:space="preserve">EarlyPassenger</t>
  </si>
  <si>
    <t xml:space="preserve">LMR-4wheel-first-short-wheelbase-Guard-front</t>
  </si>
  <si>
    <t xml:space="preserve">TODO: Liveries
liverytype[1]=MR-Early
liverytype[2]=LNWR-Early
liverytype[3]=GNR-early
liverytype[4]=LSWR-early</t>
  </si>
  <si>
    <t xml:space="preserve">TrainBrake</t>
  </si>
  <si>
    <t xml:space="preserve">LMR-4wheel-first-short-wheelbase-Guard-rear</t>
  </si>
  <si>
    <t xml:space="preserve">LMR-Rocket</t>
  </si>
  <si>
    <t xml:space="preserve">http://www.steamlocomotive.com/locobase.php?country=Great_Britain&amp;wheel=2-2-0&amp;railroad=lm
Tractive effort taken from "The Railway Engineer", July 1929 ed., p. 265
CALIBRATED based on Rainhill trials performance
Max. speed given as 30mph with a gross weight of 21t
Assumed level ground. Actual figure is 11.55Kw12 - rounded up.
Weight confirmed by "The Railway Engineer", July 1929 ed., p. 265</t>
  </si>
  <si>
    <t xml:space="preserve">trains\lmr-rocket.dat</t>
  </si>
  <si>
    <t xml:space="preserve">lmr-4wheel-open-coach-short-wheelbase</t>
  </si>
  <si>
    <t xml:space="preserve">These were originally second class coaches:
there was no third class at the time.
TODO: Multiple liveries
liverytype[1]=MR-Early
liverytype[2]=LNWR-Early
liverytype[3]=GNR-early
liverytype[4]=LSWR-early</t>
  </si>
  <si>
    <t xml:space="preserve">trains\lmr-4wheel-open-coach-short-wheelbase.dat</t>
  </si>
  <si>
    <t xml:space="preserve">LMR-4Wheel-mail-short-wheelbase</t>
  </si>
  <si>
    <t xml:space="preserve">These actually mainly conveyed passengers, at higher comfort and cost
than the ordinary first class, with an additional mail locker for the
actual mail. It is difficult to make this work for rail vehicles in Simutrans,
however.
TODO: Multiple liveries
liverytype[1]=MR-Early
liverytype[2]=LNWR-Early
liverytype[3]=GNR-early
liverytype[4]=LSWR-early</t>
  </si>
  <si>
    <t xml:space="preserve">trains\lmr-4wheel-mail-short-wheelbase.dat</t>
  </si>
  <si>
    <t xml:space="preserve">EarlyClosed</t>
  </si>
  <si>
    <t xml:space="preserve">LMR-4Wheel-mail-short-wheelbase-Guard-front</t>
  </si>
  <si>
    <t xml:space="preserve">liverytype[1]=MR-Early
liverytype[2]=LNWR-Early
liverytype[3]=GNR-early
liverytype[4]=LSWR-early</t>
  </si>
  <si>
    <t xml:space="preserve">LMR-4Wheel-mail-short-wheelbase-Guard-rear</t>
  </si>
  <si>
    <t xml:space="preserve">railway-mail-locker</t>
  </si>
  <si>
    <t xml:space="preserve">This is necessary to allow mail coaches to carry passengers, as they did in reality.
This has to be with the boat holds because of the image sizes (32x32 rather than 128x128)</t>
  </si>
  <si>
    <t xml:space="preserve">boats\holds\railway-mail-locker.dat</t>
  </si>
  <si>
    <t xml:space="preserve">railway-mail-locker-rear</t>
  </si>
  <si>
    <t xml:space="preserve">sanspariel</t>
  </si>
  <si>
    <t xml:space="preserve">http://www.steamlocomotive.com/locobase.php?country=Great_Britain&amp;wheel=0-4-0&amp;railroad=lm
See also Ahrons pp. 13-4
Badly sprung, possibly not sprung at all.
http://www.steamlocomotive.com/locobase.php?country=Great_Britain&amp;wheel=0-4-0&amp;railroad=lm
Actual cost: Ã‚Â£500 in 1829: see Ahrons p. 16</t>
  </si>
  <si>
    <t xml:space="preserve">trains\sanspariel.dat</t>
  </si>
  <si>
    <t xml:space="preserve">sanspariel-tender</t>
  </si>
  <si>
    <t xml:space="preserve">BlackwallFrigateAddPax</t>
  </si>
  <si>
    <t xml:space="preserve">boats\holds\blackwall-frigate-holds.dat</t>
  </si>
  <si>
    <t xml:space="preserve">BlackwallFrigateAddPax-second-class</t>
  </si>
  <si>
    <t xml:space="preserve">BlackwallFrigateAddPax-first-class</t>
  </si>
  <si>
    <t xml:space="preserve">BlackwallFrigateAddMail</t>
  </si>
  <si>
    <t xml:space="preserve">BlackwallFrigateAddBulk</t>
  </si>
  <si>
    <t xml:space="preserve">BlackwallFrigateAddLong</t>
  </si>
  <si>
    <t xml:space="preserve">BlackwallFrigateAddPiece</t>
  </si>
  <si>
    <t xml:space="preserve">BlackwallFrigateAddCool</t>
  </si>
  <si>
    <t xml:space="preserve">BlackwallFrigateAddLivestock</t>
  </si>
  <si>
    <t xml:space="preserve">BlackwallFrigateHull</t>
  </si>
  <si>
    <t xml:space="preserve">boats\boats192\blackwall-frigate.dat</t>
  </si>
  <si>
    <t xml:space="preserve">LMR-Planet-Goods</t>
  </si>
  <si>
    <t xml:space="preserve">Same as planet, estimated
Tractive effort value calculated from data from Ahrons (p. 20)
Loss factor set to 0.5, pressure assumed to be 50lb
Weight given by Ahrons, p. 20</t>
  </si>
  <si>
    <t xml:space="preserve">trains\lmr-planet-goods.dat</t>
  </si>
  <si>
    <t xml:space="preserve">LMR-Planet-Tender</t>
  </si>
  <si>
    <t xml:space="preserve">trains\lmr-planet-tender.dat</t>
  </si>
  <si>
    <t xml:space="preserve">LMR-Planet</t>
  </si>
  <si>
    <t xml:space="preserve">http://www.steamlocomotive.com/locobase.php?country=Great_Britain&amp;wheel=2-2-0&amp;railroad=lm
Average speed is 56km/h: see
http://en.wikipedia.org/wiki/Planet_%28locomotive%29 (time) and
http://en.wikipedia.org/wiki/Liverpool_and_Manchester_Railway#Construction (distance)
Note, however, that this seems to contradict the information as to the speed limit on
the line at the time of 27km/h: see
http://www.rainhilltrials.com/index.cfm/page/article/id/46/listid/27/title/The%20Liverpool%20and%20Manchester%201830%20Onwards
This might have been a special run, perhaps.
Aoproximately calibrated based on 59km/h on the level with 23t gross weight.
Tractive effort value calculated from data from Ahrons (p. 19)
Loss factor set to 0.5, pressure assumed to be 50lb
Weight confirmed by Ahrons, p. 19</t>
  </si>
  <si>
    <t xml:space="preserve">trains\lmr-planet.dat</t>
  </si>
  <si>
    <t xml:space="preserve">lmr-4wheel-open-coach-short-wheelbase-covered</t>
  </si>
  <si>
    <t xml:space="preserve">trains\lmr-4wheel-open-coach-short-wheelbase-covered.dat</t>
  </si>
  <si>
    <t xml:space="preserve">PassengerOpen</t>
  </si>
  <si>
    <t xml:space="preserve">wilberforce</t>
  </si>
  <si>
    <t xml:space="preserve">See Ahrons p. 26
Extrapolated from estimated values
Given in "The Evolution of the Steam Locomotive", p. 54</t>
  </si>
  <si>
    <t xml:space="preserve">trains\wilberforce.dat</t>
  </si>
  <si>
    <t xml:space="preserve">wilberforce-tender</t>
  </si>
  <si>
    <t xml:space="preserve">l&amp;s-enclosed-carriage</t>
  </si>
  <si>
    <t xml:space="preserve">These are Leicester &amp; Swannington carriages;
intended for minor railways. See Midland
Railway Carriages by Lacy &amp; Dow, pp. 8-9.
https://cdn.globalauctionplatform.com/2a8bcfc7-99db-4e45-b8ea-a51c0101e0f0/316f84f8-a424-4388-b799-1e2436539fa7/original.jpg
See Lacy &amp; Dow, p. 9</t>
  </si>
  <si>
    <t xml:space="preserve">trains\l&amp;s-enclosed-carriage.dat</t>
  </si>
  <si>
    <t xml:space="preserve">l&amp;s-enclosed-carriage-brake-front</t>
  </si>
  <si>
    <t xml:space="preserve">See Lacy &amp; Dow, p. 9</t>
  </si>
  <si>
    <t xml:space="preserve">l&amp;s-enclosed-carriage-brake-rear</t>
  </si>
  <si>
    <t xml:space="preserve">l&amp;s-open-carriage</t>
  </si>
  <si>
    <t xml:space="preserve">trains\l&amp;s-open-carriage.dat</t>
  </si>
  <si>
    <t xml:space="preserve">l&amp;s-composite-carriage-brake-front</t>
  </si>
  <si>
    <t xml:space="preserve">Guessed</t>
  </si>
  <si>
    <t xml:space="preserve">trains\l&amp;s-composite-carriage.dat</t>
  </si>
  <si>
    <t xml:space="preserve">l&amp;s-composite-carriage-brake-rear</t>
  </si>
  <si>
    <t xml:space="preserve">l&amp;s-composite-carriage</t>
  </si>
  <si>
    <t xml:space="preserve">These are Leicester &amp; Swannington carriages;
intended for minor railways. See Midland
Railway Carriages by Lacy &amp; Dow, pp. 8-9.
https://cdn.globalauctionplatform.com/2a8bcfc7-99db-4e45-b8ea-a51c0101e0f0/316f84f8-a424-4388-b799-1e2436539fa7/original.jpg
Guessed</t>
  </si>
  <si>
    <t xml:space="preserve">LMR-Patentee-Tender</t>
  </si>
  <si>
    <t xml:space="preserve">Weight not available: guessed from contemporaneous locomotives</t>
  </si>
  <si>
    <t xml:space="preserve">trains\lmr-patentee-tender.dat</t>
  </si>
  <si>
    <t xml:space="preserve">LMR-Patentee</t>
  </si>
  <si>
    <t xml:space="preserve">CALIBRATED: see Ahrons p. 67.
Max. speed given as 50mph with a train of 22 1/3 tons.
Assumed that LMR 2-2-2 of 1839 is a Patentee.
Adjusted for a 1/894 falling gradient (-1Kw).
Calculated from data from Ahrons, pp. 22-4
Loss factor set at 0.5
Weight not available in Ahrons, guessed on basis of 2.5t more than "Planet".
http://www.steamlocomotive.com/locobase.php?country=Great_Britain&amp;wheel=2-2-2&amp;railroad=lm</t>
  </si>
  <si>
    <t xml:space="preserve">trains\lmr-patentee.dat</t>
  </si>
  <si>
    <t xml:space="preserve">omnibus-single-small</t>
  </si>
  <si>
    <t xml:space="preserve">Very little record exists of this earlier type,
however mention is made of it as a "box on wheels",
smaller than Shillibeer's grand original omnibus,
and popular in the 1840s, at p. 9 of John Day's
"The story of the London 'bus".
Single door with conductor: 2.5 seconds per passenger</t>
  </si>
  <si>
    <t xml:space="preserve">bus\omnibus-single-small.dat</t>
  </si>
  <si>
    <t xml:space="preserve">stevenson-goods</t>
  </si>
  <si>
    <t xml:space="preserve">See Ahrons, pp. 24-5 and
https://cdn.globalauctionplatform.com/2a8bcfc7-99db-4e45-b8ea-a51c0101e0f0/316f84f8-a424-4388-b799-1e2436539fa7/original.jpg
Estimated
See p. 24 Ahrons</t>
  </si>
  <si>
    <t xml:space="preserve">trains\stevenson-goods.dat</t>
  </si>
  <si>
    <t xml:space="preserve">vulcan</t>
  </si>
  <si>
    <t xml:space="preserve">See Ahrons, p. 24 and
http://www.steamlocomotive.com/locobase.php?country=Great_Britain&amp;wheel=0-6-0&amp;railroad=ls
http://enuii.com/vulcan_foundry/photographs/Drawings/no%2010%20leicester%20&amp;%20swannington%20%27Vulcan%27%201835.jpg
Estimated
http://www.steamlocomotive.com/locobase.php?country=Great_Britain&amp;wheel=0-6-0&amp;railroad=ls</t>
  </si>
  <si>
    <t xml:space="preserve">trains\vulcan.dat</t>
  </si>
  <si>
    <t xml:space="preserve">LMR-4Wheel-First</t>
  </si>
  <si>
    <t xml:space="preserve">This is the later, long wheelbase type
as represented by the NRM replicas</t>
  </si>
  <si>
    <t xml:space="preserve">trains\lmr-4wheel-first.dat</t>
  </si>
  <si>
    <t xml:space="preserve">LMR-4Wheel-First-Guard-front</t>
  </si>
  <si>
    <t xml:space="preserve">LMR-4Wheel-First-Guard-rear</t>
  </si>
  <si>
    <t xml:space="preserve">LMR-4Wheel-Mail</t>
  </si>
  <si>
    <t xml:space="preserve">TODO: Multiple liveries
liverytype[1]=MR-Early
liverytype[2]=LNWR-Early
liverytype[3]=GNR-early
liverytype[4]=LSWR-early</t>
  </si>
  <si>
    <t xml:space="preserve">trains\lmr-4wheel-mail.dat</t>
  </si>
  <si>
    <t xml:space="preserve">LMR-4Wheel-Mail-Guard-front</t>
  </si>
  <si>
    <t xml:space="preserve">LMR-4Wheel-Mail-Guard-rear</t>
  </si>
  <si>
    <t xml:space="preserve">hansom-cab</t>
  </si>
  <si>
    <t xml:space="preserve">http://www.london-taxi-cabs.com/information/history-of-the-licensed-london-taxi
https://en.wikipedia.org/wiki/Hansom_cab
Necessary to prohibit this vehicle from bridleways</t>
  </si>
  <si>
    <t xml:space="preserve">bus\hansom-cab.dat</t>
  </si>
  <si>
    <t xml:space="preserve">LMR-4Wheel-Open-Coach</t>
  </si>
  <si>
    <t xml:space="preserve">These are the later, long-wheelbase variety
with the sprung buffers, as in the NRM replicas
These were originally second class coaches:
there was no third class at the time.
This just involves adding awnings.</t>
  </si>
  <si>
    <t xml:space="preserve">trains\lmr-4wheel-open-coach.dat</t>
  </si>
  <si>
    <t xml:space="preserve">lmr-4wheel-open-second</t>
  </si>
  <si>
    <t xml:space="preserve">http://l7.alamy.com/zooms/308869559f534f3b8ad4e9a7e5044b64/trains-on-the-liverpool-manchester-railway-covered-wagons-for-passengers-erga8k.jpg
These are the later, long-wheelbase type with sprung buffers</t>
  </si>
  <si>
    <t xml:space="preserve">trains\lmr-4wheel-open-second.dat</t>
  </si>
  <si>
    <t xml:space="preserve">BoatHorsesFly</t>
  </si>
  <si>
    <t xml:space="preserve">FlyboatPiece</t>
  </si>
  <si>
    <t xml:space="preserve">boats\unpowered-flyboat.dat</t>
  </si>
  <si>
    <t xml:space="preserve">FlyboatCool</t>
  </si>
  <si>
    <t xml:space="preserve">FlyboatMail</t>
  </si>
  <si>
    <t xml:space="preserve">FlyboatPax</t>
  </si>
  <si>
    <t xml:space="preserve">4wheel-stanhope</t>
  </si>
  <si>
    <t xml:space="preserve">See Kidner p. 86. It is assumed that these were available
earlier than the 1846 build date given for the prototype for this.
Guessed
TODO: Add liveries
(B&amp;DJR, GJR, MCR, MR, LNWR, etc.)
liverytype[1]=MR-Early
liverytype[2]=LNWR-Early
liverytype[3]=GNR-early
liverytype[4]=LSWR-early</t>
  </si>
  <si>
    <t xml:space="preserve">trains\4wheel-stanhope.dat</t>
  </si>
  <si>
    <t xml:space="preserve">4wheel-stanhope-brake</t>
  </si>
  <si>
    <t xml:space="preserve">Guessed
TODO: Add liveries
(B&amp;DJR, GJR, MCR, MR, LNWR, etc.)
liverytype[1]=MR-Early
liverytype[2]=LNWR-Early
liverytype[3]=GNR-early
liverytype[4]=LSWR-early</t>
  </si>
  <si>
    <t xml:space="preserve">narrowgauge-horse-shire-single</t>
  </si>
  <si>
    <t xml:space="preserve">narrowgauge\narrowgauge-horse-shire.dat</t>
  </si>
  <si>
    <t xml:space="preserve">narrowgauge-horse-shire-double</t>
  </si>
  <si>
    <t xml:space="preserve">wagon-ng-box</t>
  </si>
  <si>
    <t xml:space="preserve">narrowgauge\wagon-ng-box.dat</t>
  </si>
  <si>
    <t xml:space="preserve">wagon-ng-tanker</t>
  </si>
  <si>
    <t xml:space="preserve">narrowgauge\wagon-ng-tanker.dat</t>
  </si>
  <si>
    <t xml:space="preserve">wagon-ng-bulk</t>
  </si>
  <si>
    <t xml:space="preserve">narrowgauge\wagon-ng-bulk.dat</t>
  </si>
  <si>
    <t xml:space="preserve">narrowgauge-horse-clydesdale-single</t>
  </si>
  <si>
    <t xml:space="preserve">narrowgauge\narrowgauge-horse-clydesdale.dat</t>
  </si>
  <si>
    <t xml:space="preserve">narrowgauge-horse-clydesdale-double</t>
  </si>
  <si>
    <t xml:space="preserve">wagon-ng-long</t>
  </si>
  <si>
    <t xml:space="preserve">narrowgauge\wagon-ng-long.dat</t>
  </si>
  <si>
    <t xml:space="preserve">wagon-ng-food</t>
  </si>
  <si>
    <t xml:space="preserve">narrowgauge\wagon-ng-food.dat</t>
  </si>
  <si>
    <t xml:space="preserve">FR-Goods-Brake</t>
  </si>
  <si>
    <t xml:space="preserve">Nominally a goods brake, but used on passenger services
until bogie vans introduced.
Must introduce in 1836 not 1863 because must go with goods wagons -
cannot simulate change of operating practice to require goods brakes
later.</t>
  </si>
  <si>
    <t xml:space="preserve">narrowgauge\fr-goods-brake.dat</t>
  </si>
  <si>
    <t xml:space="preserve">ClipperHull</t>
  </si>
  <si>
    <t xml:space="preserve">boats\boats192\clipper.dat</t>
  </si>
  <si>
    <t xml:space="preserve">WoodShipFast</t>
  </si>
  <si>
    <t xml:space="preserve">ClipperAddPax</t>
  </si>
  <si>
    <t xml:space="preserve">Steerage
1-2 hours</t>
  </si>
  <si>
    <t xml:space="preserve">boats\holds\clipper-holds.dat</t>
  </si>
  <si>
    <t xml:space="preserve">ClipperAddPax-second-class</t>
  </si>
  <si>
    <t xml:space="preserve">ClipperAddPax-first-class</t>
  </si>
  <si>
    <t xml:space="preserve">ClipperAddMail</t>
  </si>
  <si>
    <t xml:space="preserve">ClipperAddBulk</t>
  </si>
  <si>
    <t xml:space="preserve">ClipperAddLong</t>
  </si>
  <si>
    <t xml:space="preserve">ClipperAddPiece</t>
  </si>
  <si>
    <t xml:space="preserve">ClipperAddCool</t>
  </si>
  <si>
    <t xml:space="preserve">ClipperAddLivestock</t>
  </si>
  <si>
    <t xml:space="preserve">4wheel-open-third</t>
  </si>
  <si>
    <t xml:space="preserve">See http://gerald-massey.org.uk/Railway/images/Operational/Carriage3.png
Little other information is available about these, but assume that they
are early third class open wagons from a time when second class was becoming
routinely enclosed and third class passengers first started to be conveyed.
The payload of the (unillustrated) Birmingham
&amp; Derby Junction thirds of 1839 was 40: see Lacy
&amp; Dow p. 6.  However, these are smaller carriages.
Their capacity is assumed to be lower.
TODO: Add liveries
(B&amp;DJR, GJR, MCR, MR, LNWR, etc.)
liverytype[1]=MR-Early
liverytype[2]=LNWR-Early
liverytype[3]=GNR-early
liverytype[4]=LSWR-early</t>
  </si>
  <si>
    <t xml:space="preserve">trains\4wheel-open-third.dat</t>
  </si>
  <si>
    <t xml:space="preserve">lbr-4wheel-open-second</t>
  </si>
  <si>
    <t xml:space="preserve">See http://gerald-massey.org.uk/Railway/c13_operational.htm
Exact details not given.
Guessed
TODO: Add liveries
liverytype[1]=MR-Early
liverytype[2]=LNWR-Early
liverytype[3]=GNR-early
liverytype[4]=LSWR-early</t>
  </si>
  <si>
    <t xml:space="preserve">trains\lbr-4wheel-open-second.dat</t>
  </si>
  <si>
    <t xml:space="preserve">lbr-4wheel-open-second-brake</t>
  </si>
  <si>
    <t xml:space="preserve">Guessed
TODO: Add liveries
liverytype[1]=MR-Early
liverytype[2]=LNWR-Early
liverytype[3]=GNR-early
liverytype[4]=LSWR-early</t>
  </si>
  <si>
    <t xml:space="preserve">LMR-Lion</t>
  </si>
  <si>
    <t xml:space="preserve">Estimated
No Ahrons data available, guessed from contemporary locomotives
(See e.g. p. 24 Ahrons)</t>
  </si>
  <si>
    <t xml:space="preserve">trains\lmr-lion.dat</t>
  </si>
  <si>
    <t xml:space="preserve">bury-bar-frame-goods</t>
  </si>
  <si>
    <t xml:space="preserve">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
More weight than the passenger engine owing to
connecting rods</t>
  </si>
  <si>
    <t xml:space="preserve">trains\bury-bar-frame-goods.dat</t>
  </si>
  <si>
    <t xml:space="preserve">bury-bar-frame-passenger</t>
  </si>
  <si>
    <t xml:space="preserve">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t>
  </si>
  <si>
    <t xml:space="preserve">trains\bury-bar-frame-passenger.dat</t>
  </si>
  <si>
    <t xml:space="preserve">bury-bar-frame-tender</t>
  </si>
  <si>
    <t xml:space="preserve">gjr-bed-carriage</t>
  </si>
  <si>
    <t xml:space="preserve">See Hamilton Ellis pp. 22-3
http://gerald-massey.org.uk/Railway/c13_operational.htm
Guessed
TODO: Multiple liveries</t>
  </si>
  <si>
    <t xml:space="preserve">trains\gjr-bed-carriage.dat</t>
  </si>
  <si>
    <t xml:space="preserve">sdr-mineral-engine</t>
  </si>
  <si>
    <t xml:space="preserve">See Ahrons, p. 33
Extrapolated from estimated data (no grate area data available)
Tractive effort value calculated from data from Ahrons (p. 22)
Loss factor set to 0.5, pressure was 70lb.
Guessed</t>
  </si>
  <si>
    <t xml:space="preserve">trains\sdr-mineral-engine.dat</t>
  </si>
  <si>
    <t xml:space="preserve">sdr-mineral-engine-tender</t>
  </si>
  <si>
    <t xml:space="preserve">SSGreatWestern</t>
  </si>
  <si>
    <t xml:space="preserve">boats\boats192\ss-great-western.dat</t>
  </si>
  <si>
    <t xml:space="preserve">SSGreatWesternAddMail</t>
  </si>
  <si>
    <t xml:space="preserve">LMR-4Wheel-TPO</t>
  </si>
  <si>
    <t xml:space="preserve">See Hamilton Ellis p. 42
https://www.flickr.com/photos/benrevell/16392817652/in/photostream/lightbox/
This is a legacy name to avoid needing to use compat.tab.
See Hamilton Ellis p. 42
TODO: Liveries
liverytype[1]=MR-Early
liverytype[2]=LNWR-Early
liverytype[3]=GNR-early
liverytype[4]=LSWR-early</t>
  </si>
  <si>
    <t xml:space="preserve">trains\gjr-4wheel-tpo.dat</t>
  </si>
  <si>
    <t xml:space="preserve">TrainTPO</t>
  </si>
  <si>
    <t xml:space="preserve">stephenson-2-2-2</t>
  </si>
  <si>
    <t xml:space="preserve">There are a great many very similar 2-2-2s of the late 1830s:
see Ahrons p. 35 onwards. This is the Stephenson version, which
appears to be a 2-2-2 version of the "Lion". Many different
railways used this basic design (made by various manufacturers),
with small detail differences.
Extrapolated, although firegreate area
not known, so guessed
Calculated from data from Ahrons, p. 35
Loss factor set at 0.5
Guessed
http://www.steamlocomotive.com/locobase.php?country=Great_Britain&amp;wheel=2-2-2&amp;railroad=lm</t>
  </si>
  <si>
    <t xml:space="preserve">trains\stephenson-2-2-2.dat</t>
  </si>
  <si>
    <t xml:space="preserve">b&amp;djr-4wheel-first</t>
  </si>
  <si>
    <t xml:space="preserve">trains\b&amp;djr-4wheel-first.dat</t>
  </si>
  <si>
    <t xml:space="preserve">b&amp;djr-4wheel-first-Guard-front</t>
  </si>
  <si>
    <t xml:space="preserve">b&amp;djr-4wheel-first-Guard-rear</t>
  </si>
  <si>
    <t xml:space="preserve">b&amp;djr-4wheel-second</t>
  </si>
  <si>
    <t xml:space="preserve">trains\b&amp;djr-4wheel-second.dat</t>
  </si>
  <si>
    <t xml:space="preserve">b&amp;djr-4wheel-second-Guard-front</t>
  </si>
  <si>
    <t xml:space="preserve">b&amp;djr-4wheel-second-Guard-rear</t>
  </si>
  <si>
    <t xml:space="preserve">gjr-mail</t>
  </si>
  <si>
    <t xml:space="preserve">These are the matching mail stowage versions of the very first
TPO. No illustrations are available, but they are described
(very generally) at Lacy &amp; Dow, pp. 43-6
Guessed
TODO: Liveries
liverytype[1]=MR-Early
liverytype[2]=LNWR-Early
liverytype[3]=GNR-early
liverytype[4]=LSWR-early</t>
  </si>
  <si>
    <t xml:space="preserve">trains\gjr-mail.dat</t>
  </si>
  <si>
    <t xml:space="preserve">tayleur-2-2-2</t>
  </si>
  <si>
    <t xml:space="preserve">There are a great many very similar 2-2-2s of the late 1830s:
see Ahrons p. 35 onwards. This is the Tayleur version.
The intention of having both this and the Stephenson version
is that this represents the slightly later developments, with
slightly larger dimensions.
Extrapolated, although firegreate area
not known, so guessed
Calculated from data from Ahrons, p. 35
Loss factor set at 0.5
Guessed
Guessed</t>
  </si>
  <si>
    <t xml:space="preserve">trains\tayleur-2-2-2.dat</t>
  </si>
  <si>
    <t xml:space="preserve">Coal1840</t>
  </si>
  <si>
    <t xml:space="preserve">brake-6t</t>
  </si>
  <si>
    <t xml:space="preserve">http://myweb.tiscali.co.uk/gansg/4-rstock/04arstock1.htm
Guessed</t>
  </si>
  <si>
    <t xml:space="preserve">trains\wagon-brake-6t.dat</t>
  </si>
  <si>
    <t xml:space="preserve">IronSteamTug</t>
  </si>
  <si>
    <t xml:space="preserve">MetalShip</t>
  </si>
  <si>
    <t xml:space="preserve">6wheel-stanhope</t>
  </si>
  <si>
    <t xml:space="preserve">See Hamilton Ellis p. 39. Full details are not given.
Guessed
TODO: Add liveries
(B&amp;DJR, GJR, MCR, MR, LNWR, etc.)
liverytype[1]=MR-Early
liverytype[2]=LNWR-Early
liverytype[3]=GNR-early
liverytype[4]=LSWR-early</t>
  </si>
  <si>
    <t xml:space="preserve">trains\6wheel-stanhope.dat</t>
  </si>
  <si>
    <t xml:space="preserve">6wheel-stanhope-brake</t>
  </si>
  <si>
    <t xml:space="preserve">LMR-Bird</t>
  </si>
  <si>
    <t xml:space="preserve">Extrapolated, although firegrate area guessed
Calculated from data from Ahrons, p. 50
Loss factor set at 0.5. Assuming boiler pressure of 60psi.
Weight taken from Ahrons, p. 50</t>
  </si>
  <si>
    <t xml:space="preserve">trains\lmr-bird.dat</t>
  </si>
  <si>
    <t xml:space="preserve">WoodenRiverSteamer</t>
  </si>
  <si>
    <t xml:space="preserve">boats\wooden-river-steamer.dat</t>
  </si>
  <si>
    <t xml:space="preserve">LBR-2-4-0T</t>
  </si>
  <si>
    <t xml:space="preserve">Estimated
Calculated from data in http://www.steamindex.com/locotype/lbscrloc.htm
(data incomplete, largely guessed)
This was in reality the withdrawal date, but too short a run (single locomotive) otherwise.
Weight not available, but guessed based on contemporaneous types.
Rough range based on 2 hours between coal/water stops. Someone with good steam knowledge should make a better value.</t>
  </si>
  <si>
    <t xml:space="preserve">trains\lbr-2-4-0t.dat</t>
  </si>
  <si>
    <t xml:space="preserve">stephenson-long-boiler-goods</t>
  </si>
  <si>
    <t xml:space="preserve">See Ahrons p. 58
Calculated from data from Ahrons, p. 58
Loss factor set at 0.6, assumed 80lbs pressure as in the earlier engines.
Larger versions of these engines were built into the 1860s
(according to Ahrons)
Weight not given - guessed.
TODO: Other liveries.</t>
  </si>
  <si>
    <t xml:space="preserve">trains\stephenson-long-boiler-goods.dat</t>
  </si>
  <si>
    <t xml:space="preserve">SteamMedium</t>
  </si>
  <si>
    <t xml:space="preserve">stephenson-long-boiler-goods-tender</t>
  </si>
  <si>
    <t xml:space="preserve">Larger versions of these engines were built into the 1860s
(according to Ahrons)
Weight not given in Ahrons, but guessed from contemporaneous types</t>
  </si>
  <si>
    <t xml:space="preserve">IronPaddleSteamer</t>
  </si>
  <si>
    <t xml:space="preserve">boats\iron-paddle-steamer.dat</t>
  </si>
  <si>
    <t xml:space="preserve">IronPaddleSteamerMail</t>
  </si>
  <si>
    <t xml:space="preserve">mcr-4wheel-open-second</t>
  </si>
  <si>
    <t xml:space="preserve">See Lacy &amp; Dow p. 4
Guessed</t>
  </si>
  <si>
    <t xml:space="preserve">trains\mcr-4wheel-open-second.dat</t>
  </si>
  <si>
    <t xml:space="preserve">mcr-4wheel-open-second-brake-front</t>
  </si>
  <si>
    <t xml:space="preserve">mcr-4wheel-open-second-brake-rear</t>
  </si>
  <si>
    <t xml:space="preserve">mcr-4wheel-open-third</t>
  </si>
  <si>
    <t xml:space="preserve">See Lacy &amp; Dow p. 4
The payload of the (unillustrated) Birmingham
&amp; Derby Junction thirds of 1839 was 40: see Lacy
&amp; Dow p. 6. These are assumed to be very similar.
Guessed</t>
  </si>
  <si>
    <t xml:space="preserve">trains\mcr-4wheel-open-third.dat</t>
  </si>
  <si>
    <t xml:space="preserve">LNWR-Bloomer-Tender</t>
  </si>
  <si>
    <t xml:space="preserve">Weight not given in Ahrons, but guessed from contemporaneous types</t>
  </si>
  <si>
    <t xml:space="preserve">trains\lnwr-bloomer-tender.dat</t>
  </si>
  <si>
    <t xml:space="preserve">SSGreatBritain</t>
  </si>
  <si>
    <t xml:space="preserve">https://en.wikipedia.org/wiki/SS_Great_Britain
2-3 hours</t>
  </si>
  <si>
    <t xml:space="preserve">boats\boats192\ss-great-britain.dat</t>
  </si>
  <si>
    <t xml:space="preserve">SSGreatBritainAddMail</t>
  </si>
  <si>
    <t xml:space="preserve">lnwr-crewe-type-goods</t>
  </si>
  <si>
    <t xml:space="preserve">See Ahrons p. 52 for details.
Extrapolated
Calculated from data from Ahrons, p. 52
Loss factor set at 0.7
Weight taken from Ahrons, p. 52
http://www.steamlocomotive.com/locobase.php?country=Great_Britain&amp;wheel=2-4-0&amp;railroad=lnw</t>
  </si>
  <si>
    <t xml:space="preserve">trains\lnwr-crewe-type-goods.dat</t>
  </si>
  <si>
    <t xml:space="preserve">LNWR-crewe-type</t>
  </si>
  <si>
    <t xml:space="preserve">See Ahrons p. 52 for details.
CALIBRATED: see Ahrons p. 130
Max. speed given as 45.4mph with a train of 115 tons
Assumed to be level track, as no gradient information is given.
Calculated from data from Ahrons, p. 52
Loss factor set at 0.7
Weight taken from Ahrons, p. 52
Ibid</t>
  </si>
  <si>
    <t xml:space="preserve">trains\lnwr-crewe-type.dat</t>
  </si>
  <si>
    <t xml:space="preserve">hawthorn-2-2-2</t>
  </si>
  <si>
    <t xml:space="preserve">This is based on the Great North of England
Railway's "Richmond": see Ahrons, p. 50.
See also: http://www.steamindex.com/locotype/nerloco.htm
Note that the latter is inconsistent with Ahrons in
some respects.
Extrapolated, although firegreate area
not known, so guessed
Calculated from data from Ahrons, p. 50
Loss factor set at 0.5
http://www.steamindex.com/locotype/nerloco.htm
Guessed</t>
  </si>
  <si>
    <t xml:space="preserve">trains\hawthorn-2-2-2.dat</t>
  </si>
  <si>
    <t xml:space="preserve">SDR-Derwent-Tender</t>
  </si>
  <si>
    <t xml:space="preserve">trains\sdr-derwent-tender.dat</t>
  </si>
  <si>
    <t xml:space="preserve">SDR-Derwent</t>
  </si>
  <si>
    <t xml:space="preserve">Estimated
Tractive effort value calculated from data from Ahrons (p. 48)
Loss factor set to 0.7, pressure was 75lb.
There are divergent introduction dates for this given in various sources. Ahrons (p. 48) gives 1845-1848.
http://www.steamindex.com/locotype/earlyloc.htm gives a build date of 1837, with no end date.
Ahrons at p. 33 refers to a similar locomotive built in 1838 at p. 33, but regards it as a different class.
http://www.victorianweb.org/technology/railways/l5.html quotes Nock and refers to 1833, stating that a similar
engine was built by Hackworth in 1827, stating that the Derwent class were built until 1846.
Confirmed by Ahrons, p. 48</t>
  </si>
  <si>
    <t xml:space="preserve">trains\sdr-derwent.dat</t>
  </si>
  <si>
    <t xml:space="preserve">stephenson-long-boiler-passenger</t>
  </si>
  <si>
    <t xml:space="preserve">See Ahrons p. 58
These were not good at speed
Calculated from data from Ahrons, p. 58
Loss factor set at 0.6, assumed 80lbs pressure.
See Ahrons p. 54
TODO: Other liveries.</t>
  </si>
  <si>
    <t xml:space="preserve">trains\stephenson-long-boiler-passenger.dat</t>
  </si>
  <si>
    <t xml:space="preserve">stephenson-long-boiler-passenger-tender</t>
  </si>
  <si>
    <t xml:space="preserve">mr-4wheel-composite</t>
  </si>
  <si>
    <t xml:space="preserve">This is based on the SDR composite preserved at the NRM.
Guessed</t>
  </si>
  <si>
    <t xml:space="preserve">trains\mr-4wheel-composite.dat</t>
  </si>
  <si>
    <t xml:space="preserve">LMR-4Wheel-Parliamentary</t>
  </si>
  <si>
    <t xml:space="preserve">See Midland Railway Carriages (Vol. 1)
by Lacy &amp; Dow, p. 22
This is a legacy name. This is actually
a Midland carriage.
Guessed</t>
  </si>
  <si>
    <t xml:space="preserve">trains\lmr-4wheel-parliamentary.dat</t>
  </si>
  <si>
    <t xml:space="preserve">6wheel-parliamentary</t>
  </si>
  <si>
    <t xml:space="preserve">See Hamilton Ellis Plate 6
This was an ECR vehicle.
See also p. 19 of the GER Society journal
special edition (no. 5) summer 1989
Guessed
TODO: Multiple liveries</t>
  </si>
  <si>
    <t xml:space="preserve">trains\6wheel-parliamentary.dat</t>
  </si>
  <si>
    <t xml:space="preserve">lbscr-gray-single</t>
  </si>
  <si>
    <t xml:space="preserve">Extrapolated
Not given in Ahrons: guessed to be slightly less than the Jenny Lind</t>
  </si>
  <si>
    <t xml:space="preserve">trains\lbscr-gray-single.dat</t>
  </si>
  <si>
    <t xml:space="preserve">JennyLind-Tender</t>
  </si>
  <si>
    <t xml:space="preserve">Weight confirmed by Ahrons, p. 130</t>
  </si>
  <si>
    <t xml:space="preserve">trains\jennylind-tender.dat</t>
  </si>
  <si>
    <t xml:space="preserve">LNWR-Sharp-goods</t>
  </si>
  <si>
    <t xml:space="preserve">Extrapolated
Calculated from data from Ahrons, p. 81
Loss factor set at 0.7, assumed 100lbs boiler pressure.
Weight taken from Ahrons, p. 81
TODO: Also add MS&amp;LR livery when that company is added, as these worked for both concerns.</t>
  </si>
  <si>
    <t xml:space="preserve">trains\lnwr-sharp-goods.dat</t>
  </si>
  <si>
    <t xml:space="preserve">PSPremier</t>
  </si>
  <si>
    <t xml:space="preserve">boats\ps-premier.dat</t>
  </si>
  <si>
    <t xml:space="preserve">LBSCR-4wheel-open</t>
  </si>
  <si>
    <t xml:space="preserve">http://www.5and9models.co.uk/coaches.html
See Hamilton Ellis p. 41 and Plate 6 III
(between pages 31-32). This is probably a
Craven coach from the later 1840s, built
as fourth class after the 1844 Act.
This five compartment vehicle would not
be the same as the 17ft open carriage
built as joint stock with the SER,
described at p. 35 of Hamilton Ellis.
Guessed</t>
  </si>
  <si>
    <t xml:space="preserve">trains\lbscr-4wheel-open.dat</t>
  </si>
  <si>
    <t xml:space="preserve">LBSCR-4wheel-open-brake</t>
  </si>
  <si>
    <t xml:space="preserve">gnr-early-tender</t>
  </si>
  <si>
    <t xml:space="preserve">trains\gnr-early-tender.dat</t>
  </si>
  <si>
    <t xml:space="preserve">LBSCR-sharp-well-tank</t>
  </si>
  <si>
    <t xml:space="preserve">Estimated
Calculated from data in http://www.steamindex.com/locotype/lbscrloc.htm
with loss factor of 0.7
Should be Nov. 1849, but replacement type not introduced until later.
Weight not available, but guessed based on contemporaneous types.</t>
  </si>
  <si>
    <t xml:space="preserve">trains\lbscr-sharp-well-tank.dat</t>
  </si>
  <si>
    <t xml:space="preserve">mr-4wheel-1848-first</t>
  </si>
  <si>
    <t xml:space="preserve">See Lacy &amp; Dow p. 16. Although based on a Midland
vehicle, these can be given liveries for all contemporary
railway companies, as the types did not vary greatly.
Note that Lacy &amp; Dow give the introduction date as 1848,
but this is too close to the 1850 vehicles, and it is
likely that other railway companies built similar vehicles
earlier than 1848.
Guessed</t>
  </si>
  <si>
    <t xml:space="preserve">trains\mr-4wheel-1848.dat</t>
  </si>
  <si>
    <t xml:space="preserve">mr-4wheel-1848-first-brake-front</t>
  </si>
  <si>
    <t xml:space="preserve">mr-4wheel-1848-first-brake-rear</t>
  </si>
  <si>
    <t xml:space="preserve">mr-4wheel-1848-second</t>
  </si>
  <si>
    <t xml:space="preserve">See Lacy &amp; Dow p. 22 and 16. Although based on a Midland
vehicle, these can be given liveries for all contemporary
railway companies, as the types did not vary greatly.
Guessed</t>
  </si>
  <si>
    <t xml:space="preserve">trains\mr-4wheel-1848-second.dat</t>
  </si>
  <si>
    <t xml:space="preserve">mr-4wheel-1848-second-brake-front</t>
  </si>
  <si>
    <t xml:space="preserve">mr-4wheel-1848-second-brake-rear</t>
  </si>
  <si>
    <t xml:space="preserve">JennyLind</t>
  </si>
  <si>
    <t xml:space="preserve">CALIBRATED: see Ahrons p. 130
Max. speed given as 59mph with a train of 103 tons
Adjusted for a 1/330 falling gradient (-8Kw).
Taken from: http://en.wikipedia.org/wiki/Jenny_Lind_locomotive
Ahrons (p. 76) gives the weight as "slightly more than 24 tons".</t>
  </si>
  <si>
    <t xml:space="preserve">trains\jennylind.dat</t>
  </si>
  <si>
    <t xml:space="preserve">gnr-wilson-single</t>
  </si>
  <si>
    <t xml:space="preserve">Extrapolated
Ahrons (p. 76) gives the weight as "slightly more than 24 tons" for the Jenny Lind</t>
  </si>
  <si>
    <t xml:space="preserve">trains\gnr-wilson-single.dat</t>
  </si>
  <si>
    <t xml:space="preserve">MR-130</t>
  </si>
  <si>
    <t xml:space="preserve">"Crampton" locomotive.
CALIBRATED: see Ahrons p. 235 (Newark brake trials)
Max. speed given as 51mph with a train of 210t (gross)
On the level (Newark brake trials)
Calculated from data from Ahrons, pp. 72-3
Loss factor set at 0.7, assumed 100lbs boiler pressure.
Weight not given - guessed.
Cannot be greater than 10 to go with contemporary track
These were, according to Ahrons, very fuel inefficient,
as they had no brick arch, so much heat energy was wasted.</t>
  </si>
  <si>
    <t xml:space="preserve">trains\mr-130.dat</t>
  </si>
  <si>
    <t xml:space="preserve">Steam</t>
  </si>
  <si>
    <t xml:space="preserve">MR-130-tender</t>
  </si>
  <si>
    <t xml:space="preserve">CompositeHullUnpoweredNarrowboatBulk</t>
  </si>
  <si>
    <t xml:space="preserve">boats\composite-hull-unpowered-narrowboat.dat</t>
  </si>
  <si>
    <t xml:space="preserve">CompositeHullUnpoweredNarrowboatLong</t>
  </si>
  <si>
    <t xml:space="preserve">CompositeHullUnpoweredNarrowboatPiece</t>
  </si>
  <si>
    <t xml:space="preserve">CompositeHullUnpoweredNarrowboatCool</t>
  </si>
  <si>
    <t xml:space="preserve">CompositeHullUnpoweredNarrowboatOil</t>
  </si>
  <si>
    <t xml:space="preserve">CompositeHullUnpoweredNarrowboatLivestock</t>
  </si>
  <si>
    <t xml:space="preserve">LBSCR-4wheel-open-sided</t>
  </si>
  <si>
    <t xml:space="preserve">http://www.5and9models.co.uk/coaches.html</t>
  </si>
  <si>
    <t xml:space="preserve">trains\lbscr-4wheel-open-sided.dat</t>
  </si>
  <si>
    <t xml:space="preserve">Rail</t>
  </si>
  <si>
    <t xml:space="preserve">LBSCR-4wheel-open-sided-brake</t>
  </si>
  <si>
    <t xml:space="preserve">SteamBargeTug</t>
  </si>
  <si>
    <t xml:space="preserve">boats\steam-barge-tug.dat</t>
  </si>
  <si>
    <t xml:space="preserve">4-wheel-1850s-first</t>
  </si>
  <si>
    <t xml:space="preserve">trains\4wheel-1850s-first.dat</t>
  </si>
  <si>
    <t xml:space="preserve">4-wheel-1850s-second</t>
  </si>
  <si>
    <t xml:space="preserve">trains\4wheel-1850s-second.dat</t>
  </si>
  <si>
    <t xml:space="preserve">4-wheel-1850s-composite</t>
  </si>
  <si>
    <t xml:space="preserve">trains\4wheel-1850s-composite.dat</t>
  </si>
  <si>
    <t xml:space="preserve">4-wheel-1850s</t>
  </si>
  <si>
    <t xml:space="preserve">trains\4wheel-1850s-third.dat</t>
  </si>
  <si>
    <t xml:space="preserve">4-wheel-1850s-brake</t>
  </si>
  <si>
    <t xml:space="preserve">trains\4wheel-1850s-brake.dat</t>
  </si>
  <si>
    <t xml:space="preserve">4-wheel-1850s-mail</t>
  </si>
  <si>
    <t xml:space="preserve">trains\4wheel-1850s-mail.dat</t>
  </si>
  <si>
    <t xml:space="preserve">4-wheel-1850s-tpo</t>
  </si>
  <si>
    <t xml:space="preserve">LBSCR-4wheel-parliamentary-third</t>
  </si>
  <si>
    <t xml:space="preserve">http://www.lbscr.org/models/coaches/JH-photos/1850-Third.jpg
http://web.archive.org/web/20170315134232/http://lbscr.org/Models/coaches/JH-photos/1850-Third.jpg</t>
  </si>
  <si>
    <t xml:space="preserve">trains\lbscr-parliamentary-carriages.dat</t>
  </si>
  <si>
    <t xml:space="preserve">LBSCR-4wheel-parliamentary-third-brake</t>
  </si>
  <si>
    <t xml:space="preserve">gnr-hawthorn-single</t>
  </si>
  <si>
    <t xml:space="preserve">Extrapolated
Weight given by Ahrons, p. 93
http://orion.math.iastate.edu/jdhsmith/term/slgbgnr.htm
This has this listed as the "203 class"</t>
  </si>
  <si>
    <t xml:space="preserve">trains\gnr-hawthorn-single.dat</t>
  </si>
  <si>
    <t xml:space="preserve">OmnibusDoubleKnifeboard</t>
  </si>
  <si>
    <t xml:space="preserve">http://www.telegraph.co.uk/expat/expatpicturegalleries/10886175/In-pictures-London-buses-in-black-and-white.html?frame=2935509
http://media.gettyimages.com/photos/model-one-of-the-types-of-horsedrawn-omnibus-used-in-london-in-1855-picture-id90744795
http://www.gettyimages.co.uk/detail/news-photo/model-one-of-the-types-of-horse-drawn-omnibus-used-in-news-photo/90744795
http://www.gettyimages.co.uk/detail/photo/knifeboard-omnibus-high-res-stock-photography/HP2932-001
http://www.gail-thornton.co.uk/public-vehicles/omnibus.php
This is the early type, with a ladder up to the back.
Rear platform with conductor: 2.0 seconds per passenger</t>
  </si>
  <si>
    <t xml:space="preserve">bus\omnibus-double-knifeboard.dat</t>
  </si>
  <si>
    <t xml:space="preserve">LNWR-Bloomer</t>
  </si>
  <si>
    <t xml:space="preserve">Note: the LNWR black livery version is the unmodified version
(which did exist in black: see http://www.lnwrs.org.uk/PassLocos/P001L2.jpg).
The modified versions with full cabs had 120lb boilers - consider adding
these later.
Ahrons (p. 231) records the maximum service speed of a Bloomer being 72mph (115km/h), and a start to stop average of 52mph (83km/h) with 7 6-wheelers.
CALIBRATED: see Ahrons p. 231
Max. speed given as 45.4mph with a train of 115 tons
Adjusted for a 1/364 falling gradient (-12Kw).
NOTE: Ahrons at p. 130 gives figures suggesting a power of 101Kw,
but these figures are probably inaccurate: see ibid p. 131.
Weight given by Ahrons, p. 94</t>
  </si>
  <si>
    <t xml:space="preserve">trains\lnwr-bloomer.dat</t>
  </si>
  <si>
    <t xml:space="preserve">SteamNarrowboatTug</t>
  </si>
  <si>
    <t xml:space="preserve">boats\steam-narrowboat-tug.dat</t>
  </si>
  <si>
    <t xml:space="preserve">LBSCR-4wheel-parliamentary-second</t>
  </si>
  <si>
    <t xml:space="preserve">http://www.lbscr.org/models/coaches/JH-photos/1851-Second.jpg
http://web.archive.org/web/20170315123748/http://www.lbscr.org/models/coaches/JH-photos/1851-Second.jpg
This vehicle is inferred to be earlier than the larger vehicles, but this is not clearly confirmed.</t>
  </si>
  <si>
    <t xml:space="preserve">Fifie</t>
  </si>
  <si>
    <t xml:space="preserve">boats\fifie.dat</t>
  </si>
  <si>
    <t xml:space="preserve">LBSCR-standard-goods-tender</t>
  </si>
  <si>
    <t xml:space="preserve">Weight not available, but guessed from contemporaneous types</t>
  </si>
  <si>
    <t xml:space="preserve">trains\lbscr-standard-goods.dat</t>
  </si>
  <si>
    <t xml:space="preserve">LBSCR-single-well-tank</t>
  </si>
  <si>
    <t xml:space="preserve">Data not available, so part guessed from contemporaneous types
Calculated from data in http://www.steamindex.com/locotype/lbscrloc.htm
with loss factor of 0.7
Weight not available, but guessed based on contemporaneous types.</t>
  </si>
  <si>
    <t xml:space="preserve">trains\lbscr-single-well-tank.dat</t>
  </si>
  <si>
    <t xml:space="preserve">LBSCR-craven-tender</t>
  </si>
  <si>
    <t xml:space="preserve">trains\lbscr-craven-tender.dat</t>
  </si>
  <si>
    <t xml:space="preserve">LNWR-extra-large-bloomer</t>
  </si>
  <si>
    <t xml:space="preserve">Extrapolated
Weight given by Ahrons, p. 95</t>
  </si>
  <si>
    <t xml:space="preserve">trains\lnwr-extra-large-bloomer.dat</t>
  </si>
  <si>
    <t xml:space="preserve">MR-133</t>
  </si>
  <si>
    <t xml:space="preserve">Extrapolated (old system; no firegrate area for new system)
Calculated from data from Ahrons, pp. 93-4 (fig. 102)
Loss factor set at 0.7, assumed 110lbs boiler pressure.
Weight taken from Ahrons, p. 93</t>
  </si>
  <si>
    <t xml:space="preserve">trains\mr-133.dat</t>
  </si>
  <si>
    <t xml:space="preserve">MR-133-tender</t>
  </si>
  <si>
    <t xml:space="preserve">SDR-1001-Tender</t>
  </si>
  <si>
    <t xml:space="preserve">Weight taken from "The Locomotive", 14th of January 1928, p. 14</t>
  </si>
  <si>
    <t xml:space="preserve">trains\sdr-1001-tender.dat</t>
  </si>
  <si>
    <t xml:space="preserve">SDR-1001</t>
  </si>
  <si>
    <t xml:space="preserve">Extrapolated
See "The Locomotive", 14th of January 1928, p. 14
TE data taken from: http://www.lner.info/locos/J/ner_1001.shtml
Weight taken from "The Locomotive", 14th of January 1928, p. 14
These were economical to run: see above website.</t>
  </si>
  <si>
    <t xml:space="preserve">trains\sdr-1001.dat</t>
  </si>
  <si>
    <t xml:space="preserve">ps-premier-covered</t>
  </si>
  <si>
    <t xml:space="preserve">PS Premier was not, in fact, ever covered;
but very similar boats were (e.g. "Sir Walter Raleigh")
of the Gravesend ferry circa 1854: see pp. 485-6 of
The London, Tilbury and Southend Railway (vol. 6) by
Peter Kay. The purpose of covering is to allow a first
class cabin.
20-30 minutes</t>
  </si>
  <si>
    <t xml:space="preserve">boats\ps-premier-covered.dat</t>
  </si>
  <si>
    <t xml:space="preserve">LNWR-small-bloomer</t>
  </si>
  <si>
    <t xml:space="preserve">trains\lnwr-small-bloomer.dat</t>
  </si>
  <si>
    <t xml:space="preserve">ChannelPaddleSteamerHull</t>
  </si>
  <si>
    <t xml:space="preserve">TODO: Reconfigure this based on historical values: most of these values are (probably) guessed.
40-60 minutes</t>
  </si>
  <si>
    <t xml:space="preserve">boats\channel-paddle-steamer.dat</t>
  </si>
  <si>
    <t xml:space="preserve">LargePassengerShip</t>
  </si>
  <si>
    <t xml:space="preserve">ChannelPaddleSteamerAddPax</t>
  </si>
  <si>
    <t xml:space="preserve">Pax</t>
  </si>
  <si>
    <t xml:space="preserve">boats\holds\channel-paddle-steamer-holds.dat</t>
  </si>
  <si>
    <t xml:space="preserve">ChannelPaddleSteamerAddMail</t>
  </si>
  <si>
    <t xml:space="preserve">ChannelPaddleSteamerAddBulk</t>
  </si>
  <si>
    <t xml:space="preserve">ChannelPaddleSteamerAddLong</t>
  </si>
  <si>
    <t xml:space="preserve">ChannelPaddleSteamerAddPiece</t>
  </si>
  <si>
    <t xml:space="preserve">ChannelPaddleSteamerAddCool</t>
  </si>
  <si>
    <t xml:space="preserve">ChannelPaddleSteamerAddLivestock</t>
  </si>
  <si>
    <t xml:space="preserve">LNWR-sharp-tank</t>
  </si>
  <si>
    <t xml:space="preserve">Approximately extrapolated (new system with heating surface area only, no firegrate area)
Calculated from data from Ahrons, p. 91
Loss factor set at 0.7, assumed 100lbs boiler pressure.
Weight not given in Ahrons, but taken from a similar type mentioned at p. 91.</t>
  </si>
  <si>
    <t xml:space="preserve">trains\lnwr-sharp-tank.dat</t>
  </si>
  <si>
    <t xml:space="preserve">LBSCR-croydon</t>
  </si>
  <si>
    <t xml:space="preserve">Extrapolated (old system: no firebox data for new system)
Tractive effort calculated using data from
http://www.steamindex.com/locotype/lbscrloc.htm
(These data are incomplete, partly guessed)
In reality, December 1854, but too short a run.
Weight not available. Guessed from contemporaneous types</t>
  </si>
  <si>
    <t xml:space="preserve">trains\lbscr-croydon.dat</t>
  </si>
  <si>
    <t xml:space="preserve">LBSCR-20ft-third</t>
  </si>
  <si>
    <t xml:space="preserve">Assume four aside in the thirds -
a better class of third class carriage
than the early 1850s examples with
outside frames.
Guessed</t>
  </si>
  <si>
    <t xml:space="preserve">trains\lbscr-20ft.dat</t>
  </si>
  <si>
    <t xml:space="preserve">LBSCR-20ft-first</t>
  </si>
  <si>
    <t xml:space="preserve">LBSCR-20ft-composite</t>
  </si>
  <si>
    <t xml:space="preserve">LBSCR-20ft-second</t>
  </si>
  <si>
    <t xml:space="preserve">LBSCR-20ft-brake-front</t>
  </si>
  <si>
    <t xml:space="preserve">A first/second composite</t>
  </si>
  <si>
    <t xml:space="preserve">LBSCR-20ft-brake-rear</t>
  </si>
  <si>
    <t xml:space="preserve">LBSCR-20ft-brake-third</t>
  </si>
  <si>
    <t xml:space="preserve">LBSCR-20ft-full-brake</t>
  </si>
  <si>
    <t xml:space="preserve">LBSCR-20ft-mail</t>
  </si>
  <si>
    <t xml:space="preserve">LongD1</t>
  </si>
  <si>
    <t xml:space="preserve">This is now mainly based on Highland Railway bolster wagons.
See "Highland Railway carriages and wagons" by Peter Tatlow p. 154 onwards.
See also (the original inspiration for this wagon)
http://www.lnwrs.org.uk/Wagons/open/Diag001.php
http://www.lnwrs.org.uk/Wagons/open/Diag001.php</t>
  </si>
  <si>
    <t xml:space="preserve">trains\wagon-long-d1.dat</t>
  </si>
  <si>
    <t xml:space="preserve">BulkRail</t>
  </si>
  <si>
    <t xml:space="preserve">Bulk8T</t>
  </si>
  <si>
    <t xml:space="preserve"># See "Highland Railway carriages and wagons" by Peter Tatlow p. 145 onwards.
http://www.lnwrs.org.uk/Wagons/coal/Diag053.php
?</t>
  </si>
  <si>
    <t xml:space="preserve">trains\wagon-bulk-8t.dat</t>
  </si>
  <si>
    <t xml:space="preserve">LBSCR-long-boiler-passenger</t>
  </si>
  <si>
    <t xml:space="preserve">Extrapolated (old system)
Tractive effort calculated using data from
http://www.steamindex.com/locotype/lbscrloc.htm
(These data are incomplete, partly guessed)
Weight not available. Guessed from contemporaneous types</t>
  </si>
  <si>
    <t xml:space="preserve">trains\lbscr-long-boiler-passenger.dat</t>
  </si>
  <si>
    <t xml:space="preserve">brake-7-5t</t>
  </si>
  <si>
    <t xml:space="preserve">These are based on the early Highland Railway
goods brake vans.
See "Highland Railway carriages and wagons" by Peter Tatlow pp. 178-9.</t>
  </si>
  <si>
    <t xml:space="preserve">trains\wagon-brake-7-5t.dat</t>
  </si>
  <si>
    <t xml:space="preserve">LBSCR-long-boiler-mixed</t>
  </si>
  <si>
    <t xml:space="preserve">Estimated
Tractive effort calculated using data from
http://www.steamindex.com/locotype/lbscrloc.htm
(These data are incomplete, partly guessed)
Weight not available. Guessed from contemporaneous types</t>
  </si>
  <si>
    <t xml:space="preserve">trains\lbscr-long-boiler-mixed.dat</t>
  </si>
  <si>
    <t xml:space="preserve">gnr-sturrock-coupled</t>
  </si>
  <si>
    <t xml:space="preserve">Extrapolated
P. 116 Ahrons
http://orion.math.iastate.edu/jdhsmith/term/slgbgnr.htm
Recorded as the "223" class. This is the exact number given
in the illustration in Ahrons.</t>
  </si>
  <si>
    <t xml:space="preserve">trains\gnr-sturrock-coupled.dat</t>
  </si>
  <si>
    <t xml:space="preserve">CoolD32</t>
  </si>
  <si>
    <t xml:space="preserve">http://www.lnwrs.org.uk/Wagons/vans/Diag032.php
http://www.lnwrs.org.uk/Wagons/vans/Diag032.php</t>
  </si>
  <si>
    <t xml:space="preserve">trains\wagon-cool-d32.dat</t>
  </si>
  <si>
    <t xml:space="preserve">LivestockD21</t>
  </si>
  <si>
    <t xml:space="preserve">http://www.lnwrs.org.uk/Wagons/cattle/Diag021.php
http://www.lnwrs.org.uk/Wagons/cattle/Diag021.php</t>
  </si>
  <si>
    <t xml:space="preserve">trains\wagon-livestock-d21.dat</t>
  </si>
  <si>
    <t xml:space="preserve">PieceD32</t>
  </si>
  <si>
    <t xml:space="preserve">trains\wagon-piece-d32.dat</t>
  </si>
  <si>
    <t xml:space="preserve">LBSCR-0-4-2T</t>
  </si>
  <si>
    <t xml:space="preserve">Estimated
Calculated from data in http://www.steamindex.com/locotype/lbscrloc.htm
with loss factor of 0.71
Weight not given in Ahrons, but guessed based on contemporaneous types.</t>
  </si>
  <si>
    <t xml:space="preserve">trains\lbscr-0-4-2t.dat</t>
  </si>
  <si>
    <t xml:space="preserve">MR-1</t>
  </si>
  <si>
    <t xml:space="preserve">Approximately extrapolated, given no heating surface data (old system)
Calculated from data from Ahrons, p. 113
Loss factor set at 0.7, assumed 120lbs boiler pressure.
Weight taken from Ahrons, p. 113</t>
  </si>
  <si>
    <t xml:space="preserve">trains\mr-1.dat</t>
  </si>
  <si>
    <t xml:space="preserve">ClydePufferBulk</t>
  </si>
  <si>
    <t xml:space="preserve">gear=1200
40-60 minutes</t>
  </si>
  <si>
    <t xml:space="preserve">boats\clyde-puffer.dat</t>
  </si>
  <si>
    <t xml:space="preserve">ClydePufferLong</t>
  </si>
  <si>
    <t xml:space="preserve">ClydePufferPiece</t>
  </si>
  <si>
    <t xml:space="preserve">ClydePufferCool</t>
  </si>
  <si>
    <t xml:space="preserve">ClydePufferLivestock</t>
  </si>
  <si>
    <t xml:space="preserve">ClydePufferOil</t>
  </si>
  <si>
    <t xml:space="preserve">LNWR-side-tank</t>
  </si>
  <si>
    <t xml:space="preserve">Estimated
Calculated from data from Ahrons, p. 121
Loss factor set at 0.7.
Weight not given in Ahrons, but guessed based on contemporaneous types.</t>
  </si>
  <si>
    <t xml:space="preserve">trains\lnwr-side-tank.dat</t>
  </si>
  <si>
    <t xml:space="preserve">EagleTrailerBulk</t>
  </si>
  <si>
    <t xml:space="preserve">bus\eagle-trailers.dat</t>
  </si>
  <si>
    <t xml:space="preserve">EarlyTrailer</t>
  </si>
  <si>
    <t xml:space="preserve">Trailer</t>
  </si>
  <si>
    <t xml:space="preserve">EagleTrailerLong</t>
  </si>
  <si>
    <t xml:space="preserve">EagleTrailerPiece</t>
  </si>
  <si>
    <t xml:space="preserve">EagleTrailerCool</t>
  </si>
  <si>
    <t xml:space="preserve">EagleTrailerLivestock</t>
  </si>
  <si>
    <t xml:space="preserve">EagleTrailerFluid</t>
  </si>
  <si>
    <t xml:space="preserve">LightRoadLocomotive</t>
  </si>
  <si>
    <t xml:space="preserve">bus\road-locomotives.dat</t>
  </si>
  <si>
    <t xml:space="preserve">TractionEngine</t>
  </si>
  <si>
    <t xml:space="preserve">SSGreatEastern</t>
  </si>
  <si>
    <t xml:space="preserve">gear=1200
2-3 hours</t>
  </si>
  <si>
    <t xml:space="preserve">boats\boats224\ss-great-eastern.dat</t>
  </si>
  <si>
    <t xml:space="preserve">SSGreatEasternAddMail</t>
  </si>
  <si>
    <t xml:space="preserve">LNWR-DXgoods-Tender</t>
  </si>
  <si>
    <t xml:space="preserve">trains\lnwr-DXgoods-tender.dat</t>
  </si>
  <si>
    <t xml:space="preserve">LNWR-DXgoods</t>
  </si>
  <si>
    <t xml:space="preserve">Extrapolated
Tractive effort as given by Ahrons, p. 123 - as calculated is lower.
Weight given by Ahrons, p. 123</t>
  </si>
  <si>
    <t xml:space="preserve">trains\lnwr-DXgoods.dat</t>
  </si>
  <si>
    <t xml:space="preserve">MR-1-tender</t>
  </si>
  <si>
    <t xml:space="preserve">LBSCR-small-goods</t>
  </si>
  <si>
    <t xml:space="preserve">Extrapolated
Tractive effort calculated using data from
http://www.steamindex.com/locotype/lbscrloc.htm
Weight not available. Guessed from contemporaneous types</t>
  </si>
  <si>
    <t xml:space="preserve">trains\lbscr-small-goods.dat</t>
  </si>
  <si>
    <t xml:space="preserve">LBSCR-West-End-tank</t>
  </si>
  <si>
    <t xml:space="preserve">NOTE: These are the 4-4-0 experimental types described by Ahrons pp. 120-1.
Estimated
Calculated from data in http://www.steamindex.com/locotype/lbscrloc.htm
with loss factor of 0.75
Weight not available, but guessed based on contemporaneous types.</t>
  </si>
  <si>
    <t xml:space="preserve">trains\lbscr-west-end-tank.dat</t>
  </si>
  <si>
    <t xml:space="preserve">4-wheel-1860s-first</t>
  </si>
  <si>
    <t xml:space="preserve">trains\4-wheel-1860s.dat</t>
  </si>
  <si>
    <t xml:space="preserve">PassengerRail</t>
  </si>
  <si>
    <t xml:space="preserve">4-wheel-1860s-second</t>
  </si>
  <si>
    <t xml:space="preserve">4-wheel-1860s-composite</t>
  </si>
  <si>
    <t xml:space="preserve">4-wheel-1860s</t>
  </si>
  <si>
    <t xml:space="preserve">Third</t>
  </si>
  <si>
    <t xml:space="preserve">4-wheel-1860s-brake-front</t>
  </si>
  <si>
    <t xml:space="preserve">4-wheel-1860s-brake-rear</t>
  </si>
  <si>
    <t xml:space="preserve">4-wheel-1860s-full-brake</t>
  </si>
  <si>
    <t xml:space="preserve">4-wheel-1860s-mail</t>
  </si>
  <si>
    <t xml:space="preserve">4-wheel-1860s-tpo</t>
  </si>
  <si>
    <t xml:space="preserve">4-wheel-1860s-fast-freight</t>
  </si>
  <si>
    <t xml:space="preserve">4-wheel-1860s-milk</t>
  </si>
  <si>
    <t xml:space="preserve">LNWR-Problem-Tender</t>
  </si>
  <si>
    <t xml:space="preserve">trains\lnwr-problem-tender.dat</t>
  </si>
  <si>
    <t xml:space="preserve">LNWR-Problem</t>
  </si>
  <si>
    <t xml:space="preserve">Attempt at calibration, but probably inaccurate, as load not known: see Ahrons p. 236
Max. speed given as 62mph with a train of unspecified load. Assuming 190t based on other loads in that table (p. 236 Ahrons).
Adjusted for a 1/364 falling gradient (-14Kw) (gradient guessed based on data on p. 231).
Calculated from data from Ahrons, pp. 144-5
Loss factor set at 0.75
Retire year should be 1865, but replacement not introduced until 1866.
Confirmed by Ahrons, p. 145
NOTE: These locomotives were rebuilt in 1895-1899 - see Aarons p. 145</t>
  </si>
  <si>
    <t xml:space="preserve">trains\lnwr-problem.dat</t>
  </si>
  <si>
    <t xml:space="preserve">gnr-sturrock-tender</t>
  </si>
  <si>
    <t xml:space="preserve">trains\gnr-sturrock-tender.dat</t>
  </si>
  <si>
    <t xml:space="preserve">tram-horse-irish-draught-single</t>
  </si>
  <si>
    <t xml:space="preserve">tram_track</t>
  </si>
  <si>
    <t xml:space="preserve">trams\tram-horse-irish-draught.dat</t>
  </si>
  <si>
    <t xml:space="preserve">tram-horse-irish-draught-double</t>
  </si>
  <si>
    <t xml:space="preserve">Max. speed given for Bristol horse tramways is 6mph:
http://en.wikipedia.org/wiki/File:Bristol_tram_model_arp.jpg</t>
  </si>
  <si>
    <t xml:space="preserve">tram-horse-shire-single</t>
  </si>
  <si>
    <t xml:space="preserve">trams\tram-horse-shire.dat</t>
  </si>
  <si>
    <t xml:space="preserve">tram-horse-shire-double</t>
  </si>
  <si>
    <t xml:space="preserve">tram-horse-clydesdale-single</t>
  </si>
  <si>
    <t xml:space="preserve">trams\tram-horse-clydesdale.dat</t>
  </si>
  <si>
    <t xml:space="preserve">tram-horse-clydesdale-double</t>
  </si>
  <si>
    <t xml:space="preserve">ClydeSteamer</t>
  </si>
  <si>
    <t xml:space="preserve">It is not clear which specific ship that this is supposed to represent,
but the style suggests that it is a 20th century vessel.
20-30 minutes</t>
  </si>
  <si>
    <t xml:space="preserve">boats\clyde-steamer.dat</t>
  </si>
  <si>
    <t xml:space="preserve">Coal1860</t>
  </si>
  <si>
    <t xml:space="preserve">gnr-sturrock-single</t>
  </si>
  <si>
    <t xml:space="preserve">Extrapolated
http://orion.math.iastate.edu/jdhsmith/term/slgbgnr.htm
Recorded here as the "229"</t>
  </si>
  <si>
    <t xml:space="preserve">trains\gnr-sturrock-single.dat</t>
  </si>
  <si>
    <t xml:space="preserve">Medium-2-Deck-Trailer</t>
  </si>
  <si>
    <t xml:space="preserve">trams\medium-2-deck-trailer.dat</t>
  </si>
  <si>
    <t xml:space="preserve">Tram</t>
  </si>
  <si>
    <t xml:space="preserve">1-Deck-Trailer</t>
  </si>
  <si>
    <t xml:space="preserve">trams\1-deck-trailer.dat</t>
  </si>
  <si>
    <t xml:space="preserve">LNWR-mcconnell-large-single</t>
  </si>
  <si>
    <t xml:space="preserve">Extrapolated
Weight given by Ahrons, p. 145</t>
  </si>
  <si>
    <t xml:space="preserve">trains\lnwr-mcconnell-large-single.dat</t>
  </si>
  <si>
    <t xml:space="preserve">LBSCR-standard-passenger</t>
  </si>
  <si>
    <t xml:space="preserve">trains\lbscr-standard-passenger.dat</t>
  </si>
  <si>
    <t xml:space="preserve">LNWR-McConnell-tank</t>
  </si>
  <si>
    <t xml:space="preserve">Approximately extrapolated. Heating surface area and fire grate area estimated.
Calculated from data from Ahrons, p. 151
Loss factor set at 0.72, assumed 120lbs boiler pressure.
Weight not given in Ahrons, but guessed based on contemporaneous types.</t>
  </si>
  <si>
    <t xml:space="preserve">trains\lnwr-mcconnell-tank.dat</t>
  </si>
  <si>
    <t xml:space="preserve">met-ashbury-1863-third-unfitted</t>
  </si>
  <si>
    <t xml:space="preserve">london-underground\met-ashbury-1863.dat</t>
  </si>
  <si>
    <t xml:space="preserve">met-ashbury-1863-composite-unfitted</t>
  </si>
  <si>
    <t xml:space="preserve">met-ashbury-1863-first-unfitted</t>
  </si>
  <si>
    <t xml:space="preserve">met-ashbury-1863-brake-front-unfitted</t>
  </si>
  <si>
    <t xml:space="preserve">met-ashbury-1863-brake-rear-unfitted</t>
  </si>
  <si>
    <t xml:space="preserve">LBSCR-standard-goods</t>
  </si>
  <si>
    <t xml:space="preserve">LNWR-Sampson</t>
  </si>
  <si>
    <t xml:space="preserve">Data based on the LNWR Newton class,
adjusted for 6'0 driving wheels.
Dates from: http://www.lnwrs.org.uk/Glossary/locoClasss.php
Extrapolated</t>
  </si>
  <si>
    <t xml:space="preserve">trains\lnwr-sampson.dat</t>
  </si>
  <si>
    <t xml:space="preserve">LNWR-Sampson-Tender</t>
  </si>
  <si>
    <t xml:space="preserve">FR-Small-Birmingham-unfitted</t>
  </si>
  <si>
    <t xml:space="preserve">These are the "Small Birminghams" or "Bugboxes".
See: http://www.festipedia.org.uk/wiki/Bug_Boxes</t>
  </si>
  <si>
    <t xml:space="preserve">narrowgauge\fr-small-birmingham.dat</t>
  </si>
  <si>
    <t xml:space="preserve">George-England</t>
  </si>
  <si>
    <t xml:space="preserve">http://www.festipedia.org.uk/wiki/Palmerston
http://www.festipedia.org.uk/wiki/England_Engines
CALIBRATED (but adjusted) based on 10mph speed hauling 30 ton trains up a 1:80 gradient: see the Festipedia link above.
Calibration gives a power of 8, but this is clearly too low in practice.
Calculated from values from "Ffestiniog &amp; Welsh Highland Railways - illustrated stock list" (2011 ed.) p. 20
Functional rather than historical: for introduction of single Fairlie
http://www.festipedia.org.uk/wiki/Princess</t>
  </si>
  <si>
    <t xml:space="preserve">narrowgauge\george-england.dat</t>
  </si>
  <si>
    <t xml:space="preserve">Coal1880</t>
  </si>
  <si>
    <t xml:space="preserve">George-England-tender</t>
  </si>
  <si>
    <t xml:space="preserve">gear=200
Functional rather than historical: for introduction of single Fairlie</t>
  </si>
  <si>
    <t xml:space="preserve">LBSCR-Crystal-Palace-tank</t>
  </si>
  <si>
    <t xml:space="preserve">Extrapolated
Calculated from data in http://www.steamindex.com/locotype/lbscrloc.htm
with loss factor of 0.75
Weight not available, but guessed based on contemporaneous types.
Axle load must be 14, as anything higher would not work on contemporary track.</t>
  </si>
  <si>
    <t xml:space="preserve">trains\lbscr-crystal-palace-tank.dat</t>
  </si>
  <si>
    <t xml:space="preserve">MR-480</t>
  </si>
  <si>
    <t xml:space="preserve">Extrapolated
Calculated from data from Ahrons, p. 158
Loss factor set at 0.75
Weight not given by Ahrons, p. 158</t>
  </si>
  <si>
    <t xml:space="preserve">trains\mr-480.dat</t>
  </si>
  <si>
    <t xml:space="preserve">MR-Kirtley156Tender</t>
  </si>
  <si>
    <t xml:space="preserve">trains\mr-156-tender.dat</t>
  </si>
  <si>
    <t xml:space="preserve">SeineNetterSteam</t>
  </si>
  <si>
    <t xml:space="preserve">gear=1200
1-2 hours</t>
  </si>
  <si>
    <t xml:space="preserve">boats\seine-netter.dat</t>
  </si>
  <si>
    <t xml:space="preserve">MR-27</t>
  </si>
  <si>
    <t xml:space="preserve">Extrapolated
Calculated from data from Ahrons, p. 145
Loss factor set at 0.75, at 140lbs boiler pressure.
Actual retire year 1866, but advanced as no other contemporary singles.
Weight not available in Ahrons - guessed from contemporaneous types - see Ahrons p. 145 (table)</t>
  </si>
  <si>
    <t xml:space="preserve">trains\mr-27.dat</t>
  </si>
  <si>
    <t xml:space="preserve">Metropolitan-A-Class</t>
  </si>
  <si>
    <t xml:space="preserve">http://basilicafields.wordpress.com/2010/03/22/metropoliatn-4-4-0t/
Mainly used by the Met, but also used by the LNWR, MR and LSWR: Ahrons p. 156
Extrapolated: see data here: http://orion.math.iastate.edu/jdhsmith/term/slgbmet.htm
Tractive effort calculated using figures from http://orion.math.iastate.edu/jdhsmith/term/slgbmet.htm. Loss factor: 0.7
Weight taken from Ahrons, p. 155
This should be 15.5, but no tracks that can take this available contemporaneously.
TODO: Add LSWR and SECR liveries for this.</t>
  </si>
  <si>
    <t xml:space="preserve">london-underground\met-a-class.dat</t>
  </si>
  <si>
    <t xml:space="preserve">LBSCR-small-single</t>
  </si>
  <si>
    <t xml:space="preserve">Extrapolated
Tractive effort calculated using data from
http://www.steamindex.com/locotype/lbscrloc.htm
Actually November 1866, but this is too short a run.
Weight not available. Guessed from contemporaneous types</t>
  </si>
  <si>
    <t xml:space="preserve">trains\lbscr-small-single.dat</t>
  </si>
  <si>
    <t xml:space="preserve">LBSCR-6ft-6-single</t>
  </si>
  <si>
    <t xml:space="preserve">trains\lbscr-6ft-6-single.dat</t>
  </si>
  <si>
    <t xml:space="preserve">milk-van</t>
  </si>
  <si>
    <t xml:space="preserve">Passenger rated milk/food van</t>
  </si>
  <si>
    <t xml:space="preserve">trains\milk-van.dat</t>
  </si>
  <si>
    <t xml:space="preserve">PSChevalierMail</t>
  </si>
  <si>
    <t xml:space="preserve">MR-Kirtley156</t>
  </si>
  <si>
    <t xml:space="preserve">Extrapolated
Calculated from data from Ahrons, p. 170
Loss factor set at 0.75
Weight given in Ahrons, p. 170</t>
  </si>
  <si>
    <t xml:space="preserve">trains\mr-156.dat</t>
  </si>
  <si>
    <t xml:space="preserve">PSChevalier</t>
  </si>
  <si>
    <t xml:space="preserve">http://www.dalmadan.com/?p=1240
30-45 minutes</t>
  </si>
  <si>
    <t xml:space="preserve">boats\ps-chevalier.dat</t>
  </si>
  <si>
    <t xml:space="preserve">LNWR-Newton</t>
  </si>
  <si>
    <t xml:space="preserve">Extrapolated
Calculated from data on Ahrons p. 169
Loss factor 0.75
Weight obtained from Ahrons p. 169</t>
  </si>
  <si>
    <t xml:space="preserve">trains\lnwr-newton.dat</t>
  </si>
  <si>
    <t xml:space="preserve">LNWR-Newton-Tender</t>
  </si>
  <si>
    <t xml:space="preserve">LBSCR-craven-third</t>
  </si>
  <si>
    <t xml:space="preserve">See http://www.5and9models.co.uk/coaches.html
These are assumed to be five a side seating.
Five compartments</t>
  </si>
  <si>
    <t xml:space="preserve">trains\lbscr-4wheel-craven.dat</t>
  </si>
  <si>
    <t xml:space="preserve">LBSCR-craven-second</t>
  </si>
  <si>
    <t xml:space="preserve">Four compartments</t>
  </si>
  <si>
    <t xml:space="preserve">LBSCR-craven-brake-front</t>
  </si>
  <si>
    <t xml:space="preserve">LBSCR-craven-brake-rear</t>
  </si>
  <si>
    <t xml:space="preserve">LBSCR-craven-full-brake</t>
  </si>
  <si>
    <t xml:space="preserve">LBSCR-craven-mail</t>
  </si>
  <si>
    <t xml:space="preserve">IronRiverSteamer</t>
  </si>
  <si>
    <t xml:space="preserve">boats\iron-river-steamer.dat</t>
  </si>
  <si>
    <t xml:space="preserve">gnr-a-class</t>
  </si>
  <si>
    <t xml:space="preserve">See Ahrons pp. 171-2
Mixed traffic engine
Extrapolated
Weight taken from Ahrons, p. 172</t>
  </si>
  <si>
    <t xml:space="preserve">trains\gnr-a-class.dat</t>
  </si>
  <si>
    <t xml:space="preserve">gnr-h-class</t>
  </si>
  <si>
    <t xml:space="preserve">See Ahrons p. 169
Extrapolated
http://orion.math.iastate.edu/jdhsmith/term/slgbgnr.htm</t>
  </si>
  <si>
    <t xml:space="preserve">trains\gnr-h-class.dat</t>
  </si>
  <si>
    <t xml:space="preserve">Metropolitan-Burnett-Tank</t>
  </si>
  <si>
    <t xml:space="preserve">See Ahrons p. 174
Extrapolated
Tractive effort calculated using figures from Ahrons, p. 174. Loss factor: 0.7
Note: This is based on the specifications in the state as modified by the Taff Vale,
or else the tractive effort is exceptionally high.
Weight taken from Ahrons, p. 174
Should be 15, but this is too heavy for all tracks of this era.
axles=3
These were uneconomical: Ahrons, p. 174</t>
  </si>
  <si>
    <t xml:space="preserve">london-underground\met-burnett-tank.dat</t>
  </si>
  <si>
    <t xml:space="preserve">GNR-Stirling7Foot</t>
  </si>
  <si>
    <t xml:space="preserve">Ahrons p. 168
Extrapolated
http://orion.math.iastate.edu/jdhsmith/term/slgbgnr.htm
Recorded here as the "B" class</t>
  </si>
  <si>
    <t xml:space="preserve">trains\gnr-stirling-7foot.dat</t>
  </si>
  <si>
    <t xml:space="preserve">omnibus-double-knifeboard-later</t>
  </si>
  <si>
    <t xml:space="preserve">http://www.gail-thornton.co.uk/public-vehicles/omnibus.php
http://www.ltmcollection.org/museum/object/link.html?_IXMAXHITS_=1&amp;IXinv=1981/525&amp;IXexpand=service
https://www.delcampe.net/en_GB/collectables/postcards/buses-coaches/knifeboard-horse-omnibus-thomas-tilling-h374-123100423.html
http://farm6.static.flickr.com/5491/10867284713_de7cc7fcc4.jpg
http://www.londonbusmuseum.com/museum-exhibits/double-deck-buses/knife-board-horse-bus/
This is the later type with the proper staircase
Rear platform with conductor: 2.0 seconds per passenger</t>
  </si>
  <si>
    <t xml:space="preserve">bus\omnibus-double-knifeboard-later.dat</t>
  </si>
  <si>
    <t xml:space="preserve">FR-Ashbury-unfitted</t>
  </si>
  <si>
    <t xml:space="preserve">See: http://www.festipedia.org.uk/wiki/Carriage_10
Assumed four per side, which is probably about right for third class
at a squeeze in the 1860s. The modern Ffestiniog rates these as three
per side, giving 12 seats, but this is less than the small Birmingham.</t>
  </si>
  <si>
    <t xml:space="preserve">narrowgauge\fr-ashbury.dat</t>
  </si>
  <si>
    <t xml:space="preserve">GWR-517Tank</t>
  </si>
  <si>
    <t xml:space="preserve">Extrapolated
Data from: http://en.wikipedia.org/wiki/GWR_517_Class</t>
  </si>
  <si>
    <t xml:space="preserve">trains\gwr-517.dat</t>
  </si>
  <si>
    <t xml:space="preserve">LBSCR-victoria</t>
  </si>
  <si>
    <t xml:space="preserve">trains\lbscr-victoria.dat</t>
  </si>
  <si>
    <t xml:space="preserve">LBSCR-light-tank</t>
  </si>
  <si>
    <t xml:space="preserve">"Kemp Town" tank
Extrapolated
Calculated from data obtained from http://www.steamindex.com/locotype/lbscrloc.htm
Not available; guessed from contemporaneous types</t>
  </si>
  <si>
    <t xml:space="preserve">trains\lbscr-light-tank.dat</t>
  </si>
  <si>
    <t xml:space="preserve">district-4-wheel-third-unfitted</t>
  </si>
  <si>
    <t xml:space="preserve">london-underground\district-4-wheel.dat</t>
  </si>
  <si>
    <t xml:space="preserve">district-4-wheel-brake-front-unfitted</t>
  </si>
  <si>
    <t xml:space="preserve">district-4-wheel-brake-rear-unfitted</t>
  </si>
  <si>
    <t xml:space="preserve">MR-700</t>
  </si>
  <si>
    <t xml:space="preserve">Extrapolated
Calculated from data from Ahrons, p. 202
Loss factor set at 0.75
Weight given by Ahrons, p. 202</t>
  </si>
  <si>
    <t xml:space="preserve">trains\mr-700.dat</t>
  </si>
  <si>
    <t xml:space="preserve">MR-690</t>
  </si>
  <si>
    <t xml:space="preserve">Not in Ahrons. See:
http://chasewaterstuff.wordpress.com/2011/03/01/steam-locos-of-a-more-leisurely-era-midland-railway-locomotives-1869-kirtley-0-4-4t/
Note: mostly indistinguishable from related 780 class
Calculated from data from data at above website.
Loss factor set at 0.75
Guessed based on Johnson tanks</t>
  </si>
  <si>
    <t xml:space="preserve">trains\mr-690.dat</t>
  </si>
  <si>
    <t xml:space="preserve">ClydeCargoSteamerHull</t>
  </si>
  <si>
    <t xml:space="preserve">boats\clyde-cargo-steamer.dat</t>
  </si>
  <si>
    <t xml:space="preserve">ClydeCargoSteamerAddMail</t>
  </si>
  <si>
    <t xml:space="preserve">See http://www.gjenvick.com/SteamshipArticles/ShipTonnage/1920-CargoAndCarryingCapacity.html#axzz37TvMXPau for capacities
2-3 hours</t>
  </si>
  <si>
    <t xml:space="preserve">boats\holds\clyde-cargo-steamer-holds.dat</t>
  </si>
  <si>
    <t xml:space="preserve">ClydeCargoSteamerAddBulk</t>
  </si>
  <si>
    <t xml:space="preserve">ClydeCargoSteamerAddLong</t>
  </si>
  <si>
    <t xml:space="preserve">ClydeCargoSteamerAddPiece</t>
  </si>
  <si>
    <t xml:space="preserve">ClydeCargoSteamerAddCool</t>
  </si>
  <si>
    <t xml:space="preserve">ClydeCargoSteamerAddLivestock</t>
  </si>
  <si>
    <t xml:space="preserve">4-wheel-sub-1870s-unfitted</t>
  </si>
  <si>
    <t xml:space="preserve">These are the 5 compartment high density (suburban) versions
of the carriages in 4-wheel-1870s.dat. The 1870s were the
first decade in which railway carriages were specifically
built either for long-distance or suburban use.
These carriages come in fitted and unfitted varieties, as they
span the 1870s, the period in which continuous brakes were
introduced. Fitted vehicles must be coupled to other fitted
vehicles of the same brake type (so LBSCR fitted vehicles,
which used the Westinghouse brake, cannot be coupled to
vacuum fitted vehicles).
Third class
Lower loading time for suburban vehicles as passengers have no luggage.</t>
  </si>
  <si>
    <t xml:space="preserve">trains\4-wheel-1870s-sub.dat</t>
  </si>
  <si>
    <t xml:space="preserve">4-wheel-sub-1870s-unfitted-composite</t>
  </si>
  <si>
    <t xml:space="preserve">Composite (1st/2nd class)
Lower loading time for suburban vehicles as passengers have no luggage.</t>
  </si>
  <si>
    <t xml:space="preserve">4-wheel-sub-1870s-brake-front-unfitted</t>
  </si>
  <si>
    <t xml:space="preserve">4-wheel-sub-1870s-brake-rear-unfitted</t>
  </si>
  <si>
    <t xml:space="preserve">4-wheel-1870s-unfitted</t>
  </si>
  <si>
    <t xml:space="preserve">This replaces all of the original MR/MSLR/GNR 4 wheel carriages
with MR and LNWR liveried versions. These are the long distance
carriages - the suburbans are in a different set.
The LNWR livery of the non-brake version of this carriage was
originally based on an MSLR carriage (and was called the
"MSLR 4 weel composite" in earlier versions). See here:
http://www.vintagecarriagestrust.org/MS&amp;L.htm
These carriages come in fitted and unfitted varieties, as they
span the 1870s, the period in which continuous brakes were
introduced. Unfitted vehicles can run with older carriages,
whereas fitted vehicles can run with newer carriages.
A perid of grace is needed where both can be built to avoid
problems for those who need to couple to unfitted sets.
Composite</t>
  </si>
  <si>
    <t xml:space="preserve">trains\4wheel-1870s.dat</t>
  </si>
  <si>
    <t xml:space="preserve">4-wheel-1870s-luggage-third-unfitted</t>
  </si>
  <si>
    <t xml:space="preserve">4-wheel-1870s-tricomposite-unfitted</t>
  </si>
  <si>
    <t xml:space="preserve">4-wheel-1870s-brake-unfitted</t>
  </si>
  <si>
    <t xml:space="preserve">4-wheel-1870s-mail-unfitted</t>
  </si>
  <si>
    <t xml:space="preserve">4-wheel-1870s-tpo-unfitted</t>
  </si>
  <si>
    <t xml:space="preserve">4-wheel-1870s-fast-freight-unfitted</t>
  </si>
  <si>
    <t xml:space="preserve">4-wheel-1870s-milk-unfitted</t>
  </si>
  <si>
    <t xml:space="preserve">MR-800</t>
  </si>
  <si>
    <t xml:space="preserve">Calculated from data from Ahrons, p. 189
Loss factor set at 0.76
Ahrons at p. 233 gives the max. speed as 47mph with a train of 202 tons (278 gross)
This was on the flat. This is average, not top, speed, so is too low for calibration purposes.
Therefore, extrapolated.
Weight given by Ahrons, p. 189</t>
  </si>
  <si>
    <t xml:space="preserve">trains\mr-800.dat</t>
  </si>
  <si>
    <t xml:space="preserve">GNR-Stirling8Foot-Tender</t>
  </si>
  <si>
    <t xml:space="preserve">trains\gnr-stirling-8foot-tender.dat</t>
  </si>
  <si>
    <t xml:space="preserve">GNR-Stirling8Foot</t>
  </si>
  <si>
    <t xml:space="preserve">CALIBRATED: see http://en.wikipedia.org/wiki/GNR_Stirling_4-2-2
Max. speed given as 50mph with a train of 275 tons (343 gross)
Assumed to be on the flat. This is average, not top, speed, so might
be too low.
Calculated from information on http://en.wikipedia.org/wiki/GNR_Stirling_4-2-2
Loss factor set at 0.75
http://en.wikipedia.org/wiki/GNR_Stirling_4-2-2
Ahrons p. 186</t>
  </si>
  <si>
    <t xml:space="preserve">trains\gnr-stirling-8foot.dat</t>
  </si>
  <si>
    <t xml:space="preserve">LBSCR-C</t>
  </si>
  <si>
    <t xml:space="preserve">Extrapolated
Tractive effort taken from:
http://en.wikipedia.org/wiki/LB%26SCR_C_class
See also Ahrons p. 203
Weight given on Ahrons, p. 203</t>
  </si>
  <si>
    <t xml:space="preserve">trains\lbscr-c.dat</t>
  </si>
  <si>
    <t xml:space="preserve">LBSCR-C-tender</t>
  </si>
  <si>
    <t xml:space="preserve">LBSCR-B1-Gladstone-Tender</t>
  </si>
  <si>
    <t xml:space="preserve">trains\lbscr-b1-gladstone-tender.dat</t>
  </si>
  <si>
    <t xml:space="preserve">LBSCR-A1</t>
  </si>
  <si>
    <t xml:space="preserve">Extrapolated
http://orion.math.iastate.edu/jdhsmith/term/slgblbsc.htm
See also Ahrons p. 202
http://www.smileatyou.com/1/5/96/46/1-5-96-46-1.html</t>
  </si>
  <si>
    <t xml:space="preserve">trains\lbscr-a1.dat</t>
  </si>
  <si>
    <t xml:space="preserve">LBSCR-Belgravia</t>
  </si>
  <si>
    <t xml:space="preserve">Extrapolated
Tractive calculated using data from
http://en.wikipedia.org/wiki/LB%26SCR_Belgravia_class
See Ahrons p. 191</t>
  </si>
  <si>
    <t xml:space="preserve">trains\lbscr-belgravia.dat</t>
  </si>
  <si>
    <t xml:space="preserve">LBSCR-Belgravia-tender</t>
  </si>
  <si>
    <t xml:space="preserve">LBSCR-4Wheel-full-brake</t>
  </si>
  <si>
    <t xml:space="preserve">http://www.lbscr.org/coaches/Stroudley/brakes.html#D46</t>
  </si>
  <si>
    <t xml:space="preserve">trains\lbscr-4wheel-full-brake.dat</t>
  </si>
  <si>
    <t xml:space="preserve">LBSCR-4Wheel-Second</t>
  </si>
  <si>
    <t xml:space="preserve">See http://basilicafields.wordpress.com/2010/12/19/lbscr-carriages
http://www.bluebellrailway.co.uk/bluebell/pic2/328.html
Five compartments (but compartment capacity as a third)
http://www.lbscr.org/coaches/Stroudley/thirds.html</t>
  </si>
  <si>
    <t xml:space="preserve">trains\lbscr-4wheel-second.dat</t>
  </si>
  <si>
    <t xml:space="preserve">LBSCR-4Wheel-First</t>
  </si>
  <si>
    <t xml:space="preserve">See http://basilicafields.wordpress.com/2010/12/19/lbscr-carriages
Four compartments (but compartment capacity as a third)
http://www.lbscr.org/coaches/Stroudley/firsts.html</t>
  </si>
  <si>
    <t xml:space="preserve">trains\lbscr-4wheel-first.dat</t>
  </si>
  <si>
    <t xml:space="preserve">LBSCR-4Wheel-Brake-front</t>
  </si>
  <si>
    <t xml:space="preserve">http://www.lbscr.org/coaches/Stroudley/thirds.html#D34</t>
  </si>
  <si>
    <t xml:space="preserve">trains\lbscr-4wheel-brake.dat</t>
  </si>
  <si>
    <t xml:space="preserve">LBSCR-4Wheel-Brake-rear</t>
  </si>
  <si>
    <t xml:space="preserve">http://www.lbscr.org/coaches/Stroudley/thirds.html#D34
*** FITTED VEHICLES HEREINAFTER ***</t>
  </si>
  <si>
    <t xml:space="preserve">DoubleFairlie</t>
  </si>
  <si>
    <t xml:space="preserve">http://www.festipedia.org.uk/wiki/Double_Fairlie
CALIBRATED: see http://www.festipedia.org.uk/wiki/Little_Wonder
Speed given as 13mph with a train of 210 tons (254 gross)
1/189 rising gradient: (+8Kw). This is average, not top, speed, so might
be too low.
http://www.ffestiniograilway.co.uk/locos/merddinemrys.htm
Functional rather than historical: for introduction of superheated version.
http://www.ffestiniograilway.co.uk/locos/merddinemrys.htm</t>
  </si>
  <si>
    <t xml:space="preserve">narrowgauge\double-fairlie.dat</t>
  </si>
  <si>
    <t xml:space="preserve">FR-bogie-unfitted</t>
  </si>
  <si>
    <t xml:space="preserve">See: http://www.festipedia.org.uk/wiki/Carriage_15</t>
  </si>
  <si>
    <t xml:space="preserve">narrowgauge\fr-bogie.dat</t>
  </si>
  <si>
    <t xml:space="preserve">FR-bogie-van-unfitted</t>
  </si>
  <si>
    <t xml:space="preserve">See: http://www.festipedia.org.uk/wiki/Van_1</t>
  </si>
  <si>
    <t xml:space="preserve">narrowgauge\fr-bogie-van.dat</t>
  </si>
  <si>
    <t xml:space="preserve">LNWR-6wheel-radial</t>
  </si>
  <si>
    <t xml:space="preserve">The introduction date for these vehicles is unclear.
These are the 32' designs to which Jenkinson (LNWR)
refers. Millard (p. 5) suggests that these were
introduced in the "early 1880s", and refers to earlier
30'0" 6 wheel carriages from the 1870s.
Weights are not available, but these are wooden framed
vehicles, unlike the 30'1" carriages, which had steel
underframes.
D296 - see Jenkinson (LNWR) p. 110</t>
  </si>
  <si>
    <t xml:space="preserve">trains\lnwr-6wheel-radials.dat</t>
  </si>
  <si>
    <t xml:space="preserve">LNWR-6wheel-radial-brake-third</t>
  </si>
  <si>
    <t xml:space="preserve">D356 - see Jenkinson (LNWR) p. 110</t>
  </si>
  <si>
    <t xml:space="preserve">LNWR-6wheel-radial-full-brake</t>
  </si>
  <si>
    <t xml:space="preserve">LNWR-6wheel-radial-mail</t>
  </si>
  <si>
    <t xml:space="preserve">LNWR-6wheel-radial-tpo</t>
  </si>
  <si>
    <t xml:space="preserve">LNWR-17in-coal-engine</t>
  </si>
  <si>
    <t xml:space="preserve">Extrapolated
http://en.wikipedia.org/wiki/LNWR_17in_Coal_Engine
http://en.wikipedia.org/wiki/LNWR_17in_Coal_Engine</t>
  </si>
  <si>
    <t xml:space="preserve">trains\lnwr-17in-coal-engine.dat</t>
  </si>
  <si>
    <t xml:space="preserve">LNWR-Cauliflower-tender</t>
  </si>
  <si>
    <t xml:space="preserve">trains\lnwr-cauliflower.dat</t>
  </si>
  <si>
    <t xml:space="preserve">LBSCR-D1</t>
  </si>
  <si>
    <t xml:space="preserve">Extrapolated
Tractive effort taken from:
http://www.semgonline.com/steam/d1%28lbsc%29_class_dat.html
(Wikipedia seemed unreliable on this locomotive)
Extended to match introduction date of D3, as is otherwise a gap in
LBSCR suburban locomotives.
Weight taken from:
http://www.semgonline.com/steam/d1%28lbsc%29_class_dat.html
(Wikipedia seemed unreliable on this locomotive)</t>
  </si>
  <si>
    <t xml:space="preserve">trains\lbscr-d1.dat</t>
  </si>
  <si>
    <t xml:space="preserve">LBSCR-G</t>
  </si>
  <si>
    <t xml:space="preserve">Extrapolated
Tractive calculated using data from
http://en.wikipedia.org/wiki/LB%26SCR_G_class
Weight and axle load taken from:
http://en.wikipedia.org/wiki/LB%26SCR_G_class</t>
  </si>
  <si>
    <t xml:space="preserve">trains\lbscr-g.dat</t>
  </si>
  <si>
    <t xml:space="preserve">LNWR-Precedent-Tender</t>
  </si>
  <si>
    <t xml:space="preserve">trains\lnwr-precedent.dat</t>
  </si>
  <si>
    <t xml:space="preserve">LNWR-precursor-webb</t>
  </si>
  <si>
    <t xml:space="preserve">Extrapolated.</t>
  </si>
  <si>
    <t xml:space="preserve">trains\lnwr-precursor-webb.dat</t>
  </si>
  <si>
    <t xml:space="preserve">Small-2-Deck-Trailer</t>
  </si>
  <si>
    <t xml:space="preserve">These are lightweight trailers which could be built only after 1873 or so
following the introduction of steel, as opposed to rubber springs:
see Gladwin, "A History of the Britsh Steam Tram", vol. 3 p. 170.</t>
  </si>
  <si>
    <t xml:space="preserve">trams\small-2-deck-trailer.dat</t>
  </si>
  <si>
    <t xml:space="preserve">gnr-h2-class</t>
  </si>
  <si>
    <t xml:space="preserve">See Ahrons p. 169
Extrapolated
Calculated from data at http://orion.math.iastate.edu/jdhsmith/term/slgbgnr.htm
with a loss factor of 0.8
http://orion.math.iastate.edu/jdhsmith/term/slgbgnr.htm</t>
  </si>
  <si>
    <t xml:space="preserve">trains\gnr-h2.dat</t>
  </si>
  <si>
    <t xml:space="preserve">MR-clayton-8wheel-clerestory-third</t>
  </si>
  <si>
    <t xml:space="preserve">45ft
See Hamilton Ellis p. 74/5</t>
  </si>
  <si>
    <t xml:space="preserve">trains\mr-43ft-clerestory-carriages.dat</t>
  </si>
  <si>
    <t xml:space="preserve">MR-clayton-8wheel-clerestory-brake-front</t>
  </si>
  <si>
    <t xml:space="preserve">MR-clayton-8wheel-clerestory-brake-rear</t>
  </si>
  <si>
    <t xml:space="preserve">LBSCR-E1</t>
  </si>
  <si>
    <t xml:space="preserve">Extrapolated
Tractive effort taken from:
http://en.wikipedia.org/wiki/LB%26SCR_E1_class
Weight taken from:
http://en.wikipedia.org/wiki/LB%26SCR_E1_class</t>
  </si>
  <si>
    <t xml:space="preserve">trains\lbscr-e1.dat</t>
  </si>
  <si>
    <t xml:space="preserve">LNWR-Precedent</t>
  </si>
  <si>
    <t xml:space="preserve">Extrapolated.
Calibrating with data at p. 235 Ahrons (Newark brake trials)
gives too low a number (153kW):
Max. speed given as 50.7mph with a train of 241t (gross)
On the level. Too low probably because train did not have
enough time to reach max. speed.
Tractive effort calculated from data on Ahrons p. 192
Loss factor 0.8</t>
  </si>
  <si>
    <t xml:space="preserve">MR-6Wheel-non-lav</t>
  </si>
  <si>
    <t xml:space="preserve">These are the 1870s 6 wheelers previously scattered about different files.
Clayton design.
See Hamilton Ellis p. 115 for introduction date for 6-wheelers
34ft: http://www.vintagecarriagestrust.org/Midland.htm
The weight of 15.2t suggested here: http://www.vintagecarriagestrust.org/Midland.htm
is probably wrong. 12-13t is more likely to be accurate for a vehicle of 1875 vintage.
Otherwise, the tons per passenger is higher than for bogie stock of this era.</t>
  </si>
  <si>
    <t xml:space="preserve">trains\mr-34ft-arc-carriages.dat</t>
  </si>
  <si>
    <t xml:space="preserve">MR-6Wheel-brake-front</t>
  </si>
  <si>
    <t xml:space="preserve">See Hamilton Ellis p. 115 for introduction date for 6-wheelers</t>
  </si>
  <si>
    <t xml:space="preserve">MR-6Wheel-brake-rear</t>
  </si>
  <si>
    <t xml:space="preserve">MR-1833</t>
  </si>
  <si>
    <t xml:space="preserve">http://www.railpictures.net/viewphoto.php?id=268752&amp;nseq=27
Extrapolated
Calculated from data on Ahrons p. 201.
Loss factor set at 0.8</t>
  </si>
  <si>
    <t xml:space="preserve">trains\mr-1833.dat</t>
  </si>
  <si>
    <t xml:space="preserve">LBSCR-4Wheel-full-brake-fitted</t>
  </si>
  <si>
    <t xml:space="preserve">merryweather-standard-1</t>
  </si>
  <si>
    <t xml:space="preserve">See Gladwin (vol. 1) p. 79
Extrapolated (based on estimated figures)</t>
  </si>
  <si>
    <t xml:space="preserve">trams\merryweather-standard-1.dat</t>
  </si>
  <si>
    <t xml:space="preserve">LBSCR-4Wheel-Second-fitted</t>
  </si>
  <si>
    <t xml:space="preserve">http://www.lbscr.org/coaches/Stroudley/thirds.html</t>
  </si>
  <si>
    <t xml:space="preserve">LBSCR-4Wheel-First-fitted</t>
  </si>
  <si>
    <t xml:space="preserve">The fitted vehicles use the Westinghouse air brake
They therefore have better brake force than contemporaries,
but are more expensive.
http://www.lbscr.org/coaches/Stroudley/firsts.html</t>
  </si>
  <si>
    <t xml:space="preserve">LBSCR-4Wheel-Brake-front-fitted</t>
  </si>
  <si>
    <t xml:space="preserve">LBSCR-4Wheel-Brake-rear-fitted</t>
  </si>
  <si>
    <t xml:space="preserve">MR-clayton-12wheel-clerestory-third</t>
  </si>
  <si>
    <t xml:space="preserve">53ft
See Hamilton Ellis p. 74/5</t>
  </si>
  <si>
    <t xml:space="preserve">trains\mr-53ft-clerestory-carriages.dat</t>
  </si>
  <si>
    <t xml:space="preserve">MR-clayton-12wheel-clerestory-brake-front</t>
  </si>
  <si>
    <t xml:space="preserve">MR-clayton-12wheel-clerestory-brake-rear</t>
  </si>
  <si>
    <t xml:space="preserve">met-ashbury-1863-third-fitted</t>
  </si>
  <si>
    <t xml:space="preserve">met-ashbury-1863-composite-fitted</t>
  </si>
  <si>
    <t xml:space="preserve">met-ashbury-1863-first-fitted</t>
  </si>
  <si>
    <t xml:space="preserve">met-ashbury-1863-brake-front-fitted</t>
  </si>
  <si>
    <t xml:space="preserve">met-ashbury-1863-brake-rear-fitted</t>
  </si>
  <si>
    <t xml:space="preserve">district-4-wheel-third-fitted</t>
  </si>
  <si>
    <t xml:space="preserve">district-4-wheel-brake-front-fitted</t>
  </si>
  <si>
    <t xml:space="preserve">district-4-wheel-brake-rear-fitted</t>
  </si>
  <si>
    <t xml:space="preserve">4-wheel-sub-1870s-fitted</t>
  </si>
  <si>
    <t xml:space="preserve">FITTED VEHICLES HEREINAFTER #
See here for retirement year: http://www.kesr.org.uk/stock-register/coaching-stock/lnwr.html</t>
  </si>
  <si>
    <t xml:space="preserve">4-wheel-sub-1870s-fitted-composite</t>
  </si>
  <si>
    <t xml:space="preserve">Composite (1st/2nd class)
See here for retirement year: http://www.kesr.org.uk/stock-register/coaching-stock/lnwr.html
This assumes that the first class were also 4 aside in the suburban carriages - is this correct?
Lower loading time for suburban vehicles as passengers have no luggage.</t>
  </si>
  <si>
    <t xml:space="preserve">4-wheel-sub-1870s-brake-front-fitted</t>
  </si>
  <si>
    <t xml:space="preserve">See here for capacity: http://www.kesr.org.uk/stock-register/coaching-stock/lnwr.html</t>
  </si>
  <si>
    <t xml:space="preserve">4-wheel-sub-1870s-brake-rear-fitted</t>
  </si>
  <si>
    <t xml:space="preserve">4-wheel-1870s-fitted</t>
  </si>
  <si>
    <t xml:space="preserve">FITTED VEHICLES HEREINAFTER #
Composite</t>
  </si>
  <si>
    <t xml:space="preserve">4-wheel-1870s-luggage-third-fitted</t>
  </si>
  <si>
    <t xml:space="preserve">4-wheel-1870s-tricomposite-fitted</t>
  </si>
  <si>
    <t xml:space="preserve">4-wheel-1870s-brake-fitted</t>
  </si>
  <si>
    <t xml:space="preserve">4-wheel-1870s-mail-fitted</t>
  </si>
  <si>
    <t xml:space="preserve">4-wheel-1870s-tpo-fitted</t>
  </si>
  <si>
    <t xml:space="preserve">4-wheel-1870s-fast-freight-fitted</t>
  </si>
  <si>
    <t xml:space="preserve">4-wheel-1870s-milk-fitted</t>
  </si>
  <si>
    <t xml:space="preserve">LBSCR-D2</t>
  </si>
  <si>
    <t xml:space="preserve">Extrapolated
Tractive effort taken from:
http://en.wikipedia.org/wiki/LB%26SCR_D2_class
Weight taken from:
http://en.wikipedia.org/wiki/LB%26SCR_D2_class</t>
  </si>
  <si>
    <t xml:space="preserve">trains\lbscr-d2.dat</t>
  </si>
  <si>
    <t xml:space="preserve">HeavyRoadLocomotive</t>
  </si>
  <si>
    <t xml:space="preserve">LYR-Class25</t>
  </si>
  <si>
    <t xml:space="preserve">Extrapolated
Tractive effort calculated from http://orion.math.iastate.edu/jdhsmith/term/slgblyr.htm
Loss factor of 0.8
Weight given at: http://orion.math.iastate.edu/jdhsmith/term/slgblyr.htm</t>
  </si>
  <si>
    <t xml:space="preserve">trains\lyr-cl25.dat</t>
  </si>
  <si>
    <t xml:space="preserve">LYR-Class25-Tender</t>
  </si>
  <si>
    <t xml:space="preserve">trains\lyr-cl25-tender.dat</t>
  </si>
  <si>
    <t xml:space="preserve">GNR-6Wheel-First</t>
  </si>
  <si>
    <t xml:space="preserve">"First" is an anachronism - the capacity is of a third,
and likewise the graphics. This is the non-lavatory version.</t>
  </si>
  <si>
    <t xml:space="preserve">trains\gnr-6wheel-first.dat</t>
  </si>
  <si>
    <t xml:space="preserve">GNR-6Wheel-brake-third-front</t>
  </si>
  <si>
    <t xml:space="preserve">trains\gnr-6wheel-brake-third.dat</t>
  </si>
  <si>
    <t xml:space="preserve">GNR-6Wheel-brake-third-rear</t>
  </si>
  <si>
    <t xml:space="preserve">GNR-6Wheel-Guard</t>
  </si>
  <si>
    <t xml:space="preserve">trains\gnr-6wheel-guard.dat</t>
  </si>
  <si>
    <t xml:space="preserve">GNR-6Wheel-Mail</t>
  </si>
  <si>
    <t xml:space="preserve">trains\gnr-6wheel-mail.dat</t>
  </si>
  <si>
    <t xml:space="preserve">GNR-6Wheel-tpo</t>
  </si>
  <si>
    <t xml:space="preserve">http://www.steve-banks.org/prototype-and-traffic/209-tpo-services-in-lner-and-er-days</t>
  </si>
  <si>
    <t xml:space="preserve">SingleFairlie</t>
  </si>
  <si>
    <t xml:space="preserve">Approximately extrapolated - boiler data not available
Calculated from values from http://www.festipedia.org.uk/wiki/Taliesin_III
with the 135lb boiler pressure specified at http://www.festipedia.org.uk/wiki/Taliesin
http://www.festipedia.org.uk/wiki/Taliesin
Functional rather than historical: for introduction of superheated version.
http://www.festipedia.org.uk/wiki/Moel_Tryfan
Weight not given for either old or new "Taliesin".</t>
  </si>
  <si>
    <t xml:space="preserve">narrowgauge\single-fairlie.dat</t>
  </si>
  <si>
    <t xml:space="preserve">MR-1327</t>
  </si>
  <si>
    <t xml:space="preserve">Extrapolated
Calculated from data from Ahrons, p. 214
Loss factor set at 0.8
See http://en.wikipedia.org/wiki/Midland_Railway_Class_2_4-4-0
There were many, very similar, classes of locomotives
Weight confirmed from Ahrons, p. 214
These were rebuilt, strictly, rather than
upgraded to 483 class locomotives - but
the differences between the rebuilt 1738s
and 483s were not great:
http://www.warwickshirerailways.com/lms/mrb9.htm
Too similar to 1738 class to deserve separate graphics.</t>
  </si>
  <si>
    <t xml:space="preserve">trains\mr-1327.dat</t>
  </si>
  <si>
    <t xml:space="preserve">Medium-large-2-Deck-Trailer</t>
  </si>
  <si>
    <t xml:space="preserve">Upgrades from horse to electric types took place in Glasgow: see
http://www.semple.biz/glasgow/tram%20rolling%20stock.shtml</t>
  </si>
  <si>
    <t xml:space="preserve">trams\medium-large-2-deck-trailer.dat</t>
  </si>
  <si>
    <t xml:space="preserve">ltsr-4wheel-brake-dia21</t>
  </si>
  <si>
    <t xml:space="preserve">See Lacy &amp; Dow vol. 2 p. 478</t>
  </si>
  <si>
    <t xml:space="preserve">trains\ltsr-4wheel.dat</t>
  </si>
  <si>
    <t xml:space="preserve">ltsr-4wheel-dia12</t>
  </si>
  <si>
    <t xml:space="preserve">ltsr-4wheel-full-brake-dia29</t>
  </si>
  <si>
    <t xml:space="preserve">ltsr-4wheel-mail</t>
  </si>
  <si>
    <t xml:space="preserve">LBSCR-6Wheel-5-com</t>
  </si>
  <si>
    <t xml:space="preserve">Details about these LBSCR 6-wheel carriages cannot be obtained from the usual sources.
Information here extrapolated from MR 6-wheelers and guessed.
Guessed</t>
  </si>
  <si>
    <t xml:space="preserve">trains\lbscr-6wheel-carriages.dat</t>
  </si>
  <si>
    <t xml:space="preserve">LBSCR-6Wheel-brake-front</t>
  </si>
  <si>
    <t xml:space="preserve">LBSCR-6Wheel-brake-rear</t>
  </si>
  <si>
    <t xml:space="preserve">LBSCR-6Wheel-guard</t>
  </si>
  <si>
    <t xml:space="preserve">LBSCR-6Wheel-mail</t>
  </si>
  <si>
    <t xml:space="preserve">LBSCR-6Wheel-fruit-and-milk-van</t>
  </si>
  <si>
    <t xml:space="preserve">LBSCR-6Wheel-fast-freight-van</t>
  </si>
  <si>
    <t xml:space="preserve">MR-1377</t>
  </si>
  <si>
    <t xml:space="preserve">http://www.steamlocomotive.com/locobase.php?country=Great_Britain&amp;wheel=0-6-0&amp;railroad=midland
Extrapolated
Tractive effort from http://en.wikipedia.org/wiki/Midland_Railway_1377_Class
Weight confirmed by: http://en.wikipedia.org/wiki/Midland_Railway_1377_Class</t>
  </si>
  <si>
    <t xml:space="preserve">trains\mr-1377.dat</t>
  </si>
  <si>
    <t xml:space="preserve">RMSColumbaMail</t>
  </si>
  <si>
    <t xml:space="preserve">MR-1357</t>
  </si>
  <si>
    <t xml:space="preserve">Extrapolated
Calculated from data from Ahrons, p. 221
Loss factor set at 0.8
Note: these were the first Midland engines to have steam brakes.
Weight given by Ahrons, p. 221</t>
  </si>
  <si>
    <t xml:space="preserve">trains\mr-1357.dat</t>
  </si>
  <si>
    <t xml:space="preserve">lswr-6-wheel-28ft-brake-front</t>
  </si>
  <si>
    <t xml:space="preserve">http://www.orion-models.co.uk/LSWR_C1.html
Estimated</t>
  </si>
  <si>
    <t xml:space="preserve">trains\lswr-6-wheel-28ft.dat</t>
  </si>
  <si>
    <t xml:space="preserve">lswr-6-wheel-28ft-brake-rear</t>
  </si>
  <si>
    <t xml:space="preserve">Estimated</t>
  </si>
  <si>
    <t xml:space="preserve">lswr-6-wheel-28ft</t>
  </si>
  <si>
    <t xml:space="preserve">The composite shown in the model depicted in the above link is a four compartment carriage;
this is what I assume that the thirds would have been.
Estimated</t>
  </si>
  <si>
    <t xml:space="preserve">LBSCR-Richmond</t>
  </si>
  <si>
    <t xml:space="preserve">Extrapolated
Tractive effort taken from:
http://en.wikipedia.org/wiki/LB%26SCR_Richmond_class
Weight taken from:
http://en.wikipedia.org/wiki/LB%26SCR_Richmond_class</t>
  </si>
  <si>
    <t xml:space="preserve">trains\lbscr-richmond.dat</t>
  </si>
  <si>
    <t xml:space="preserve">RMSColumba</t>
  </si>
  <si>
    <t xml:space="preserve">See http://website.lineone.net/~tom_lee/columba%20dining.htm
30-45 minutes</t>
  </si>
  <si>
    <t xml:space="preserve">boats\rms-columba.dat</t>
  </si>
  <si>
    <t xml:space="preserve">MR-6Wheel-Mail</t>
  </si>
  <si>
    <t xml:space="preserve">See Lacy &amp; Dow vol. 2, p. 377
See Lacy &amp; Dow vol. 2. p. 385</t>
  </si>
  <si>
    <t xml:space="preserve">MR-6Wheel-tpo</t>
  </si>
  <si>
    <t xml:space="preserve">Actually a clerestory of the add-on type
See Lacy &amp; Dow vol. 2. p. 385</t>
  </si>
  <si>
    <t xml:space="preserve">Metropolitan-B-Class</t>
  </si>
  <si>
    <t xml:space="preserve">Very similar to the A Class: see http://orion.math.iastate.edu/jdhsmith/term/slgbmet.htm and
https://en.wikipedia.org/wiki/Metropolitan_Railway_A_Class
Extrapolated: see data here: http://orion.math.iastate.edu/jdhsmith/term/slgbmet.htm
Tractive effort calculated using figures from https://en.wikipedia.org/wiki/Metropolitan_Railway_A_Class. Loss factor: 0.8
Weight taken from Ahrons, p. 155
This should be 18.5, but no tracks that can take this available contemporaneously.
TODO: Add LSWR and SECR liveries for this.</t>
  </si>
  <si>
    <t xml:space="preserve">london-underground\met-b-class.dat</t>
  </si>
  <si>
    <t xml:space="preserve">MR-clayton-8wheel-arc-roof-third</t>
  </si>
  <si>
    <t xml:space="preserve">trains\mr-43ft-arc-carriages.dat</t>
  </si>
  <si>
    <t xml:space="preserve">MR-clayton-8wheel-arc-roof-brake-front</t>
  </si>
  <si>
    <t xml:space="preserve">MR-clayton-8wheel-arc-roof-brake-rear</t>
  </si>
  <si>
    <t xml:space="preserve">MR-clayton-12wheel-arc-roof-third</t>
  </si>
  <si>
    <t xml:space="preserve">trains\mr-53ft-arc-carriages.dat</t>
  </si>
  <si>
    <t xml:space="preserve">MR-clayton-12wheel-arc-roof-brake-front</t>
  </si>
  <si>
    <t xml:space="preserve">MR-clayton-12wheel-arc-roof-brake-rear</t>
  </si>
  <si>
    <t xml:space="preserve">kitson-standard-1</t>
  </si>
  <si>
    <t xml:space="preserve">See Gladwin (vol. 1) p. 65 for illustrations
and pp. 109-202 of vol. 3 and pp. 64-5 of vol. 1 for data.
These had effective condensers
smoke=Steam
Extrapolated
The below is desirable to force rounding up rather than rounding down of the axle
load and thus give a weight advantage to the Wilkinson engine.
axles=2</t>
  </si>
  <si>
    <t xml:space="preserve">trams\kitson-standard-1.dat</t>
  </si>
  <si>
    <t xml:space="preserve">merryweather-standard-2</t>
  </si>
  <si>
    <t xml:space="preserve">See Gladwin (vol. 3) p. 23 (and p. 24 for illustrations)
These had effective condensers
smoke=Steam
Extrapolated</t>
  </si>
  <si>
    <t xml:space="preserve">trams\merryweather-standard-2.dat</t>
  </si>
  <si>
    <t xml:space="preserve">WindjammerHull</t>
  </si>
  <si>
    <t xml:space="preserve">boats\boats224\windjammer.dat</t>
  </si>
  <si>
    <t xml:space="preserve">ltsr-1-class</t>
  </si>
  <si>
    <t xml:space="preserve">Extrapolated
https://en.wikipedia.org/wiki/LT%26SR_1_Class
https://en.wikipedia.org/wiki/LT%26SR_1_Class</t>
  </si>
  <si>
    <t xml:space="preserve">trains\ltsr-1-class.dat</t>
  </si>
  <si>
    <t xml:space="preserve">WindjammerAddOil</t>
  </si>
  <si>
    <t xml:space="preserve">boats\holds\windjammer-holds.dat</t>
  </si>
  <si>
    <t xml:space="preserve">WindjammerAddMail</t>
  </si>
  <si>
    <t xml:space="preserve">WindjammerAddBulk</t>
  </si>
  <si>
    <t xml:space="preserve">WindjammerAddLong</t>
  </si>
  <si>
    <t xml:space="preserve">WindjammerAddPiece</t>
  </si>
  <si>
    <t xml:space="preserve">WindjammerAddCool</t>
  </si>
  <si>
    <t xml:space="preserve">WindjammerAddLivestock</t>
  </si>
  <si>
    <t xml:space="preserve">BrakeD16</t>
  </si>
  <si>
    <t xml:space="preserve">http://www.lnwrs.org.uk/Wagons/brakes/Diag016.php</t>
  </si>
  <si>
    <t xml:space="preserve">trains\wagon-brake-d16.dat</t>
  </si>
  <si>
    <t xml:space="preserve">LNWR-Cauliflower</t>
  </si>
  <si>
    <t xml:space="preserve">Extrapolated
Calculated from data from Ahrons, p. 222
Loss factor set at 0.8
Weight given by Ahrons, p. 222</t>
  </si>
  <si>
    <t xml:space="preserve">LNWR-Mansion-House-tank</t>
  </si>
  <si>
    <t xml:space="preserve">Extrapolated
Calculated from data from Ahrons, pp. 219-220
Loss factor set at 0.85
Weight taken from Ahrons p. 220</t>
  </si>
  <si>
    <t xml:space="preserve">trains\lnwr-mansion-house-tank.dat</t>
  </si>
  <si>
    <t xml:space="preserve">GNR-6Wheel-cor-lav</t>
  </si>
  <si>
    <t xml:space="preserve">trains\gnr-6wheel-cor-lav.dat</t>
  </si>
  <si>
    <t xml:space="preserve">LNWR-Jumbo-Tender</t>
  </si>
  <si>
    <t xml:space="preserve">trains\lnwr-jumbo-tender.dat</t>
  </si>
  <si>
    <t xml:space="preserve">wilkinson-engine</t>
  </si>
  <si>
    <t xml:space="preserve">See Gladwin (vol. 1) p. 65 for illustrations
and pp. 109-202 of vol. 3 and pp. 64-5 of vol. 1 for data.
Extrapolated
The below is desirable to force rounding down rather than rounding up of the axle
load and thus give a weight advantage to the Wilkinson engine over the Kitson.
axles=2</t>
  </si>
  <si>
    <t xml:space="preserve">trams\wilkinson-engine.dat</t>
  </si>
  <si>
    <t xml:space="preserve">LNWR-coal-tank</t>
  </si>
  <si>
    <t xml:space="preserve">http://www.lnwrs.org.uk/GoodsLocos/Loco05.php
Extrapolated
http://en.wikipedia.org/wiki/LNWR_Webb_Coal_Tank
http://en.wikipedia.org/wiki/LNWR_Webb_Coal_Tank</t>
  </si>
  <si>
    <t xml:space="preserve">trains\lnwr-coal-tank.dat</t>
  </si>
  <si>
    <t xml:space="preserve">LNWR-special-dx</t>
  </si>
  <si>
    <t xml:space="preserve">Extrapolated
Guessed</t>
  </si>
  <si>
    <t xml:space="preserve">trains\lnwr-dx-special.dat</t>
  </si>
  <si>
    <t xml:space="preserve">OmnibusDoubleGardenseat</t>
  </si>
  <si>
    <t xml:space="preserve">http://www.20thcenturylondon.org.uk/ltm-1981-52620part200
Rear platform with conductor: 2.0 seconds per passenger</t>
  </si>
  <si>
    <t xml:space="preserve">bus\omnibus-double-gardenseat.dat</t>
  </si>
  <si>
    <t xml:space="preserve">lswr-6-wheel-30ft-lantern-roof-brake</t>
  </si>
  <si>
    <t xml:space="preserve">http://www.ragstonemodels.co.uk/london--south-western-railway.html
Estimated</t>
  </si>
  <si>
    <t xml:space="preserve">trains\lswr-6-wheel-30ft-lantern-roof-brake.dat</t>
  </si>
  <si>
    <t xml:space="preserve">LBSCR-C1</t>
  </si>
  <si>
    <t xml:space="preserve">Extrapolated: note that these were recorded as poor steamers.
Tractive effort taken from:
http://en.wikipedia.org/wiki/LB%26SCR_C1_class
See also: http://www.semgonline.com/steam/c1class_01.html
Weight given here: http://www.semgonline.com/steam/c1class_01.html</t>
  </si>
  <si>
    <t xml:space="preserve">trains\lbscr-c1.dat</t>
  </si>
  <si>
    <t xml:space="preserve">LBSCR-C1-tender</t>
  </si>
  <si>
    <t xml:space="preserve">kitson-standard-2</t>
  </si>
  <si>
    <t xml:space="preserve">See Gladwin (vol. 1) pp. 66-67 for illustrations
and pp. 109-202 of vol. 3 and pp. 64-5 of vol. 1 for data.
These had effective condensers
smoke=Steam
Extrapolated</t>
  </si>
  <si>
    <t xml:space="preserve">trams\kitson-standard-2.dat</t>
  </si>
  <si>
    <t xml:space="preserve">LBSCR-B1-Gladstone</t>
  </si>
  <si>
    <t xml:space="preserve">Extrapolated
http://www.semgonline.com/steam/gladstone_dat.html
See also Ahrons p. 273
See Ahrons p. 288
These should be expensive to construct and run by comparison to equivalents:
see: http://www.semgonline.com/steam/gladstone.html</t>
  </si>
  <si>
    <t xml:space="preserve">trains\lbscr-b1-gladstone.dat</t>
  </si>
  <si>
    <t xml:space="preserve">Large-2-Deck-Trailer</t>
  </si>
  <si>
    <t xml:space="preserve">7 window Starbuck/Milnes type - see Gladwin (vol. 3) p. 40</t>
  </si>
  <si>
    <t xml:space="preserve">trams\large-2-deck-trailer.dat</t>
  </si>
  <si>
    <t xml:space="preserve">LNWR-8wheel-radial-brake-front</t>
  </si>
  <si>
    <t xml:space="preserve">trains\lnwr-8wheel-radials.dat</t>
  </si>
  <si>
    <t xml:space="preserve">LNWR-8wheel-radial-non-lav</t>
  </si>
  <si>
    <t xml:space="preserve">LNWR-8wheel-radial-brake-rear</t>
  </si>
  <si>
    <t xml:space="preserve">LNWR-8wheel-radial-full-brake</t>
  </si>
  <si>
    <t xml:space="preserve">LNWR-8wheel-radial-mail</t>
  </si>
  <si>
    <t xml:space="preserve">LNWR-8wheel-radial-tpo</t>
  </si>
  <si>
    <t xml:space="preserve">MR-483-Tender</t>
  </si>
  <si>
    <t xml:space="preserve">trains\mr-483.dat</t>
  </si>
  <si>
    <t xml:space="preserve">MR-2781-Tender</t>
  </si>
  <si>
    <t xml:space="preserve">These apparently originally had bogie tenders
(see http://www.transportdiversions.com/images/books/TE2343S.jpg)
but these seem to have been replaced with standard tenders soon:
chasewaterstuff.wordpress.com/tag/s-w-johnson/</t>
  </si>
  <si>
    <t xml:space="preserve">trains\mr-2781.dat</t>
  </si>
  <si>
    <t xml:space="preserve">ParcelCoach</t>
  </si>
  <si>
    <t xml:space="preserve">https://www.flickr.com/photos/postalheritage/7982579867
These were only for mail, not passengers</t>
  </si>
  <si>
    <t xml:space="preserve">bus\parcel-coach.dat</t>
  </si>
  <si>
    <t xml:space="preserve">gnr-g1</t>
  </si>
  <si>
    <t xml:space="preserve">Extrapolated
Ahrons p. 186</t>
  </si>
  <si>
    <t xml:space="preserve">trains\gnr-g1.dat</t>
  </si>
  <si>
    <t xml:space="preserve">Piece-Fast</t>
  </si>
  <si>
    <t xml:space="preserve">Fitted</t>
  </si>
  <si>
    <t xml:space="preserve">trains\wagon-piece-fast.dat</t>
  </si>
  <si>
    <t xml:space="preserve">Cool-Fast</t>
  </si>
  <si>
    <t xml:space="preserve">trains\wagon-cool-fast.dat</t>
  </si>
  <si>
    <t xml:space="preserve">MR-1738</t>
  </si>
  <si>
    <t xml:space="preserve">Extrapolated
Calculated from data from http://orion.math.iastate.edu/jdhsmith/term/slgbmr.htm
(Note: that site has the class incorrectly named as the 1740 class)
Loss factor set at 0.8
See http://en.wikipedia.org/wiki/Midland_Railway_Class_2_4-4-0
There were many, very similar, classes of locomotives
http://orion.math.iastate.edu/jdhsmith/term/slgbmr.htm
These were rebuilt, strictly, rather than
upgraded to 483 class locomotives - but
the differences between the rebuilt 1738s
and 483s were not great:
http://www.warwickshirerailways.com/lms/mrb9.htm</t>
  </si>
  <si>
    <t xml:space="preserve">trains\mr-1738.dat</t>
  </si>
  <si>
    <t xml:space="preserve">lswr-48ft-arc-sub-brake-front</t>
  </si>
  <si>
    <t xml:space="preserve">Non-lavatory compartment carriages with arc rooves
Estimated</t>
  </si>
  <si>
    <t xml:space="preserve">trains\lswr-48ft-arc-sub.dat</t>
  </si>
  <si>
    <t xml:space="preserve">lswr-48ft-arc-sub-brake-rear</t>
  </si>
  <si>
    <t xml:space="preserve">lswr-48ft-arc-sub</t>
  </si>
  <si>
    <t xml:space="preserve">lswr-44ft-full-brake</t>
  </si>
  <si>
    <t xml:space="preserve">Arc roof
Estimated</t>
  </si>
  <si>
    <t xml:space="preserve">trains\lswr-44ft-full-brake.dat</t>
  </si>
  <si>
    <t xml:space="preserve">MailBike</t>
  </si>
  <si>
    <t xml:space="preserve">A man on a bicycle. Local delivery/collection.
Postman</t>
  </si>
  <si>
    <t xml:space="preserve">bus\man_on_bicycle.dat</t>
  </si>
  <si>
    <t xml:space="preserve">Bike</t>
  </si>
  <si>
    <t xml:space="preserve">Blackpool-Original</t>
  </si>
  <si>
    <t xml:space="preserve">electric</t>
  </si>
  <si>
    <t xml:space="preserve">No data - guessed
http://www.historywebsite.co.uk/genealogy/Parker/ElwellParker.htm</t>
  </si>
  <si>
    <t xml:space="preserve">trams\blackpool-original.dat</t>
  </si>
  <si>
    <t xml:space="preserve">ElectricRail</t>
  </si>
  <si>
    <t xml:space="preserve">ElectricRailPassengers</t>
  </si>
  <si>
    <t xml:space="preserve">ElectricEarly</t>
  </si>
  <si>
    <t xml:space="preserve">MR-clayton-8wheel-clerestory-mail</t>
  </si>
  <si>
    <t xml:space="preserve">See Lacey &amp; Dow vol. 2, p. 378
43ft
See Hamilton Ellis p. 74/5</t>
  </si>
  <si>
    <t xml:space="preserve">PSMadgeWildfire</t>
  </si>
  <si>
    <t xml:space="preserve">http://website.lineone.net/~tom_lee/madgewildfire.htm
20-30 minutes</t>
  </si>
  <si>
    <t xml:space="preserve">boats\ps-madge-wildfire.dat</t>
  </si>
  <si>
    <t xml:space="preserve">PSMadgeWildfireMail</t>
  </si>
  <si>
    <t xml:space="preserve">Hunslet-Alice</t>
  </si>
  <si>
    <t xml:space="preserve">http://en.wikipedia.org/wiki/Alice_%28locomotive%29
http://en.wikipedia.org/wiki/Dinorwic_Alice_Class
Extrapolated based on estimated figures
Estimated
See Ffestiniog illustrated stock list p. 40
http://welshhighland.freeforums.org/hugh-napier-t1364.html</t>
  </si>
  <si>
    <t xml:space="preserve">narrowgauge\hunslet-alice.dat</t>
  </si>
  <si>
    <t xml:space="preserve">ChannelScrewSteamship</t>
  </si>
  <si>
    <t xml:space="preserve">TODO: Reconfigure this based on historical values: most of these values are guessed.
40-60 minutes</t>
  </si>
  <si>
    <t xml:space="preserve">boats\channel-screw-steamship.dat</t>
  </si>
  <si>
    <t xml:space="preserve">ChannelScrewSteamshipAddMail</t>
  </si>
  <si>
    <t xml:space="preserve">boats\holds\channel-screw-steamship-holds.dat</t>
  </si>
  <si>
    <t xml:space="preserve">SteelRiverSteamer</t>
  </si>
  <si>
    <t xml:space="preserve">boats\steel-river-steamer.dat</t>
  </si>
  <si>
    <t xml:space="preserve">kitson-standard-3</t>
  </si>
  <si>
    <t xml:space="preserve">See Gladwin pp. 109-202 of vol. 3 and pp. 64-5 of vol. 1 for data.
These had effective condensers
smoke=Steam
Extrapolated</t>
  </si>
  <si>
    <t xml:space="preserve">trams\kitson-standard-3.dat</t>
  </si>
  <si>
    <t xml:space="preserve">lswr-6-wheel-30ft-brake-front</t>
  </si>
  <si>
    <t xml:space="preserve">trains\lswr-6-wheel-30ft.dat</t>
  </si>
  <si>
    <t xml:space="preserve">lswr-6-wheel-30ft-brake-rear</t>
  </si>
  <si>
    <t xml:space="preserve">lswr-6-wheel-30ft</t>
  </si>
  <si>
    <t xml:space="preserve">FR-bogie-fitted</t>
  </si>
  <si>
    <t xml:space="preserve">FR-bogie-van-fitted</t>
  </si>
  <si>
    <t xml:space="preserve">MR-clayton-12wheel-arc-roof-third-lav</t>
  </si>
  <si>
    <t xml:space="preserve">See Hamilton Ellis p. 127 for the introduction date for the lavatory 12 wheelers.
53ft
See Hamilton Ellis p. 74/5
Only arc roof carriages built after 1879.</t>
  </si>
  <si>
    <t xml:space="preserve">MR-clayton-12wheel-arc-roof-brake-lav-front</t>
  </si>
  <si>
    <t xml:space="preserve">53ft
See Hamilton Ellis p. 74/5
Only arc roof carriages built after 1879.</t>
  </si>
  <si>
    <t xml:space="preserve">MR-clayton-12wheel-arc-roof-brake-lav-rear</t>
  </si>
  <si>
    <t xml:space="preserve">gnr-q</t>
  </si>
  <si>
    <t xml:space="preserve">Extrapolated
This may not be correct
http://orion.math.iastate.edu/jdhsmith/term/slgbgnr.htm</t>
  </si>
  <si>
    <t xml:space="preserve">trains\gnr-q.dat</t>
  </si>
  <si>
    <t xml:space="preserve">met-jubilee-third</t>
  </si>
  <si>
    <t xml:space="preserve">london-underground\met-jubilee.dat</t>
  </si>
  <si>
    <t xml:space="preserve">met-jubilee-brake-front</t>
  </si>
  <si>
    <t xml:space="preserve">met-jubilee-brake-rear</t>
  </si>
  <si>
    <t xml:space="preserve">FR-Ashbury-fitted</t>
  </si>
  <si>
    <t xml:space="preserve">FR-Small-Birmingham-fitted</t>
  </si>
  <si>
    <t xml:space="preserve">LNWR-6Wheel-Mail</t>
  </si>
  <si>
    <t xml:space="preserve">These vehicles the later 30'1" standard types built from
the mid 1880s onwards. See "London &amp; North Western Railway
Thirty Foot One Inch Carriages" by Philip A. Millard for details.</t>
  </si>
  <si>
    <t xml:space="preserve">trains\lnwr-6wheel-mail.dat</t>
  </si>
  <si>
    <t xml:space="preserve">LNWR-6Wheel-tpo</t>
  </si>
  <si>
    <t xml:space="preserve">LNWR-6Wheel-brake-third</t>
  </si>
  <si>
    <t xml:space="preserve">These vehicles the later 30'1" standard types built from
the mid 1880s onwards. See "London &amp; North Western Railway
Thirty Foot One Inch Carriages" by Philip A. Millard for details.
For the purposes of comfort, note 5'10" between compartments in third.</t>
  </si>
  <si>
    <t xml:space="preserve">trains\lnwr-6wheel-brake-third.dat</t>
  </si>
  <si>
    <t xml:space="preserve">LNWR-6Wheel-non-lav</t>
  </si>
  <si>
    <t xml:space="preserve">trains\lnwr-6wheel-third.dat</t>
  </si>
  <si>
    <t xml:space="preserve">LNWR-6Wheel-Guard</t>
  </si>
  <si>
    <t xml:space="preserve">trains\lnwr-6wheel-guard.dat</t>
  </si>
  <si>
    <t xml:space="preserve">lswr-6-wheel-30ft-full-brake</t>
  </si>
  <si>
    <t xml:space="preserve">lswr-6-wheel-30ft-fruit-brake</t>
  </si>
  <si>
    <t xml:space="preserve">lswr-6-wheel-30ft-parcels-van</t>
  </si>
  <si>
    <t xml:space="preserve">lswr-6-wheel-30ft-fruit-van</t>
  </si>
  <si>
    <t xml:space="preserve">MR-25</t>
  </si>
  <si>
    <t xml:space="preserve">Extrapolated
http://chasewaterstuff.wordpress.com/2012/04/07/steam-locos-of-a-leisurely-era-1887-johnson-4-2-2-midland-railway/
Calculated using data from: http://orion.math.iastate.edu/jdhsmith/term/slgbmr.htm (multiplied by 0.95 to reflect reduction in these values
between measured value of the MR 2601 class of 66kN and the calculated value of 69kN)
Weight guessed.</t>
  </si>
  <si>
    <t xml:space="preserve">trains\mr-25.dat</t>
  </si>
  <si>
    <t xml:space="preserve">MR-6Wheel-lav</t>
  </si>
  <si>
    <t xml:space="preserve">See Hamilton Ellis p. 115 for introduction date for 6-wheelers
34ft: http://www.vintagecarriagestrust.org/Midland.htm</t>
  </si>
  <si>
    <t xml:space="preserve">LNWR-Jumbo</t>
  </si>
  <si>
    <t xml:space="preserve">Approximately calibrated based on assumption of 90mph speed with 201t gross
load down a 1/175 gradient. (-45.49Kw).
See Ahrons p. 295</t>
  </si>
  <si>
    <t xml:space="preserve">trains\lnwr-jumbo.dat</t>
  </si>
  <si>
    <t xml:space="preserve">MR-clayton-8wheel-clerestory-third-lav</t>
  </si>
  <si>
    <t xml:space="preserve">45ft
See Hamilton Ellis p. 74/5
Only arc roof carriages built after 1879.</t>
  </si>
  <si>
    <t xml:space="preserve">MR-clayton-8wheel-clerestory-brake-lav-front</t>
  </si>
  <si>
    <t xml:space="preserve">MR-clayton-8wheel-clerestory-brake-lav-rear</t>
  </si>
  <si>
    <t xml:space="preserve">MR-clayton-12wheel-clerestory-third-lav</t>
  </si>
  <si>
    <t xml:space="preserve">MR-clayton-12wheel-clerestory-brake-lav-front</t>
  </si>
  <si>
    <t xml:space="preserve">MR-clayton-12wheel-clerestory-brake-lav-rear</t>
  </si>
  <si>
    <t xml:space="preserve">MR-clayton-8wheel-arc-roof-third-lav</t>
  </si>
  <si>
    <t xml:space="preserve">MR-clayton-8wheel-arc-roof-brake-lav-front</t>
  </si>
  <si>
    <t xml:space="preserve">MR-clayton-8wheel-arc-roof-brake-lav-rear</t>
  </si>
  <si>
    <t xml:space="preserve">lswr-6-wheel-30ft-lav</t>
  </si>
  <si>
    <t xml:space="preserve">Guessed
Estimated</t>
  </si>
  <si>
    <t xml:space="preserve">MR-clayton-8wheel-arc-roof-mail</t>
  </si>
  <si>
    <t xml:space="preserve">LNWR-Waterloo</t>
  </si>
  <si>
    <t xml:space="preserve">Extrapolated from the "Jumbo" class based on 6'0 drivers
instead of 6'9 drivers.
Extrapolated
See Ahrons pp. 295-6</t>
  </si>
  <si>
    <t xml:space="preserve">trains\lnwr-waterloo.dat</t>
  </si>
  <si>
    <t xml:space="preserve">LNWR-Waterloo-Tender</t>
  </si>
  <si>
    <t xml:space="preserve">Extra-large-2-Deck-Trailer</t>
  </si>
  <si>
    <t xml:space="preserve">8 window Starbuck/Milnes type - see Gladwin (vol. 3) p. 40</t>
  </si>
  <si>
    <t xml:space="preserve">trams\extra-large-2-deck-trailer.dat</t>
  </si>
  <si>
    <t xml:space="preserve">lswr-48ft-arc-fruit-brake</t>
  </si>
  <si>
    <t xml:space="preserve">Guessed introduction date.
Estimated</t>
  </si>
  <si>
    <t xml:space="preserve">trains\lswr-48ft-arc-fruit-and-parcels-brake.dat</t>
  </si>
  <si>
    <t xml:space="preserve">lswr-48ft-arc-parcels-brake</t>
  </si>
  <si>
    <t xml:space="preserve">SteamNarrowboatBulk</t>
  </si>
  <si>
    <t xml:space="preserve">gear=1200
45-60 minutes</t>
  </si>
  <si>
    <t xml:space="preserve">boats\steam-narrowboat.dat</t>
  </si>
  <si>
    <t xml:space="preserve">SteamNarrowboatLong</t>
  </si>
  <si>
    <t xml:space="preserve">SteamNarrowboatPiece</t>
  </si>
  <si>
    <t xml:space="preserve">SteamNarrowboatCool</t>
  </si>
  <si>
    <t xml:space="preserve">SteamNarrowboatOil</t>
  </si>
  <si>
    <t xml:space="preserve">SteamNarrowboatLivestock</t>
  </si>
  <si>
    <t xml:space="preserve">lswr-48ft-arc-lav-brake</t>
  </si>
  <si>
    <t xml:space="preserve">Lavatory compartment carriages with arc rooves
This is a centre brake
Estimated</t>
  </si>
  <si>
    <t xml:space="preserve">trains\lswr-48ft-arc-lav.dat</t>
  </si>
  <si>
    <t xml:space="preserve">lswr-48ft-arc-lav</t>
  </si>
  <si>
    <t xml:space="preserve">gnr-howlden-bogie-third</t>
  </si>
  <si>
    <t xml:space="preserve">Guessed
Guessed based on LNWR 42ft carriages</t>
  </si>
  <si>
    <t xml:space="preserve">trains\gnr-howlden-bogie.dat</t>
  </si>
  <si>
    <t xml:space="preserve">gnr-howlden-bogie-third-brake-front</t>
  </si>
  <si>
    <t xml:space="preserve">gnr-howlden-bogie-third-brake-rear</t>
  </si>
  <si>
    <t xml:space="preserve">gnr-howlden-bogie-non-lav</t>
  </si>
  <si>
    <t xml:space="preserve">gnr-howlden-bogie-non-lav-brake-front</t>
  </si>
  <si>
    <t xml:space="preserve">gnr-howlden-bogie-non-lav-brake-rear</t>
  </si>
  <si>
    <t xml:space="preserve">gnr-howlden-full-brake</t>
  </si>
  <si>
    <t xml:space="preserve">LBSCR-non-cor-lav</t>
  </si>
  <si>
    <t xml:space="preserve">Lavatory compartment stock - 48ft</t>
  </si>
  <si>
    <t xml:space="preserve">trains\lbscr-non-cor-lav.dat</t>
  </si>
  <si>
    <t xml:space="preserve">LBSCR-non-cor-lav-brake-rear</t>
  </si>
  <si>
    <t xml:space="preserve">LBSCR-non-cor-lav-brake-front</t>
  </si>
  <si>
    <t xml:space="preserve">LNWR-5ft-6-tank</t>
  </si>
  <si>
    <t xml:space="preserve">Extrapolated
Calculated from data from Ahrons, pp. 219-220,
(Mansion House tank), with wheels adjusted to
5'6 as the later engines.
Loss factor set at 0.85
http://www.steamlocomotive.com/locobase.php?country=Great_Britain&amp;wheel=2-4-2&amp;railroad=lnw</t>
  </si>
  <si>
    <t xml:space="preserve">trains\lnwr-5ft-6-tank.dat</t>
  </si>
  <si>
    <t xml:space="preserve">Toastrack</t>
  </si>
  <si>
    <t xml:space="preserve">No data - guessed</t>
  </si>
  <si>
    <t xml:space="preserve">trams\toastrack.dat</t>
  </si>
  <si>
    <t xml:space="preserve">MR-1873</t>
  </si>
  <si>
    <t xml:space="preserve">Extrapolated from estimated figures on firebox grate area and heating surface area
Calculated from data http://en.wikipedia.org/wiki/Midland_Railway_Johnson_0-6-0
Loss factor set at 0.8
http://en.wikipedia.org/wiki/Midland_Railway_Johnson_0-6-0</t>
  </si>
  <si>
    <t xml:space="preserve">trains\mr-1873.dat</t>
  </si>
  <si>
    <t xml:space="preserve">CC-Clerestory-Coach</t>
  </si>
  <si>
    <t xml:space="preserve">trains\choc-cream-clerestory.dat</t>
  </si>
  <si>
    <t xml:space="preserve">CC-Clerestory-Mail</t>
  </si>
  <si>
    <t xml:space="preserve">trains\choc-cream-clerestory-mail.dat</t>
  </si>
  <si>
    <t xml:space="preserve">CC-Clerestory-Brake</t>
  </si>
  <si>
    <t xml:space="preserve">trains\choc-cream-clerestory-brake.dat</t>
  </si>
  <si>
    <t xml:space="preserve">CC-Clerestory-Dining</t>
  </si>
  <si>
    <t xml:space="preserve">trains\choc-cream-clerestory-dining.dat</t>
  </si>
  <si>
    <t xml:space="preserve">TrainDining</t>
  </si>
  <si>
    <t xml:space="preserve">CC-Clerestory-TPO</t>
  </si>
  <si>
    <t xml:space="preserve">trains\choc-cream-clerestory-tpo.dat</t>
  </si>
  <si>
    <t xml:space="preserve">CC-Clerestory-Parcel-Brake</t>
  </si>
  <si>
    <t xml:space="preserve">trains\choc-cream-clerestory-parcel-brake.dat</t>
  </si>
  <si>
    <t xml:space="preserve">1890TubeStockLoco</t>
  </si>
  <si>
    <t xml:space="preserve">london-underground\1890-tube-stock.dat</t>
  </si>
  <si>
    <t xml:space="preserve">ElectricDriverRail</t>
  </si>
  <si>
    <t xml:space="preserve">EarlyElectricRail</t>
  </si>
  <si>
    <t xml:space="preserve">1890TubeStockTrailer</t>
  </si>
  <si>
    <t xml:space="preserve">See here for capacity:
http://www.tfl.gov.uk/assets/downloads/foi/Rolling_stock_Data_Sheet_2nd_Edition.pdf</t>
  </si>
  <si>
    <t xml:space="preserve">ltsr-6wheel-dia17</t>
  </si>
  <si>
    <t xml:space="preserve">33ft 11 1/2"
See Lacey &amp; Dow p. 479 (vol. 2)</t>
  </si>
  <si>
    <t xml:space="preserve">trains\ltsr-6wheel.dat</t>
  </si>
  <si>
    <t xml:space="preserve">ltsr-6wheel-brake-dia22</t>
  </si>
  <si>
    <t xml:space="preserve">LBSCR-E3</t>
  </si>
  <si>
    <t xml:space="preserve">Extrapolated
http://en.wikipedia.org/wiki/LB%26SCR_E3_class
In reality, only built to 1895, but are no successors.
http://en.wikipedia.org/wiki/LB%26SCR_E3_class</t>
  </si>
  <si>
    <t xml:space="preserve">trains\lbscr-e3.dat</t>
  </si>
  <si>
    <t xml:space="preserve">Metropolitan-C-Class</t>
  </si>
  <si>
    <t xml:space="preserve">http://en.wikipedia.org/wiki/Metropolitan_Railway_C_Class
These are closely based on the SECR Q Class, and some data are taken from there.
Extrapolated: see data here: https://orion.math.iastate.edu/jdhsmith/term/slgbsecr.htm
http://en.wikipedia.org/wiki/SER_Q_class
This only seems to have had the one livery in Metropolitan days (unconfirmed).
However, it was nearly identical to the SECR Q class: consider adding that.</t>
  </si>
  <si>
    <t xml:space="preserve">london-underground\met-c-class.dat</t>
  </si>
  <si>
    <t xml:space="preserve">LBSCR-D3</t>
  </si>
  <si>
    <t xml:space="preserve">Extrapolated
http://en.wikipedia.org/wiki/LB%26SCR_D3_class
In reality, only built to Nov. 1896, but are no successors until the E4
http://en.wikipedia.org/wiki/LB%26SCR_D3_class</t>
  </si>
  <si>
    <t xml:space="preserve">trains\lbscr-d3.dat</t>
  </si>
  <si>
    <t xml:space="preserve">LBSCR-C2</t>
  </si>
  <si>
    <t xml:space="preserve">"Capable of running at speed" - Wikipedia
Extrapolated
http://en.wikipedia.org/wiki/LB%26SCR_C2_class
http://en.wikipedia.org/wiki/LB%26SCR_C2_class</t>
  </si>
  <si>
    <t xml:space="preserve">trains\lbscr-c2.dat</t>
  </si>
  <si>
    <t xml:space="preserve">LBSCR-C2-tender</t>
  </si>
  <si>
    <t xml:space="preserve">LOR-EMU(front)</t>
  </si>
  <si>
    <t xml:space="preserve">See Hamilton Ellis, p. 257
http://www.historywebsite.co.uk/genealogy/Parker/OverheadRailway.htm
TODO: Add the later intermediate trailers</t>
  </si>
  <si>
    <t xml:space="preserve">trains\lor-emu.dat</t>
  </si>
  <si>
    <t xml:space="preserve">ElectricMultipleUnit</t>
  </si>
  <si>
    <t xml:space="preserve">LOR-EMU(trailer)</t>
  </si>
  <si>
    <t xml:space="preserve">lswr-30ft-full-brake-6-wheel-elliptical</t>
  </si>
  <si>
    <t xml:space="preserve">http://www.roxeymouldings.co.uk/product/88/4c7-lswr-30ft-6-wheeled-full-brake-elliptical-roof-/
Estimated</t>
  </si>
  <si>
    <t xml:space="preserve">trains\lswr-30ft-full-brake-6-wheel-elliptical.dat</t>
  </si>
  <si>
    <t xml:space="preserve">lswr-30ft-fruit-brake-6-wheel-elliptical</t>
  </si>
  <si>
    <t xml:space="preserve">Estimated
liverytype[3]=SR-Malachite-Green
Are the images for this missing on purpose or by accident?
EmptyImage[E][3]=./images/lswr-30ft-fruit-brake-6-wheel-elliptical-malachite.1.4
EmptyImage[SE][3]=./images/lswr-30ft-fruit-brake-6-wheel-elliptical-malachite.1.5
EmptyImage[S][3]=./images/lswr-30ft-fruit-brake-6-wheel-elliptical-malachite.1.6
EmptyImage[SW][3]=./images/lswr-30ft-fruit-brake-6-wheel-elliptical-malachite.1.7
EmptyImage[W][3]=./images/lswr-30ft-fruit-brake-6-wheel-elliptical-malachite.1.0
EmptyImage[NW][3]=./images/lswr-30ft-fruit-brake-6-wheel-elliptical-malachite.1.1
EmptyImage[N][3]=./images/lswr-30ft-fruit-brake-6-wheel-elliptical-malachite.1.2
EmptyImage[NE][3]=./images/lswr-30ft-fruit-brake-6-wheel-elliptical-malachite.1.3</t>
  </si>
  <si>
    <t xml:space="preserve">lswr-44ft-full-brake-elliptical</t>
  </si>
  <si>
    <t xml:space="preserve">MR-2203</t>
  </si>
  <si>
    <t xml:space="preserve">Extrapolated
Calculated using data from http://en.wikipedia.org/wiki/Midland_Railway_Class_2_4-4-0
Loss factor set at 0.8
See http://en.wikipedia.org/wiki/Midland_Railway_Class_2_4-4-0
There were many, very similar, classes of locomotives
http://orion.math.iastate.edu/jdhsmith/term/slgbmr.htm
At the Simutrans scale, visually indistinguishable from the 1738 class</t>
  </si>
  <si>
    <t xml:space="preserve">trains\mr-2203.dat</t>
  </si>
  <si>
    <t xml:space="preserve">WHR-buffet</t>
  </si>
  <si>
    <t xml:space="preserve">See: http://www.festipedia.org.uk/wiki/WHR%28P%29_Coach_No._10
Passengers reputedly complained that these had
no more than lemonade and biscuits when these
were introduced.</t>
  </si>
  <si>
    <t xml:space="preserve">narrowgauge\whr-buffet.dat</t>
  </si>
  <si>
    <t xml:space="preserve">LNWR-42ft-non-cor-brake-front</t>
  </si>
  <si>
    <t xml:space="preserve">D352 - see Jenkinson (LNWR) p. 110
Non-lavatory</t>
  </si>
  <si>
    <t xml:space="preserve">trains\lnwr-42ft-non-cor.dat</t>
  </si>
  <si>
    <t xml:space="preserve">LNWR-42ft-non-cor-non-lav</t>
  </si>
  <si>
    <t xml:space="preserve">D292 - see Jenkinson (LNWR) p. 110</t>
  </si>
  <si>
    <t xml:space="preserve">LNWR-42ft-non-cor-brake-rear</t>
  </si>
  <si>
    <t xml:space="preserve">LNWR-42ft-non-cor-mail</t>
  </si>
  <si>
    <t xml:space="preserve">LNWR-42ft-non-cor-full-brake</t>
  </si>
  <si>
    <t xml:space="preserve">WHR-brake</t>
  </si>
  <si>
    <t xml:space="preserve">narrowgauge\whr-brake.dat</t>
  </si>
  <si>
    <t xml:space="preserve">LNWR-42ft-cor</t>
  </si>
  <si>
    <t xml:space="preserve">First corridor vehicles, built for the 2.00pm "Corridor"
trains from Euston to Glasgow. See "An Illustrated History
of LNWR Coaches" by D. Jenkinson, p. 65-7.
D269. Note that the graphics are not quite right for this diagram,
as there should only be one lavatory.</t>
  </si>
  <si>
    <t xml:space="preserve">trains\lnwr-42ft-cor.dat</t>
  </si>
  <si>
    <t xml:space="preserve">LNWR-42ft-cor-brake-front</t>
  </si>
  <si>
    <t xml:space="preserve">D68</t>
  </si>
  <si>
    <t xml:space="preserve">LNWR-42ft-cor-brake-rear</t>
  </si>
  <si>
    <t xml:space="preserve">D69</t>
  </si>
  <si>
    <t xml:space="preserve">LNWR-42ft-cor-mail</t>
  </si>
  <si>
    <t xml:space="preserve">LNWR-42ft-cor-tpo</t>
  </si>
  <si>
    <t xml:space="preserve">LNWR-50ft-6in-diner-twin-kitchen</t>
  </si>
  <si>
    <t xml:space="preserve">Pioneering twin diner set.
See Jenkinson (LNWR) p. 46.
D41
See Jenkinson (LNWR) p. 168</t>
  </si>
  <si>
    <t xml:space="preserve">trains\lnwr-dining-twin.dat</t>
  </si>
  <si>
    <t xml:space="preserve">LNWR-50ft-6in-diner-twin-saloon</t>
  </si>
  <si>
    <t xml:space="preserve">See Jenkinson (LNWR) p. 168</t>
  </si>
  <si>
    <t xml:space="preserve">WHR-open</t>
  </si>
  <si>
    <t xml:space="preserve">See: http://www.festipedia.org.uk/wiki/Carriage_25
Note: this is *not* the open-sided carriage, which would
have a comfort of 23.</t>
  </si>
  <si>
    <t xml:space="preserve">narrowgauge\whr-open.dat</t>
  </si>
  <si>
    <t xml:space="preserve">gnr-g2</t>
  </si>
  <si>
    <t xml:space="preserve">Extrapolated
http://orion.math.iastate.edu/jdhsmith/term/slgbgnr.htm</t>
  </si>
  <si>
    <t xml:space="preserve">trains\gnr-g2.dat</t>
  </si>
  <si>
    <t xml:space="preserve">LBSCR-sub-bogie-48ft</t>
  </si>
  <si>
    <t xml:space="preserve">Bogie suburban stock - 48ft -
8 compartments for 48ft, and
9 compartments for 54ft/
See http://www.semgonline.com/coach/iow_01.html
for a picture of a 9 compartment carriage.</t>
  </si>
  <si>
    <t xml:space="preserve">trains\lbscr-sub-bogie-48ft.dat</t>
  </si>
  <si>
    <t xml:space="preserve">LBSCR-sub-bogie-48ft-brake-rear</t>
  </si>
  <si>
    <t xml:space="preserve">LBSCR-sub-bogie-48ft-brake-front</t>
  </si>
  <si>
    <t xml:space="preserve">HR-Jones-Goods</t>
  </si>
  <si>
    <t xml:space="preserve">Extrapolated
http://en.wikipedia.org/wiki/Highland_Railway_Jones_Goods_Class
http://en.wikipedia.org/wiki/Highland_Railway_Jones_Goods_Class
HACK: We use the Midland scheme here as a generic pre-grouping scheme.</t>
  </si>
  <si>
    <t xml:space="preserve">trains\hr-jones-goods.dat</t>
  </si>
  <si>
    <t xml:space="preserve">HR-Jones-Goods-Tender</t>
  </si>
  <si>
    <t xml:space="preserve">HACK: We use the Midland scheme here as a generic pre-grouping scheme.</t>
  </si>
  <si>
    <t xml:space="preserve">trains\hr-jones-goods-tender.dat</t>
  </si>
  <si>
    <t xml:space="preserve">LNWR-AClass-Tender</t>
  </si>
  <si>
    <t xml:space="preserve">trains\lnwr-Aclass-tender.dat</t>
  </si>
  <si>
    <t xml:space="preserve">LNWR-AClass</t>
  </si>
  <si>
    <t xml:space="preserve">Extrapolated
Tractive effort data unavailalbe: guessed from similar classes:
http://en.wikipedia.org/wiki/LNWR_G_Class
Three cylinder.
Weight given by Wikipedia: http://en.wikipedia.org/wiki/LNWR_Class_A</t>
  </si>
  <si>
    <t xml:space="preserve">trains\lnwr-Aclass.dat</t>
  </si>
  <si>
    <t xml:space="preserve">LNWR-45ft-cor-full-brake</t>
  </si>
  <si>
    <t xml:space="preserve">See Jenkinson (LNWR) p. 10</t>
  </si>
  <si>
    <t xml:space="preserve">trains\lnwr-45ft-full-brake.dat</t>
  </si>
  <si>
    <t xml:space="preserve">LNWR-watford-tank</t>
  </si>
  <si>
    <t xml:space="preserve">Extrapolated
Calculated using data from: http://orion.math.iastate.edu/jdhsmith/term/slgblnwr.htm</t>
  </si>
  <si>
    <t xml:space="preserve">trains\lnwr-watford-tank.dat</t>
  </si>
  <si>
    <t xml:space="preserve">LNWR-42ft-non-cor-brake-lav-front</t>
  </si>
  <si>
    <t xml:space="preserve">D329 - see Jenkinson (LNWR) p. 101</t>
  </si>
  <si>
    <t xml:space="preserve">LNWR-42ft-non-cor-lav</t>
  </si>
  <si>
    <t xml:space="preserve">D277 - Jenkinson (LNWR) p. 101</t>
  </si>
  <si>
    <t xml:space="preserve">LNWR-42ft-non-cor-brake-lav-rear</t>
  </si>
  <si>
    <t xml:space="preserve">Blackpool-Dreadnought</t>
  </si>
  <si>
    <t xml:space="preserve">trams\blackpool-dreadnought.dat</t>
  </si>
  <si>
    <t xml:space="preserve">LBSCR-B2</t>
  </si>
  <si>
    <t xml:space="preserve">Extrapolated
http://en.wikipedia.org/wiki/LB%26SCR_B2_class</t>
  </si>
  <si>
    <t xml:space="preserve">trains\lbscr-b2.dat</t>
  </si>
  <si>
    <t xml:space="preserve">LBSCR-B2-tender</t>
  </si>
  <si>
    <t xml:space="preserve">LNWR-6Wheel-lav</t>
  </si>
  <si>
    <t xml:space="preserve">Was actually 1899, but players may wish to convert later.
(Millard p. 10).
Note that only half the passengers in this carriage have lavatory access:
see Jenkinson (LNWR) p. 101 (this is D279).
These were only converts from 1895 onwards. See Millard p. 10</t>
  </si>
  <si>
    <t xml:space="preserve">LNWR-8wheel-radial-brake-lav-front</t>
  </si>
  <si>
    <t xml:space="preserve">Was actually 1899, but players may wish to convert later.
(Millard p. 10).
These were only converts from 1895 onwards. See Millard p. 10</t>
  </si>
  <si>
    <t xml:space="preserve">LNWR-8wheel-radial-lav</t>
  </si>
  <si>
    <t xml:space="preserve">LNWR-8wheel-radial-brake-lav-rear</t>
  </si>
  <si>
    <t xml:space="preserve">GNR-C1-Tender</t>
  </si>
  <si>
    <t xml:space="preserve">trains\gnr-c1-tender.dat</t>
  </si>
  <si>
    <t xml:space="preserve">gnr-d2</t>
  </si>
  <si>
    <t xml:space="preserve">Extrapolated
http://www.lner.info/locos/D/d3d4.php</t>
  </si>
  <si>
    <t xml:space="preserve">trains\gnr-d2.dat</t>
  </si>
  <si>
    <t xml:space="preserve">MR-Spinner</t>
  </si>
  <si>
    <t xml:space="preserve">Extrapolated
http://en.wikipedia.org/wiki/Midland_Railway_115_Class
http://orion.math.iastate.edu/jdhsmith/term/slgbmr.htm
See http://orion.math.iastate.edu/jdhsmith/term/slgbmr.htm</t>
  </si>
  <si>
    <t xml:space="preserve">trains\mr-115.dat</t>
  </si>
  <si>
    <t xml:space="preserve">ThornycroftSteamVanPiece</t>
  </si>
  <si>
    <t xml:space="preserve">bus\thornycroft-steam-van.dat</t>
  </si>
  <si>
    <t xml:space="preserve">ThornycroftSteamVanCool</t>
  </si>
  <si>
    <t xml:space="preserve">ThornycroftSteamVanMail</t>
  </si>
  <si>
    <t xml:space="preserve">MR-Spinner-Tender</t>
  </si>
  <si>
    <t xml:space="preserve">trains\mr-115-tender.dat</t>
  </si>
  <si>
    <t xml:space="preserve">Teak-Clerestory-Brake</t>
  </si>
  <si>
    <t xml:space="preserve">trains\teak-clerestory-brake.dat</t>
  </si>
  <si>
    <t xml:space="preserve">Teak-Clerestory-Parcel-Brake</t>
  </si>
  <si>
    <t xml:space="preserve">trains\teak-clerestory-parcel-brake.dat</t>
  </si>
  <si>
    <t xml:space="preserve">Teak-Clerestory-Mail</t>
  </si>
  <si>
    <t xml:space="preserve">trains\teak-clerestory-mail.dat</t>
  </si>
  <si>
    <t xml:space="preserve">Teak-Clerestory-Coach</t>
  </si>
  <si>
    <t xml:space="preserve">Treat these as GER carriages:
http://www.gersociety.org.uk/index.php/rolling-stock/carriages/types-9-13</t>
  </si>
  <si>
    <t xml:space="preserve">trains\teak-clerestory-coach.dat</t>
  </si>
  <si>
    <t xml:space="preserve">Teak-Clerestory-Dining</t>
  </si>
  <si>
    <t xml:space="preserve">trains\teak-clerestory-dining.dat</t>
  </si>
  <si>
    <t xml:space="preserve">MR-31ft-clerestory-kitchen-car-d532</t>
  </si>
  <si>
    <t xml:space="preserve">See Lacy &amp; Dow vol. 1 p. 126
SPECIAL CONSTRAINT for dining twin.</t>
  </si>
  <si>
    <t xml:space="preserve">trains\mr-31ft-clerestory-carriages.dat</t>
  </si>
  <si>
    <t xml:space="preserve">MR-6wheel-clerestory-brake-d530</t>
  </si>
  <si>
    <t xml:space="preserve">D530. See Lacey &amp; Dow, vol. 2, p. 369</t>
  </si>
  <si>
    <t xml:space="preserve">lswr-48ft-lav</t>
  </si>
  <si>
    <t xml:space="preserve">Lavatory compartment carriages
These are the version with elliptical rooves.
There are no brake carriages in this series: players need to use the suburban brakes or full brakes.
Estimated</t>
  </si>
  <si>
    <t xml:space="preserve">trains\lswr-48ft-lav.dat</t>
  </si>
  <si>
    <t xml:space="preserve">lswr-48ft-sub-brake-front</t>
  </si>
  <si>
    <t xml:space="preserve">Non-lavatory compartment carriages
These are the version with elliptical rooves.
Estimated</t>
  </si>
  <si>
    <t xml:space="preserve">trains\lswr-48ft-sub.dat</t>
  </si>
  <si>
    <t xml:space="preserve">lswr-48ft-sub-brake-rear</t>
  </si>
  <si>
    <t xml:space="preserve">lswr-48ft-sub</t>
  </si>
  <si>
    <t xml:space="preserve">MR-60ft-clerestory-dining-d448</t>
  </si>
  <si>
    <t xml:space="preserve">See Lacy &amp; Dow vol. 1 pp. 125-6
This was an unusual non-corridor dining vehicle:
passengers would book a seat and remain in it during their journey.
The corridor connexion was to the kitchen car only (initially).
Consider whether these should be adapted to be able to work with
corridor carriages also.</t>
  </si>
  <si>
    <t xml:space="preserve">trains\mr-60ft-clerestory-carriages.dat</t>
  </si>
  <si>
    <t xml:space="preserve">LNWR-60ft-6in-diner</t>
  </si>
  <si>
    <t xml:space="preserve">The famous LNWR clerestory 12-wheelers.
See Jenkinson (LNWR) p. 51
See Jenkinson (LNWR) p. 168</t>
  </si>
  <si>
    <t xml:space="preserve">trains\lnwr-60ft-6in-diner.dat</t>
  </si>
  <si>
    <t xml:space="preserve">ltsr-37-class</t>
  </si>
  <si>
    <t xml:space="preserve">Extrapolated
http://orion.math.iastate.edu/jdhsmith/term/slgblts.htm
https://en.wikipedia.org/wiki/LT%26SR_37_Class</t>
  </si>
  <si>
    <t xml:space="preserve">trains\ltsr-37-class.dat</t>
  </si>
  <si>
    <t xml:space="preserve">gnr-clerestory-cor-63ft-5</t>
  </si>
  <si>
    <t xml:space="preserve">Approximated: no data currently available
No direct information available: approximated from MR equivalents</t>
  </si>
  <si>
    <t xml:space="preserve">trains\gnr-clerestory-cor.dat</t>
  </si>
  <si>
    <t xml:space="preserve">gnr-clerestory-cor-brake-front-63ft-5</t>
  </si>
  <si>
    <t xml:space="preserve">gnr-clerestory-cor-brake-rear-63ft-5</t>
  </si>
  <si>
    <t xml:space="preserve">gnr-clerestory-dining-car</t>
  </si>
  <si>
    <t xml:space="preserve">Approximated: no data currently available
No data: guessed based on LNWR equivalent (which is shorter)
No direct information available: approximated from MR equivalents</t>
  </si>
  <si>
    <t xml:space="preserve">gnr-clerestory-cor-53ft-6</t>
  </si>
  <si>
    <t xml:space="preserve">gnr-clerestory-cor-brake-front-53ft-6</t>
  </si>
  <si>
    <t xml:space="preserve">gnr-clerestory-cor-brake-rear-53ft-6</t>
  </si>
  <si>
    <t xml:space="preserve">gnr-clerestory-cor-full-brake-45ft</t>
  </si>
  <si>
    <t xml:space="preserve">Approximated: no data currently available
Guessed</t>
  </si>
  <si>
    <t xml:space="preserve">gnr-clerestory-cor-mail-45ft</t>
  </si>
  <si>
    <t xml:space="preserve">gnr-clerestory-cor-tpo-45ft</t>
  </si>
  <si>
    <t xml:space="preserve">MR-48ft-clerestory-lav-3rd-d486</t>
  </si>
  <si>
    <t xml:space="preserve">See Lacey &amp; Dow vol. 1 p. 147</t>
  </si>
  <si>
    <t xml:space="preserve">trains\mr-48ft-clerestory-carriages.dat</t>
  </si>
  <si>
    <t xml:space="preserve">MR-48ft-clerestory-lav-brake-d499-front</t>
  </si>
  <si>
    <t xml:space="preserve">MR-48ft-clerestory-lav-brake-d499-rear</t>
  </si>
  <si>
    <t xml:space="preserve">MR-48ft-clerestory-mail</t>
  </si>
  <si>
    <t xml:space="preserve">MR-48ft-clerestory-tpo</t>
  </si>
  <si>
    <t xml:space="preserve">NOTE: These go with the 45ft full brake. The 48ft full brake (D1067 - see Lacey &amp; Dow vol. 2 p. 373) is a corridor vehicle.</t>
  </si>
  <si>
    <t xml:space="preserve">MR-31ft-clerestory-lavatory-d492</t>
  </si>
  <si>
    <t xml:space="preserve">See Lacy &amp; Dow vol. 1 p. 137
See Lacy &amp; Dow vol. 1, p. 138</t>
  </si>
  <si>
    <t xml:space="preserve">MR-33ft-6in-clerestory-d491</t>
  </si>
  <si>
    <t xml:space="preserve">trains\mr-33ft-6-clerestory-carriages.dat</t>
  </si>
  <si>
    <t xml:space="preserve">MR-33ft-6in-clerestory-brake-d503-front</t>
  </si>
  <si>
    <t xml:space="preserve">See Lacy &amp; Dow vol. 1 p. 141
See Lacy &amp; Dow vol. 1, p. 138</t>
  </si>
  <si>
    <t xml:space="preserve">MR-33ft-6in-clerestory-brake-d503-rear</t>
  </si>
  <si>
    <t xml:space="preserve">LNWR-45ft-non-cor-lav</t>
  </si>
  <si>
    <t xml:space="preserve">Based on D154 as it would be if an all-third.
See Jenkinson (LNWR) p. 101</t>
  </si>
  <si>
    <t xml:space="preserve">trains\lnwr-45ft-non-cor-lav.dat</t>
  </si>
  <si>
    <t xml:space="preserve">LNWR-45ft-non-cor-lav-brake</t>
  </si>
  <si>
    <t xml:space="preserve">D327 - see Jenkinson (LNWR) p. 101</t>
  </si>
  <si>
    <t xml:space="preserve">LNWR-Jubilee</t>
  </si>
  <si>
    <t xml:space="preserve">Extrapolated.
Tractive effort from Wikipedia: http://en.wikipedia.org/wiki/LNWR_Jubilee_Class
Fully balanced compound
Note: These compound locomotives were considered mechanically unreliable.
Weight from Wikipedia: http://en.wikipedia.org/wiki/LNWR_Jubilee_Class</t>
  </si>
  <si>
    <t xml:space="preserve">trains\lnwr-jubilee-class.dat</t>
  </si>
  <si>
    <t xml:space="preserve">LBSCR-E4</t>
  </si>
  <si>
    <t xml:space="preserve">http://en.wikipedia.org/wiki/LB%26SCR_E4_class
http://en.wikipedia.org/wiki/LB%26SCR_E4_class</t>
  </si>
  <si>
    <t xml:space="preserve">trains\lbscr-e4.dat</t>
  </si>
  <si>
    <t xml:space="preserve">LNWR-PrinceOfWales-Tender</t>
  </si>
  <si>
    <t xml:space="preserve">trains\lnwr-PoW-tender.dat</t>
  </si>
  <si>
    <t xml:space="preserve">gnr-e1</t>
  </si>
  <si>
    <t xml:space="preserve">trains\gnr-e1.dat</t>
  </si>
  <si>
    <t xml:space="preserve">MR-60ft-clerestory-lav-3rd-d484</t>
  </si>
  <si>
    <t xml:space="preserve">See Lacey &amp; Dow vol. 1 p. 124-5</t>
  </si>
  <si>
    <t xml:space="preserve">MR-60ft-clerestory-brake-3rd-d496-front</t>
  </si>
  <si>
    <t xml:space="preserve">See Lacey &amp; Dow vol. 1 p. 130</t>
  </si>
  <si>
    <t xml:space="preserve">MR-60ft-clerestory-brake-3rd-d496-rear</t>
  </si>
  <si>
    <t xml:space="preserve">LSWR-M7</t>
  </si>
  <si>
    <t xml:space="preserve">Extrapolated</t>
  </si>
  <si>
    <t xml:space="preserve">trains\lswr-m7.dat</t>
  </si>
  <si>
    <t xml:space="preserve">LNWR-50ft-cor</t>
  </si>
  <si>
    <t xml:space="preserve">D268.
See Jenkinson (LNWR) p. 66
Ought to be 1903, but cove roof stock (1903 - 1907: see Jenkinson (LNWR) p. 76) omitted for expediency.</t>
  </si>
  <si>
    <t xml:space="preserve">trains\lnwr-50ft-cor.dat</t>
  </si>
  <si>
    <t xml:space="preserve">LNWR-50ft-cor-brake</t>
  </si>
  <si>
    <t xml:space="preserve">Centre brake
D316</t>
  </si>
  <si>
    <t xml:space="preserve">LSWR-700-class</t>
  </si>
  <si>
    <t xml:space="preserve">trains\lswr-700-class.dat</t>
  </si>
  <si>
    <t xml:space="preserve">LSWR-700-class-tender</t>
  </si>
  <si>
    <t xml:space="preserve">GNR-Klondyke</t>
  </si>
  <si>
    <t xml:space="preserve">CALIBRATED: See 85mph with 145 tons recorded by Charles Rous-Marten in the November 1903 Railway Magazine
reprinted by Charles Fryer, "British Locomotive Practice and Performance", p. 110.
http://en.wikipedia.org/wiki/GNR_Class_C1_%28small_boiler%29
http://en.wikipedia.org/wiki/GNR_Class_C1_%28small_boiler%29
http://www.lner.info/locos/C/c2.shtml
Should be somewhat uneconomic, as cylinders were too small for the boiler
and locomotives had to be worked hard to get required performance: see
above link</t>
  </si>
  <si>
    <t xml:space="preserve">trains\gnr-klondyke.dat</t>
  </si>
  <si>
    <t xml:space="preserve">SteamBig</t>
  </si>
  <si>
    <t xml:space="preserve">glasgow-room-and-kitchen</t>
  </si>
  <si>
    <t xml:space="preserve">http://www.semple.biz/glasgow/tram%20rolling%20stock.shtml
Guessed as no data available
Bogies and half enclosed deck
Inefficient at loading</t>
  </si>
  <si>
    <t xml:space="preserve">trams\glasgow-room-and-kitchen.dat</t>
  </si>
  <si>
    <t xml:space="preserve">Teak-Clerestory-TPO</t>
  </si>
  <si>
    <t xml:space="preserve">trains\teak-clerestory-tpo.dat</t>
  </si>
  <si>
    <t xml:space="preserve">Metropolitan-Class-E</t>
  </si>
  <si>
    <t xml:space="preserve">Extrapolated
Tractive effort from: http://www.brc-stockbook.co.uk/Met1.HTM</t>
  </si>
  <si>
    <t xml:space="preserve">london-underground\met-e-class.dat</t>
  </si>
  <si>
    <t xml:space="preserve">gnr-1321</t>
  </si>
  <si>
    <t xml:space="preserve">Extrapolated
http://www.lner.info/locos/D/d2.php</t>
  </si>
  <si>
    <t xml:space="preserve">trains\gnr-1321.dat</t>
  </si>
  <si>
    <t xml:space="preserve">glasgow-standard-1</t>
  </si>
  <si>
    <t xml:space="preserve">http://www.semple.biz/glasgow/tram%20rolling%20stock.shtml
We represent 3 of the Glasgow standard tram's 4 (or possibly 5)
phases of development: phase 1 (open top); phase 3 (closed top,
open vestibules) and phase 4 (fully enclosed).
Note also that the different liveries are produced using a
single .blend file, changing colours in the last two material
slots of the main mesh.
Capacity information is not given,
save that the lower deck seated
24. Total seating estimated from this.
Weight likewise guessed</t>
  </si>
  <si>
    <t xml:space="preserve">trams\glasgow-standard.dat</t>
  </si>
  <si>
    <t xml:space="preserve">LNWR-50ft-non-cor-arc-brake-front</t>
  </si>
  <si>
    <t xml:space="preserve">D345 - see Jenkinson (LNWR) p. 110</t>
  </si>
  <si>
    <t xml:space="preserve">trains\lnwr-50ft-non-cor-arc.dat</t>
  </si>
  <si>
    <t xml:space="preserve">LNWR-50ft-non-cor-arc</t>
  </si>
  <si>
    <t xml:space="preserve">D289 - see Jenkinson (LNWR) p. 110</t>
  </si>
  <si>
    <t xml:space="preserve">LNWR-50ft-non-cor-arc-brake-rear</t>
  </si>
  <si>
    <t xml:space="preserve">met-bogie-third</t>
  </si>
  <si>
    <t xml:space="preserve">http://www.bluebell-railway.co.uk/bluebell/bash/hist.html</t>
  </si>
  <si>
    <t xml:space="preserve">london-underground\met-bogie.dat</t>
  </si>
  <si>
    <t xml:space="preserve">met-bogie-brake-front</t>
  </si>
  <si>
    <t xml:space="preserve">met-bogie-brake-rear</t>
  </si>
  <si>
    <t xml:space="preserve">1898TubeStockFront</t>
  </si>
  <si>
    <t xml:space="preserve">london-underground\1898-tube-stock.dat</t>
  </si>
  <si>
    <t xml:space="preserve">1898TubeStockMiddle</t>
  </si>
  <si>
    <t xml:space="preserve">1898TubeStockRear</t>
  </si>
  <si>
    <t xml:space="preserve">GWR-Bulldog-Tender</t>
  </si>
  <si>
    <t xml:space="preserve">http://en.wikipedia.org/wiki/GWR_3300_Class</t>
  </si>
  <si>
    <t xml:space="preserve">trains\gwr-bulldog-tender.dat</t>
  </si>
  <si>
    <t xml:space="preserve">GWR-Bulldog</t>
  </si>
  <si>
    <t xml:space="preserve">Extrapolated. Based on non-rebuilt version (superheating was added in 1910)
Calculated using figures from: http://orion.math.iastate.edu/jdhsmith/term/slgbgw.htm
Loss factor set to 0.8. See also: http://www.gwr.org.uk/no440s.html
http://en.wikipedia.org/wiki/GWR_3300_Class</t>
  </si>
  <si>
    <t xml:space="preserve">trains\gwr-bulldog.dat</t>
  </si>
  <si>
    <t xml:space="preserve">PSWaverley2Mail</t>
  </si>
  <si>
    <t xml:space="preserve">MR-2441</t>
  </si>
  <si>
    <t xml:space="preserve">http://basilicafields.wordpress.com/2010/05/14/midland-locos-pt-4-johnsons-2441-class/
Extrapolated
http://en.wikipedia.org/wiki/Midland_Railway_2441_Class</t>
  </si>
  <si>
    <t xml:space="preserve">trains\mr-2441.dat</t>
  </si>
  <si>
    <t xml:space="preserve">PSWaverley2</t>
  </si>
  <si>
    <t xml:space="preserve">boats\ps-waverley2.dat</t>
  </si>
  <si>
    <t xml:space="preserve">MR-48ft-clerestory-cor-d575</t>
  </si>
  <si>
    <t xml:space="preserve">See Lacey &amp; Dow vol. 1 pp. 154 and 158</t>
  </si>
  <si>
    <t xml:space="preserve">trains\mr-48ft-clerestory-corridor-carriages.dat</t>
  </si>
  <si>
    <t xml:space="preserve">MR-48ft-clerestory-cor-lav-brake-front</t>
  </si>
  <si>
    <t xml:space="preserve">MR-48ft-clerestory-cor-lav-brake-rear</t>
  </si>
  <si>
    <t xml:space="preserve">MR-31ft-clerestory-cor-brake-d568</t>
  </si>
  <si>
    <t xml:space="preserve">See Lacy &amp; Dow vol. 2 pp. 446-7
This is Anglo-Scottish joint stock, but goes well with the 48ft clerestory corridor carriages.</t>
  </si>
  <si>
    <t xml:space="preserve">MR-60ft-clerestory-kitchen-dining-d444</t>
  </si>
  <si>
    <t xml:space="preserve">See Lacy &amp; Dow vol. 1 pp. 151-2
These were corridor vehicles
These were actually built in 1898, but it is unclear how these were used before other corridor vehicles were built.</t>
  </si>
  <si>
    <t xml:space="preserve">LSWR-K10</t>
  </si>
  <si>
    <t xml:space="preserve">trains\lswr-k10.dat</t>
  </si>
  <si>
    <t xml:space="preserve">lswr-watercart-tender</t>
  </si>
  <si>
    <t xml:space="preserve">NOTE: This version is only for use with passenger and mixed traffic classes due to the livery selections.
https://en.wikipedia.org/wiki/LSWR_D15_class</t>
  </si>
  <si>
    <t xml:space="preserve">trains\lswr-watercart-tender.dat</t>
  </si>
  <si>
    <t xml:space="preserve">LSWR-T9</t>
  </si>
  <si>
    <t xml:space="preserve">trains\lswr-t9.dat</t>
  </si>
  <si>
    <t xml:space="preserve">lswr-6-wheel-tender</t>
  </si>
  <si>
    <t xml:space="preserve">trains\lswr-6-wheel-tender.dat</t>
  </si>
  <si>
    <t xml:space="preserve">LivestockD25</t>
  </si>
  <si>
    <t xml:space="preserve">?
?</t>
  </si>
  <si>
    <t xml:space="preserve">trains\wagon-livestock-d25.dat</t>
  </si>
  <si>
    <t xml:space="preserve">1-Deck-Closed</t>
  </si>
  <si>
    <t xml:space="preserve">http://en.wikipedia.org/wiki/Tramcars_of_the_Sheffield_Tramway</t>
  </si>
  <si>
    <t xml:space="preserve">trams\1-deck-closed.dat</t>
  </si>
  <si>
    <t xml:space="preserve">lswr-48ft-fruit-brake</t>
  </si>
  <si>
    <t xml:space="preserve">trains\lswr-48ft-fruit-and-parcels-brake.dat</t>
  </si>
  <si>
    <t xml:space="preserve">lswr-48ft-parcels-brake</t>
  </si>
  <si>
    <t xml:space="preserve">2-Deck-Open</t>
  </si>
  <si>
    <t xml:space="preserve">Based on the original 1899 Sheffield tram car:
http://farm7.static.flickr.com/6109/6253438679_b85f925917.jpg (illustration)
http://en.wikipedia.org/wiki/Tramcars_of_the_Sheffield_Tramway (data)
These seem to have been a common standard of tram car: see
http://www.semple.biz/glasgow/tram%20rolling%20stock.shtml
for a Glasgow example, which was actually a rebuilt horse car.
Guessed based on contemporaneous type</t>
  </si>
  <si>
    <t xml:space="preserve">trams\2-deck-open.dat</t>
  </si>
  <si>
    <t xml:space="preserve">LBSCR-B4</t>
  </si>
  <si>
    <t xml:space="preserve">Extrapolated
http://en.wikipedia.org/wiki/LB%26SCR_B4_class
Actually built only until June 1902, but the successor (H1) is not introduced until 1905</t>
  </si>
  <si>
    <t xml:space="preserve">trains\lbscr-b4.dat</t>
  </si>
  <si>
    <t xml:space="preserve">LBSCR-B4-tender</t>
  </si>
  <si>
    <t xml:space="preserve">Actually built only until June 1902, but the successor (H1) is not introduced until 1905</t>
  </si>
  <si>
    <t xml:space="preserve">ltsr-51-class</t>
  </si>
  <si>
    <t xml:space="preserve">Extrapolated
http://orion.math.iastate.edu/jdhsmith/term/slgblts.htm
https://en.wikipedia.org/wiki/LT%26SR_51_Class</t>
  </si>
  <si>
    <t xml:space="preserve">trains\ltsr-51-class.dat</t>
  </si>
  <si>
    <t xml:space="preserve">Coal1900</t>
  </si>
  <si>
    <t xml:space="preserve">MR-2601</t>
  </si>
  <si>
    <t xml:space="preserve">Extrapolated
http://chasewaterstuff.wordpress.com/2012/04/07/steam-locos-of-a-leisurely-era-1887-johnson-4-2-2-midland-railway/
See http://orion.math.iastate.edu/jdhsmith/term/slgbmr.htm</t>
  </si>
  <si>
    <t xml:space="preserve">trains\mr-2601.dat</t>
  </si>
  <si>
    <t xml:space="preserve">GER-Claud-Hamilton</t>
  </si>
  <si>
    <t xml:space="preserve">Extrapolated
http://www.lner.info/locos/D/d14d15d16.shtml
http://www.lner.info/locos/D/d14d15d16.shtml</t>
  </si>
  <si>
    <t xml:space="preserve">trains\ger-claud.dat</t>
  </si>
  <si>
    <t xml:space="preserve">GER-Claud-Hamilton-Tender</t>
  </si>
  <si>
    <t xml:space="preserve">trains\ger-claud-tender.dat</t>
  </si>
  <si>
    <t xml:space="preserve">1900TubeStockTrailer</t>
  </si>
  <si>
    <t xml:space="preserve">london-underground\1900-tube-stock.dat</t>
  </si>
  <si>
    <t xml:space="preserve">1900TubeLoco</t>
  </si>
  <si>
    <t xml:space="preserve">london-underground\clr-loco.dat</t>
  </si>
  <si>
    <t xml:space="preserve">MR-2781</t>
  </si>
  <si>
    <t xml:space="preserve">Extrapolated
http://chasewaterstuff.wordpress.com/tag/s-w-johnson/
http://en.wikipedia.org/wiki/Midland_Railway_Class_3_4-4-0
http://chasewaterstuff.wordpress.com/tag/s-w-johnson/
http://orion.math.iastate.edu/jdhsmith/term/slgbmr.htm
Noted for high coal consumption: http://chasewaterstuff.wordpress.com/tag/s-w-johnson/</t>
  </si>
  <si>
    <t xml:space="preserve">MR-48ft-clerestory-non-lav-brake-d500-front</t>
  </si>
  <si>
    <t xml:space="preserve">See Lacey &amp; Dow vol. 1 p. 149
These were unusually comfortable suburban carriages</t>
  </si>
  <si>
    <t xml:space="preserve">MR-48ft-clerestory-non-lav-brake-d500-rear</t>
  </si>
  <si>
    <t xml:space="preserve">See Lacey &amp; Dow vol. 1 p. 149
And also vol. 2 pp. 269-271
These were unusually comfortable suburban carriages</t>
  </si>
  <si>
    <t xml:space="preserve">MR-48ft-clerestory-non-lav</t>
  </si>
  <si>
    <t xml:space="preserve">These were unusually comfortable suburban carriages</t>
  </si>
  <si>
    <t xml:space="preserve">lorry-trailer-early-bulk</t>
  </si>
  <si>
    <t xml:space="preserve">bus\lorry-trailers-early.dat</t>
  </si>
  <si>
    <t xml:space="preserve">lorry-trailer-early-long</t>
  </si>
  <si>
    <t xml:space="preserve">lorry-trailer-early-piece</t>
  </si>
  <si>
    <t xml:space="preserve">lorry-trailer-early-cool</t>
  </si>
  <si>
    <t xml:space="preserve">lorry-trailer-early-livestock</t>
  </si>
  <si>
    <t xml:space="preserve">ThornycroftWagonBulk</t>
  </si>
  <si>
    <t xml:space="preserve">http://www.gracesguide.co.uk/images/4/42/Im1901Eing-Thornycroft4.jpg
The dimensions are taken from the Leyland B type as they are not readily
available for the Thorneycroft so far as I can find.
See: http://www.leylandsociety.co.uk/publications/torque/pdf/Torque031.pdf
http://www.steamscenes.org.uk/engines/thornycroft/wagon/39/1/</t>
  </si>
  <si>
    <t xml:space="preserve">bus\thornycroft-wagon.dat</t>
  </si>
  <si>
    <t xml:space="preserve">TruckDriver</t>
  </si>
  <si>
    <t xml:space="preserve">ThornycroftWagonLong</t>
  </si>
  <si>
    <t xml:space="preserve">ThornycroftWagonPiece</t>
  </si>
  <si>
    <t xml:space="preserve">ThornycroftWagonCool</t>
  </si>
  <si>
    <t xml:space="preserve">ThornycroftWagonLivestock</t>
  </si>
  <si>
    <t xml:space="preserve">gnr-g3</t>
  </si>
  <si>
    <t xml:space="preserve">Extrapolated
http://orion.math.iastate.edu/jdhsmith/term/slgbgnr.htm
Also, Ahrons p. 302</t>
  </si>
  <si>
    <t xml:space="preserve">trains\gnr-g3.dat</t>
  </si>
  <si>
    <t xml:space="preserve">Metropolitan-F-Class</t>
  </si>
  <si>
    <t xml:space="preserve">Extrapolated
Calculated using data from https://orion.math.iastate.edu/jdhsmith/term/slgbmet.htm with loss factor of 0.8
Actually only built in 1901, but this is very short.
Weight guessed.</t>
  </si>
  <si>
    <t xml:space="preserve">london-underground\met-f-class.dat</t>
  </si>
  <si>
    <t xml:space="preserve">TSSKingEdwardMail</t>
  </si>
  <si>
    <t xml:space="preserve">LNWR-Alfred-the-Great</t>
  </si>
  <si>
    <t xml:space="preserve">These were also called the "Benbow class" afer a modification.
Extrapolated
Tractive effort from Wikipedia: http://en.wikipedia.org/wiki/LNWR_Alfred_the_Great_Class
Fully balanced compound
Note: These compound locomotives were considered mechanically unreliable.
Weight from Wikipedia: http://en.wikipedia.org/wiki/LNWR_Alfred_the_Great_Class
Graphics also used by "Jubilee" class</t>
  </si>
  <si>
    <t xml:space="preserve">trains\lnwr-alfred-the-great.dat</t>
  </si>
  <si>
    <t xml:space="preserve">leyland-class-b-bulk</t>
  </si>
  <si>
    <t xml:space="preserve">http://www.leylandsociety.co.uk/publications/torque/pdf/Torque028.pdf
Note: not superheated</t>
  </si>
  <si>
    <t xml:space="preserve">bus\leyland-class-b.dat</t>
  </si>
  <si>
    <t xml:space="preserve">leyland-class-b-long</t>
  </si>
  <si>
    <t xml:space="preserve">leyland-class-b-piece</t>
  </si>
  <si>
    <t xml:space="preserve">leyland-class-b-cool</t>
  </si>
  <si>
    <t xml:space="preserve">leyland-class-b-livestock</t>
  </si>
  <si>
    <t xml:space="preserve">leyland-class-b-tanker</t>
  </si>
  <si>
    <t xml:space="preserve">daimler-wagonette</t>
  </si>
  <si>
    <t xml:space="preserve">petrol</t>
  </si>
  <si>
    <t xml:space="preserve">http://www.oldwoodies.com/img/uk/03daimler_22hp_wagonette.jpg
Weird arrangement: 5 seconds per passenger</t>
  </si>
  <si>
    <t xml:space="preserve">bus\daimler-wagonette.dat</t>
  </si>
  <si>
    <t xml:space="preserve">EarlyTruckRoad</t>
  </si>
  <si>
    <t xml:space="preserve">TruckRoad</t>
  </si>
  <si>
    <t xml:space="preserve">Petrol1900</t>
  </si>
  <si>
    <t xml:space="preserve">TSSKingEdward</t>
  </si>
  <si>
    <t xml:space="preserve">boats\tss-king-edward.dat</t>
  </si>
  <si>
    <t xml:space="preserve">lut-type-z</t>
  </si>
  <si>
    <t xml:space="preserve">See "London Tramways" (John Reed, pub. Capital Transport, ISBN 1-85414-179-1) pp. 66-7
2x 25hp motors (Reed p. 66); 50hp = 37kW
Bogies, padded seats on lower deck, open top</t>
  </si>
  <si>
    <t xml:space="preserve">trams\lut-type-z.dat</t>
  </si>
  <si>
    <t xml:space="preserve">LNWR-BClass</t>
  </si>
  <si>
    <t xml:space="preserve">Extrapolated
Tractive effort data unavailalbe: guessed from similar classes:
http://en.wikipedia.org/wiki/LNWR_G_Class
Fully balanced 4 cylinder compound
Weight given by the LNWR Soceity: http://www.lnwrs.org.uk/GoodsLocos/Loco11.php</t>
  </si>
  <si>
    <t xml:space="preserve">trains\lnwr-Bclass.dat</t>
  </si>
  <si>
    <t xml:space="preserve">ltsr-46ft-bogie-dia18</t>
  </si>
  <si>
    <t xml:space="preserve">trains\ltsr-bogie.dat</t>
  </si>
  <si>
    <t xml:space="preserve">ltsr-46ft-bogie-lav</t>
  </si>
  <si>
    <t xml:space="preserve">ltsr-46ft-bogie-brake-dia26</t>
  </si>
  <si>
    <t xml:space="preserve">MR-1000-Tender</t>
  </si>
  <si>
    <t xml:space="preserve">trains\mr-1000-tender.dat</t>
  </si>
  <si>
    <t xml:space="preserve">MR-2631</t>
  </si>
  <si>
    <t xml:space="preserve">Extrapolated
Three cylinder compound
Ahrons p. 328</t>
  </si>
  <si>
    <t xml:space="preserve">trains\mr-2631.dat</t>
  </si>
  <si>
    <t xml:space="preserve">milnes-daimler-single-1902</t>
  </si>
  <si>
    <t xml:space="preserve">https://myntransportblog.files.wordpress.com/2014/06/1903-milnes-daimler-motor-omnibus.jpg
https://myntransportblog.com/2014/06/30/milnes-daimler-london-england-uk/
Below guessed
Guessed retirement date
Rear platform with conductor: 2.0 seconds per passenger</t>
  </si>
  <si>
    <t xml:space="preserve">bus\milnes-daimler-single-1902.dat</t>
  </si>
  <si>
    <t xml:space="preserve">GWR-Saint</t>
  </si>
  <si>
    <t xml:space="preserve">Extrapolated.
http://en.wikipedia.org/wiki/GWR_2900_Class
Ahrons p. 334</t>
  </si>
  <si>
    <t xml:space="preserve">trains\gwr-saint.dat</t>
  </si>
  <si>
    <t xml:space="preserve">GWR-Saint-Tender</t>
  </si>
  <si>
    <t xml:space="preserve">GWR-City</t>
  </si>
  <si>
    <t xml:space="preserve">Non-superheated version.
CALIBRATED
Calibrated at 102.3mph on the flat with load of 243t gross: 421.2kW
Calibrated at 92mph on the flat with load of 243t gross: 349kW (see http://www.swindonweb.com/index.asp?m=8&amp;s=116&amp;ss=336)
This was down a 1:90 bank: http://en.wikipedia.org/wiki/Wellington_Bank,_Somerset
So, -121kW for 102.3mph or -108kW for 92mph, giving net figures of
300kW for 102.3mph or 241kW for 92mph
http://en.wikipedia.org/wiki/GWR_3700_Class
http://en.wikipedia.org/wiki/GWR_3700_Class</t>
  </si>
  <si>
    <t xml:space="preserve">trains\gwr-city.dat</t>
  </si>
  <si>
    <t xml:space="preserve">MR-45ft-clerestory-full-brake-d531</t>
  </si>
  <si>
    <t xml:space="preserve">See Lacy &amp; Dow vol. 2 pp. 370-1
Before these were built, 6 wheel full brakes were used instead (d530).</t>
  </si>
  <si>
    <t xml:space="preserve">trains\mr-45ft-clerestory-carriages.dat</t>
  </si>
  <si>
    <t xml:space="preserve">MR-48ft-arc-d487</t>
  </si>
  <si>
    <t xml:space="preserve">See Lacy &amp; Dow vol. 2 pp. 273-6</t>
  </si>
  <si>
    <t xml:space="preserve">trains\mr-48ft-arc-carriages.dat</t>
  </si>
  <si>
    <t xml:space="preserve">MR-48ft-arc-brake-d501-front</t>
  </si>
  <si>
    <t xml:space="preserve">MR-48ft-arc-brake-d501-rear</t>
  </si>
  <si>
    <t xml:space="preserve">LBSCR-E5</t>
  </si>
  <si>
    <t xml:space="preserve">Extrapolated
http://en.wikipedia.org/wiki/LB%26SCR_E5_class
In reality, only built to 1911, but are no successors.
http://www.semgonline.com/steam/e5class_01.html</t>
  </si>
  <si>
    <t xml:space="preserve">trains\lbscr-e5.dat</t>
  </si>
  <si>
    <t xml:space="preserve">GNR-C1</t>
  </si>
  <si>
    <t xml:space="preserve">Extrapolated
http://en.wikipedia.org/wiki/GNR_Class_C1_%28large_boiler%29
http://en.wikipedia.org/wiki/GNR_Class_C1_%28large_boiler%29
Ahrons p. 334</t>
  </si>
  <si>
    <t xml:space="preserve">trains\gnr-c1.dat</t>
  </si>
  <si>
    <t xml:space="preserve">BrakeD93</t>
  </si>
  <si>
    <t xml:space="preserve">trains\wagon-brake-d93.dat</t>
  </si>
  <si>
    <t xml:space="preserve">LSWR-S11</t>
  </si>
  <si>
    <t xml:space="preserve">trains\lswr-s11.dat</t>
  </si>
  <si>
    <t xml:space="preserve">LSWR-L11</t>
  </si>
  <si>
    <t xml:space="preserve">trains\lswr-l11.dat</t>
  </si>
  <si>
    <t xml:space="preserve">Long10T</t>
  </si>
  <si>
    <t xml:space="preserve">trains\wagon-long-10t.dat</t>
  </si>
  <si>
    <t xml:space="preserve">SECRQueen</t>
  </si>
  <si>
    <t xml:space="preserve">https://en.wikipedia.org/wiki/TSS_The_Queen
40-60 minutes</t>
  </si>
  <si>
    <t xml:space="preserve">boats\secr-queen.dat</t>
  </si>
  <si>
    <t xml:space="preserve">ltsr-69-class</t>
  </si>
  <si>
    <t xml:space="preserve">Extrapolated
http://orion.math.iastate.edu/jdhsmith/term/slgblts.htm
https://en.wikipedia.org/wiki/LT%26SR_69_Class</t>
  </si>
  <si>
    <t xml:space="preserve">trains\ltsr-69-class.dat</t>
  </si>
  <si>
    <t xml:space="preserve">SECRQueenAddMail</t>
  </si>
  <si>
    <t xml:space="preserve">boats\holds\secr-queen-mail.dat</t>
  </si>
  <si>
    <t xml:space="preserve">BulkRCH10T</t>
  </si>
  <si>
    <t xml:space="preserve">trains\wagon-bulk-rch-10t.dat</t>
  </si>
  <si>
    <t xml:space="preserve">MR-2736</t>
  </si>
  <si>
    <t xml:space="preserve">Estimated approximately using estimated heating surface and firegrate areas.
Calculated from data http://en.wikipedia.org/wiki/Midland_Railway_Johnson_0-6-0
Loss factor set at 0.8
Should be 1908, but 3836 class/4F not introduced until 1911
http://en.wikipedia.org/wiki/Midland_Railway_Johnson_0-6-0</t>
  </si>
  <si>
    <t xml:space="preserve">trains\mr-2736.dat</t>
  </si>
  <si>
    <t xml:space="preserve">GWR-2800-Tender</t>
  </si>
  <si>
    <t xml:space="preserve">trains\gwr-2800-tender.dat</t>
  </si>
  <si>
    <t xml:space="preserve">CoolD88</t>
  </si>
  <si>
    <t xml:space="preserve">trains\wagon-cool-d88.dat</t>
  </si>
  <si>
    <t xml:space="preserve">GWR-2800</t>
  </si>
  <si>
    <t xml:space="preserve">These were later superheated - consider adding superheated version.
Extrapolated</t>
  </si>
  <si>
    <t xml:space="preserve">trains\gwr-2800.dat</t>
  </si>
  <si>
    <t xml:space="preserve">Mersey-EMU(front)</t>
  </si>
  <si>
    <t xml:space="preserve">Hamilton Ellis p. 260
Unheated with hard plywood seats in third class.
Rattan seats in first.</t>
  </si>
  <si>
    <t xml:space="preserve">trains\mersey-emu.dat</t>
  </si>
  <si>
    <t xml:space="preserve">Mersey-EMU(trailer)</t>
  </si>
  <si>
    <t xml:space="preserve">Mersey-EMU(trailer-first)</t>
  </si>
  <si>
    <t xml:space="preserve">Hamilton Ellis, p. 260</t>
  </si>
  <si>
    <t xml:space="preserve">Mersey-EMU(rear)</t>
  </si>
  <si>
    <t xml:space="preserve">District_A_StockFrontDM</t>
  </si>
  <si>
    <t xml:space="preserve">http://en.wikipedia.org/wiki/District_Railway_electric_multiple_units#Origins
http://en.wikipedia.org/wiki/London_Underground_A_Stock
Note that these had wooden underframes, which proved insufficiently robust,
prompting their early withdrawal.
These were apparently originally bright yellow: see Hamilton Ellis p. 260.</t>
  </si>
  <si>
    <t xml:space="preserve">london-underground\district-a-stock.dat</t>
  </si>
  <si>
    <t xml:space="preserve">District_A_StockMiddle</t>
  </si>
  <si>
    <t xml:space="preserve">District_A_StockMiddle-first</t>
  </si>
  <si>
    <t xml:space="preserve">https://machorne.wordpress.com/2013/07/07/a-first-class-mystery-on-the-district-railway/
The same layout - just different seat coverings.</t>
  </si>
  <si>
    <t xml:space="preserve">District_A_StockRearDM</t>
  </si>
  <si>
    <t xml:space="preserve">ger-belpaire-claud</t>
  </si>
  <si>
    <t xml:space="preserve">Extrapolated
http://www.lner.info/locos/D/d14d15d16.php
http://www.lner.info/locos/D/d14d15d16.shtml</t>
  </si>
  <si>
    <t xml:space="preserve">trains\ger-belpaire-claud.dat</t>
  </si>
  <si>
    <t xml:space="preserve">GWR-Prairie-Tank</t>
  </si>
  <si>
    <t xml:space="preserve">These were later superheated: see http://orion.math.iastate.edu/jdhsmith/term/slgbgw.htm
Extrapolated</t>
  </si>
  <si>
    <t xml:space="preserve">trains\gwr-prairie.dat</t>
  </si>
  <si>
    <t xml:space="preserve">1903TubeStockFront</t>
  </si>
  <si>
    <t xml:space="preserve">1903TubeStockRear</t>
  </si>
  <si>
    <t xml:space="preserve">LSWR-corridor-brake-front</t>
  </si>
  <si>
    <t xml:space="preserve">trains\lswr-corridor.dat</t>
  </si>
  <si>
    <t xml:space="preserve">LSWR-corridor-brake-rear</t>
  </si>
  <si>
    <t xml:space="preserve">LSWR-dining-saloon</t>
  </si>
  <si>
    <t xml:space="preserve">MR-54ft-clerestory-cor-d560</t>
  </si>
  <si>
    <t xml:space="preserve">See Lacy &amp; Dow vol. 2 pp. 185-6
These are 6'5 rather than 6'6 between compartments as the 48ft versions were.</t>
  </si>
  <si>
    <t xml:space="preserve">trains\mr-54ft-clerestory-corridor-carriages.dat</t>
  </si>
  <si>
    <t xml:space="preserve">MR-54ft-clerestory-cor-brake-d467-front</t>
  </si>
  <si>
    <t xml:space="preserve">MR-54ft-clerestory-cor-brake-d467-rear</t>
  </si>
  <si>
    <t xml:space="preserve">lcc-a-class</t>
  </si>
  <si>
    <t xml:space="preserve">See "London Tramways" (John Reed, pub. Capital Transport, ISBN 1-85414-179-1) p. 38
Bogies, wooden seats, open top
I cannot find information as to the differences between
the LCC red livery of post 1926 and the LPTB livery.
They were very similar, but must have been at least
slightly different. Using the same graphics for now.</t>
  </si>
  <si>
    <t xml:space="preserve">trams\lcc-a-class.dat</t>
  </si>
  <si>
    <t xml:space="preserve">lcc-c-class</t>
  </si>
  <si>
    <t xml:space="preserve">See "London Tramways" (John Reed, pub. Capital Transport, ISBN 1-85414-179-1) p. 38
and also http://www.lcctt.org.uk/106.htm (albeit that that page relates to the similar B class)
I cannot find information as to the differences between
the LCC red livery of post 1926 and the LPTB livery.
They were very similar, but must have been at least
slightly different. Using the same graphics for now.</t>
  </si>
  <si>
    <t xml:space="preserve">trams\lcc-c-class.dat</t>
  </si>
  <si>
    <t xml:space="preserve">LSWR-corridor</t>
  </si>
  <si>
    <t xml:space="preserve">glasgow-standard-3</t>
  </si>
  <si>
    <t xml:space="preserve">Standard phase II is omitted
Weight likewise guessed</t>
  </si>
  <si>
    <t xml:space="preserve">LNWR-Precursor</t>
  </si>
  <si>
    <t xml:space="preserve">CALIBRATED: See 77.4mph with 170 tons recorded by Charles Rous-Marten in the July 1905 Railway Magazine
reprinted by Charles Fryer, "British Locomotive Practice and Performance", p. 96.
Tractive effort from Wikipedia: http://en.wikipedia.org/wiki/LNWR_Whale_Precursor_Class
Weight from Wikipedia: http://en.wikipedia.org/wiki/LNWR_Whale_Precursor_Class
Graphics also used by "Renown" class</t>
  </si>
  <si>
    <t xml:space="preserve">trains\lnwr-precursor.dat</t>
  </si>
  <si>
    <t xml:space="preserve">LNWR-Experiment</t>
  </si>
  <si>
    <t xml:space="preserve">Extrapolated
Tractive effort from Wikipedia: http://en.wikipedia.org/wiki/LNWR_Whale_Experiment_Class
Weight from Wikipedia: http://en.wikipedia.org/wiki/LNWR_Prince_of_Wales_Class
Ahrons p. 334</t>
  </si>
  <si>
    <t xml:space="preserve">trains\lnwr-experiment.dat</t>
  </si>
  <si>
    <t xml:space="preserve">dennis-15cwt-van-piece</t>
  </si>
  <si>
    <t xml:space="preserve">http://www.dennissociety.org.uk/history.html
See "The Illustrated History of Dennis buses and trucks" by Nick Baldwin, p. 8
12hp (Baldwin, p. 8)</t>
  </si>
  <si>
    <t xml:space="preserve">bus\dennis-15cwt-van.dat</t>
  </si>
  <si>
    <t xml:space="preserve">dennis-15cwt-van-cool</t>
  </si>
  <si>
    <t xml:space="preserve">12hp (Baldwin, p. 8)</t>
  </si>
  <si>
    <t xml:space="preserve">dennis-15cwt-van-post</t>
  </si>
  <si>
    <t xml:space="preserve">MR-54ft-clerestory-non-lav-d485</t>
  </si>
  <si>
    <t xml:space="preserve">See Lacey &amp; Dow vol. 2 pp. 179-181</t>
  </si>
  <si>
    <t xml:space="preserve">trains\mr-54ft-clerestory-carriages.dat</t>
  </si>
  <si>
    <t xml:space="preserve">MR-54ft-clerestory-brake-d497-front</t>
  </si>
  <si>
    <t xml:space="preserve">See Lacey &amp; Dow vol. 2 pp. 179-182
Reduction from 6'6 to 6'3 between partitions from 48ft versions and non-brake carriage.</t>
  </si>
  <si>
    <t xml:space="preserve">MR-54ft-clerestory-brake-d497-rear</t>
  </si>
  <si>
    <t xml:space="preserve">LSWR-L12</t>
  </si>
  <si>
    <t xml:space="preserve">trains\lswr-l12.dat</t>
  </si>
  <si>
    <t xml:space="preserve">NER-Tyneside-unit(front)</t>
  </si>
  <si>
    <t xml:space="preserve">See Jenkinson p. 254.
This is the motor thir (dia. no. 5 on that page)</t>
  </si>
  <si>
    <t xml:space="preserve">trains\ner-tyneside-emu.dat</t>
  </si>
  <si>
    <t xml:space="preserve">NER-Tyneside-unit(driving trailer)</t>
  </si>
  <si>
    <t xml:space="preserve">(Dia. no. 4 on Jenkinson p. 254)
The graphics do not permit for this, but there was no single ended driving trailer.
TODO: Modify these graphics to show this as double ended to allow this constraint
to be uncommented.
Constraint[Prev][2]=none</t>
  </si>
  <si>
    <t xml:space="preserve">NER-Tyneside-unit(trailer1)</t>
  </si>
  <si>
    <t xml:space="preserve">(Dia. no. 7 on Jenkinson p. 254)</t>
  </si>
  <si>
    <t xml:space="preserve">NER-Tyneside-unit(trailer2)</t>
  </si>
  <si>
    <t xml:space="preserve">(Dia. no. 8 on Jenkinson p. 255)</t>
  </si>
  <si>
    <t xml:space="preserve">NER-Tyneside-unit(rear motor)</t>
  </si>
  <si>
    <t xml:space="preserve">(Dia. no. 6 on Jenkinson p. 254)</t>
  </si>
  <si>
    <t xml:space="preserve">NER-Tyneside-mpv</t>
  </si>
  <si>
    <t xml:space="preserve">(Dia. no. 9 on Jenkinson p. 255)</t>
  </si>
  <si>
    <t xml:space="preserve">lswr-56ft-lav-brake-front</t>
  </si>
  <si>
    <t xml:space="preserve">Lavatory compartment carriages
These are the longer, early 20th century carriages with elliptical rooves.
http://www.bluebell-railway.co.uk/bluebell/pics/1520.html
https://www.flickr.com/photos/14730981@N08/9131141144/in/album-72157634312765222/</t>
  </si>
  <si>
    <t xml:space="preserve">trains\lswr-56ft-lav.dat</t>
  </si>
  <si>
    <t xml:space="preserve">lswr-56ft-lav-brake-rear</t>
  </si>
  <si>
    <t xml:space="preserve">https://www.flickr.com/photos/14730981@N08/9131141144/in/album-72157634312765222/</t>
  </si>
  <si>
    <t xml:space="preserve">lswr-56ft-lav</t>
  </si>
  <si>
    <t xml:space="preserve">lswr-56ft-sub-brake-front</t>
  </si>
  <si>
    <t xml:space="preserve">Non-lavatory compartment carriages
These are the longer, early 20th century carriages with elliptical rooves.
Based on the weight of the lavatory version: see
https://www.flickr.com/photos/14730981@N08/9131141144/in/album-72157634312765222/</t>
  </si>
  <si>
    <t xml:space="preserve">trains\lswr-56ft-sub.dat</t>
  </si>
  <si>
    <t xml:space="preserve">lswr-56ft-sub-brake-rear</t>
  </si>
  <si>
    <t xml:space="preserve">Based on the weight of the lavatory version: see
https://www.flickr.com/photos/14730981@N08/9131141144/in/album-72157634312765222/</t>
  </si>
  <si>
    <t xml:space="preserve">lswr-56ft-sub</t>
  </si>
  <si>
    <t xml:space="preserve">milnes-daimler-double</t>
  </si>
  <si>
    <t xml:space="preserve">https://www.mercedes-benz.com/en/mercedes-benz/classic/museum/milnes-daimler-double-decker-bus/
Rear platform with conductor: 2.0 seconds per passenger</t>
  </si>
  <si>
    <t xml:space="preserve">bus\milnes-daimler-double.dat</t>
  </si>
  <si>
    <t xml:space="preserve">LBSCR-E6</t>
  </si>
  <si>
    <t xml:space="preserve">Extrapolated
http://en.wikipedia.org/wiki/LB%26SCR_E6_class
In reality, only built to 1915, but are no successors.
http://en.wikipedia.org/wiki/LB%26SCR_E6_class
http://orion.math.iastate.edu/jdhsmith/term/slgblbsc.htm</t>
  </si>
  <si>
    <t xml:space="preserve">trains\lbscr-e6.dat</t>
  </si>
  <si>
    <t xml:space="preserve">milnes-daimler-single</t>
  </si>
  <si>
    <t xml:space="preserve">https://myntransportblog.files.wordpress.com/2014/06/1905-gcr-milnes-daimler-bus-in-mottram-hollingworth.jpg
Guessed retirement date
Rear platform with conductor: 2.0 seconds per passenger</t>
  </si>
  <si>
    <t xml:space="preserve">bus\milnes-daimler-single.dat</t>
  </si>
  <si>
    <t xml:space="preserve">Metropolitan1905GateFront</t>
  </si>
  <si>
    <t xml:space="preserve">http://en.wikipedia.org/wiki/Metropolitan_Railway_electric_multiple_units#Early_units
Note that it should be possible to have one of these with a cab at both ends: see above.
TODO: Find out when the Metropolitan abolished first class. It is not clear whether
these should have first class capability. Assuming all third for now.</t>
  </si>
  <si>
    <t xml:space="preserve">london-underground\met-1905-gate.dat</t>
  </si>
  <si>
    <t xml:space="preserve">Metropolitan1905GateMiddle</t>
  </si>
  <si>
    <t xml:space="preserve">Metropolitan1905GateRear</t>
  </si>
  <si>
    <t xml:space="preserve">LBSCR-sub-bogie-54ft</t>
  </si>
  <si>
    <t xml:space="preserve">Bogie suburban stock - 54ft -
8 compartments for 48ft, and
9 compartments for 54ft/
See http://www.semgonline.com/coach/iow_01.html
for a picture of a 9 compartment carriage.
Guessed</t>
  </si>
  <si>
    <t xml:space="preserve">trains\lbscr-sub-bogie-54ft.dat</t>
  </si>
  <si>
    <t xml:space="preserve">LBSCR-sub-bogie-54ft-brake-rear</t>
  </si>
  <si>
    <t xml:space="preserve">LBSCR-sub-bogie-54ft-brake-front</t>
  </si>
  <si>
    <t xml:space="preserve">District_BCD_StockFrontDM</t>
  </si>
  <si>
    <t xml:space="preserve">http://en.wikipedia.org/wiki/London_Underground_B_Stock
Note that these had wooden underframes, which proved insufficiently robust,
prompting their early withdrawal.</t>
  </si>
  <si>
    <t xml:space="preserve">london-underground\district-bcd-stock.dat</t>
  </si>
  <si>
    <t xml:space="preserve">District_BCD_StockMiddle</t>
  </si>
  <si>
    <t xml:space="preserve">District_BCD_StockMiddle-first</t>
  </si>
  <si>
    <t xml:space="preserve">District_BCD_StockRearDM</t>
  </si>
  <si>
    <t xml:space="preserve">LargeSteelRiverSteamer</t>
  </si>
  <si>
    <t xml:space="preserve">boats\large-steel-river-steamer.dat</t>
  </si>
  <si>
    <t xml:space="preserve">GWR-Autocoach</t>
  </si>
  <si>
    <t xml:space="preserve">http://www.flickr.com/photos/camperdown/6837210593/
NOTE: When other pannier types are added, this will need to be changed.
Ony the 54xx and 64xx series were auto fitted in panniers.</t>
  </si>
  <si>
    <t xml:space="preserve">trains\gwr-autocoach.dat</t>
  </si>
  <si>
    <t xml:space="preserve">GWR-517Tank-AutoFitted</t>
  </si>
  <si>
    <t xml:space="preserve">leyland-class-h-bulk</t>
  </si>
  <si>
    <t xml:space="preserve">http://www.leylandsociety.co.uk/publications/torque/pdf/Torque031.pdf
Note: not superheated. See http://www.leylandsociety.co.uk/publications/torque/pdf/Torque034.pdf</t>
  </si>
  <si>
    <t xml:space="preserve">bus\leyland-class-h.dat</t>
  </si>
  <si>
    <t xml:space="preserve">leyland-class-h-long</t>
  </si>
  <si>
    <t xml:space="preserve">leyland-class-h-piece</t>
  </si>
  <si>
    <t xml:space="preserve">leyland-class-h-cool</t>
  </si>
  <si>
    <t xml:space="preserve">leyland-class-h-livestock</t>
  </si>
  <si>
    <t xml:space="preserve">leyland-class-h-tanker</t>
  </si>
  <si>
    <t xml:space="preserve">SemiDieselNarrowboatBulk</t>
  </si>
  <si>
    <t xml:space="preserve">diesel</t>
  </si>
  <si>
    <t xml:space="preserve">boats\semi-diesel-narrowboat.dat</t>
  </si>
  <si>
    <t xml:space="preserve">DieselEarly</t>
  </si>
  <si>
    <t xml:space="preserve">SemiDieselNarrowboatLong</t>
  </si>
  <si>
    <t xml:space="preserve">SemiDieselNarrowboatPiece</t>
  </si>
  <si>
    <t xml:space="preserve">SemiDieselNarrowboatCool</t>
  </si>
  <si>
    <t xml:space="preserve">SemiDieselNarrowboatOil</t>
  </si>
  <si>
    <t xml:space="preserve">SemiDieselNarrowboatLivestock</t>
  </si>
  <si>
    <t xml:space="preserve">NER-ClassES1</t>
  </si>
  <si>
    <t xml:space="preserve">No multiple working</t>
  </si>
  <si>
    <t xml:space="preserve">trains\ner-es1.dat</t>
  </si>
  <si>
    <t xml:space="preserve">DistrictElectricLoco</t>
  </si>
  <si>
    <t xml:space="preserve">london-underground\district-electric-loco.dat</t>
  </si>
  <si>
    <t xml:space="preserve">MR-1000</t>
  </si>
  <si>
    <t xml:space="preserve">Extrapolated
http://en.wikipedia.org/wiki/Midland_Railway_1000_Class
Three cylinder compound
Ahrons p. 328</t>
  </si>
  <si>
    <t xml:space="preserve">trains\mr-1000.dat</t>
  </si>
  <si>
    <t xml:space="preserve">LBSCR-balloon</t>
  </si>
  <si>
    <t xml:space="preserve">Later lavatory compartment stock</t>
  </si>
  <si>
    <t xml:space="preserve">trains\lbscr-balloon.dat</t>
  </si>
  <si>
    <t xml:space="preserve">LBSCR-balloon-brake-rear</t>
  </si>
  <si>
    <t xml:space="preserve">LBSCR-balloon-brake-front</t>
  </si>
  <si>
    <t xml:space="preserve">LBSCR-balloon-full-brake</t>
  </si>
  <si>
    <t xml:space="preserve">LBSCR-H1</t>
  </si>
  <si>
    <t xml:space="preserve">Extrapolated
http://en.wikipedia.org/wiki/LB%26SCR_H1_class
Should be 1906, but no obvious replacements until the H2
http://www.bluebell-railway.co.uk/bluebell/locos/atlantic/</t>
  </si>
  <si>
    <t xml:space="preserve">trains\lbscr-h1.dat</t>
  </si>
  <si>
    <t xml:space="preserve">LBSCR-H1-Tender</t>
  </si>
  <si>
    <t xml:space="preserve">Should be 1906, but no obvious replacements.</t>
  </si>
  <si>
    <t xml:space="preserve">1906TubeStockFront</t>
  </si>
  <si>
    <t xml:space="preserve">london-underground\1906-tube-stock.dat</t>
  </si>
  <si>
    <t xml:space="preserve">1906TubeStockTrailer</t>
  </si>
  <si>
    <t xml:space="preserve">1906TubeStockRear</t>
  </si>
  <si>
    <t xml:space="preserve">sentinel-standard-6t-bulk</t>
  </si>
  <si>
    <t xml:space="preserve">http://www.tractionengine-photos.net/picture/show/1175/Sentinel-Steam-Wagon
This is the heavier 6t version
Dimensions for this are not available, so using those of the Super Sentinel
http://www.sentinelwaggons.co.uk/sentinelpage1.htm</t>
  </si>
  <si>
    <t xml:space="preserve">bus\sentinel-standard-6t.dat</t>
  </si>
  <si>
    <t xml:space="preserve">sentinel-standard-6t-long</t>
  </si>
  <si>
    <t xml:space="preserve">sentinel-standard-6t-piece</t>
  </si>
  <si>
    <t xml:space="preserve">sentinel-standard-6t-cool</t>
  </si>
  <si>
    <t xml:space="preserve">sentinel-standard-6t-livestock</t>
  </si>
  <si>
    <t xml:space="preserve">sentinel-standard-6t-tanker</t>
  </si>
  <si>
    <t xml:space="preserve">LNWR-Precursor-tank</t>
  </si>
  <si>
    <t xml:space="preserve">Extrapolated
http://en.wikipedia.org/wiki/LNWR_Precursor_Tank_Class
http://en.wikipedia.org/wiki/LNWR_Precursor_Tank_Class</t>
  </si>
  <si>
    <t xml:space="preserve">trains\lnwr-precursor-tank.dat</t>
  </si>
  <si>
    <t xml:space="preserve">LNWR-19in-express-goods</t>
  </si>
  <si>
    <t xml:space="preserve">Extrapolated
Weight from Wikipedia: https://en.wikipedia.org/wiki/LNWR_19in_Express_Goods_Class</t>
  </si>
  <si>
    <t xml:space="preserve">trains\lnwr-19in-express-goods.dat</t>
  </si>
  <si>
    <t xml:space="preserve">MetCamelbackLoco</t>
  </si>
  <si>
    <t xml:space="preserve">http://en.wikipedia.org/wiki/Metropolitan_Railway_electric_locomotives#Westinghouse</t>
  </si>
  <si>
    <t xml:space="preserve">london-underground\met-camelback-loco.dat</t>
  </si>
  <si>
    <t xml:space="preserve">lcc-e-class</t>
  </si>
  <si>
    <t xml:space="preserve">See "London Tramways" (John Reed, pub. Capital Transport, ISBN 1-85414-179-1) p. 41
Taken as the earlier batch of 2x 30hp motors.
The E/1s will represent those with 42hp motors.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</si>
  <si>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trams\lcc-e-class.dat</t>
  </si>
  <si>
    <t xml:space="preserve">SentinelStandardBulk</t>
  </si>
  <si>
    <t xml:space="preserve">http://www.tractionengine-photos.net/picture/show/1175/Sentinel-Steam-Wagon
This is the ligher 4t version
Dimensions for this are not available, so guessed as being similar to the
Leyland Class H.
http://www.sentinelwaggons.co.uk/sentinelpage1.htm</t>
  </si>
  <si>
    <t xml:space="preserve">bus\sentinel-standard.dat</t>
  </si>
  <si>
    <t xml:space="preserve">SentinelStandardLong</t>
  </si>
  <si>
    <t xml:space="preserve">SentinelStandardPiece</t>
  </si>
  <si>
    <t xml:space="preserve">SentinelStandardCool</t>
  </si>
  <si>
    <t xml:space="preserve">SentinelStandardLivestock</t>
  </si>
  <si>
    <t xml:space="preserve">SentinelStandardTanker</t>
  </si>
  <si>
    <t xml:space="preserve">lut-type-t</t>
  </si>
  <si>
    <t xml:space="preserve">See "London Tramways" (John Reed, pub. Capital Transport, ISBN 1-85414-179-1) p. 67
Motors not given in Reed. Guessing
2x 30hp motors (Reed p. 66); 60hp = 45kW
Bogies, padded seats, enclosed top with balconies</t>
  </si>
  <si>
    <t xml:space="preserve">trams\lut-type-t.dat</t>
  </si>
  <si>
    <t xml:space="preserve">Metropolitan-Motor-Third-Front</t>
  </si>
  <si>
    <t xml:space="preserve">http://www.bluebell-railway.co.uk/bluebell/bash/hist.html
TODO: Find and add data about first class versions of this.</t>
  </si>
  <si>
    <t xml:space="preserve">london-underground\met-motor-third.dat</t>
  </si>
  <si>
    <t xml:space="preserve">Metropolitan-Motor-Third-Middle</t>
  </si>
  <si>
    <t xml:space="preserve">Metropolitan-Motor-Third-Back</t>
  </si>
  <si>
    <t xml:space="preserve">lcc-g-class</t>
  </si>
  <si>
    <t xml:space="preserve">See "London Tramways" (John Reed, pub. Capital Transport, ISBN 1-85414-179-1) p. 41
Assumed to have the same power as the early batch of E class trams.
Bogies and fully enclosed deck
I cannot find information as to the differences between
the LCC red livery of post 1926 and the LPTB livery.
They were very similar, but must have been at least
slightly different. Using the same graphics for now.</t>
  </si>
  <si>
    <t xml:space="preserve">trams\lcc-g-class.dat</t>
  </si>
  <si>
    <t xml:space="preserve">MR-45ft-clerestory-cor-full-brake-d536</t>
  </si>
  <si>
    <t xml:space="preserve">LBSCR-balloon-push-pull</t>
  </si>
  <si>
    <t xml:space="preserve">trains\lbscr-balloon-push-pull.dat</t>
  </si>
  <si>
    <t xml:space="preserve">lorry-trailer-5t-bulk</t>
  </si>
  <si>
    <t xml:space="preserve">bus\lorry-trailers-5t.dat</t>
  </si>
  <si>
    <t xml:space="preserve">lorry-trailer-5t-long</t>
  </si>
  <si>
    <t xml:space="preserve">lorry-trailer-5t-piece</t>
  </si>
  <si>
    <t xml:space="preserve">lorry-trailer-5t-cool</t>
  </si>
  <si>
    <t xml:space="preserve">lorry-trailer-5t-livestock</t>
  </si>
  <si>
    <t xml:space="preserve">LNWR-60ft-6in-diner-non-clerestory</t>
  </si>
  <si>
    <t xml:space="preserve">D35.
See Jenkinson (LNWR) p. 60
See Jenkinson (LNWR) p. 169</t>
  </si>
  <si>
    <t xml:space="preserve">trains\lnwr-60ft-6in-diner-non-clerestory.dat</t>
  </si>
  <si>
    <t xml:space="preserve">LNWR-57ft-cor</t>
  </si>
  <si>
    <t xml:space="preserve">D262.
See Jenkinson (LNWR) p. 84
See Jenkinson (LNWR) p. 171</t>
  </si>
  <si>
    <t xml:space="preserve">trains\lnwr-57ft-cor.dat</t>
  </si>
  <si>
    <t xml:space="preserve">LNWR-57ft-cor-brake-front</t>
  </si>
  <si>
    <t xml:space="preserve">D312
See Jenkinson (LNWR) p. 171</t>
  </si>
  <si>
    <t xml:space="preserve">LNWR-57ft-cor-brake-rear</t>
  </si>
  <si>
    <t xml:space="preserve">LNWR-57ft-cor-tpo</t>
  </si>
  <si>
    <t xml:space="preserve">WCJS D84</t>
  </si>
  <si>
    <t xml:space="preserve">LNWR-57ft-cor-tea-car</t>
  </si>
  <si>
    <t xml:space="preserve">See Jenkinson (LNWR) p. 169</t>
  </si>
  <si>
    <t xml:space="preserve">TrainSnack</t>
  </si>
  <si>
    <t xml:space="preserve">LNWR-50ft-cor-full-brake</t>
  </si>
  <si>
    <t xml:space="preserve">D312</t>
  </si>
  <si>
    <t xml:space="preserve">trains\lnwr-50ft-full-brake.dat</t>
  </si>
  <si>
    <t xml:space="preserve">LNWR-50ft-cor-mail</t>
  </si>
  <si>
    <t xml:space="preserve">Not based on any specific diagram.</t>
  </si>
  <si>
    <t xml:space="preserve">GWR-Churchward-Star</t>
  </si>
  <si>
    <t xml:space="preserve">Extrapolated
http://en.wikipedia.org/wiki/GWR_4000_Class
Four cylinder
See Ahrons p. 356 - 2.83lb of coal per drawbar horsepower, 0.101lb of coal per ton mile.</t>
  </si>
  <si>
    <t xml:space="preserve">trains\gwr-churchward-star.dat</t>
  </si>
  <si>
    <t xml:space="preserve">GWR-Churchward-Star-Tender</t>
  </si>
  <si>
    <t xml:space="preserve">trains\gwr-churchward-star-tender.dat</t>
  </si>
  <si>
    <t xml:space="preserve">MR-54ft-clerestory-mini-restaurant-brake-d443-front</t>
  </si>
  <si>
    <t xml:space="preserve">See Lacy &amp; Dow vol. 2 pp. 214-5</t>
  </si>
  <si>
    <t xml:space="preserve">MR-54ft-clerestory-mini-restaurant-brake-d443-rear</t>
  </si>
  <si>
    <t xml:space="preserve">gnr-gresley-cor</t>
  </si>
  <si>
    <t xml:space="preserve">trains\gnr-gresley-cor.dat</t>
  </si>
  <si>
    <t xml:space="preserve">gnr-gresley-cor-brake-front</t>
  </si>
  <si>
    <t xml:space="preserve">gnr-gresley-cor-brake-rear</t>
  </si>
  <si>
    <t xml:space="preserve">gnr-gresley-cor-dining</t>
  </si>
  <si>
    <t xml:space="preserve">gnr-gresley-cor-parcels-brake</t>
  </si>
  <si>
    <t xml:space="preserve">gnr-gresley-cor-mail</t>
  </si>
  <si>
    <t xml:space="preserve">gnr-gresley-cor-tpo</t>
  </si>
  <si>
    <t xml:space="preserve">MR-2000</t>
  </si>
  <si>
    <t xml:space="preserve">Low top speed as these were known to be unstable.
Extrapolated
80/85ths of the value given at
http://en.wikipedia.org/wiki/Midland_Railway_2000_Class
which is presumably for the superheated version.
Guessed. Extended because are no suitable replacements.
http://en.wikipedia.org/wiki/Midland_Railway_2000_Class</t>
  </si>
  <si>
    <t xml:space="preserve">trains\mr-2000.dat</t>
  </si>
  <si>
    <t xml:space="preserve">lcc-e1-class</t>
  </si>
  <si>
    <t xml:space="preserve">See "London Tramways" (John Reed, pub. Capital Transport, ISBN 1-85414-179-1) p. 42
2x 42hp motors (as in earlier batches)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</si>
  <si>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trams\lcc-e1-class.dat</t>
  </si>
  <si>
    <t xml:space="preserve">MR-push-pull-front</t>
  </si>
  <si>
    <t xml:space="preserve">See Lacy &amp; Dow pp. 314-7</t>
  </si>
  <si>
    <t xml:space="preserve">MR-push-pull-rear</t>
  </si>
  <si>
    <t xml:space="preserve">LNWR-50ft-non-cor-eliptical-brake-front</t>
  </si>
  <si>
    <t xml:space="preserve">D339 - see Jenkinson (LNWR) p. 110
This has four compartments.</t>
  </si>
  <si>
    <t xml:space="preserve">trains\lnwr-50ft-non-cor-eliptical.dat</t>
  </si>
  <si>
    <t xml:space="preserve">LNWR-50ft-non-cor-eliptical-brake-rear</t>
  </si>
  <si>
    <t xml:space="preserve">LNWR-50ft-non-cor-eliptical</t>
  </si>
  <si>
    <t xml:space="preserve">D284 - see Jenkinson p. 110</t>
  </si>
  <si>
    <t xml:space="preserve">sheffield-preston</t>
  </si>
  <si>
    <t xml:space="preserve">http://en.wikipedia.org/wiki/Tramcars_of_the_Sheffield_Tramway
These use 2x. 35hp motors. 70hp = 52kW</t>
  </si>
  <si>
    <t xml:space="preserve">trams\sheffield-preston.dat</t>
  </si>
  <si>
    <t xml:space="preserve">MetBTHLoco</t>
  </si>
  <si>
    <t xml:space="preserve">http://en.wikipedia.org/wiki/Metropolitan_Railway_electric_locomotives#British_Thompson_Houston</t>
  </si>
  <si>
    <t xml:space="preserve">london-underground\met-bth-loco.dat</t>
  </si>
  <si>
    <t xml:space="preserve">LBSCR-B2x</t>
  </si>
  <si>
    <t xml:space="preserve">trains\lbscr-b2x.dat</t>
  </si>
  <si>
    <t xml:space="preserve">MaudslayVanBulk</t>
  </si>
  <si>
    <t xml:space="preserve">bus\maudslay-van.dat</t>
  </si>
  <si>
    <t xml:space="preserve">MaudslayVanLong</t>
  </si>
  <si>
    <t xml:space="preserve">MaudslayVanPiece</t>
  </si>
  <si>
    <t xml:space="preserve">MaudslayVanCool</t>
  </si>
  <si>
    <t xml:space="preserve">MaudslayVanPost</t>
  </si>
  <si>
    <t xml:space="preserve">GWR-Droplight-Third(Mahogany)</t>
  </si>
  <si>
    <t xml:space="preserve">Corridor stock</t>
  </si>
  <si>
    <t xml:space="preserve">trains\gwr-droplight-third.dat</t>
  </si>
  <si>
    <t xml:space="preserve">GWR-Droplight-Dining(Mahogany)</t>
  </si>
  <si>
    <t xml:space="preserve">GWR-Droplight-Brake(Mahogany)</t>
  </si>
  <si>
    <t xml:space="preserve">trains\gwr-droplight-brake.dat</t>
  </si>
  <si>
    <t xml:space="preserve">PieceD88</t>
  </si>
  <si>
    <t xml:space="preserve">trains\wagon-piece-d88.dat</t>
  </si>
  <si>
    <t xml:space="preserve">MR-1632</t>
  </si>
  <si>
    <t xml:space="preserve">The push-pull conversion of the 2441
Johnson 0-6-0 tank
Extrapolated (figures from the 2441 used)
http://en.wikipedia.org/wiki/Midland_Railway_2441_Class</t>
  </si>
  <si>
    <t xml:space="preserve">trains\mr-1632.dat</t>
  </si>
  <si>
    <t xml:space="preserve">LNWR-Renown</t>
  </si>
  <si>
    <t xml:space="preserve">Rebuilds from unreliable Webb compounds
Extrapolated
Tractive effort from Wikipedia: http://en.wikipedia.org/wiki/LNWR_Renown_Class
Weight from Wikipedia: http://en.wikipedia.org/wiki/LNWR_Renown_Class</t>
  </si>
  <si>
    <t xml:space="preserve">trains\lnwr-renown-class.dat</t>
  </si>
  <si>
    <t xml:space="preserve">LBSCR-I3</t>
  </si>
  <si>
    <t xml:space="preserve">Extrapolated
In reality, only built to 1913, but are no successors.
This should be low: these were the first superheated locomotives and were efficient for their size.
See: http://www.semgonline.com/steam/i3class_01.html for information on the economies for this locomotive.
(30lbs of coal per mile compared to approx. 40lbs for the saturated equivalent)</t>
  </si>
  <si>
    <t xml:space="preserve">trains\lbscr-i3.dat</t>
  </si>
  <si>
    <t xml:space="preserve">MR-54ft-clerestory-mail</t>
  </si>
  <si>
    <t xml:space="preserve">Later retirement date because these have no direct replacement.</t>
  </si>
  <si>
    <t xml:space="preserve">MR-54ft-clerestory-tpo</t>
  </si>
  <si>
    <t xml:space="preserve">Later retirement date because these have no direct replacement.
Confirmed Lacy &amp; Dow vol. 2 p. 385</t>
  </si>
  <si>
    <t xml:space="preserve">gnr-non-cor-lav-elliptical</t>
  </si>
  <si>
    <t xml:space="preserve">Guessed.
There will need in due course to be LNER versions of these.</t>
  </si>
  <si>
    <t xml:space="preserve">trains\gnr-non-cor-elliptical.dat</t>
  </si>
  <si>
    <t xml:space="preserve">gnr-non-cor-lav-elliptical-brake-front</t>
  </si>
  <si>
    <t xml:space="preserve">gnr-non-cor-lav-elliptical-brake-rear</t>
  </si>
  <si>
    <t xml:space="preserve">Guessed.
There will need in due course to be LNER versions of these.
TODO: Add constraints</t>
  </si>
  <si>
    <t xml:space="preserve">gnr-non-cor-full-brake</t>
  </si>
  <si>
    <t xml:space="preserve">gnr-non-cor-mail</t>
  </si>
  <si>
    <t xml:space="preserve">LBSCR-C2x</t>
  </si>
  <si>
    <t xml:space="preserve">Extrapolated
http://en.wikipedia.org/wiki/LB%26SCR_C2_class
http://en.wikipedia.org/wiki/LB%26SCR_C2_class</t>
  </si>
  <si>
    <t xml:space="preserve">trains\lbscr-c2x.dat</t>
  </si>
  <si>
    <t xml:space="preserve">ltsr-79-class</t>
  </si>
  <si>
    <t xml:space="preserve">Extrapolated
http://orion.math.iastate.edu/jdhsmith/term/slgblts.htm
https://en.wikipedia.org/wiki/LT%26SR_79_Class</t>
  </si>
  <si>
    <t xml:space="preserve">trains\ltsr-79-class.dat</t>
  </si>
  <si>
    <t xml:space="preserve">MR-65ft-clerestory-dining-d575</t>
  </si>
  <si>
    <t xml:space="preserve">See Lacy &amp; Dow vol. 2 pp. 453-4
Anglo-Scottish stock</t>
  </si>
  <si>
    <t xml:space="preserve">trains\mr-65ft-clerestory-dining.dat</t>
  </si>
  <si>
    <t xml:space="preserve">MR-54ft-clerestory-lav-d1056</t>
  </si>
  <si>
    <t xml:space="preserve">See Lacey &amp; Dow vol. 2 pp. 192-7</t>
  </si>
  <si>
    <t xml:space="preserve">MR-54ft-clerestory-lav-brake-d550-front</t>
  </si>
  <si>
    <t xml:space="preserve">MR-54ft-clerestory-lav-brake-d550-rear</t>
  </si>
  <si>
    <t xml:space="preserve">zeppelin-lz6</t>
  </si>
  <si>
    <t xml:space="preserve">air</t>
  </si>
  <si>
    <t xml:space="preserve">LZ6 ha un motore in meno dell'LZ10 e cabina piÃ¹ piccola
max speed ?km/h
270HP=202kW max, SHP=0,9*kW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t>
  </si>
  <si>
    <t xml:space="preserve">air\air256\zeppelin-lz6.dat</t>
  </si>
  <si>
    <t xml:space="preserve">Blimp</t>
  </si>
  <si>
    <t xml:space="preserve">Air</t>
  </si>
  <si>
    <t xml:space="preserve">lgoc-x-type-double</t>
  </si>
  <si>
    <t xml:space="preserve">https://en.wikipedia.org/wiki/LGOC_X-type
https://www.flickr.com/photos/austin7nut/6261537090/in/photolist-o7FKRa-xnjq5Q-sb2V1z-axj1Q3-ejH8iE-8A1HEc-89iopE-9XiXaF-BTBBnd
Guessed
Rear platform with conductor: 2.0 seconds per passenger</t>
  </si>
  <si>
    <t xml:space="preserve">bus\x-type-double.dat</t>
  </si>
  <si>
    <t xml:space="preserve">LNWR-57ft-non-cor-lav-brake-front</t>
  </si>
  <si>
    <t xml:space="preserve">Based on D321 (Jenkinson (LNWR) p. 106)</t>
  </si>
  <si>
    <t xml:space="preserve">trains\lnwr-57ft-non-cor-lav.dat</t>
  </si>
  <si>
    <t xml:space="preserve">LNWR-57ft-non-cor-lav-brake-rear</t>
  </si>
  <si>
    <t xml:space="preserve">LNWR-57ft-non-cor-lav</t>
  </si>
  <si>
    <t xml:space="preserve">Based on D147 - see Jenkinson (LNWR) p. 106
Hypothetical 3rd class only version.</t>
  </si>
  <si>
    <t xml:space="preserve">LNWR-57ft-non-cor-brake-front</t>
  </si>
  <si>
    <t xml:space="preserve">trains\lnwr-57ft-non-cor.dat</t>
  </si>
  <si>
    <t xml:space="preserve">LNWR-57ft-non-cor-brake-rear</t>
  </si>
  <si>
    <t xml:space="preserve">LNWR-57ft-non-cor</t>
  </si>
  <si>
    <t xml:space="preserve">D283 - see Jenkinson (LNWR) p. 110</t>
  </si>
  <si>
    <t xml:space="preserve">MR-50ft-arc-non-lav-d555</t>
  </si>
  <si>
    <t xml:space="preserve">See Lacy &amp; Dow vol. 2 pp. 226-9
These were London-Bedford commuter carriages.</t>
  </si>
  <si>
    <t xml:space="preserve">trains\mr-50ft-arc-carriages.dat</t>
  </si>
  <si>
    <t xml:space="preserve">MR-50ft-arc-brake-front-d557</t>
  </si>
  <si>
    <t xml:space="preserve">MR-50ft-arc-brake-rear-d557</t>
  </si>
  <si>
    <t xml:space="preserve">Garrett-K1-front</t>
  </si>
  <si>
    <t xml:space="preserve">http://www.festipedia.org.uk/wiki/K1
Extrapolated
http://en.wikipedia.org/wiki/TGR_K_class
Functional rather than historical: for introduction of larger Garrett (SAR)
http://en.wikipedia.org/wiki/TGR_K_class</t>
  </si>
  <si>
    <t xml:space="preserve">narrowgauge\garrett-k1.dat</t>
  </si>
  <si>
    <t xml:space="preserve">Coal1916</t>
  </si>
  <si>
    <t xml:space="preserve">Garrett-K1-middle</t>
  </si>
  <si>
    <t xml:space="preserve">Functional rather than historical: for introduction of larger Garrett (SAR)
Must be zero, as total weight is 34t on two bogies. Should be shown in front vehicle.</t>
  </si>
  <si>
    <t xml:space="preserve">Garrett-K1-rear</t>
  </si>
  <si>
    <t xml:space="preserve">MailMonoPlane</t>
  </si>
  <si>
    <t xml:space="preserve">payload=100kg
extended
standard
payload=2
length=8
@ ISA (sea level, 0Centigrades), Runway Dry
minimum_runway_length=???
@ ISA+10C, Runway dry = +10%</t>
  </si>
  <si>
    <t xml:space="preserve">air\MailMonoPlane.dat</t>
  </si>
  <si>
    <t xml:space="preserve">Aviation1900</t>
  </si>
  <si>
    <t xml:space="preserve">MR-483</t>
  </si>
  <si>
    <t xml:space="preserve">Extrapolated
http://en.wikipedia.org/wiki/Midland_Railway_483_Class
The Wikipedia article is unclear on the introduction date.
See: http://en.wikipedia.org/wiki/Midland_Railway_Class_2_4-4-0
for more information. A very large number of similar classes
count as what the 483's article calls this class. The locomotive
with this shape was an early 20th century thing.
Clear introduction date *very* hard to find for this. The closest
is: http://chasewaterstuff.wordpress.com/tag/s-w-johnson/
Later than actual end date to interlock with LMS 2P class.</t>
  </si>
  <si>
    <t xml:space="preserve">RCH-Tanker</t>
  </si>
  <si>
    <t xml:space="preserve">trains\wagon-tanker-rch.dat</t>
  </si>
  <si>
    <t xml:space="preserve">Wagon2CarFlat</t>
  </si>
  <si>
    <t xml:space="preserve">trains\wagon-2-car-flat.dat</t>
  </si>
  <si>
    <t xml:space="preserve">GNR-C1-superheated</t>
  </si>
  <si>
    <t xml:space="preserve">http://www.lner.info/locos/C/c1.php
Extrapolated
http://en.wikipedia.org/wiki/GNR_Class_C1_%28large_boiler%29
In reality, only built in 1910, but this is too short, especially for upgrading.
http://en.wikipedia.org/wiki/GNR_Class_C1_%28large_boiler%29
Ahrons p. 334</t>
  </si>
  <si>
    <t xml:space="preserve">LNWR-PrinceOfWales-tank</t>
  </si>
  <si>
    <t xml:space="preserve">Extrapolated
Calculated from figures at: http://www.smex.net.au/Reference/TractiveEffort02.php
Efficiency factor of 0.85 used, as this is a superheated locomotive music.
http://www.lnwrs.org.uk/PassLocos/PassLoco.php?loco=15a</t>
  </si>
  <si>
    <t xml:space="preserve">trains\lnwr-pow-tank.dat</t>
  </si>
  <si>
    <t xml:space="preserve">LNWR-George-V</t>
  </si>
  <si>
    <t xml:space="preserve">Extrapolated, although see here: http://lnwrgeorgevtrust.org.uk/Trust_03.html
This suggests that a George V was measured with a drawbar horsepower of 950hp,
which equates to 708kW.
Tractive effort from Wikipedia: http://en.wikipedia.org/wiki/LNWR_George_the_Fifth_Class
Weight from Wikipedia: http://en.wikipedia.org/wiki/LNWR_George_the_Fifth_Class
Ahrons p. 334</t>
  </si>
  <si>
    <t xml:space="preserve">trains\lnwr-george-V.dat</t>
  </si>
  <si>
    <t xml:space="preserve">MR-54ft-clerestory-open-vestibule-d595</t>
  </si>
  <si>
    <t xml:space="preserve">See Lacy &amp; Dow vol. 2 pp. 224-5
Open/vestibule type</t>
  </si>
  <si>
    <t xml:space="preserve">MR-54ft-clerestory-open-vestibule-brake-d594-front</t>
  </si>
  <si>
    <t xml:space="preserve">MR-54ft-clerestory-open-vestibule-brake-d594-rear</t>
  </si>
  <si>
    <t xml:space="preserve">met-dreadnought-third</t>
  </si>
  <si>
    <t xml:space="preserve">http://www.vintagecarriagestrust.org/metthird.htm
Clipper sided, 6 a side, 9 compartments, 7 for brakes</t>
  </si>
  <si>
    <t xml:space="preserve">london-underground\met-dreadnought-third.dat</t>
  </si>
  <si>
    <t xml:space="preserve">met-dreadnought-brake-front</t>
  </si>
  <si>
    <t xml:space="preserve">met-dreadnought-brake-rear</t>
  </si>
  <si>
    <t xml:space="preserve">lcc-m-class</t>
  </si>
  <si>
    <t xml:space="preserve">See "London Tramways" (John Reed, pub. Capital Transport, ISBN 1-85414-179-1) p. 44
2x 42hp motors
Fully enclosed upper deck; no bogies
I cannot find information as to the differences between
the LCC red livery of post 1926 and the LPTB livery.
They were very similar, but must have been at least
slightly different. Using the same graphics for now.</t>
  </si>
  <si>
    <t xml:space="preserve">trams\lcc-m-class.dat</t>
  </si>
  <si>
    <t xml:space="preserve">DoubleFairlie-superheated</t>
  </si>
  <si>
    <t xml:space="preserve">Not based on exact prototype, but extrapolated.
Graphics and data based on:
http://www.festipedia.org.uk/wiki/Earl_Of_Merioneth_II
The double Fairlies were originally built as saturated
and later upgraded to superheating.
Extrapolated
http://www.festipedia.org.uk/wiki/Earl_Of_Merioneth_II
Functional rather than historical
http://www.festipedia.org.uk/wiki/Earl_Of_Merioneth_II</t>
  </si>
  <si>
    <t xml:space="preserve">narrowgauge\double-fairlie-superheated.dat</t>
  </si>
  <si>
    <t xml:space="preserve">GWR-Churchward-Star-superheated</t>
  </si>
  <si>
    <t xml:space="preserve">Extrapolated
http://en.wikipedia.org/wiki/GWR_4000_Class
Ahrons p. 334
Four cylinders</t>
  </si>
  <si>
    <t xml:space="preserve">SingleFairlie-superheated</t>
  </si>
  <si>
    <t xml:space="preserve">Extrapolated approximately - firegrate and heating surface areas not known
Calculated from values from http://www.festipedia.org.uk/wiki/Taliesin_III
http://www.festipedia.org.uk/wiki/Taliesin
Functional rather than historical</t>
  </si>
  <si>
    <t xml:space="preserve">narrowgauge\single-fairlie-superheated.dat</t>
  </si>
  <si>
    <t xml:space="preserve">LBSCR-J</t>
  </si>
  <si>
    <t xml:space="preserve">Extrapolated
http://www.semgonline.com/steam/jclass.html
Note: Wikipedia gives 92.5kN, but this seems
out of keeping with other classes of the period.</t>
  </si>
  <si>
    <t xml:space="preserve">trains\lbscr-j.dat</t>
  </si>
  <si>
    <t xml:space="preserve">LBSCR-A1X</t>
  </si>
  <si>
    <t xml:space="preserve">Extrapolated
http://en.wikipedia.org/wiki/LB%26SCR_A1_class
available_only_as_upgrade=1
http://en.wikipedia.org/wiki/LB%26SCR_A1_class</t>
  </si>
  <si>
    <t xml:space="preserve">FodenCompoundBulk</t>
  </si>
  <si>
    <t xml:space="preserve">bus\foden-compound.dat</t>
  </si>
  <si>
    <t xml:space="preserve">FodenCompoundLong</t>
  </si>
  <si>
    <t xml:space="preserve">FodenCompoundPiece</t>
  </si>
  <si>
    <t xml:space="preserve">FodenCompoundCool</t>
  </si>
  <si>
    <t xml:space="preserve">FodenCompoundLivestock</t>
  </si>
  <si>
    <t xml:space="preserve">FodenCompoundTanker</t>
  </si>
  <si>
    <t xml:space="preserve">tilling-stevens-tta1-single</t>
  </si>
  <si>
    <t xml:space="preserve">http://nonsequitur.freeforums.org/download/file.php?id=877&amp;sid=af338d1a04c6f7793dbbdd2dd11b51ee&amp;mode=view
http://www.gracesguide.co.uk/Tilling-Stevens
Petrol electric has more transmission losses
TODO: Use a more authentic sound for this
Single door with conductor: 2.5 seconds per passenger</t>
  </si>
  <si>
    <t xml:space="preserve">bus\tilling-stevens-tta1-single.dat</t>
  </si>
  <si>
    <t xml:space="preserve">tilling-stevens-tta1</t>
  </si>
  <si>
    <t xml:space="preserve">http://nonsequitur.freeforums.org/post4421.html#p4421
http://nonsequitur.freeforums.org/post4537.html#p4537
http://nonsequitur.freeforums.org/download/file.php?id=1144&amp;mode=view
http://nonsequitur.freeforums.org/download/file.php?id=876&amp;sid=af338d1a04c6f7793dbbdd2dd11b51ee&amp;mode=view
http://www.gracesguide.co.uk/Tilling-Stevens
Petrol electric has more transmission losses
TODO: Use a more authentic sound for this
Rear platform with conductor: 2.0 seconds per passenger</t>
  </si>
  <si>
    <t xml:space="preserve">bus\tilling-stevens-tta1.dat</t>
  </si>
  <si>
    <t xml:space="preserve">gnr-d1</t>
  </si>
  <si>
    <t xml:space="preserve">Extrapolated
http://www.lner.info/locos/D/d1.php</t>
  </si>
  <si>
    <t xml:space="preserve">trains\gnr-d1.dat</t>
  </si>
  <si>
    <t xml:space="preserve">BTypeDouble</t>
  </si>
  <si>
    <t xml:space="preserve">http://www.iwm.org.uk/collections/item/object/70000241
https://en.wikipedia.org/wiki/LGOC_B-type
Rear platform with conductor: 2.0 seconds per passenger</t>
  </si>
  <si>
    <t xml:space="preserve">bus\b-type-double.dat</t>
  </si>
  <si>
    <t xml:space="preserve">ltsr-cor</t>
  </si>
  <si>
    <t xml:space="preserve">See Lacy &amp; Dow vol. 2 p. 480
In reality, built only in 1911, but some variety is needed.
Saloon. Apparently, not the most comfortable of rides and a somewhat odd layout.</t>
  </si>
  <si>
    <t xml:space="preserve">trains\ltsr-cor.dat</t>
  </si>
  <si>
    <t xml:space="preserve">ltsr-cor-brake</t>
  </si>
  <si>
    <t xml:space="preserve">In reality, built only in 1911, but some variety is needed.
Saloon. Apparently, not the most comfortable of rides and a somewhat odd layout.</t>
  </si>
  <si>
    <t xml:space="preserve">LSWR-T14</t>
  </si>
  <si>
    <t xml:space="preserve">trains\lswr-t14.dat</t>
  </si>
  <si>
    <t xml:space="preserve">LMS-4F-Tender</t>
  </si>
  <si>
    <t xml:space="preserve">trains\lms-4f-tender.dat</t>
  </si>
  <si>
    <t xml:space="preserve">LNWR-PrinceOfWales</t>
  </si>
  <si>
    <t xml:space="preserve">Extrapolated
Tractive effort from Wikipedia: http://en.wikipedia.org/wiki/LNWR_Prince_of_Wales_Class
Weight from Wikipedia: http://en.wikipedia.org/wiki/LNWR_Prince_of_Wales_Class
Ahrons p. 334</t>
  </si>
  <si>
    <t xml:space="preserve">trains\lnwr-PoW.dat</t>
  </si>
  <si>
    <t xml:space="preserve">LBSCR-H2</t>
  </si>
  <si>
    <t xml:space="preserve">Extrapolated
http://en.wikipedia.org/wiki/LB%26SCR_H2_class
Should be January 1912, but no obvious replacements.
http://www.bluebell-railway.co.uk/bluebell/locos/atlantic/</t>
  </si>
  <si>
    <t xml:space="preserve">trains\lbscr-h2.dat</t>
  </si>
  <si>
    <t xml:space="preserve">LMS-4F</t>
  </si>
  <si>
    <t xml:space="preserve">Extrapolated
http://en.wikipedia.org/wiki/Midland_Railway_3835_Class</t>
  </si>
  <si>
    <t xml:space="preserve">trains\lms-4f.dat</t>
  </si>
  <si>
    <t xml:space="preserve">Zeppelin_LZ10_Mail</t>
  </si>
  <si>
    <t xml:space="preserve">max speed ?km/h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</si>
  <si>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 xml:space="preserve">air\air256\zeppelin-lz10-mail.dat</t>
  </si>
  <si>
    <t xml:space="preserve">Zeppelin_LZ10</t>
  </si>
  <si>
    <t xml:space="preserve">https://en.wikipedia.org/wiki/LZ_10_Schwaben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</si>
  <si>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 xml:space="preserve">air\air256\zeppelin-lz10.dat</t>
  </si>
  <si>
    <t xml:space="preserve">AirSmall</t>
  </si>
  <si>
    <t xml:space="preserve">leyland-class-f-bulk</t>
  </si>
  <si>
    <t xml:space="preserve">http://www.leylandsociety.co.uk/publications/torque/pdf/Torque031.pdf
Note: These were superheated.</t>
  </si>
  <si>
    <t xml:space="preserve">bus\leyland-class-f.dat</t>
  </si>
  <si>
    <t xml:space="preserve">leyland-class-f-long</t>
  </si>
  <si>
    <t xml:space="preserve">leyland-class-f-piece</t>
  </si>
  <si>
    <t xml:space="preserve">leyland-class-f-cool</t>
  </si>
  <si>
    <t xml:space="preserve">leyland-class-f-livestock</t>
  </si>
  <si>
    <t xml:space="preserve">leyland-class-f-tanker</t>
  </si>
  <si>
    <t xml:space="preserve">daimler-cc-double</t>
  </si>
  <si>
    <t xml:space="preserve">See http://beamishtransportonline.co.uk/wp-content/uploads/blogger/-ZQgM9wptifc/Tw8kF6d3VQI/AAAAAAAAGMk/ZM9N3TU0-P4/s1600/18130.jpg
for an illustration. These were said to be very similar to the AEC B-type, but I cannot find specific data.
It is not clear whether this came in a single deck varient.
Rear platform with conductor: 2.0 seconds per passenger</t>
  </si>
  <si>
    <t xml:space="preserve">bus\daimler-cc-double.dat</t>
  </si>
  <si>
    <t xml:space="preserve">BTypeSingle</t>
  </si>
  <si>
    <t xml:space="preserve">Rear platform with conductor: 2.0 seconds per passenger</t>
  </si>
  <si>
    <t xml:space="preserve">bus\b-type-single.dat</t>
  </si>
  <si>
    <t xml:space="preserve">LSWR-D15</t>
  </si>
  <si>
    <t xml:space="preserve">trains\lswr-d15.dat</t>
  </si>
  <si>
    <t xml:space="preserve">LNWR-G1Class</t>
  </si>
  <si>
    <t xml:space="preserve">Extrapolated
http://en.wikipedia.org/wiki/LNWR_G_Class
Weight given by the LNWR Soceity: http://www.lnwrs.org.uk/GoodsLocos/Loco22.php</t>
  </si>
  <si>
    <t xml:space="preserve">trains\lnwr-Gclass.dat</t>
  </si>
  <si>
    <t xml:space="preserve">ClanLineSteamerPiece</t>
  </si>
  <si>
    <t xml:space="preserve">https://en.wikipedia.org/wiki/SS_Clan_Alpine_%281942%29#Propulsion
2-3 hours</t>
  </si>
  <si>
    <t xml:space="preserve">boats\boats192\clan-line-steamer.dat</t>
  </si>
  <si>
    <t xml:space="preserve">ClanLineSteamerCool</t>
  </si>
  <si>
    <t xml:space="preserve">ClanLineSteamerOil</t>
  </si>
  <si>
    <t xml:space="preserve">ClanLineSteamerLivestock</t>
  </si>
  <si>
    <t xml:space="preserve">ClanLineSteamerCars</t>
  </si>
  <si>
    <t xml:space="preserve">ClanLineSteamerBulk</t>
  </si>
  <si>
    <t xml:space="preserve">ClanLineSteamerLong</t>
  </si>
  <si>
    <t xml:space="preserve">ltsr-87-class</t>
  </si>
  <si>
    <t xml:space="preserve">Extrapolated
http://orion.math.iastate.edu/jdhsmith/term/slgblts.htm
https://en.wikipedia.org/wiki/LT%26SR_2100_Class</t>
  </si>
  <si>
    <t xml:space="preserve">trains\ltsr-87-class.dat</t>
  </si>
  <si>
    <t xml:space="preserve">LSWR-T9-superheated</t>
  </si>
  <si>
    <t xml:space="preserve">trains\lswr-t9-superheated.dat</t>
  </si>
  <si>
    <t xml:space="preserve">ThornycroftBTBulk</t>
  </si>
  <si>
    <t xml:space="preserve">bus\thornycroft-bt.dat</t>
  </si>
  <si>
    <t xml:space="preserve">ThornycroftBTLong</t>
  </si>
  <si>
    <t xml:space="preserve">ThornycroftBTPiece</t>
  </si>
  <si>
    <t xml:space="preserve">ThornycroftBTCool</t>
  </si>
  <si>
    <t xml:space="preserve">ThornycroftBTLivestock</t>
  </si>
  <si>
    <t xml:space="preserve">ThornycroftBTPost</t>
  </si>
  <si>
    <t xml:space="preserve">ThornycroftBTCars</t>
  </si>
  <si>
    <t xml:space="preserve">MR-6wheel-cove-brake-d530a</t>
  </si>
  <si>
    <t xml:space="preserve">D530a. See Lacey &amp; Dow, vol. 2, p. 373</t>
  </si>
  <si>
    <t xml:space="preserve">L&amp;YR-EMU-driving-motor</t>
  </si>
  <si>
    <t xml:space="preserve">Third class only: https://en.wikipedia.org/wiki/LYR_electric_units#Liverpool_to_Ormskirk</t>
  </si>
  <si>
    <t xml:space="preserve">trains\lyr-emu.dat</t>
  </si>
  <si>
    <t xml:space="preserve">L&amp;YR-EMU-driving-trailer</t>
  </si>
  <si>
    <t xml:space="preserve">tilling-stevens-tta2</t>
  </si>
  <si>
    <t xml:space="preserve">http://www.wythall.org.uk/vehicles/vo9926.asp
http://www.gracesguide.co.uk/Tilling-Stevens
Petrol electric has more transmission losses
TODO: Use a more authentic sound for this
Rear platform with conductor: 2.0 seconds per passenger</t>
  </si>
  <si>
    <t xml:space="preserve">bus\tilling-stevens-tta2.dat</t>
  </si>
  <si>
    <t xml:space="preserve">MR-1000-superheated</t>
  </si>
  <si>
    <t xml:space="preserve">trains\mr-1000-class-superheated.dat</t>
  </si>
  <si>
    <t xml:space="preserve">LBSCR-E2</t>
  </si>
  <si>
    <t xml:space="preserve">These should have an especially limited range if and when range comes to railway vehicles in this pakset.
https://en.wikipedia.org/wiki/LB%26SCR_E2_class</t>
  </si>
  <si>
    <t xml:space="preserve">trains\lbscr-e2.dat</t>
  </si>
  <si>
    <t xml:space="preserve">LSWR-EMU(front)</t>
  </si>
  <si>
    <t xml:space="preserve">trains\lswr-emu.dat</t>
  </si>
  <si>
    <t xml:space="preserve">LSWR-EMU(centre)</t>
  </si>
  <si>
    <t xml:space="preserve">LSWR-EMU(rear)</t>
  </si>
  <si>
    <t xml:space="preserve">LNWR-Claughton</t>
  </si>
  <si>
    <t xml:space="preserve">Extrapolated. However see: http://www.steamindex.com/locotype/lnwr3.htm#claughton
That suggests that the drawbar horsepower of these locomotives was closer to 920,
equivalent to 686kW.
Tractive effort from Wikipedia: http://en.wikipedia.org/wiki/LNWR_Claughton_Class
Weight from Wikipedia: http://en.wikipedia.org/wiki/LNWR_Claughton_Class
Ahrons p. 334
Four cylinder</t>
  </si>
  <si>
    <t xml:space="preserve">trains\lnwr-claughton.dat</t>
  </si>
  <si>
    <t xml:space="preserve">LNWR-Claughton-tender</t>
  </si>
  <si>
    <t xml:space="preserve">LBSCR-K</t>
  </si>
  <si>
    <t xml:space="preserve">Extrapolated
Are values in Wikipedia from which it might be calculated.
http://en.wikipedia.org/wiki/LB%26SCR_K_class#cite_ref-7
http://www.semgonline.com/steam/kclass_dat.html
http://orion.math.iastate.edu/jdhsmith/term/slgblbsc.htm</t>
  </si>
  <si>
    <t xml:space="preserve">trains\lbscr-k.dat</t>
  </si>
  <si>
    <t xml:space="preserve">LBSCR-K-Tender</t>
  </si>
  <si>
    <t xml:space="preserve">Metropolitan1913CircleFront</t>
  </si>
  <si>
    <t xml:space="preserve">http://en.wikipedia.org/wiki/Metropolitan_Railway_electric_multiple_units#Circle_Stock
http://www.lurs.org.uk/articles10_htm_files/district%20electric%20trains.pdf
Guessed based on District stock
The later livery should be red/cream, but, in fact, it is currently red.</t>
  </si>
  <si>
    <t xml:space="preserve">london-underground\met-1913-circle.dat</t>
  </si>
  <si>
    <t xml:space="preserve">Metropolitan1913CircleMiddle</t>
  </si>
  <si>
    <t xml:space="preserve">Metropolitan1913CircleRear</t>
  </si>
  <si>
    <t xml:space="preserve">1914TubeStockFront</t>
  </si>
  <si>
    <t xml:space="preserve">london-underground\1914-tube-stock.dat</t>
  </si>
  <si>
    <t xml:space="preserve">1914TubeStockRear</t>
  </si>
  <si>
    <t xml:space="preserve">LSWR-H15</t>
  </si>
  <si>
    <t xml:space="preserve">Extrapolated
https://en.wikipedia.org/wiki/LSWR_H15_class</t>
  </si>
  <si>
    <t xml:space="preserve">trains\lswr-h15.dat</t>
  </si>
  <si>
    <t xml:space="preserve">LSWR-H15-Tender</t>
  </si>
  <si>
    <t xml:space="preserve">LBSCR-L</t>
  </si>
  <si>
    <t xml:space="preserve">Extrapolated
http://www.semgonline.com/steam/lclass%28lbsc%29_01.html
See Ahrons p. 342
NOTE: This should be upgradeable to the post-WW1 "Rememberance" tender type class
See: http://en.wikipedia.org/wiki/SR_N15X_class
However, the logistics of upgrading tank to tender in Simutrans-Extended are potentially problematic.</t>
  </si>
  <si>
    <t xml:space="preserve">trains\lbscr-L.dat</t>
  </si>
  <si>
    <t xml:space="preserve">LSWR-S15-Tender</t>
  </si>
  <si>
    <t xml:space="preserve">trains\lswr-s15.dat</t>
  </si>
  <si>
    <t xml:space="preserve">tilling-stevens-ts3-single</t>
  </si>
  <si>
    <t xml:space="preserve">http://nonsequitur.freeforums.org/download/file.php?id=877&amp;sid=af338d1a04c6f7793dbbdd2dd11b51ee&amp;mode=view
http://www.gracesguide.co.uk/Tilling-Stevens
Guessed
Petrol electric has more transmission losses
TODO: Use a more authentic sound for this
Single door with conductor: 2.5 seconds per passenger</t>
  </si>
  <si>
    <t xml:space="preserve">bus\tilling-stevens-ts3-single.dat</t>
  </si>
  <si>
    <t xml:space="preserve">tilling-stevens-ts3</t>
  </si>
  <si>
    <t xml:space="preserve">https://ltmuseumblog.wordpress.com/2013/12/12/what-came-before-the-b-type-bus/
https://en.wikipedia.org/wiki/Tilling-Stevens#/media/File:Worthing_Motor_Services_(later_Southdown_Motor_Services)_1914_Tilling_Stevens_TS3_Petrol_Electric.jpg
http://www.gracesguide.co.uk/images/1/1c/Im1917Red-p167.jpg
Guessed
Petrol electric has more transmission losses
TODO: Use a more authentic sound for this
Rear platform with conductor: 2.0 seconds per passenger</t>
  </si>
  <si>
    <t xml:space="preserve">bus\tilling-stevens-ts3.dat</t>
  </si>
  <si>
    <t xml:space="preserve">District_E_StockFrontDM</t>
  </si>
  <si>
    <t xml:space="preserve">http://www.emus.co.uk/zone/london/london6.htm
http://en.wikipedia.org/wiki/London_Underground_E_Stock
Note that these had wooden underframes, which proved insufficiently robust,
prompting their early withdrawal.</t>
  </si>
  <si>
    <t xml:space="preserve">london-underground\district-e-stock.dat</t>
  </si>
  <si>
    <t xml:space="preserve">District_E_StockMiddle</t>
  </si>
  <si>
    <t xml:space="preserve">District_E_StockMiddle-first</t>
  </si>
  <si>
    <t xml:space="preserve">District_E_StockRearDM</t>
  </si>
  <si>
    <t xml:space="preserve">MR-48ft-clerestory-full-brake-d1067</t>
  </si>
  <si>
    <t xml:space="preserve">See Lacy &amp; Dow vol. 2 p. 373</t>
  </si>
  <si>
    <t xml:space="preserve">MR-50ft-arc-lav-d1060</t>
  </si>
  <si>
    <t xml:space="preserve">See Lacy &amp; Dow vol. 2 pp. 273-6
This is a lavatory carriage, used for excursion purposes.</t>
  </si>
  <si>
    <t xml:space="preserve">NER-ClassEF1</t>
  </si>
  <si>
    <t xml:space="preserve">trains\ner-ef1.dat</t>
  </si>
  <si>
    <t xml:space="preserve">Metropolitan-g-class</t>
  </si>
  <si>
    <t xml:space="preserve">Extrapolated
http://en.wikipedia.org/wiki/Metropolitan_Railway_G_Class
Actually only built in 1915, but this is very short.
http://en.wikipedia.org/wiki/Metropolitan_Railway_G_Class</t>
  </si>
  <si>
    <t xml:space="preserve">london-underground\met-g-class.dat</t>
  </si>
  <si>
    <t xml:space="preserve">MR-54ft-eliptical-non-lav-d1277</t>
  </si>
  <si>
    <t xml:space="preserve">See Lacey &amp; Dow vol. 2 pp. 293-4
In reality, these were delayed until 1922 because of the war,
but they make more sense introduced in 1915.</t>
  </si>
  <si>
    <t xml:space="preserve">trains\mr-54ft-eliptical-carriages.dat</t>
  </si>
  <si>
    <t xml:space="preserve">MR-54ft-eliptical-non-lav-brake-front-d1246</t>
  </si>
  <si>
    <t xml:space="preserve">See Lacey &amp; Dow vol. 2 pp. 293-5
In reality, these were delayed until 1922 because of the war,
but they make more sense introduced in 1915.</t>
  </si>
  <si>
    <t xml:space="preserve">MR-54ft-eliptical-non-lav-brake-rear-d1246</t>
  </si>
  <si>
    <t xml:space="preserve">1915TubeStockFront</t>
  </si>
  <si>
    <t xml:space="preserve">These have sliding central doors, but operated by gatemen.</t>
  </si>
  <si>
    <t xml:space="preserve">london-underground\1915-tube-stock.dat</t>
  </si>
  <si>
    <t xml:space="preserve">1915TubeStockRear</t>
  </si>
  <si>
    <t xml:space="preserve">LSWR-L12-superheated</t>
  </si>
  <si>
    <t xml:space="preserve">trains\lswr-l12-superheated.dat</t>
  </si>
  <si>
    <t xml:space="preserve">lbscr-48ft-augmentation-trailer-front</t>
  </si>
  <si>
    <t xml:space="preserve">Augmentation trailers for the -Sub EMUs
Each type of carriage from which these are built has its own type of trailer.
It is unclear whether this is the correct date, as the literature that I have found so far does not give a date when the LSWR first started doing this.</t>
  </si>
  <si>
    <t xml:space="preserve">trains\sr-augmentation-trailers.dat</t>
  </si>
  <si>
    <t xml:space="preserve">lbscr-48ft-augmentation-trailer-rear</t>
  </si>
  <si>
    <t xml:space="preserve">It is unclear whether this is the correct date, as the literature that I have found so far does not give a date when the LSWR first started doing this.</t>
  </si>
  <si>
    <t xml:space="preserve">lbscr-54ft-augmentation-trailer-front</t>
  </si>
  <si>
    <t xml:space="preserve">It is unclear whether this is the correct date, as the literature that I have found so far does not give a date when the LSWR first started doing this.
See Jenkinson p. 386</t>
  </si>
  <si>
    <t xml:space="preserve">lbscr-54ft-augmentation-trailer-rear</t>
  </si>
  <si>
    <t xml:space="preserve">lswr-48ft-arc-augmentation-trailer-front</t>
  </si>
  <si>
    <t xml:space="preserve">It is unclear whether this is the correct date, as the literature that I have found so far does not give a date when the LSWR first started doing this.
Estimated</t>
  </si>
  <si>
    <t xml:space="preserve">lswr-48ft-arc-augmentation-trailer-rear</t>
  </si>
  <si>
    <t xml:space="preserve">lswr-48ft-augmentation-trailer-front</t>
  </si>
  <si>
    <t xml:space="preserve">lswr-48ft-augmentation-trailer-rear</t>
  </si>
  <si>
    <t xml:space="preserve">lswr-56ft-augmentation-trailer-front</t>
  </si>
  <si>
    <t xml:space="preserve">lswr-56ft-augmentation-trailer-rear</t>
  </si>
  <si>
    <t xml:space="preserve">LSWR-D15-superheated</t>
  </si>
  <si>
    <t xml:space="preserve">trains\lswr-d15-superheated.dat</t>
  </si>
  <si>
    <t xml:space="preserve">met-bogie-push-pull-centre</t>
  </si>
  <si>
    <t xml:space="preserve">london-underground\met-push-pull.dat</t>
  </si>
  <si>
    <t xml:space="preserve">met-bogie-push-pull-front</t>
  </si>
  <si>
    <t xml:space="preserve">Just an ordinary brake carriage</t>
  </si>
  <si>
    <t xml:space="preserve">met-bogie-push-pull-rear</t>
  </si>
  <si>
    <t xml:space="preserve">MR-54ft-eliptical-cor-d1047</t>
  </si>
  <si>
    <t xml:space="preserve">See Lacy &amp; Dow vol. 2 pp. 235-9
These are 6'3 rather than 6'5 between compartments as the clerestories were;
but have more advanced features (better lavatories, etc.).</t>
  </si>
  <si>
    <t xml:space="preserve">trains\mr-54ft-eliptical-corridor-carriages.dat</t>
  </si>
  <si>
    <t xml:space="preserve">MR-54ft-eliptical-cor-brake-front-d1048</t>
  </si>
  <si>
    <t xml:space="preserve">MR-54ft-eliptical-cor-brake-rear-d1048</t>
  </si>
  <si>
    <t xml:space="preserve">MR-54ft-eliptical-full-brake-d1114</t>
  </si>
  <si>
    <t xml:space="preserve">See Lacy &amp; Dow vol. 2 pp. 374</t>
  </si>
  <si>
    <t xml:space="preserve">MR-65ft-eliptical-dining-d1196</t>
  </si>
  <si>
    <t xml:space="preserve">See Lacy &amp; Dow vol. 2 pp. 456-7
Anglo-Scottish joint stock.
This was a first class diner; seating extrapolated to what it would be if a third, based on the clerestory predecessor.
Actually built in 1921, would probably have been built earlier but for the war.</t>
  </si>
  <si>
    <t xml:space="preserve">trains\mr-65ft-eliptical-dining.dat</t>
  </si>
  <si>
    <t xml:space="preserve">secr-k-class</t>
  </si>
  <si>
    <t xml:space="preserve">Extrapolated
https://en.wikipedia.org/wiki/SECR_K_and_SR_K1_classes</t>
  </si>
  <si>
    <t xml:space="preserve">trains\secr-k-class.dat</t>
  </si>
  <si>
    <t xml:space="preserve">SECR-N-Class</t>
  </si>
  <si>
    <t xml:space="preserve">Extrapolated
http://orion.math.iastate.edu/jdhsmith/term/slgbsr.htm</t>
  </si>
  <si>
    <t xml:space="preserve">trains\secr-n-class.dat</t>
  </si>
  <si>
    <t xml:space="preserve">SECR-N-Class-Tender</t>
  </si>
  <si>
    <t xml:space="preserve">LSWR-N15</t>
  </si>
  <si>
    <t xml:space="preserve">Extrapolated
https://en.wikipedia.org/wiki/LSWR_N15_class</t>
  </si>
  <si>
    <t xml:space="preserve">trains\lswr-n15.dat</t>
  </si>
  <si>
    <t xml:space="preserve">LSWR-N15-Tender</t>
  </si>
  <si>
    <t xml:space="preserve">HandleyPageO400</t>
  </si>
  <si>
    <t xml:space="preserve">length=8
@ ISA (sea level, 0Centigrades), Runway Dry
minimum_runway_length=???
@ ISA+10C, Runway dry = +10%</t>
  </si>
  <si>
    <t xml:space="preserve">air\handley-page-o400.dat</t>
  </si>
  <si>
    <t xml:space="preserve">HandleyPageO400_Mail</t>
  </si>
  <si>
    <t xml:space="preserve">gear=1
payload 1t
length=8
@ ISA (sea level, 0Centigrades), Runway Dry
minimum_runway_length=???
@ ISA+10C, Runway dry = +10%</t>
  </si>
  <si>
    <t xml:space="preserve">air\handley-page-o400-mail.dat</t>
  </si>
  <si>
    <t xml:space="preserve">sheffield-rocker-panel</t>
  </si>
  <si>
    <t xml:space="preserve">http://en.wikipedia.org/wiki/Tramcars_of_the_Sheffield_Tramway
These use 2x. 40hp motors. 80hp = 60kW
Fully enclosed upper deck</t>
  </si>
  <si>
    <t xml:space="preserve">trams\sheffield-rocker-panel.dat</t>
  </si>
  <si>
    <t xml:space="preserve">secr-utility-van</t>
  </si>
  <si>
    <t xml:space="preserve">See Plate 186 at King p. 177</t>
  </si>
  <si>
    <t xml:space="preserve">trains\secr-utility-van.dat</t>
  </si>
  <si>
    <t xml:space="preserve">leyland-class-f2-bulk</t>
  </si>
  <si>
    <t xml:space="preserve">http://www.leylandsociety.co.uk/publications/torque/pdf/Torque035.pdf
Note: These were superheated.</t>
  </si>
  <si>
    <t xml:space="preserve">bus\leyland-class-f2.dat</t>
  </si>
  <si>
    <t xml:space="preserve">leyland-class-f2-long</t>
  </si>
  <si>
    <t xml:space="preserve">leyland-class-f2-piece</t>
  </si>
  <si>
    <t xml:space="preserve">leyland-class-f2-cool</t>
  </si>
  <si>
    <t xml:space="preserve">leyland-class-f2-livestock</t>
  </si>
  <si>
    <t xml:space="preserve">leyland-class-f2-tanker</t>
  </si>
  <si>
    <t xml:space="preserve">LSWR-700-class-superheated</t>
  </si>
  <si>
    <t xml:space="preserve">trains\lswr-700-superheated.dat</t>
  </si>
  <si>
    <t xml:space="preserve">1920TubeStockAirDoorFront</t>
  </si>
  <si>
    <t xml:space="preserve">available_only_as_upgrade=1
First air door vehicles.</t>
  </si>
  <si>
    <t xml:space="preserve">london-underground\1906-tube-stock-airdoor.dat</t>
  </si>
  <si>
    <t xml:space="preserve">1920TubeStockAirDoorTrailer</t>
  </si>
  <si>
    <t xml:space="preserve">1920TubeStockAirDoorRear</t>
  </si>
  <si>
    <t xml:space="preserve">available_only_as_upgrade=1</t>
  </si>
  <si>
    <t xml:space="preserve">KTypeDouble</t>
  </si>
  <si>
    <t xml:space="preserve">https://en.wikipedia.org/wiki/AEC_K-type
Rear platform with conductor 2.0 seconds per passenger
East Surrey red was apparently the same as LGOC red
It is hard to find information on other distinguishing features of the livery.
See http://www.yellins.co.uk/transporthistory/bus4/croydon-routes2.html</t>
  </si>
  <si>
    <t xml:space="preserve">bus\k-type.dat</t>
  </si>
  <si>
    <t xml:space="preserve">Petrol1916</t>
  </si>
  <si>
    <t xml:space="preserve">aec-k-type-single</t>
  </si>
  <si>
    <t xml:space="preserve">bus\k-type-single.dat</t>
  </si>
  <si>
    <t xml:space="preserve">WatfordJointStockFront</t>
  </si>
  <si>
    <t xml:space="preserve">This one looks more comfortable than other stock of the era:
http://www.ltmcollection.org/images/webmax/0a/i0000b0a.jpg
Note the vestibule doors which increased loading times.</t>
  </si>
  <si>
    <t xml:space="preserve">london-underground\watford-joint-stock.dat</t>
  </si>
  <si>
    <t xml:space="preserve">WatfordJointStockMiddle</t>
  </si>
  <si>
    <t xml:space="preserve">WatfordJointStockRear</t>
  </si>
  <si>
    <t xml:space="preserve">DieselNarrowboatBulk</t>
  </si>
  <si>
    <t xml:space="preserve">boats\diesel-narrowboat.dat</t>
  </si>
  <si>
    <t xml:space="preserve">DieselNarrowboatLong</t>
  </si>
  <si>
    <t xml:space="preserve">DieselNarrowboatPiece</t>
  </si>
  <si>
    <t xml:space="preserve">DieselNarrowboatCool</t>
  </si>
  <si>
    <t xml:space="preserve">DieselNarrowboatOil</t>
  </si>
  <si>
    <t xml:space="preserve">DieselNarrowboatLivestock</t>
  </si>
  <si>
    <t xml:space="preserve">SteelHullUnpoweredNarrowboatBulk</t>
  </si>
  <si>
    <t xml:space="preserve">retire_year=1850
retire_month=1
45-60 minutes</t>
  </si>
  <si>
    <t xml:space="preserve">boats\steel-hull-unpowered-narrowboat.dat</t>
  </si>
  <si>
    <t xml:space="preserve">SteelHullUnpoweredNarrowboatLong</t>
  </si>
  <si>
    <t xml:space="preserve">SteelHullUnpoweredNarrowboatPiece</t>
  </si>
  <si>
    <t xml:space="preserve">SteelHullUnpoweredNarrowboatCool</t>
  </si>
  <si>
    <t xml:space="preserve">SteelHullUnpoweredNarrowboatOil</t>
  </si>
  <si>
    <t xml:space="preserve">SteelHullUnpoweredNarrowboatLivestock</t>
  </si>
  <si>
    <t xml:space="preserve">Metropolitan-h-class</t>
  </si>
  <si>
    <t xml:space="preserve">http://www.lner.info/locos/H/h2.shtml
Extrapolated
http://en.wikipedia.org/wiki/Metropolitan_Railway_H_Class
Actually only built in 1921, but this is very short.
http://en.wikipedia.org/wiki/Metropolitan_Railway_H_Class
https://orion.math.iastate.edu/jdhsmith/term/slgbmet.htm</t>
  </si>
  <si>
    <t xml:space="preserve">london-underground\met-h-class.dat</t>
  </si>
  <si>
    <t xml:space="preserve">LSWR-S15</t>
  </si>
  <si>
    <t xml:space="preserve">Extrapolated
https://en.wikipedia.org/wiki/LSWR_S15_class</t>
  </si>
  <si>
    <t xml:space="preserve">LSWR-S11-superheated</t>
  </si>
  <si>
    <t xml:space="preserve">trains\lswr-s11-superheated.dat</t>
  </si>
  <si>
    <t xml:space="preserve">MR-2000-superheated</t>
  </si>
  <si>
    <t xml:space="preserve">Low top speed as these were known to be unstable.
Extrapolated
http://en.wikipedia.org/wiki/Midland_Railway_2000_Class
Was really 1926, but allow this to be done later.
See addendum diagram between pp. 342-3 Ahrons</t>
  </si>
  <si>
    <t xml:space="preserve">tilling-stevens-ts3a</t>
  </si>
  <si>
    <t xml:space="preserve">https://www.bonhams.com/auctions/22201/lot/1242/
Guessed
Petrol electric has more transmission losses
TODO: Use a more authentic sound for this
Rear platform with conductor: 2.0 seconds per passenger</t>
  </si>
  <si>
    <t xml:space="preserve">bus\tilling-stevens-ts3a.dat</t>
  </si>
  <si>
    <t xml:space="preserve">junkers-f13</t>
  </si>
  <si>
    <t xml:space="preserve">https://en.wikipedia.org/wiki/Junkers_F.13
http://www.pa-mar.net/rpg/pulp/vehicles/junkers_f13a.html
CC-0
https://www.blendswap.com/blends/view/68180
length=8</t>
  </si>
  <si>
    <t xml:space="preserve">air\junkers-f13.dat</t>
  </si>
  <si>
    <t xml:space="preserve">Aviation1920</t>
  </si>
  <si>
    <t xml:space="preserve">junkers-f13-mail</t>
  </si>
  <si>
    <t xml:space="preserve">Max. payload 500kg
length=8</t>
  </si>
  <si>
    <t xml:space="preserve">BrakeGWR</t>
  </si>
  <si>
    <t xml:space="preserve">trains\wagon-brake-gwr.dat</t>
  </si>
  <si>
    <t xml:space="preserve">District_F_StockFrontDM</t>
  </si>
  <si>
    <t xml:space="preserve">http://en.wikipedia.org/wiki/London_Underground_F_Stock</t>
  </si>
  <si>
    <t xml:space="preserve">london-underground\district-f-stock.dat</t>
  </si>
  <si>
    <t xml:space="preserve">Electric1920</t>
  </si>
  <si>
    <t xml:space="preserve">District_F_StockMiddle1</t>
  </si>
  <si>
    <t xml:space="preserve">Wikipedia notes that the F stock had first class when built</t>
  </si>
  <si>
    <t xml:space="preserve">District_F_StockMiddle2</t>
  </si>
  <si>
    <t xml:space="preserve">District_F_StockRearDM</t>
  </si>
  <si>
    <t xml:space="preserve">STypeSingle</t>
  </si>
  <si>
    <t xml:space="preserve">See "The Story of the London Bus", John Day, p. 36
Rear platform with conductor: 2.0 seconds per passenger</t>
  </si>
  <si>
    <t xml:space="preserve">bus\s-type-single.dat</t>
  </si>
  <si>
    <t xml:space="preserve">STypeDouble</t>
  </si>
  <si>
    <t xml:space="preserve">See "The Story of the London Bus", John Day, p. 56
An example of this 'bus in the London 'Bus Museum has the unladen weight given as 5t, 1cwt, 2qrs
Rear platform with conductor: 2.0 seconds per passenger</t>
  </si>
  <si>
    <t xml:space="preserve">bus\s-type-double.dat</t>
  </si>
  <si>
    <t xml:space="preserve">LSWR-T14-superheated</t>
  </si>
  <si>
    <t xml:space="preserve">trains\lswr-t14-superheated.dat</t>
  </si>
  <si>
    <t xml:space="preserve">HandleyPageW8b</t>
  </si>
  <si>
    <t xml:space="preserve">air\handley-page-w8b.dat</t>
  </si>
  <si>
    <t xml:space="preserve">HandleyPageW8b_Mail</t>
  </si>
  <si>
    <t xml:space="preserve">air\handley-page-w8b-mail.dat</t>
  </si>
  <si>
    <t xml:space="preserve">LSWR-Ironclad</t>
  </si>
  <si>
    <t xml:space="preserve">trains\lswr-ironclads.dat</t>
  </si>
  <si>
    <t xml:space="preserve">LSWR-Ironclad-Pantry</t>
  </si>
  <si>
    <t xml:space="preserve">An image of what one of these looked like cannot
currently be found. Re-using the ordinary graphic
for the present.</t>
  </si>
  <si>
    <t xml:space="preserve">LSWR-Ironclad-Brake-rear</t>
  </si>
  <si>
    <t xml:space="preserve">LSWR-Ironclad-Brake-front</t>
  </si>
  <si>
    <t xml:space="preserve">LSWR-Ironclad-Mail</t>
  </si>
  <si>
    <t xml:space="preserve">LSWR-Ironclad-TPO</t>
  </si>
  <si>
    <t xml:space="preserve">Metropolitan1921CircleFront</t>
  </si>
  <si>
    <t xml:space="preserve">http://en.wikipedia.org/wiki/Metropolitan_Railway_electric_multiple_units#Circle_Stock
TODO: Find out when the Metropolitan abolished first class. It is not clear whether
these should have first class capability. Assuming all third for now.
Guessed based on District stock</t>
  </si>
  <si>
    <t xml:space="preserve">london-underground\met-1921-circle.dat</t>
  </si>
  <si>
    <t xml:space="preserve">Metropolitan1921CircleMiddle</t>
  </si>
  <si>
    <t xml:space="preserve">Metropolitan1921CircleRear</t>
  </si>
  <si>
    <t xml:space="preserve">ger-super-claud</t>
  </si>
  <si>
    <t xml:space="preserve">trains\ger-super-claud.dat</t>
  </si>
  <si>
    <t xml:space="preserve">Metropolitan-Vickers</t>
  </si>
  <si>
    <t xml:space="preserve">http://en.wikipedia.org/wiki/Metropolitan_Railway_electric_locomotives#Metropolitan-Vickers
These were only built for a year, but they are not replaced, so need to remain in production for much longer.</t>
  </si>
  <si>
    <t xml:space="preserve">london-underground\met-vickers.dat</t>
  </si>
  <si>
    <t xml:space="preserve">LNER-A1(Black)</t>
  </si>
  <si>
    <t xml:space="preserve">livery-trains\lner-a3.dat</t>
  </si>
  <si>
    <t xml:space="preserve">BigSteam</t>
  </si>
  <si>
    <t xml:space="preserve">LNER-A1(BRBlue)</t>
  </si>
  <si>
    <t xml:space="preserve">LNER-A1(BRGreen)</t>
  </si>
  <si>
    <t xml:space="preserve">SR-N15-Tender</t>
  </si>
  <si>
    <t xml:space="preserve">trains\sr-n15-tender.dat</t>
  </si>
  <si>
    <t xml:space="preserve">LNER-A1-Tender</t>
  </si>
  <si>
    <t xml:space="preserve">trains\lner-a3-tender.dat</t>
  </si>
  <si>
    <t xml:space="preserve">SR-N15</t>
  </si>
  <si>
    <t xml:space="preserve">trains\sr-n15.dat</t>
  </si>
  <si>
    <t xml:space="preserve">LNER-A1</t>
  </si>
  <si>
    <t xml:space="preserve">Extrapolated
Three cylinder
See here: http://www.lner.info/locos/A/a1a3a10.shtml for
information on coal consumption</t>
  </si>
  <si>
    <t xml:space="preserve">trains\lner-a1.dat</t>
  </si>
  <si>
    <t xml:space="preserve">NER-ClassEE1</t>
  </si>
  <si>
    <t xml:space="preserve">trains\ner-ee1.dat</t>
  </si>
  <si>
    <t xml:space="preserve">LSWR-Ironclad-Dining</t>
  </si>
  <si>
    <t xml:space="preserve">LBSCR-B4x</t>
  </si>
  <si>
    <t xml:space="preserve">Extrapolated
http://en.wikipedia.org/wiki/LB%26SCR_B4_class
In reality, only rebuilt until 1924, but this is too short a window here.</t>
  </si>
  <si>
    <t xml:space="preserve">trains\lbscr-b4x.dat</t>
  </si>
  <si>
    <t xml:space="preserve">LNER-A1-Tender(Black)</t>
  </si>
  <si>
    <t xml:space="preserve">livery-trains\lner-a3-tender.dat</t>
  </si>
  <si>
    <t xml:space="preserve">LNER-A1-Tender(BRBlue)</t>
  </si>
  <si>
    <t xml:space="preserve">LNER-A1-Tender(BRGreen)</t>
  </si>
  <si>
    <t xml:space="preserve">SECR-N1-Class</t>
  </si>
  <si>
    <t xml:space="preserve">Extrapolated
Three cylinders
http://orion.math.iastate.edu/jdhsmith/term/slgbsr.htm</t>
  </si>
  <si>
    <t xml:space="preserve">trains\secr-n1-class.dat</t>
  </si>
  <si>
    <t xml:space="preserve">tilling-stevens-ts7-double</t>
  </si>
  <si>
    <t xml:space="preserve">http://www.countrybus.org/O/O.htm
http://www.gearlessbus.webs.com/
Guessed
Petrol electric has more transmission losses
TODO: Use a more authentic sound for this
Rear platform with conductor: 2.0 seconds per passenger</t>
  </si>
  <si>
    <t xml:space="preserve">bus\tilling-stevens-ts7-double.dat</t>
  </si>
  <si>
    <t xml:space="preserve">LNER-Gresley-Express-Coach(CC)</t>
  </si>
  <si>
    <t xml:space="preserve">livery-trains\lner-gresley-express-coach-cc.dat</t>
  </si>
  <si>
    <t xml:space="preserve">LNER-Gresley-Express-Dining(CC)</t>
  </si>
  <si>
    <t xml:space="preserve">LNER-Gresley-Express-Brake(CC)</t>
  </si>
  <si>
    <t xml:space="preserve">LNER-Gresley-Express-Mail(CC)</t>
  </si>
  <si>
    <t xml:space="preserve">LNER-Gresley-Express-TPO(CC)</t>
  </si>
  <si>
    <t xml:space="preserve">LNER-Gresley-Express-Parcel-Brake(CC)</t>
  </si>
  <si>
    <t xml:space="preserve">LNER-Gresley-Express-Coach(Maroon)</t>
  </si>
  <si>
    <t xml:space="preserve">livery-trains\lner-gresley-express-coach-m.dat</t>
  </si>
  <si>
    <t xml:space="preserve">LNER-Gresley-Express-Dining(Maroon)</t>
  </si>
  <si>
    <t xml:space="preserve">LNER-Gresley-Express-Brake(Maroon)</t>
  </si>
  <si>
    <t xml:space="preserve">LNER-Gresley-Express-Mail(Maroon)</t>
  </si>
  <si>
    <t xml:space="preserve">LNER-Gresley-Express-TPO(Maroon)</t>
  </si>
  <si>
    <t xml:space="preserve">LNER-Gresley-Express-Parcel-Brake(Maroon)</t>
  </si>
  <si>
    <t xml:space="preserve">LMS-period1-cor</t>
  </si>
  <si>
    <t xml:space="preserve">All doors type</t>
  </si>
  <si>
    <t xml:space="preserve">trains\lms-period1-cor.dat</t>
  </si>
  <si>
    <t xml:space="preserve">LMS-period1-cor-brake-front</t>
  </si>
  <si>
    <t xml:space="preserve">LMS-period1-cor-brake-rear</t>
  </si>
  <si>
    <t xml:space="preserve">LMS-period1-cor-open</t>
  </si>
  <si>
    <t xml:space="preserve">Vestibule/open type</t>
  </si>
  <si>
    <t xml:space="preserve">LMS-period1-cor-open-brake-front</t>
  </si>
  <si>
    <t xml:space="preserve">LMS-period1-cor-open-brake-rear</t>
  </si>
  <si>
    <t xml:space="preserve">LMS-period1-mail</t>
  </si>
  <si>
    <t xml:space="preserve">LMS-period1-tpo</t>
  </si>
  <si>
    <t xml:space="preserve">LMS-period1-full-brake</t>
  </si>
  <si>
    <t xml:space="preserve">LMS-period1-cor-diner</t>
  </si>
  <si>
    <t xml:space="preserve">tilling-stevens-ts7-single</t>
  </si>
  <si>
    <t xml:space="preserve">http://www.countrybus.org/O/O.htm
http://www.gearlessbus.webs.com/
Guessed
Petrol electric has more transmission losses
TODO: Use a more authentic sound for this
Single door with conductor: 2.5 seconds per passenger</t>
  </si>
  <si>
    <t xml:space="preserve">bus\tilling-stevens-ts7-single.dat</t>
  </si>
  <si>
    <t xml:space="preserve">GWR-Express-Mail</t>
  </si>
  <si>
    <t xml:space="preserve">Wooden bodied vehicles become obsolete sooner.</t>
  </si>
  <si>
    <t xml:space="preserve">trains\gwr-express-mail.dat</t>
  </si>
  <si>
    <t xml:space="preserve">GWR-Express-TPO</t>
  </si>
  <si>
    <t xml:space="preserve">GWR-Express-Parcel-Brake</t>
  </si>
  <si>
    <t xml:space="preserve">trains\gwr-express-parcel-brake.dat</t>
  </si>
  <si>
    <t xml:space="preserve">GWR-Express-Brake</t>
  </si>
  <si>
    <t xml:space="preserve">These are still "all door" types.
Wooden bodied vehicles become obsolete sooner.</t>
  </si>
  <si>
    <t xml:space="preserve">trains\gwr-express-brake.dat</t>
  </si>
  <si>
    <t xml:space="preserve">Long12T</t>
  </si>
  <si>
    <t xml:space="preserve">trains\wagon-long-12t.dat</t>
  </si>
  <si>
    <t xml:space="preserve">GWR-Express-Coach</t>
  </si>
  <si>
    <t xml:space="preserve">trains\gwr-express-coach.dat</t>
  </si>
  <si>
    <t xml:space="preserve">GWR-Express-Dining</t>
  </si>
  <si>
    <t xml:space="preserve">District_G_StockFrontDM</t>
  </si>
  <si>
    <t xml:space="preserve">http://en.wikipedia.org/wiki/London_Underground_G_Stock
Did this have first class when introduced?</t>
  </si>
  <si>
    <t xml:space="preserve">london-underground\district-g-stock.dat</t>
  </si>
  <si>
    <t xml:space="preserve">District_G_StockMiddle</t>
  </si>
  <si>
    <t xml:space="preserve">These are curious, since middle trailers for these were never built.
I assume that these are intended as hypothetical vehicles that would
have been built to the same pattern had there been a need for trailers
at the time that these were constructed.</t>
  </si>
  <si>
    <t xml:space="preserve">District_G_StockRearDM</t>
  </si>
  <si>
    <t xml:space="preserve">BulkRCH12T</t>
  </si>
  <si>
    <t xml:space="preserve">trains\wagon-bulk-rch-12t.dat</t>
  </si>
  <si>
    <t xml:space="preserve">1923TubeStockFront</t>
  </si>
  <si>
    <t xml:space="preserve">london-underground\1923-tube-stock-orig.dat</t>
  </si>
  <si>
    <t xml:space="preserve">1923TubeStockMiddle1</t>
  </si>
  <si>
    <t xml:space="preserve">1923TubeStockMiddle2</t>
  </si>
  <si>
    <t xml:space="preserve">1923TubeStockRear</t>
  </si>
  <si>
    <t xml:space="preserve">LNER-Gresley-Express-Mail</t>
  </si>
  <si>
    <t xml:space="preserve">trains\lner-gresley-express-mail.dat</t>
  </si>
  <si>
    <t xml:space="preserve">LNER-Gresley-Express-TPO</t>
  </si>
  <si>
    <t xml:space="preserve">LNER-Gresley-Express-Buffet</t>
  </si>
  <si>
    <t xml:space="preserve">trains\lner-gresley-express-buffet.dat</t>
  </si>
  <si>
    <t xml:space="preserve">LNER-Gresley-Express-Dining</t>
  </si>
  <si>
    <t xml:space="preserve">trains\lner-gresely-express-dining.dat</t>
  </si>
  <si>
    <t xml:space="preserve">LNER-Gresley-Express-Brake-all-doors-front</t>
  </si>
  <si>
    <t xml:space="preserve">This is the earlier version with compartment side
doors, and with four a side in the thirds.
Note: these were nominally three a side, but they
had no armrests, so it was probable that they
were treated as four a side.
See Jenkinson pp. 314-5.</t>
  </si>
  <si>
    <t xml:space="preserve">trains\lner-gresley-express-coach-all-doors-brake.dat</t>
  </si>
  <si>
    <t xml:space="preserve">LNER-Gresley-Express-Brake-all-doors-rear</t>
  </si>
  <si>
    <t xml:space="preserve">NSTypeDouble</t>
  </si>
  <si>
    <t xml:space="preserve">http://www.countrybus.org/NS/NS.htm
http://www.londonbusmuseum.com/museum-exhibits/double-deck-buses/aec-ns-ns-174/
Original, open topped, solid tyred version.
Rear platform with conductor: 2.0 seconds per passenger</t>
  </si>
  <si>
    <t xml:space="preserve">bus\ns-type.dat</t>
  </si>
  <si>
    <t xml:space="preserve">LNER-Gresley-Express-Parcel-Brake</t>
  </si>
  <si>
    <t xml:space="preserve">trains\lner-gresley-express-parcel-brake.dat</t>
  </si>
  <si>
    <t xml:space="preserve">LNER-Gresley-Express-Coach-All-Doors</t>
  </si>
  <si>
    <t xml:space="preserve">trains\lner-gresley-express-coach-all-doors.dat</t>
  </si>
  <si>
    <t xml:space="preserve">super-sentinel-bulk</t>
  </si>
  <si>
    <t xml:space="preserve">http://collections.museumvictoria.com.au/items/407359
http://www.steam-up.co.uk/sentinel/sentinel_ca6395.htm
http://www.sentinelwaggons.co.uk/sentinelpage2.htm
These were cheaper to build and run than the standard
Sentinels.
http://www.sentinelwaggons.co.uk/sentinelpage4.htm</t>
  </si>
  <si>
    <t xml:space="preserve">bus\super-sentinel.dat</t>
  </si>
  <si>
    <t xml:space="preserve">super-sentinel-long</t>
  </si>
  <si>
    <t xml:space="preserve">super-sentinel-piece</t>
  </si>
  <si>
    <t xml:space="preserve">super-sentinel-cool</t>
  </si>
  <si>
    <t xml:space="preserve">super-sentinel-livestock</t>
  </si>
  <si>
    <t xml:space="preserve">super-sentinel-tanker</t>
  </si>
  <si>
    <t xml:space="preserve">Mersey-EMU-1923(front)</t>
  </si>
  <si>
    <t xml:space="preserve">Unheated with hard plywood seats in third class.
Rattan seats in first.</t>
  </si>
  <si>
    <t xml:space="preserve">trains\mersey-emu-1923.dat</t>
  </si>
  <si>
    <t xml:space="preserve">Mersey-EMU-1923(trailer)</t>
  </si>
  <si>
    <t xml:space="preserve">Mersey-EMU-1923(trailer-first)</t>
  </si>
  <si>
    <t xml:space="preserve">Mersey-EMU-1923(rear)</t>
  </si>
  <si>
    <t xml:space="preserve">Blackpool-Standard</t>
  </si>
  <si>
    <t xml:space="preserve">According to this web page: http://www.flickr.com/photos/ingythewingy/6348843530/
these use 2x. 35hp motors. 70hp = 52kW</t>
  </si>
  <si>
    <t xml:space="preserve">trams\blackpool-standard.dat</t>
  </si>
  <si>
    <t xml:space="preserve">GWR-Castle</t>
  </si>
  <si>
    <t xml:space="preserve">CALIBRATED: see http://mikes.railhistory.railfan.net/r070.html
Max. speed given as 90mph on level track with train (net) load
of 195 tons.
http://en.wikipedia.org/wiki/GWR_4073_Class
http://en.wikipedia.org/wiki/GWR_4073_Class
Four cylinder
These were especially economical: see http://www.greatwestern.org.uk/m_in_cas.htm</t>
  </si>
  <si>
    <t xml:space="preserve">trains\gwr-castle.dat</t>
  </si>
  <si>
    <t xml:space="preserve">GWR-Castle-Tender</t>
  </si>
  <si>
    <t xml:space="preserve">BrakeSR</t>
  </si>
  <si>
    <t xml:space="preserve">trains\wagon-brake-sr.dat</t>
  </si>
  <si>
    <t xml:space="preserve">ThornycroftQArticTractor</t>
  </si>
  <si>
    <t xml:space="preserve">https://hampshireculturaltrust.org.uk/content/type-q</t>
  </si>
  <si>
    <t xml:space="preserve">bus\thornycroft-q-artic.dat</t>
  </si>
  <si>
    <t xml:space="preserve">ThornycroftQArticBulk</t>
  </si>
  <si>
    <t xml:space="preserve">ThornycroftQArticLong</t>
  </si>
  <si>
    <t xml:space="preserve">ThornycroftQArticPiece</t>
  </si>
  <si>
    <t xml:space="preserve">ThornycroftQArticCool</t>
  </si>
  <si>
    <t xml:space="preserve">ThornycroftQArticLivestock</t>
  </si>
  <si>
    <t xml:space="preserve">ThornycroftQArticFluid</t>
  </si>
  <si>
    <t xml:space="preserve">ThornycroftQArticCars</t>
  </si>
  <si>
    <t xml:space="preserve">LMS-4P</t>
  </si>
  <si>
    <t xml:space="preserve">Lower maximum speed than 1000 class, as wheel diameter reduced.
Extrapolated
http://en.wikipedia.org/wiki/LMS_Compound_4-4-0
3 cylinder compound
http://en.wikipedia.org/wiki/LMS_Compound_4-4-0</t>
  </si>
  <si>
    <t xml:space="preserve">trains\lms-4p.dat</t>
  </si>
  <si>
    <t xml:space="preserve">LMS-4P-Tender</t>
  </si>
  <si>
    <t xml:space="preserve">ThornycroftQRigidBulk</t>
  </si>
  <si>
    <t xml:space="preserve">bus\thornycroft-q-rigid.dat</t>
  </si>
  <si>
    <t xml:space="preserve">ThornycroftQRigidLong</t>
  </si>
  <si>
    <t xml:space="preserve">ThornycroftQRigidPiece</t>
  </si>
  <si>
    <t xml:space="preserve">ThornycroftQRigidCool</t>
  </si>
  <si>
    <t xml:space="preserve">ThornycroftQRigidLivestock</t>
  </si>
  <si>
    <t xml:space="preserve">ThornycroftQRigidOil</t>
  </si>
  <si>
    <t xml:space="preserve">ThornycroftQRigidCars</t>
  </si>
  <si>
    <t xml:space="preserve">LMS-push-pull-brake</t>
  </si>
  <si>
    <t xml:space="preserve">trains\lms-push-pull.dat</t>
  </si>
  <si>
    <t xml:space="preserve">LMS-push-pull-centre-1</t>
  </si>
  <si>
    <t xml:space="preserve">LMS-push-pull-centre-2</t>
  </si>
  <si>
    <t xml:space="preserve">LMS-non-cor-lav</t>
  </si>
  <si>
    <t xml:space="preserve">trains\lms-non-cor.dat</t>
  </si>
  <si>
    <t xml:space="preserve">LMS-non-cor-non-lav</t>
  </si>
  <si>
    <t xml:space="preserve">More comfortable than the MR equivalents because of more space between compartments
Wooden bodied vehicles become obsolete sooner.</t>
  </si>
  <si>
    <t xml:space="preserve">LMS-non-cor-brake-front</t>
  </si>
  <si>
    <t xml:space="preserve">LMS-non-cor-brake-rear</t>
  </si>
  <si>
    <t xml:space="preserve">LMS-non-cor-brake-lav-front</t>
  </si>
  <si>
    <t xml:space="preserve">LMS-non-cor-brake-lav-rear</t>
  </si>
  <si>
    <t xml:space="preserve">wagon-ng-van-bogie</t>
  </si>
  <si>
    <t xml:space="preserve">narrowgauge\wagon-ng-bogie-van.dat</t>
  </si>
  <si>
    <t xml:space="preserve">wagon-ng-bulk-bogie</t>
  </si>
  <si>
    <t xml:space="preserve">narrowgauge\wagon-ng-bogie-bulk.dat</t>
  </si>
  <si>
    <t xml:space="preserve">LMS-3F-Jinty</t>
  </si>
  <si>
    <t xml:space="preserve">Extrapolated
http://en.wikipedia.org/wiki/LMS_Fowler_Class_3F
In reality, these were only built until 1931.
However, there are no suitable replacements yet.</t>
  </si>
  <si>
    <t xml:space="preserve">trains\lms-jinty.dat</t>
  </si>
  <si>
    <t xml:space="preserve">LMS-3F-Jinty-Push-Pull</t>
  </si>
  <si>
    <t xml:space="preserve">wagon-ng-van-bogie-food</t>
  </si>
  <si>
    <t xml:space="preserve">narrowgauge\wagon-ng-bogie-food.dat</t>
  </si>
  <si>
    <t xml:space="preserve">wagon-ng-long-bogie</t>
  </si>
  <si>
    <t xml:space="preserve">narrowgauge\wagon-ng-bogie-long.dat</t>
  </si>
  <si>
    <t xml:space="preserve">SR-3SUB(front)</t>
  </si>
  <si>
    <t xml:space="preserve">See Jenkinson p. 387</t>
  </si>
  <si>
    <t xml:space="preserve">trains\sr-3sub.dat</t>
  </si>
  <si>
    <t xml:space="preserve">SR-3SUB(centre)</t>
  </si>
  <si>
    <t xml:space="preserve">SR-3SUB(rear)</t>
  </si>
  <si>
    <t xml:space="preserve">SRIsleOfThanet</t>
  </si>
  <si>
    <t xml:space="preserve">gear=400
40-60 minutes</t>
  </si>
  <si>
    <t xml:space="preserve">boats\boats192\sr-isle-of-thanet.dat</t>
  </si>
  <si>
    <t xml:space="preserve">SRIsleOfThanetAddMail</t>
  </si>
  <si>
    <t xml:space="preserve">boats\holds\sr-isle-of-thanet-mail.dat</t>
  </si>
  <si>
    <t xml:space="preserve">aec-ns-type-double-covered</t>
  </si>
  <si>
    <t xml:space="preserve">Covered topped version
Rear platform with conductor: 2.0 seconds per passenger</t>
  </si>
  <si>
    <t xml:space="preserve">BrakeLNER</t>
  </si>
  <si>
    <t xml:space="preserve">trains\wagon-brake-lner.dat</t>
  </si>
  <si>
    <t xml:space="preserve">BrakeLMS</t>
  </si>
  <si>
    <t xml:space="preserve">trains\wagon-brake-lms.dat</t>
  </si>
  <si>
    <t xml:space="preserve">LMS-Hughes-Crab</t>
  </si>
  <si>
    <t xml:space="preserve">trains\lms-hughes.crab.dat</t>
  </si>
  <si>
    <t xml:space="preserve">LMS-Hughes-Crab-Tender</t>
  </si>
  <si>
    <t xml:space="preserve">ford-trimotor</t>
  </si>
  <si>
    <t xml:space="preserve">http://www.bagophily.com/images/ford_trimotor_01.jpg
@ ISA (sea level, 0Centigrades), Runway Dry
minimum_runway_length=1600
@ ISA+10C, Runway dry = +10%</t>
  </si>
  <si>
    <t xml:space="preserve">air\ford-trimotor.dat</t>
  </si>
  <si>
    <t xml:space="preserve">FordTrimotorMail</t>
  </si>
  <si>
    <t xml:space="preserve">gear=1
payload 1.2t
length=8
@ ISA (sea level, 0Centigrades), Runway Dry
minimum_runway_length=1600
@ ISA+10C, Runway dry = +10%</t>
  </si>
  <si>
    <t xml:space="preserve">air\ford-trimotor-mail.dat</t>
  </si>
  <si>
    <t xml:space="preserve">junkers-w34</t>
  </si>
  <si>
    <t xml:space="preserve">https://en.wikipedia.org/wiki/Junkers_W_34
http://www.wehrmacht-history.com/luftwaffe/transports/junkers-w-34-transport.htm
CC-0
https://www.blendswap.com/blends/view/68261
length=8
Guessed
Guessed</t>
  </si>
  <si>
    <t xml:space="preserve">air\junkers-w34.dat</t>
  </si>
  <si>
    <t xml:space="preserve">junkers-w34-mail</t>
  </si>
  <si>
    <t xml:space="preserve">Max. payload for cargo not given
length=8
Guessed
Guessed</t>
  </si>
  <si>
    <t xml:space="preserve">AustinSevenPiece</t>
  </si>
  <si>
    <t xml:space="preserve">bus\austin-seven-van.dat</t>
  </si>
  <si>
    <t xml:space="preserve">AustinSevenCool</t>
  </si>
  <si>
    <t xml:space="preserve">AustinSevenPost</t>
  </si>
  <si>
    <t xml:space="preserve">LMS-EMU-driving-trailer</t>
  </si>
  <si>
    <t xml:space="preserve">http://en.wikipedia.org/wiki/LMS_electric_units
Jenkinson, p. 431</t>
  </si>
  <si>
    <t xml:space="preserve">trains\lms-emu.dat</t>
  </si>
  <si>
    <t xml:space="preserve">LMS-EMU-centre-trailer</t>
  </si>
  <si>
    <t xml:space="preserve">LMS-EMU-driving-motor</t>
  </si>
  <si>
    <t xml:space="preserve">SR-Lord-Nelson</t>
  </si>
  <si>
    <t xml:space="preserve">Extrapolated
Production actually stopped in 1929, but this is not replaced until the Merchant Navy class.
Four cylinder, but pictures show small balance weights
http://www.semgonline.com/steam/lnclass_1.html
http://orion.math.iastate.edu/jdhsmith/term/slgbsr.htm</t>
  </si>
  <si>
    <t xml:space="preserve">trains\sr-lord-nelson.dat</t>
  </si>
  <si>
    <t xml:space="preserve">SR-Lord-Nelson-Tender</t>
  </si>
  <si>
    <t xml:space="preserve">SR-Maunsell-Third</t>
  </si>
  <si>
    <t xml:space="preserve">trains\sr-maunsell-carriages.dat</t>
  </si>
  <si>
    <t xml:space="preserve">SR-Maunsell-Dining</t>
  </si>
  <si>
    <t xml:space="preserve">SR-Maunsell-Buffet</t>
  </si>
  <si>
    <t xml:space="preserve">SR-Maunsell-Brake-rear</t>
  </si>
  <si>
    <t xml:space="preserve">SR-Maunsell-Brake-front</t>
  </si>
  <si>
    <t xml:space="preserve">SR-Maunsell-Mail</t>
  </si>
  <si>
    <t xml:space="preserve">SR-Maunsell-TPO</t>
  </si>
  <si>
    <t xml:space="preserve">SeineNetterDiesel</t>
  </si>
  <si>
    <t xml:space="preserve">met-mv-stock-front</t>
  </si>
  <si>
    <t xml:space="preserve">MV and MW stock was the original name for what became known as "T stock" in London Transport days.
http://en.wikipedia.org/wiki/London_Underground_T_Stock
http://en.wikipedia.org/wiki/Metropolitan_Railway_electric_multiple_units#W.2C_MV_.26_MW_stock
TODO: Find and add data on first class compartments in these.
Guessed</t>
  </si>
  <si>
    <t xml:space="preserve">london-underground\met-mv-stock.dat</t>
  </si>
  <si>
    <t xml:space="preserve">met-mv-stock-centre</t>
  </si>
  <si>
    <t xml:space="preserve">met-mv-stock-rear</t>
  </si>
  <si>
    <t xml:space="preserve">LMS-royal-scot</t>
  </si>
  <si>
    <t xml:space="preserve">Extrapolated
Three cylinders</t>
  </si>
  <si>
    <t xml:space="preserve">trains\lms-royal-scot.dat</t>
  </si>
  <si>
    <t xml:space="preserve">LMS-royal-scot-tender</t>
  </si>
  <si>
    <t xml:space="preserve">LMS-Garratt-Front</t>
  </si>
  <si>
    <t xml:space="preserve">Extrapolated
http://en.wikipedia.org/wiki/LMS_Garratt
These were "heavy on coal and maintenance": http://en.wikipedia.org/wiki/LMS_Garratt</t>
  </si>
  <si>
    <t xml:space="preserve">trains\lms-garratt-front.dat</t>
  </si>
  <si>
    <t xml:space="preserve">LMS-Garratt-Middle</t>
  </si>
  <si>
    <t xml:space="preserve">trains\lms-garratt-middle.dat</t>
  </si>
  <si>
    <t xml:space="preserve">LMS-Fowler-4P-Tank</t>
  </si>
  <si>
    <t xml:space="preserve">trains\lms-4p-tanks.dat</t>
  </si>
  <si>
    <t xml:space="preserve">LMS-Garratt-Rear</t>
  </si>
  <si>
    <t xml:space="preserve">trains\lms-garratt-rear.dat</t>
  </si>
  <si>
    <t xml:space="preserve">Garrett-NGG16-front</t>
  </si>
  <si>
    <t xml:space="preserve">http://en.wikipedia.org/wiki/South_African_Class_NG_G16_2-6-2%2B2-6-2
Extrapolated
http://en.wikipedia.org/wiki/South_African_Class_NG_G16_2-6-2%2B2-6-2
Sufficiently similar to the NG G13 class to give the earlier introduction date for that class:
http://en.wikipedia.org/wiki/South_African_Class_NG_G13_2-6-2%2B2-6-2
http://en.wikipedia.org/wiki/South_African_Class_NG_G16_2-6-2%2B2-6-2
http://en.wikipedia.org/wiki/NGG16</t>
  </si>
  <si>
    <t xml:space="preserve">narrowgauge\garrett-ngg16.dat</t>
  </si>
  <si>
    <t xml:space="preserve">Garrett-NGG16-middle</t>
  </si>
  <si>
    <t xml:space="preserve">Must be zero, as total weight is 34t on two bogies. Should be shown in front vehicle.</t>
  </si>
  <si>
    <t xml:space="preserve">Garrett-NGG16-rear</t>
  </si>
  <si>
    <t xml:space="preserve">sheffield-standard</t>
  </si>
  <si>
    <t xml:space="preserve">According to Wikipedia: http://en.wikipedia.org/wiki/Tramcars_of_the_Sheffield_Tramway
these use 2x. 50hp motors. 100hp = 75kW
Padded seats, fully enclosed decks, no bogies</t>
  </si>
  <si>
    <t xml:space="preserve">trams\sheffield-standard.dat</t>
  </si>
  <si>
    <t xml:space="preserve">District_KLMN_StockFrontDM</t>
  </si>
  <si>
    <t xml:space="preserve">http://en.wikipedia.org/wiki/London_Underground_L_Stock
http://en.wikipedia.org/wiki/London_Underground_K_Stock
http://en.wikipedia.org/wiki/London_Underground_M_and_N_Stock</t>
  </si>
  <si>
    <t xml:space="preserve">london-underground\district-klmn-stock.dat</t>
  </si>
  <si>
    <t xml:space="preserve">District_KLMN_StockMiddle</t>
  </si>
  <si>
    <t xml:space="preserve">District_KLMN_StockRearDM</t>
  </si>
  <si>
    <t xml:space="preserve">GWR-King</t>
  </si>
  <si>
    <t xml:space="preserve">Approximately calculated from data from: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http://en.wikipedia.org/wiki/GWR_6000_Class</t>
  </si>
  <si>
    <t xml:space="preserve">trains\gwr-king.dat</t>
  </si>
  <si>
    <t xml:space="preserve">GWR-King-Tender</t>
  </si>
  <si>
    <t xml:space="preserve">trains\gwr-king-tender.dat</t>
  </si>
  <si>
    <t xml:space="preserve">LNER-D49</t>
  </si>
  <si>
    <t xml:space="preserve">Extrapolated
http://en.wikipedia.org/wiki/LNER_Class_D49
Three cylinders</t>
  </si>
  <si>
    <t xml:space="preserve">trains\lner-d49.dat</t>
  </si>
  <si>
    <t xml:space="preserve">LNER-D49-Tender</t>
  </si>
  <si>
    <t xml:space="preserve">LNER-A3</t>
  </si>
  <si>
    <t xml:space="preserve">Extrapolated
Three cylinder</t>
  </si>
  <si>
    <t xml:space="preserve">trains\lner-a3.dat</t>
  </si>
  <si>
    <t xml:space="preserve">GWR-Hall</t>
  </si>
  <si>
    <t xml:space="preserve">Slower than the Saint because of the smaller drivers.
CALIBRATED: see http://www.traintesting.com/bulletin_1.htm
Max. speed given as 47mph with a train of 582t (gross)
Adjusting for rising gradient of 1/834 (+14Kw)
NOTE: The source itself suggests drawbar horsepower at approx. 550hp,
which is equivalent to 410.1Kw, compared to the 338Kw suggested
by in-game tests adjusted for by gradient. That is to be preferred
given the better efficiency given.</t>
  </si>
  <si>
    <t xml:space="preserve">trains\gwr-hall.dat</t>
  </si>
  <si>
    <t xml:space="preserve">GWR-Hall-Tender</t>
  </si>
  <si>
    <t xml:space="preserve">LMS-2P</t>
  </si>
  <si>
    <t xml:space="preserve">Extrapolated
http://en.wikipedia.org/wiki/LMS_Class_2P_4-4-0</t>
  </si>
  <si>
    <t xml:space="preserve">trains\lms-2p.dat</t>
  </si>
  <si>
    <t xml:space="preserve">LMS-2P-Tender</t>
  </si>
  <si>
    <t xml:space="preserve">SentinelDGCool</t>
  </si>
  <si>
    <t xml:space="preserve">bus\sentinel-dg4.dat</t>
  </si>
  <si>
    <t xml:space="preserve">SR-U1-Class</t>
  </si>
  <si>
    <t xml:space="preserve">Extrapolated
Should be 1931, but there are no replacements.
Three cylinders
http://orion.math.iastate.edu/jdhsmith/term/slgbsr.htm
Should in theory be able to upgrade from SECR K Class, but upgrading from a tank to a tender locomotive presents difficulties.</t>
  </si>
  <si>
    <t xml:space="preserve">trains\sr-u1-class.dat</t>
  </si>
  <si>
    <t xml:space="preserve">lockheed-vega</t>
  </si>
  <si>
    <t xml:space="preserve">https://en.wikipedia.org/wiki/Lockheed_Vega
https://airandspace.si.edu/collection-objects/lockheed-vega-5b-amelia-earhart
CC-BY-SA
http://www.3dsociety.ru/3dmodels/3d-model-lockheed-vega
This appears to be a retexture of Emmanuel Baranger's Vega here:
https://www.blendswap.com/blends/view/84032
Therefore, the derivative work would also be under the Creative Commons licence
length=8
Guessed</t>
  </si>
  <si>
    <t xml:space="preserve">air\lockheed-vega.dat</t>
  </si>
  <si>
    <t xml:space="preserve">lockheed-vega-mail</t>
  </si>
  <si>
    <t xml:space="preserve">CC-BY-SA
https://www.blendswap.com/blends/view/84032
Max. payload 600kg
length=8
Guessed</t>
  </si>
  <si>
    <t xml:space="preserve">SR-Maunsell-Parcels</t>
  </si>
  <si>
    <t xml:space="preserve">SR-Maunsell-Parcels-Brake</t>
  </si>
  <si>
    <t xml:space="preserve">SentinelDGBulk</t>
  </si>
  <si>
    <t xml:space="preserve">This is the DG4, the 6-ton vehicle
The DG6 is the 8 ton 6-wheeler
It is not immediately clear how this was better
than the Super Sentinel, so assume lower
maintenance and weight.
http://www.sentinelwaggons.co.uk/sentinelpage3.htm</t>
  </si>
  <si>
    <t xml:space="preserve">SentinelDGLong</t>
  </si>
  <si>
    <t xml:space="preserve">SentinelDGPiece</t>
  </si>
  <si>
    <t xml:space="preserve">SentinelDGLivestock</t>
  </si>
  <si>
    <t xml:space="preserve">SentinelDGTanker</t>
  </si>
  <si>
    <t xml:space="preserve">sentinel-dg6-bulk</t>
  </si>
  <si>
    <t xml:space="preserve">http://librapix.com.s3.amazonaws.com/traction-engines.net/960.jpg
http://www.sentinelwaggons.co.uk/sentinelpage3.htm</t>
  </si>
  <si>
    <t xml:space="preserve">bus\sentinel-dg6.dat</t>
  </si>
  <si>
    <t xml:space="preserve">sentinel-dg6-long</t>
  </si>
  <si>
    <t xml:space="preserve">sentinel-dg6-piece</t>
  </si>
  <si>
    <t xml:space="preserve">sentinel-dg6-cool</t>
  </si>
  <si>
    <t xml:space="preserve">sentinel-dg6-livestock</t>
  </si>
  <si>
    <t xml:space="preserve">sentinel-dg6-tanker</t>
  </si>
  <si>
    <t xml:space="preserve">glasgow-standard-4</t>
  </si>
  <si>
    <t xml:space="preserve">Weight likewise guessed</t>
  </si>
  <si>
    <t xml:space="preserve">aec-ns-type-double-pneumatic</t>
  </si>
  <si>
    <t xml:space="preserve">Pneumatic tyred version
(with covered top)
Rear platform with conductor: 2.0 seconds per passenger</t>
  </si>
  <si>
    <t xml:space="preserve">SR-U1-Class-Tender</t>
  </si>
  <si>
    <t xml:space="preserve">Should be 1931, but there are no replacements.</t>
  </si>
  <si>
    <t xml:space="preserve">SR-U-Class</t>
  </si>
  <si>
    <t xml:space="preserve">Extrapolated
Should be 1931, but there are no replacements.
http://orion.math.iastate.edu/jdhsmith/term/slgbsr.htm</t>
  </si>
  <si>
    <t xml:space="preserve">trains\sr-u-class.dat</t>
  </si>
  <si>
    <t xml:space="preserve">SR-U-Class-Tender</t>
  </si>
  <si>
    <t xml:space="preserve">zeppelin-lz127-mail</t>
  </si>
  <si>
    <t xml:space="preserve">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 ISA (sea level, 0Centigrades), Runway Dry
minimum_runway_length=0
@ ISA+10C, Runway dry = +10%
Not sure that this sound is appropriate here.
sound=planelow.wav
Guessed</t>
  </si>
  <si>
    <t xml:space="preserve">air\air256\zeppelin-lz127-mail.dat</t>
  </si>
  <si>
    <t xml:space="preserve">tilling-stevens-ts7-single-pneumatic</t>
  </si>
  <si>
    <t xml:space="preserve">bus\tilling-stevens-ts7-single-pneumatic.dat</t>
  </si>
  <si>
    <t xml:space="preserve">zeppelin-lz127</t>
  </si>
  <si>
    <t xml:space="preserve">https://en.wikipedia.org/wiki/LZ_127_Graf_Zeppelin
http://www.airships.net/lz127-graf-zeppelin/
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For landing pads
Cabins with beds
Restaurant
@ ISA (sea level, 0Centigrades), Runway Dry
minimum_runway_length=0
@ ISA+10C, Runway dry = +10%
Not sure that this sound is appropriate here.
sound=planelow.wav
Guessed</t>
  </si>
  <si>
    <t xml:space="preserve">air\air256\zeppelin-lz127.dat</t>
  </si>
  <si>
    <t xml:space="preserve">tilling-stevens-ts7-double-pneumatic</t>
  </si>
  <si>
    <t xml:space="preserve">bus\tilling-stevens-ts7-double-pneumatic.dat</t>
  </si>
  <si>
    <t xml:space="preserve">LNER-B17</t>
  </si>
  <si>
    <t xml:space="preserve">Extrapolated
http://www.lner.info/locos/B/b17.shtml
Three cylinder</t>
  </si>
  <si>
    <t xml:space="preserve">trains\lner-b17.dat</t>
  </si>
  <si>
    <t xml:space="preserve">LNER-B17-Tender</t>
  </si>
  <si>
    <t xml:space="preserve">trains\lner-b17-tender.dat</t>
  </si>
  <si>
    <t xml:space="preserve">AECReliance</t>
  </si>
  <si>
    <t xml:space="preserve">http://www.countrybus.org/R/R.htm
This is the 'bus version
Guessed
Single door with conductor: 2.5 seconds per passenger</t>
  </si>
  <si>
    <t xml:space="preserve">bus\aec-reliance.dat</t>
  </si>
  <si>
    <t xml:space="preserve">aec-reliance-coach</t>
  </si>
  <si>
    <t xml:space="preserve">http://www.countrybus.org/R/R.htm
This is the coach version
Guessed
Coach: 7.5 seconds per passenger</t>
  </si>
  <si>
    <t xml:space="preserve">bus\aec-reliance-coach.dat</t>
  </si>
  <si>
    <t xml:space="preserve">GWR-PannierTank</t>
  </si>
  <si>
    <t xml:space="preserve">This is the 57xx class. Other pannier types need to be added.
Extrapolated</t>
  </si>
  <si>
    <t xml:space="preserve">trains\gwr-panniertank.dat</t>
  </si>
  <si>
    <t xml:space="preserve">LMS-7F</t>
  </si>
  <si>
    <t xml:space="preserve">trains\lms-7f.dat</t>
  </si>
  <si>
    <t xml:space="preserve">LMS-7F-Tender</t>
  </si>
  <si>
    <t xml:space="preserve">AECRegentST</t>
  </si>
  <si>
    <t xml:space="preserve">http://www.countrybus.org/ST/ST.html
45hp - see John Day, The Story of the London Bus, p. 68
A Regent ST 'bus in the London 'Bus Museum is marked as being 6t 11cwt
Rear platform with conductor: 2.0 seconds per passenger</t>
  </si>
  <si>
    <t xml:space="preserve">bus\aec-regent.dat</t>
  </si>
  <si>
    <t xml:space="preserve">AECRenownLT</t>
  </si>
  <si>
    <t xml:space="preserve">http://www.countrybus.org/LT/LT.html
http://www.countrybus.org/LT/LT3.html
45hp - see John Day, The Story of the London Bus, p. 68
Guessed
Rear platform with conductor: 2.0 seconds per passenger</t>
  </si>
  <si>
    <t xml:space="preserve">bus\aec-renown.dat</t>
  </si>
  <si>
    <t xml:space="preserve">AECRegalT</t>
  </si>
  <si>
    <t xml:space="preserve">http://www.countrybus.org/T-regal/T1.htm#general
One of these at the London 'Bus Museum is marked as 6t - the cwt marking is unclear on my photograph.
Single door with conductor: 2.5 seconds per passenger</t>
  </si>
  <si>
    <t xml:space="preserve">bus\aec-regal.dat</t>
  </si>
  <si>
    <t xml:space="preserve">SteelHullDumbBargeBulk</t>
  </si>
  <si>
    <t xml:space="preserve">boats\steel-hull-dumb-barge.dat</t>
  </si>
  <si>
    <t xml:space="preserve">SteelHullDumbBargeLong</t>
  </si>
  <si>
    <t xml:space="preserve">SteelHullDumbBargePiece</t>
  </si>
  <si>
    <t xml:space="preserve">SteelHullDumbBargeCool</t>
  </si>
  <si>
    <t xml:space="preserve">SteelHullDumbBargeOil</t>
  </si>
  <si>
    <t xml:space="preserve">SteelHullDumbBargeLivestock</t>
  </si>
  <si>
    <t xml:space="preserve">sr-w-class</t>
  </si>
  <si>
    <t xml:space="preserve">trains\sr-w-class.dat</t>
  </si>
  <si>
    <t xml:space="preserve">aec-regal-t-coach</t>
  </si>
  <si>
    <t xml:space="preserve">http://www.countrybus.org/T-regal/T2.htm
Speed given by Ian's Bus Stop (above) as 60mph - this is fast for 1930!
Have very low tractive effort in compensation (a direct calculation
suggests 4)
One of these at the London 'Bus Museum is marked as 6t - the cwt marking is unclear on my photograph.
See also https://www.flickr.com/photos/14730981@N08/6831960262/in/album-72157629573765473/
Coach: 7.5 seconds per passenger</t>
  </si>
  <si>
    <t xml:space="preserve">bus\aec-regal-t-coach.dat</t>
  </si>
  <si>
    <t xml:space="preserve">LMS-Fowler-3P-Tank</t>
  </si>
  <si>
    <t xml:space="preserve">trains\lms-fowler-3p.dat</t>
  </si>
  <si>
    <t xml:space="preserve">LMS-Fowler-3P-Tank-Push-Pull</t>
  </si>
  <si>
    <t xml:space="preserve">SR-Maunsell-Saloon</t>
  </si>
  <si>
    <t xml:space="preserve">DieselBargeBulk</t>
  </si>
  <si>
    <t xml:space="preserve">boats\diesel-barge.dat</t>
  </si>
  <si>
    <t xml:space="preserve">DieselBargeLong</t>
  </si>
  <si>
    <t xml:space="preserve">DieselBargePiece</t>
  </si>
  <si>
    <t xml:space="preserve">DieselBargeCool</t>
  </si>
  <si>
    <t xml:space="preserve">DieselBargeOil</t>
  </si>
  <si>
    <t xml:space="preserve">DieselBargeLivestock</t>
  </si>
  <si>
    <t xml:space="preserve">GWR-1400Tank</t>
  </si>
  <si>
    <t xml:space="preserve">Extrapolated
http://en.wikipedia.org/wiki/GWR_1400_Class</t>
  </si>
  <si>
    <t xml:space="preserve">trains\gwr-1400-tank.dat</t>
  </si>
  <si>
    <t xml:space="preserve">feltham</t>
  </si>
  <si>
    <t xml:space="preserve">See "London Tramways" (John Reed, pub. Capital Transport, ISBN 1-85414-179-1) pp. 80-1
Very little information on maximum speed.
Speed will be limited by the limit of the track
so this higher speed will only be possible on
dedicated railway track.
2x 70hp motors = 104kW
Guessed
Padded seats, bogies and fully enclosed upper deck</t>
  </si>
  <si>
    <t xml:space="preserve">trams\feltham.dat</t>
  </si>
  <si>
    <t xml:space="preserve">SR-4LAV(front)</t>
  </si>
  <si>
    <t xml:space="preserve">trains\sr-4-lav.dat</t>
  </si>
  <si>
    <t xml:space="preserve">SR-4LAV(centre1)</t>
  </si>
  <si>
    <t xml:space="preserve">SR-4LAV(centre2)</t>
  </si>
  <si>
    <t xml:space="preserve">SR-4LAV(rear)</t>
  </si>
  <si>
    <t xml:space="preserve">SR-Schools</t>
  </si>
  <si>
    <t xml:space="preserve">This is an actual recorded top speed: see https://en.wikipedia.org/wiki/SR_V_Schools_class
Extrapolated
Production actually stopped in 1935, but players might want a light mixed-traffic locomotive later.
Three cylinder
http://en.wikipedia.org/wiki/SR_V_Schools_class</t>
  </si>
  <si>
    <t xml:space="preserve">trains\sr-schools.dat</t>
  </si>
  <si>
    <t xml:space="preserve">SR-Schools-Tender</t>
  </si>
  <si>
    <t xml:space="preserve">trains\sr-schools-tender.dat</t>
  </si>
  <si>
    <t xml:space="preserve">lcc-e3-class</t>
  </si>
  <si>
    <t xml:space="preserve">See "London Tramways" (John Reed, pub. Capital Transport, ISBN 1-85414-179-1) p. 75
2x 60hp motors (probably - not confirmed)
Padded seats,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</si>
  <si>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trams\lcc-e3-class.dat</t>
  </si>
  <si>
    <t xml:space="preserve">LMS-Patriot</t>
  </si>
  <si>
    <t xml:space="preserve">Extrapolated
http://en.wikipedia.org/wiki/LMS_Patriot_Class
Three cylinders</t>
  </si>
  <si>
    <t xml:space="preserve">trains\lms-patriot.dat</t>
  </si>
  <si>
    <t xml:space="preserve">LMS-Patriot-Tender</t>
  </si>
  <si>
    <t xml:space="preserve">trains\lms-patriot-tender.dat</t>
  </si>
  <si>
    <t xml:space="preserve">lcc-hr2-class</t>
  </si>
  <si>
    <t xml:space="preserve">See "London Tramways" (John Reed, pub. Capital Transport, ISBN 1-85414-179-1) p. 75
4x 35hp motors (guessed): the caption to this photograph: http://www.flickr.com/photos/ingythewingy/11017240334/
suggests that they had 35hp motors; but this was the era of the 60hp motor *and* these trams were
intended to be especially powerful to deal with "hilly routes" (hence "HR"). The only sensible deduction, therefore
is that these had *four* 35hp motors - one for each wheel, so as to maximise both power and tractive effort.
http://www.britishtramsonline.co.uk/lt185860years.html
Padded seats, bogies and fully enclosed upper deck
I cannot find information as to the differences between
the LCC red livery of post 1926 and the LPTB livery.
They were very similar, but must have been at least
slightly different. Using the same graphics for now.</t>
  </si>
  <si>
    <t xml:space="preserve">trams\lcc-hr2-class.dat</t>
  </si>
  <si>
    <t xml:space="preserve">aec-renown-lt-scooter</t>
  </si>
  <si>
    <t xml:space="preserve">http://www.countrybus.org/LT/LTL.html#scooter
Guessed
Single door with conductor: 2.5 seconds per passenger</t>
  </si>
  <si>
    <t xml:space="preserve">bus\aec-renown-lt-scooter.dat</t>
  </si>
  <si>
    <t xml:space="preserve">sentinel-dg4-pneumatic-bulk</t>
  </si>
  <si>
    <t xml:space="preserve">This is the DG4, the 6-ton vehicle
The DG6 is the 8 ton 6-wheeler
It is not immediately clear how this was better
than the Super Sentinel, so assume lower
maintenance and weight.</t>
  </si>
  <si>
    <t xml:space="preserve">bus\sentinel-dg4-pneumatic.dat</t>
  </si>
  <si>
    <t xml:space="preserve">sentinel-dg4-pneumatic-long</t>
  </si>
  <si>
    <t xml:space="preserve">sentinel-dg4-pneumatic-piece</t>
  </si>
  <si>
    <t xml:space="preserve">sentinel-dg4-pneumatic-cool</t>
  </si>
  <si>
    <t xml:space="preserve">sentinel-dg4-pneumatic-livestock</t>
  </si>
  <si>
    <t xml:space="preserve">sentinel-dg4-pneumatic-tanker</t>
  </si>
  <si>
    <t xml:space="preserve">ThornycroftQCBulk</t>
  </si>
  <si>
    <t xml:space="preserve">https://hampshireculturaltrust.org.uk/content/thornycroft-type-qc-lorry
Data for the forward control version
104hp
4.62mpg</t>
  </si>
  <si>
    <t xml:space="preserve">bus\thornycroft-qc.dat</t>
  </si>
  <si>
    <t xml:space="preserve">ThornycroftQCLong</t>
  </si>
  <si>
    <t xml:space="preserve">ThornycroftQCPiece</t>
  </si>
  <si>
    <t xml:space="preserve">ThornycroftQCCool</t>
  </si>
  <si>
    <t xml:space="preserve">ThornycroftQCLivestock</t>
  </si>
  <si>
    <t xml:space="preserve">ThornycroftQCFluid</t>
  </si>
  <si>
    <t xml:space="preserve">ThornycroftQCCars</t>
  </si>
  <si>
    <t xml:space="preserve">ju-52</t>
  </si>
  <si>
    <t xml:space="preserve">https://en.wikipedia.org/wiki/Junkers_Ju_52
https://3dwarehouse.sketchup.com/model/u3a66d2ab-ec42-4b5e-9d18-5f7546dc69d4/British-European-Airways-Junkers-JU-52-1947
length=8
Guessed based on that of the Ford Trimotor + 125m</t>
  </si>
  <si>
    <t xml:space="preserve">air\ju-52.dat</t>
  </si>
  <si>
    <t xml:space="preserve">yorkshire-steam-wagon-wh-bulk</t>
  </si>
  <si>
    <t xml:space="preserve">http://www.leedsengine.info/leeds/histy.asp
It is very difficult to find any information about this.
The previous date of 1902 is clearly far too early.</t>
  </si>
  <si>
    <t xml:space="preserve">bus\yorkshire-steam-wagon-wh.dat</t>
  </si>
  <si>
    <t xml:space="preserve">yorkshire-steam-wagon-wh-long</t>
  </si>
  <si>
    <t xml:space="preserve">yorkshire-steam-wagon-wh-piece</t>
  </si>
  <si>
    <t xml:space="preserve">yorkshire-steam-wagon-wh-cool</t>
  </si>
  <si>
    <t xml:space="preserve">yorkshire-steam-wagon-wh-livestock</t>
  </si>
  <si>
    <t xml:space="preserve">yorkshire-steam-wagon-wh-tanker</t>
  </si>
  <si>
    <t xml:space="preserve">Cool16T</t>
  </si>
  <si>
    <t xml:space="preserve">trains\wagon-cool-16t.dat</t>
  </si>
  <si>
    <t xml:space="preserve">MVLochfyne</t>
  </si>
  <si>
    <t xml:space="preserve">Running cost Â£3-10-0  per day, half that of steam ships of the era:
http://www.flickr.com/photos/scottishmaritimemuseum/4834160312/in/faves-24718842@N04/
Comfort adversely affected by vibrations
20-30 minutes</t>
  </si>
  <si>
    <t xml:space="preserve">boats\mv-lochfyne.dat</t>
  </si>
  <si>
    <t xml:space="preserve">Livestock16T</t>
  </si>
  <si>
    <t xml:space="preserve">trains\wagon-livestock-16t.dat</t>
  </si>
  <si>
    <t xml:space="preserve">Piece16T</t>
  </si>
  <si>
    <t xml:space="preserve">trains\wagon-piece-16t.dat</t>
  </si>
  <si>
    <t xml:space="preserve">MSJ&amp;A-EMU-driving-trailer</t>
  </si>
  <si>
    <t xml:space="preserve">http://www.emus.co.uk/zone/manchester/manchester2.htm
See also Jenkinson pp. 433-4
Strictly, the MSJ&amp;A had its own livery, but this is unlikely to be relevant here.</t>
  </si>
  <si>
    <t xml:space="preserve">trains\msja-emu.dat</t>
  </si>
  <si>
    <t xml:space="preserve">MSJ&amp;A-EMU-centre-trailer</t>
  </si>
  <si>
    <t xml:space="preserve">MSJ&amp;A-EMU-driving-motor</t>
  </si>
  <si>
    <t xml:space="preserve">A1Diddler</t>
  </si>
  <si>
    <t xml:space="preserve">The A1 "Diddler" - London's first trolleybus
See here for details:
http://www.20thcenturylondon.org.uk/ltm-1981-527
http://www.dougrose.co.uk/bus_drawings/diddler.htm
http://www.20thcenturylondon.org.uk/trolleybuses
Guesssed
Rear platform with conductor: 2.0 seconds per passenger</t>
  </si>
  <si>
    <t xml:space="preserve">bus\a1-diddler.dat</t>
  </si>
  <si>
    <t xml:space="preserve">EarlyBus</t>
  </si>
  <si>
    <t xml:space="preserve">Bus</t>
  </si>
  <si>
    <t xml:space="preserve">lockheed-orion</t>
  </si>
  <si>
    <t xml:space="preserve">https://en.wikipedia.org/wiki/Lockheed_orion
https://airandspace.si.edu/collection-objects/lockheed-orion-5b-amelia-earhart
http://www.cadnav.com/3d-models/model-1925.html
length=8
Guessed</t>
  </si>
  <si>
    <t xml:space="preserve">air\lockheed-orion.dat</t>
  </si>
  <si>
    <t xml:space="preserve">lockheed-orion-mail</t>
  </si>
  <si>
    <t xml:space="preserve">http://www.cadnav.com/3d-models/model-1925.html
length=8
Guessed</t>
  </si>
  <si>
    <t xml:space="preserve">sentinel-dg6-pneumatic-bulk</t>
  </si>
  <si>
    <t xml:space="preserve">bus\sentinel-dg6-pneumatic.dat</t>
  </si>
  <si>
    <t xml:space="preserve">sentinel-dg6-pneumatic-long</t>
  </si>
  <si>
    <t xml:space="preserve">sentinel-dg6-pneumatic-piece</t>
  </si>
  <si>
    <t xml:space="preserve">sentinel-dg6-pneumatic-cool</t>
  </si>
  <si>
    <t xml:space="preserve">sentinel-dg6-pneumatic-livestock</t>
  </si>
  <si>
    <t xml:space="preserve">sentinel-dg6-pneumatic-tanker</t>
  </si>
  <si>
    <t xml:space="preserve">super-sentinel-pneumatic-bulk</t>
  </si>
  <si>
    <t xml:space="preserve">http://collections.museumvictoria.com.au/items/407359
http://www.steam-up.co.uk/sentinel/sentinel_ca6395.htm
http://www.sentinelwaggons.co.uk/sentinelpage2.htm
These were cheaper to build and run than the standard
Sentinels.
http://www.sentinelwaggons.co.uk/sentinelpage3.htm</t>
  </si>
  <si>
    <t xml:space="preserve">bus\super-sentinel-pneumatic.dat</t>
  </si>
  <si>
    <t xml:space="preserve">super-sentinel-pneumatic-long</t>
  </si>
  <si>
    <t xml:space="preserve">super-sentinel-pneumatic-piece</t>
  </si>
  <si>
    <t xml:space="preserve">super-sentinel-pneumatic-cool</t>
  </si>
  <si>
    <t xml:space="preserve">super-sentinel-pneumatic-livestock</t>
  </si>
  <si>
    <t xml:space="preserve">super-sentinel-pneumatic-tanker</t>
  </si>
  <si>
    <t xml:space="preserve">LNER-Gresley-Express-Coach</t>
  </si>
  <si>
    <t xml:space="preserve">This is the later version without compartment side
doors, and with three a side in the thirds.
See Jenkinson p. 315.
TODO: Add Thompson carriages from the 1940s onwards.</t>
  </si>
  <si>
    <t xml:space="preserve">trains\lner-gresley-express-coach.dat</t>
  </si>
  <si>
    <t xml:space="preserve">aec-renown-lt-bluebird</t>
  </si>
  <si>
    <t xml:space="preserve">http://web.archive.org/web/20070906023410/http://www.countrybus.org.uk:80/LT/LT4.html#bluebird
These had diesel engines
See the Flanders &amp; Swann song for the power rating (97hp)
Confirmed here: http://webcache.googleusercontent.com/search?q=cache:zkrkIblLE7cJ:www.countrybus.org/LT/LT.html+&amp;cd=8&amp;hl=en&amp;ct=clnk&amp;gl=uk&amp;client=firefox-b
Guessed
Rear platform with conductor: 2.0 seconds per passenger</t>
  </si>
  <si>
    <t xml:space="preserve">bus\aec-renown-lt-bluebird.dat</t>
  </si>
  <si>
    <t xml:space="preserve">LNER-Gresley-Express-Brake-front</t>
  </si>
  <si>
    <t xml:space="preserve">This is the later version without compartment side
doors, and with three a side in the thirds.
See Jenkinson p. 315.</t>
  </si>
  <si>
    <t xml:space="preserve">trains\lner-gresley-express-brake.dat</t>
  </si>
  <si>
    <t xml:space="preserve">LNER-Gresley-Express-Brake-rear</t>
  </si>
  <si>
    <t xml:space="preserve">SR-6PAN(front)</t>
  </si>
  <si>
    <t xml:space="preserve">See Jenkinson p. 399</t>
  </si>
  <si>
    <t xml:space="preserve">trains\sr-6-pan.dat</t>
  </si>
  <si>
    <t xml:space="preserve">SR-6PAN(trailer1)</t>
  </si>
  <si>
    <t xml:space="preserve">SR-6PAN(trailer2)</t>
  </si>
  <si>
    <t xml:space="preserve">TODO: Add dedicated graphics for this first class trailer</t>
  </si>
  <si>
    <t xml:space="preserve">SR-6PAN(buffet)</t>
  </si>
  <si>
    <t xml:space="preserve">SR-6PAN(trailer4)</t>
  </si>
  <si>
    <t xml:space="preserve">SR-6PAN(rear)</t>
  </si>
  <si>
    <t xml:space="preserve">LMS-0-4-4T</t>
  </si>
  <si>
    <t xml:space="preserve">Extrapolated
http://en.wikipedia.org/wiki/LMS_Stanier_Class_2_0-4-4T
These were actually only built until 1934, but
there are no real replacements.</t>
  </si>
  <si>
    <t xml:space="preserve">trains\lms-0-4-4T.dat</t>
  </si>
  <si>
    <t xml:space="preserve">leyland-cub</t>
  </si>
  <si>
    <t xml:space="preserve">http://www.countrybus.org/C/Cub.html
This is not quite right for the diesel Cub, but an authentic
sound cannot be located for the present.
One door pay driver: 4.0 seconds per passenger</t>
  </si>
  <si>
    <t xml:space="preserve">bus\leyland-cub.dat</t>
  </si>
  <si>
    <t xml:space="preserve">aec-regent-stl</t>
  </si>
  <si>
    <t xml:space="preserve">http://www.countrybus.org/STL/STL.htm
45hp - see John Day, The Story of the London Bus, p. 68
Guessed as mid-point between ST and RT
Rear platform with conductor: 2.0 seconds per passenger</t>
  </si>
  <si>
    <t xml:space="preserve">bus\aec-stl.dat</t>
  </si>
  <si>
    <t xml:space="preserve">TSSQueenMaryMail</t>
  </si>
  <si>
    <t xml:space="preserve">ThornycroftAmazonTractor</t>
  </si>
  <si>
    <t xml:space="preserve">Note: a 61hp diesel was alao available:
https://hampshireculturaltrust.org.uk/content/amazon
Presumably, this would have lower running costs.</t>
  </si>
  <si>
    <t xml:space="preserve">bus\thornycroft-amazon.dat</t>
  </si>
  <si>
    <t xml:space="preserve">ThornycroftAmazonBulk</t>
  </si>
  <si>
    <t xml:space="preserve">ThornycroftAmazonLong</t>
  </si>
  <si>
    <t xml:space="preserve">ThornycroftAmazonPiece</t>
  </si>
  <si>
    <t xml:space="preserve">ThornycroftAmazonCool</t>
  </si>
  <si>
    <t xml:space="preserve">ThornycroftAmazonLivestock</t>
  </si>
  <si>
    <t xml:space="preserve">ThornycroftAmazonFluid</t>
  </si>
  <si>
    <t xml:space="preserve">ThornycroftAmazonCars</t>
  </si>
  <si>
    <t xml:space="preserve">SentinelSBulk</t>
  </si>
  <si>
    <t xml:space="preserve">http://www.sentinelwaggons.co.uk/sentinelpage5.htm
NOTE: These had automatic stokers: take this into account
when the fixed cost is added.</t>
  </si>
  <si>
    <t xml:space="preserve">bus\sentinel-s4.dat</t>
  </si>
  <si>
    <t xml:space="preserve">SentinelSLong</t>
  </si>
  <si>
    <t xml:space="preserve">SentinelSPiece</t>
  </si>
  <si>
    <t xml:space="preserve">SentinelSCool</t>
  </si>
  <si>
    <t xml:space="preserve">SentinelSLivestock</t>
  </si>
  <si>
    <t xml:space="preserve">SentinelSTanker</t>
  </si>
  <si>
    <t xml:space="preserve">boeing-247</t>
  </si>
  <si>
    <t xml:space="preserve">https://en.wikipedia.org/wiki/Boeing_247
CC-BY-SA
https://www.blendswap.com/blends/view/69994
length=8
Guessed</t>
  </si>
  <si>
    <t xml:space="preserve">air\boeing-247.dat</t>
  </si>
  <si>
    <t xml:space="preserve">boeing-247-mail</t>
  </si>
  <si>
    <t xml:space="preserve">CC-BY-SA
https://www.blendswap.com/blends/view/69994
Payload: 1750kg
length=8
Guessed</t>
  </si>
  <si>
    <t xml:space="preserve">LMS-cor</t>
  </si>
  <si>
    <t xml:space="preserve">Period 3 vehicles. Stanier design
D1899
Make this earlier when adding "porthole" stock.
Three per side in the thirds. Long distance stock.
Long distance three per side in the thirds, no individual compartment doors.</t>
  </si>
  <si>
    <t xml:space="preserve">trains\lms-period3-cor.dat</t>
  </si>
  <si>
    <t xml:space="preserve">LMS-cor-brake-front</t>
  </si>
  <si>
    <t xml:space="preserve">D1905
Make this earlier when adding "porthole" stock.
Three per side in the thirds. Long distance stock.
Long distance three per side in the thirds, no individual compartment doors.</t>
  </si>
  <si>
    <t xml:space="preserve">LMS-cor-brake-rear</t>
  </si>
  <si>
    <t xml:space="preserve">LMS-open</t>
  </si>
  <si>
    <t xml:space="preserve">D1904
"High capacity" open
Make this earlier when adding "porthole" stock.
2 + 2 seating
"High capacity" open third.</t>
  </si>
  <si>
    <t xml:space="preserve">LMS-open-brake-front</t>
  </si>
  <si>
    <t xml:space="preserve">D1913
Make this earlier when adding "porthole" stock.
2 + 2 seating</t>
  </si>
  <si>
    <t xml:space="preserve">LMS-open-brake-rear</t>
  </si>
  <si>
    <t xml:space="preserve">LMS-diner</t>
  </si>
  <si>
    <t xml:space="preserve">D1903
Make this earlier when adding "porthole" stock.</t>
  </si>
  <si>
    <t xml:space="preserve">LMS-buffet</t>
  </si>
  <si>
    <t xml:space="preserve">See Jenkinson p. 378
Make this earlier when adding "porthole" stock.</t>
  </si>
  <si>
    <t xml:space="preserve">LMS-full-brake</t>
  </si>
  <si>
    <t xml:space="preserve">D2007
Make this earlier when adding "porthole" stock.</t>
  </si>
  <si>
    <t xml:space="preserve">LMS-Mail</t>
  </si>
  <si>
    <t xml:space="preserve">Make this earlier when adding "porthole" stock.</t>
  </si>
  <si>
    <t xml:space="preserve">LMS-TPO</t>
  </si>
  <si>
    <t xml:space="preserve">LMS-Princess-Royal-Tender</t>
  </si>
  <si>
    <t xml:space="preserve">TODO: Add BR passenger express blue livery.</t>
  </si>
  <si>
    <t xml:space="preserve">trains\lms-princess-royal-tender.dat</t>
  </si>
  <si>
    <t xml:space="preserve">LMS-Princess-Royal</t>
  </si>
  <si>
    <t xml:space="preserve">Extrapolated
Four cylinder
TODO: Add BR passenger express blue livery.</t>
  </si>
  <si>
    <t xml:space="preserve">trains\lms-princess-royal.dat</t>
  </si>
  <si>
    <t xml:space="preserve">sentinel-s6-bulk</t>
  </si>
  <si>
    <t xml:space="preserve">bus\sentinel-s6.dat</t>
  </si>
  <si>
    <t xml:space="preserve">sentinel-s6-long</t>
  </si>
  <si>
    <t xml:space="preserve">sentinel-s6-piece</t>
  </si>
  <si>
    <t xml:space="preserve">sentinel-s6-cool</t>
  </si>
  <si>
    <t xml:space="preserve">sentinel-s6-livestock</t>
  </si>
  <si>
    <t xml:space="preserve">sentinel-s6-tanker</t>
  </si>
  <si>
    <t xml:space="preserve">LMS-Stanier-Mogul</t>
  </si>
  <si>
    <t xml:space="preserve">trains\lms-stanier-mogul.dat</t>
  </si>
  <si>
    <t xml:space="preserve">LMS-Stanier-Mogul-Tender</t>
  </si>
  <si>
    <t xml:space="preserve">TSSQueenMary</t>
  </si>
  <si>
    <t xml:space="preserve">boats\tss-queen-mary.dat</t>
  </si>
  <si>
    <t xml:space="preserve">DieselTug</t>
  </si>
  <si>
    <t xml:space="preserve">GWR-ParkRoyal-Railcar</t>
  </si>
  <si>
    <t xml:space="preserve">http://www.greatwestern.org.uk/aec1.htm</t>
  </si>
  <si>
    <t xml:space="preserve">trains\gwr-pr-railcar.dat</t>
  </si>
  <si>
    <t xml:space="preserve">EarlyDieselRail</t>
  </si>
  <si>
    <t xml:space="preserve">ScammellMechanicalHorse</t>
  </si>
  <si>
    <t xml:space="preserve">10-20 mpg</t>
  </si>
  <si>
    <t xml:space="preserve">bus\scammell-mechanical-horse.dat</t>
  </si>
  <si>
    <t xml:space="preserve">ScammellMechHorseTrailerLong</t>
  </si>
  <si>
    <t xml:space="preserve">ScammellMechHorseTrailerPiece</t>
  </si>
  <si>
    <t xml:space="preserve">ScammellMechHorseTrailerCool</t>
  </si>
  <si>
    <t xml:space="preserve">ScammellMechHorseTrailerLivestock</t>
  </si>
  <si>
    <t xml:space="preserve">ScammellMechHorseTrailerMail</t>
  </si>
  <si>
    <t xml:space="preserve">Blackpool-EE-Railcoach</t>
  </si>
  <si>
    <t xml:space="preserve">Guessed
http://www.britishtramsonline.co.uk/blackpoolfleet.doc
Guessed</t>
  </si>
  <si>
    <t xml:space="preserve">trams\blackpool-ee-railcoach.dat</t>
  </si>
  <si>
    <t xml:space="preserve">LMS-Stanier-4P-Tank-3-cylinder</t>
  </si>
  <si>
    <t xml:space="preserve">Three cylinder version
Extrapolated
Calculated figure: data not otherwise available.</t>
  </si>
  <si>
    <t xml:space="preserve">dragon-rapide</t>
  </si>
  <si>
    <t xml:space="preserve">https://en.wikipedia.org/wiki/De_Havilland_Dragon_Rapide
http://www.aviacaocomercial.net/english/frotavarig.htm
CC-BY-SA
length=8
Guessed</t>
  </si>
  <si>
    <t xml:space="preserve">air\dragon-rapide.dat</t>
  </si>
  <si>
    <t xml:space="preserve">dragon-rapide-mail</t>
  </si>
  <si>
    <t xml:space="preserve">length=8
Guessed</t>
  </si>
  <si>
    <t xml:space="preserve">AECQ2</t>
  </si>
  <si>
    <t xml:space="preserve">AEC Q2 class - a very modern double decker, but rather underpowered.
Unlike the single deckers, these had petrol engines
http://www.countrybus.org/Q/Q2.html
https://www.flickr.com/photos/108243483@N02/11887385026
See the website linked above
Single door with conductor: 2.5 seconds per passenger</t>
  </si>
  <si>
    <t xml:space="preserve">bus\aec-q2.dat</t>
  </si>
  <si>
    <t xml:space="preserve">ThornycroftStagBulk</t>
  </si>
  <si>
    <t xml:space="preserve">https://hampshireculturaltrust.org.uk/content/stag
This also had a diesel option
104hp for the petrol version</t>
  </si>
  <si>
    <t xml:space="preserve">bus\thornycroft-stag.dat</t>
  </si>
  <si>
    <t xml:space="preserve">ThornycroftStagLong</t>
  </si>
  <si>
    <t xml:space="preserve">104hp for the petrol version</t>
  </si>
  <si>
    <t xml:space="preserve">ThornycroftStagPiece</t>
  </si>
  <si>
    <t xml:space="preserve">ThornycroftStagCool</t>
  </si>
  <si>
    <t xml:space="preserve">ThornycroftStagLivestock</t>
  </si>
  <si>
    <t xml:space="preserve">ThornycroftStagFluid</t>
  </si>
  <si>
    <t xml:space="preserve">ThornycroftStagCars</t>
  </si>
  <si>
    <t xml:space="preserve">LMS-Stanier-5MT-Tender</t>
  </si>
  <si>
    <t xml:space="preserve">trains\lms-stanier-5mt-tender.dat</t>
  </si>
  <si>
    <t xml:space="preserve">Douglas_DC2</t>
  </si>
  <si>
    <t xml:space="preserve">gear=1
length=8
@ ISA (sea level, 0Centigrades), Runway Dry
minimum_runway_length=???
@ ISA+10C, Runway dry = +10%</t>
  </si>
  <si>
    <t xml:space="preserve">air\douglas-dc-2.dat</t>
  </si>
  <si>
    <t xml:space="preserve">LMS-Stanier-5MT</t>
  </si>
  <si>
    <t xml:space="preserve">Extrapolated
http://en.wikipedia.org/wiki/LMS_Stanier_Class_5_4-6-0</t>
  </si>
  <si>
    <t xml:space="preserve">trains\lms-stanier-5mt.dat</t>
  </si>
  <si>
    <t xml:space="preserve">LNER-P2</t>
  </si>
  <si>
    <t xml:space="preserve">See: http://www.steamindex.com/locotype/gresloco.htm
2,090 DBHP recorded.
CALIBRATED: See http://www.railperf.org.uk/members/milepost/RPSSteamSeminar%20web.pdf
Recorded at 57mph on an upward gradient of 1/178 with a load of 651 tons (presumably
815 tons gross). 540kW for this speed with this load as if on the level, +113kW
Three cylinders
http://en.wikipedia.org/wiki/LNER_Class_P2
These were noted as unreliable: http://www.lner.info/locos/P/p2.shtml</t>
  </si>
  <si>
    <t xml:space="preserve">trains\lner-p2.dat</t>
  </si>
  <si>
    <t xml:space="preserve">LNER-P2-Tender</t>
  </si>
  <si>
    <t xml:space="preserve">Douglas_DC2_Mail</t>
  </si>
  <si>
    <t xml:space="preserve">gear=1
payload 1.8t
length=8
@ ISA (sea level, 0Centigrades), Runway Dry
minimum_runway_length=???
@ ISA+10C, Runway dry = +10%</t>
  </si>
  <si>
    <t xml:space="preserve">air\douglas-dc-2-mail.dat</t>
  </si>
  <si>
    <t xml:space="preserve">SR-2-NOL-front</t>
  </si>
  <si>
    <t xml:space="preserve">Is this not possibly useful other than as an upgrade?
available_only_as_upgrade=1</t>
  </si>
  <si>
    <t xml:space="preserve">trains\sr-2-nol.dat</t>
  </si>
  <si>
    <t xml:space="preserve">SR-2-NOL-rear</t>
  </si>
  <si>
    <t xml:space="preserve">daimler-cog5-double</t>
  </si>
  <si>
    <t xml:space="preserve">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books.google.co.uk/books?id=ay5mBAAAQBAJ&amp;pg=PA53&amp;lpg=PA53&amp;dq=daimler+cog5+weight&amp;source=bl&amp;ots=HK0nwePTQ_&amp;sig=cu9glNTm7Jhr7ILSdAsbhExoF1I&amp;hl=en&amp;sa=X&amp;ved=0ahUKEwjQtdeBiabXAhVEKewKHTiWCT0Q6AEILjAC#v=onepage&amp;q=daimler%20cog5%20weight&amp;f=false
http://www.classicbuses.co.uk/busnews3.html
The above weight of 7.5t is for the "Sunseeker" coach
body, not the double deck 'bus body.
The 6.1t figure is suggested by p. 49 of "Daimler" by Allan Towsin
Rear platform with conductor: 2.0 seconds per passenger</t>
  </si>
  <si>
    <t xml:space="preserve">bus\daimler-cog5-double.dat</t>
  </si>
  <si>
    <t xml:space="preserve">daimler-cog5-single</t>
  </si>
  <si>
    <t xml:space="preserve">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https://www.flickr.com/photos/georgeupstairs/4343620300
Guessed
Single door with conductor: 2.5 seconds per passenger</t>
  </si>
  <si>
    <t xml:space="preserve">bus\daimler-cog5-single.dat</t>
  </si>
  <si>
    <t xml:space="preserve">MorrisEightPiece</t>
  </si>
  <si>
    <t xml:space="preserve">http://morrisregister.co.uk/3538eight5cwt/
Could carry 5cwt</t>
  </si>
  <si>
    <t xml:space="preserve">bus\morris-eight-van.dat</t>
  </si>
  <si>
    <t xml:space="preserve">MorrisEightCool</t>
  </si>
  <si>
    <t xml:space="preserve">MorrisEightPost</t>
  </si>
  <si>
    <t xml:space="preserve">LMS-Jubilee</t>
  </si>
  <si>
    <t xml:space="preserve">trains\lms-jubilee.dat</t>
  </si>
  <si>
    <t xml:space="preserve">LMS-Jubilee-Tender</t>
  </si>
  <si>
    <t xml:space="preserve">Blackpool-Balloon</t>
  </si>
  <si>
    <t xml:space="preserve">Speed will be limited by the limit of the track
so this higher speed will only be possible on
dedicated railway track.
http://en.wikipedia.org/wiki/English_Electric_Balloon_tram
Found in an unverified source.</t>
  </si>
  <si>
    <t xml:space="preserve">trams\blackpool-balloon.dat</t>
  </si>
  <si>
    <t xml:space="preserve">LNER-Coronation-Brake-Third-Twin(front)(maroon)</t>
  </si>
  <si>
    <t xml:space="preserve">livery-trains\lner-coronation-coaches-maroon.dat</t>
  </si>
  <si>
    <t xml:space="preserve">LNER-Coronation-Brake-Third-Twin(rear)(maroon)</t>
  </si>
  <si>
    <t xml:space="preserve">LNER-Coronation-Brake-Third-Triple(front)(maroon)</t>
  </si>
  <si>
    <t xml:space="preserve">LNER-Coronation-Brake-Third-Triple(middle)(maroon)</t>
  </si>
  <si>
    <t xml:space="preserve">LNER-Coronation-Brake-Third-Triple(rear)(maroon)</t>
  </si>
  <si>
    <t xml:space="preserve">LNER-Coronation-RearBrake-Third-Twin(front)(maroon)</t>
  </si>
  <si>
    <t xml:space="preserve">LNER-Coronation-RearBrake-Third-Twin(rear)(maroon)</t>
  </si>
  <si>
    <t xml:space="preserve">LNER-Coronation-Observation(maroon)</t>
  </si>
  <si>
    <t xml:space="preserve">LNER-Coronation-Restaurant-Triple(front)(maroon)</t>
  </si>
  <si>
    <t xml:space="preserve">LNER-Coronation-Restaurant-Triple(middle)(maroon)</t>
  </si>
  <si>
    <t xml:space="preserve">LNER-Coronation-Restaurant-Triple(rear)(maroon)</t>
  </si>
  <si>
    <t xml:space="preserve">LNER-Coronation-Brake-Third-Twin(front)(cc)</t>
  </si>
  <si>
    <t xml:space="preserve">livery-trains\lner-coronation-coaches-cc.dat</t>
  </si>
  <si>
    <t xml:space="preserve">LNER-Coronation-Brake-Third-Twin(rear)(cc)</t>
  </si>
  <si>
    <t xml:space="preserve">LNER-Coronation-Brake-Third-Triple(front)(cc)</t>
  </si>
  <si>
    <t xml:space="preserve">LNER-Coronation-Brake-Third-Triple(middle)(cc)</t>
  </si>
  <si>
    <t xml:space="preserve">LNER-Coronation-Brake-Third-Triple(rear)(cc)</t>
  </si>
  <si>
    <t xml:space="preserve">LNER-Coronation-RearBrake-Third-Twin(front)(cc)</t>
  </si>
  <si>
    <t xml:space="preserve">LNER-Coronation-RearBrake-Third-Twin(rear)(cc)</t>
  </si>
  <si>
    <t xml:space="preserve">LNER-Coronation-Observation(cc)</t>
  </si>
  <si>
    <t xml:space="preserve">LNER-Coronation-Restaurant-Triple(front)(cc)</t>
  </si>
  <si>
    <t xml:space="preserve">LNER-Coronation-Restaurant-Triple(middle)(cc)</t>
  </si>
  <si>
    <t xml:space="preserve">LNER-Coronation-Restaurant-Triple(rear)(cc)</t>
  </si>
  <si>
    <t xml:space="preserve">lockheed-10-electra</t>
  </si>
  <si>
    <t xml:space="preserve">https://en.wikipedia.org/wiki/Lockheed_Model_10_Electra
https://www.sharecg.com/v/60893/view/5/3D-Model/Lockheed-10E-Electra
"Non-commercial use only"; source model cannot be shared
length=8
Guessed</t>
  </si>
  <si>
    <t xml:space="preserve">air\lockheed-10-electra.dat</t>
  </si>
  <si>
    <t xml:space="preserve">LNER-A4-Tender(Silver)</t>
  </si>
  <si>
    <t xml:space="preserve">livery-trains\lner-a4-tender.dat</t>
  </si>
  <si>
    <t xml:space="preserve">LNER-A4-Tender(Apple)</t>
  </si>
  <si>
    <t xml:space="preserve">LNER-A4-Tender(Black)</t>
  </si>
  <si>
    <t xml:space="preserve">LNER-A4-Tender(BRBlue)</t>
  </si>
  <si>
    <t xml:space="preserve">LNER-A4-Tender(BRGreen)</t>
  </si>
  <si>
    <t xml:space="preserve">LNER-Coronation-Brake-Third-Twin(front)(Silver)</t>
  </si>
  <si>
    <t xml:space="preserve">livery-trains\lner-coronation-coaches-silver.dat</t>
  </si>
  <si>
    <t xml:space="preserve">LNER-Coronation-Brake-Third-Twin(rear)(Silver)</t>
  </si>
  <si>
    <t xml:space="preserve">LNER-Coronation-Brake-Third-Triple(front)(Silver)</t>
  </si>
  <si>
    <t xml:space="preserve">LNER-Coronation-Brake-Third-Triple(middle)(Silver)</t>
  </si>
  <si>
    <t xml:space="preserve">LNER-Coronation-Brake-Third-Triple(rear)(Silver)</t>
  </si>
  <si>
    <t xml:space="preserve">LNER-Coronation-RearBrake-Third-Twin(front)(Silver)</t>
  </si>
  <si>
    <t xml:space="preserve">LNER-Coronation-RearBrake-Third-Twin(rear)(Silver)</t>
  </si>
  <si>
    <t xml:space="preserve">LNER-Coronation-Observation(Silver)</t>
  </si>
  <si>
    <t xml:space="preserve">LNER-Coronation-Restaurant-Triple(front)(Silver)</t>
  </si>
  <si>
    <t xml:space="preserve">LNER-Coronation-Restaurant-Triple(middle)(Silver)</t>
  </si>
  <si>
    <t xml:space="preserve">LNER-Coronation-Restaurant-Triple(rear)(Silver)</t>
  </si>
  <si>
    <t xml:space="preserve">LNER-A4(Silver)</t>
  </si>
  <si>
    <t xml:space="preserve">livery-trains\lner-a4.dat</t>
  </si>
  <si>
    <t xml:space="preserve">LNER-A4(Apple)</t>
  </si>
  <si>
    <t xml:space="preserve">LNER-A4(Black)</t>
  </si>
  <si>
    <t xml:space="preserve">LNER-A4(BRBlue)</t>
  </si>
  <si>
    <t xml:space="preserve">LNER-A4(BRGreen)</t>
  </si>
  <si>
    <t xml:space="preserve">LNER-Coronation-RearBrake-Third-Twin(front)</t>
  </si>
  <si>
    <t xml:space="preserve">trains\lner-coronation-brake-third-2.dat</t>
  </si>
  <si>
    <t xml:space="preserve">LNER-Coronation-RearBrake-Third-Twin(rear)</t>
  </si>
  <si>
    <t xml:space="preserve">LMS-Stanier-8F</t>
  </si>
  <si>
    <t xml:space="preserve">trains\lms-stanier-8f.dat</t>
  </si>
  <si>
    <t xml:space="preserve">bedford-wtb</t>
  </si>
  <si>
    <t xml:space="preserve">https://books.google.co.uk/books?id=-H5rDQAAQBAJ&amp;pg=PT85&amp;lpg=PT85&amp;dq=bedford+wtb+length&amp;source=bl&amp;ots=qMsrfMx2WV&amp;sig=ttLKb3h4F1A1VZc0B7AX2VsZeAM&amp;hl=en&amp;sa=X&amp;ved=0ahUKEwisr6SskJfYAhWEa1AKHc8nBxkQ6AEIUzAG#v=onepage&amp;q&amp;f=false
Modified from:
https://3dwarehouse.sketchup.com/model/6df43847-51af-4b8f-89bf-a11eb3c9cd11/1949-Bedford-OB
https://books.google.co.uk/books?id=-H5rDQAAQBAJ&amp;pg=PT85&amp;lpg=PT85&amp;dq=bedford+wtb+length&amp;source=bl&amp;ots=qMsrfMx2WV&amp;sig=ttLKb3h4F1A1VZc0B7AX2VsZeAM&amp;hl=en&amp;sa=X&amp;ved=0ahUKEwisr6SskJfYAhWEa1AKHc8nBxkQ6AEIUzAG#v=onepage&amp;q&amp;f=false
Fuel tank: 91l
Guessed
These cost up to Â£785 (Â£290 chassis only)
https://books.google.co.uk/books?id=-H5rDQAAQBAJ&amp;pg=PT85&amp;lpg=PT85&amp;dq=bedford+wtb+length&amp;source=bl&amp;ots=qMsrfMx2WV&amp;sig=ttLKb3h4F1A1VZc0B7AX2VsZeAM&amp;hl=en&amp;sa=X&amp;ved=0ahUKEwisr6SskJfYAhWEa1AKHc8nBxkQ6AEIUzAG#v=onepage&amp;q&amp;f=false
Coach (short distance): 5.0 seconds per passenger</t>
  </si>
  <si>
    <t xml:space="preserve">bus\bedford-wtb.dat</t>
  </si>
  <si>
    <t xml:space="preserve">LNER-Coronation-Restaurant-Triple(front)</t>
  </si>
  <si>
    <t xml:space="preserve">trains\lner-coronation-restaurant.dat</t>
  </si>
  <si>
    <t xml:space="preserve">LNER-Coronation-Restaurant-Triple(middle)</t>
  </si>
  <si>
    <t xml:space="preserve">LNER-Coronation-Restaurant-Triple(rear)</t>
  </si>
  <si>
    <t xml:space="preserve">LNER-Coronation-Brake-Third-Twin(front)</t>
  </si>
  <si>
    <t xml:space="preserve">trains\lner-coronation-brake-third-1.dat</t>
  </si>
  <si>
    <t xml:space="preserve">LNER-Coronation-Brake-Third-Twin(rear)</t>
  </si>
  <si>
    <t xml:space="preserve">LNER-Coronation-Brake-Third-Triple(front)</t>
  </si>
  <si>
    <t xml:space="preserve">LNER-Coronation-Brake-Third-Triple(middle)</t>
  </si>
  <si>
    <t xml:space="preserve">LNER-Coronation-Brake-Third-Triple(rear)</t>
  </si>
  <si>
    <t xml:space="preserve">LMS-Stanier-8F-Tender</t>
  </si>
  <si>
    <t xml:space="preserve">trains\lms-stanier-8f-tender.dat</t>
  </si>
  <si>
    <t xml:space="preserve">LNER-A4-Tender</t>
  </si>
  <si>
    <t xml:space="preserve">trains\lner-a4-tender.dat</t>
  </si>
  <si>
    <t xml:space="preserve">SR-401[BIL]Front</t>
  </si>
  <si>
    <t xml:space="preserve">trains\sr-401[bil].dat</t>
  </si>
  <si>
    <t xml:space="preserve">SR-401[BIL]Rear</t>
  </si>
  <si>
    <t xml:space="preserve">LNER-A4</t>
  </si>
  <si>
    <t xml:space="preserve">2,200 recorded in 1940: http://en.wikipedia.org/wiki/LNER_Class_A4
2,000 recorded for the BR 7MT (see its own .dat file).
Extrapolated from 2,200 / 2,000 x the 7MT's power.
Can pull about 20 carriages at 160km/h
See http://locoperformance.tripod.com/edition13/60007pet.htm
CALIBRATED:
See http://www.railperf.org.uk/members/milepost/RPSSteamSeminar%20web.pdf (p. 6)
74mph (118km/h) maintained with train load of 505t (671t gross) up a 1:200
gradient. 577.84kW assuming on the level, + 108.87kW for gradient
http://en.wikipedia.org/wiki/LNER_Class_A4
Three cylinders</t>
  </si>
  <si>
    <t xml:space="preserve">trains\lner-a4.dat</t>
  </si>
  <si>
    <t xml:space="preserve">LeylandK2</t>
  </si>
  <si>
    <t xml:space="preserve">The K2 trolleybus - typical mid-1930s design
Note, these remained in service until 1961, but would have been oboslete then.
Notional retirement date given.
The below is guessed
Rear platform with conductor 2.0 seconds per passenger</t>
  </si>
  <si>
    <t xml:space="preserve">bus\leyland-k2.dat</t>
  </si>
  <si>
    <t xml:space="preserve">LMS-Stanier-4P-Tank</t>
  </si>
  <si>
    <t xml:space="preserve">Two cylinder version
Extrapolated</t>
  </si>
  <si>
    <t xml:space="preserve">aec-q6</t>
  </si>
  <si>
    <t xml:space="preserve">http://www.countrybus.org/Q/Q4.html
https://www.flickr.com/photos/14730981@N08/6978114401/in/album-72157629573765473/
Single door with conductor: 2.5 seconds per passenger</t>
  </si>
  <si>
    <t xml:space="preserve">bus\aec-q6.dat</t>
  </si>
  <si>
    <t xml:space="preserve">GWR-Gloucester-Railcar</t>
  </si>
  <si>
    <t xml:space="preserve">http://www.greatwestern.org.uk/aec2.htm</t>
  </si>
  <si>
    <t xml:space="preserve">trains\gwr-gloucester-railcar.dat</t>
  </si>
  <si>
    <t xml:space="preserve">GWR-Gloucester-Parcel-Railcar</t>
  </si>
  <si>
    <t xml:space="preserve">trains\gwr-gloucester-parcel-railcar.dat</t>
  </si>
  <si>
    <t xml:space="preserve">AECQ4</t>
  </si>
  <si>
    <t xml:space="preserve">http://www.countrybus.org/Q/Q4.html
Single door with conductor: 2.5 seconds per passenger</t>
  </si>
  <si>
    <t xml:space="preserve">bus\aec-q4.dat</t>
  </si>
  <si>
    <t xml:space="preserve">LNER-1937-Tyneside-EMU-rear</t>
  </si>
  <si>
    <t xml:space="preserve">trains\lner-tyneside-emu.dat</t>
  </si>
  <si>
    <t xml:space="preserve">LNER-1937-Tyneside-EMU-rear-composite</t>
  </si>
  <si>
    <t xml:space="preserve">aec-q5</t>
  </si>
  <si>
    <t xml:space="preserve">http://www.countrybus.org/Q/Q5.html
https://www.flickr.com/photos/14730981@N08/6978114401/in/album-72157629573765473/
Single door with conductor: 2.5 seconds per passenger</t>
  </si>
  <si>
    <t xml:space="preserve">bus\aec-q5.dat</t>
  </si>
  <si>
    <t xml:space="preserve">LMS-Stanier-3P-Tank</t>
  </si>
  <si>
    <t xml:space="preserve">Should be a little underpowered, but
more economical than the Fowler 3P.
(See Wikipedia article)
Extrapolated
Should be uneconomical compared to Fowler 3P</t>
  </si>
  <si>
    <t xml:space="preserve">trains\lms-stanier-3p.dat</t>
  </si>
  <si>
    <t xml:space="preserve">LMS-Stanier-3P-Tank-Push-Pull</t>
  </si>
  <si>
    <t xml:space="preserve">Extrapolated (from Hall class rather than BR 4MT, as underpowered)</t>
  </si>
  <si>
    <t xml:space="preserve">zeppelin-lz-129</t>
  </si>
  <si>
    <t xml:space="preserve">https://en.wikipedia.org/wiki/LZ_127_Graf_Zeppelin
http://www.airships.net/lz127-graf-zeppelin/
https://en.wikipedia.org/wiki/Hindenburg-class_airship
https://www.blendswap.com/blends/view/83520
CC-BY
This is taken from the LZ-130, as the range is based on this.
The realistic weight does not work with contemporary grass runways/taxiways.
The dead-weight would have no effect on performance of a ligter than air vehicle
and is arguably not the correct figure to use anyway.
For landing pads
Cabins with beds
Restaurant
@ ISA (sea level, 0Centigrades), Runway Dry
minimum_runway_length=0
@ ISA+10C, Runway dry = +10%
Not sure that this sound is appropriate here.
sound=planelow.wav
https://en.wikipedia.org/wiki/LZ_130_Graf_Zeppelin_II</t>
  </si>
  <si>
    <t xml:space="preserve">air\air256\zeppelin-lz-129.dat</t>
  </si>
  <si>
    <t xml:space="preserve">LNER-V2</t>
  </si>
  <si>
    <t xml:space="preserve">CALIBRATED: see http://www.traintesting.com/bulletin_8.htm
Max. speed given as 64mph with a train of 907t (gross)
On the level
NOTE: The source itself suggests drawbar horsepower at approx. 1200hp,
which is equivalent to 895Kw, compared to the 670Kw suggested
by in-game tests.
http://www.lner.info/locos/V/v2.shtml
Three cylinders</t>
  </si>
  <si>
    <t xml:space="preserve">trains\lner-v2.dat</t>
  </si>
  <si>
    <t xml:space="preserve">Douglas_DC3</t>
  </si>
  <si>
    <t xml:space="preserve">length=8
@ ISA (sea level, 0Centigrades), Runway Dry
minimum_runway_length=???
@ ISA+10C, Runway dry = +10%
Not entirely sure about this figure - check this.</t>
  </si>
  <si>
    <t xml:space="preserve">air\douglas-dc-3.dat</t>
  </si>
  <si>
    <t xml:space="preserve">Douglas_DC3_Mail</t>
  </si>
  <si>
    <t xml:space="preserve">gear=1
payload=3.3t
length=8
@ ISA (sea level, 0Centigrades), Runway Dry
minimum_runway_length=???
@ ISA+10C, Runway dry = +10%
Not entirely sure about this figure - check this.</t>
  </si>
  <si>
    <t xml:space="preserve">LNER-V2-Tender</t>
  </si>
  <si>
    <t xml:space="preserve">trains\lner-v2-tender.dat</t>
  </si>
  <si>
    <t xml:space="preserve">aec-regal-coach-9t9</t>
  </si>
  <si>
    <t xml:space="preserve">http://web.archive.org/web/20161223145711/http://www.countrybus.org/T-regal/T7.htm
http://webcache.googleusercontent.com/search?q=cache:T9fq2s3pYjgJ:www.londonbusmuseum.com/museum-exhibits/single-decker-buses/aec-regal-1-t-504/+&amp;cd=1&amp;hl=en&amp;ct=clnk&amp;gl=uk&amp;client=firefox-b
Coach: 7.5 seconds per passenger</t>
  </si>
  <si>
    <t xml:space="preserve">bus\aec-regal-9t9-coach.dat</t>
  </si>
  <si>
    <t xml:space="preserve">LNER-1937-Tyneside-EMU-front</t>
  </si>
  <si>
    <t xml:space="preserve">LNER-1937-Tyneside-EMU-MPV</t>
  </si>
  <si>
    <t xml:space="preserve">These had four motors: https://en.wikipedia.org/wiki/LNER_Tyneside_electric_units</t>
  </si>
  <si>
    <t xml:space="preserve">aec-regent-stl-late</t>
  </si>
  <si>
    <t xml:space="preserve">http://web.archive.org/web/20121001025649/http://www.countrybus.org:80/STL/STL10.htm#ult
http://www.londonbusmuseum.com/museum-exhibits/double-deck-buses/aec-regent-i-stl-441/
The later version of the AEC Regent 1 (STL), as fitted with diesel engines
Guessed - cannot find power information for the diesel version
Guessed as mid-point between ST and RT
Rear platform with conductor: 2.0 seconds per passenger</t>
  </si>
  <si>
    <t xml:space="preserve">bus\aec-stl-late.dat</t>
  </si>
  <si>
    <t xml:space="preserve">beechcraft-18</t>
  </si>
  <si>
    <t xml:space="preserve">https://en.wikipedia.org/wiki/Beechcraft_Model_18
http://www.sharecg.com/v/47789/browse/5/3D-Model/Beechcraft-Beech-18-C-45
length=8</t>
  </si>
  <si>
    <t xml:space="preserve">air\beechcraft-18.dat</t>
  </si>
  <si>
    <t xml:space="preserve">beechcraft-18-mail</t>
  </si>
  <si>
    <t xml:space="preserve">http://www.sharecg.com/v/47789/browse/5/3D-Model/Beechcraft-Beech-18-C-45
payload: 750kg
length=8</t>
  </si>
  <si>
    <t xml:space="preserve">SR-404[COR]Front</t>
  </si>
  <si>
    <t xml:space="preserve">trains\sr-404[cor].dat</t>
  </si>
  <si>
    <t xml:space="preserve">SR-404[COR]Middle1</t>
  </si>
  <si>
    <t xml:space="preserve">SR-404[COR]Middle-Res</t>
  </si>
  <si>
    <t xml:space="preserve">SR-404[COR]Middle-Buf</t>
  </si>
  <si>
    <t xml:space="preserve">Guessed, as there is no diagram of this in Jenkinson
Guessed</t>
  </si>
  <si>
    <t xml:space="preserve">SR-404[COR]Middle2</t>
  </si>
  <si>
    <t xml:space="preserve">SR-404[COR]Rear</t>
  </si>
  <si>
    <t xml:space="preserve">LNER-B17-5</t>
  </si>
  <si>
    <t xml:space="preserve">Extrapolated
http://www.lner.info/locos/B/b17.shtml
Three cylinders</t>
  </si>
  <si>
    <t xml:space="preserve">trains\lner-b17-5.dat</t>
  </si>
  <si>
    <t xml:space="preserve">LMS-Coronation-BFK(Maroon)</t>
  </si>
  <si>
    <t xml:space="preserve">trains\lms-coronation-bfk.dat</t>
  </si>
  <si>
    <t xml:space="preserve">LMS-Coronation-TO(Maroon)</t>
  </si>
  <si>
    <t xml:space="preserve">trains\lms-coronation-to.dat</t>
  </si>
  <si>
    <t xml:space="preserve">LMS-Coronation-FK(Maroon)</t>
  </si>
  <si>
    <t xml:space="preserve">http://wondersofworldengineering.com/streamlined-expresses.html
TODO: Define these properly: this is the first class corridor.
We need a kitchen car.
Wooden bodied vehicles become obsolete sooner.</t>
  </si>
  <si>
    <t xml:space="preserve">trains\lms-coronation-fk.dat</t>
  </si>
  <si>
    <t xml:space="preserve">LMS-Stanier-7P</t>
  </si>
  <si>
    <t xml:space="preserve">Extrapolated
Four cylinder</t>
  </si>
  <si>
    <t xml:space="preserve">trains\lms-stanier-7p.dat</t>
  </si>
  <si>
    <t xml:space="preserve">LMS-Stanier-7P-Tender</t>
  </si>
  <si>
    <t xml:space="preserve">Streamlined version only</t>
  </si>
  <si>
    <t xml:space="preserve">trains\lms-stanier-7p-tender.dat</t>
  </si>
  <si>
    <t xml:space="preserve">Blackpool-Brush</t>
  </si>
  <si>
    <t xml:space="preserve">http://en.wikipedia.org/wiki/Blackpool_tramway#Boat_cars
http://www.britishtramsonline.co.uk/blackpoolfleet.doc
This was actually the English Electric railcoaches,
but these were so similar that they should also in principle be upgradeable.</t>
  </si>
  <si>
    <t xml:space="preserve">trams\blackpool-brush.dat</t>
  </si>
  <si>
    <t xml:space="preserve">glasgow-coronation</t>
  </si>
  <si>
    <t xml:space="preserve">http://www.semple.biz/glasgow/tram%20rolling%20stock.shtml
Dimensions not available, so guessed based on similar types
http://www.semple.biz/glasgow/tram%20rolling%20stock.shtml
The standing capacity is shown on this video:
https://www.youtube.com/watch?v=XIF_hfYj3NI
Guessed
Apparently, these were heavy.</t>
  </si>
  <si>
    <t xml:space="preserve">trams\glasgow-coronation.dat</t>
  </si>
  <si>
    <t xml:space="preserve">LNER-B17-5-Tender</t>
  </si>
  <si>
    <t xml:space="preserve">trains\lner-b17-5-tender.dat</t>
  </si>
  <si>
    <t xml:space="preserve">LMS-Coronation-BTK(Maroon)</t>
  </si>
  <si>
    <t xml:space="preserve">trains\lms-coronation-btk.dat</t>
  </si>
  <si>
    <t xml:space="preserve">LNER-Coronation-Observation</t>
  </si>
  <si>
    <t xml:space="preserve">trains\lner-coronation-observation.dat</t>
  </si>
  <si>
    <t xml:space="preserve">Long20T</t>
  </si>
  <si>
    <t xml:space="preserve">trains\wagon-long-20t.dat</t>
  </si>
  <si>
    <t xml:space="preserve">Cool-Bogie</t>
  </si>
  <si>
    <t xml:space="preserve">trains\wagon-cool-bogie.dat</t>
  </si>
  <si>
    <t xml:space="preserve">Piece-Bogie</t>
  </si>
  <si>
    <t xml:space="preserve">trains\wagon-piece-bogie.dat</t>
  </si>
  <si>
    <t xml:space="preserve">LUL_OP_StockFrontDM</t>
  </si>
  <si>
    <t xml:space="preserve">http://en.wikipedia.org/wiki/London_Underground_O_and_P_Stock</t>
  </si>
  <si>
    <t xml:space="preserve">london-underground\lul-op-stock.dat</t>
  </si>
  <si>
    <t xml:space="preserve">LUL_OP_StockMiddle</t>
  </si>
  <si>
    <t xml:space="preserve">LUL_OP_StockRearDM</t>
  </si>
  <si>
    <t xml:space="preserve">GWR-Prairie-Tank-Modified</t>
  </si>
  <si>
    <t xml:space="preserve">sr-2hal-front</t>
  </si>
  <si>
    <t xml:space="preserve">trains\sr-2hal.dat</t>
  </si>
  <si>
    <t xml:space="preserve">sr-2hal-rear</t>
  </si>
  <si>
    <t xml:space="preserve">1938TubeStockFront</t>
  </si>
  <si>
    <t xml:space="preserve">london-underground\1938-tube-stock.dat</t>
  </si>
  <si>
    <t xml:space="preserve">1938TubeStockNDM</t>
  </si>
  <si>
    <t xml:space="preserve">1938TubeStockTrailer</t>
  </si>
  <si>
    <t xml:space="preserve">1938TubeStockRear</t>
  </si>
  <si>
    <t xml:space="preserve">dh-91-albatross</t>
  </si>
  <si>
    <t xml:space="preserve">https://en.wikipedia.org/wiki/De_Havilland_Albatross
http://www.pilotfriend.com/photo_albums/timeline/between/de%20Havilland%20DH91%20Albatros.htm
https://oldmachinepress.com/2015/12/30/de-havilland-dh-91-albatross/
CC-BY-SA
https://www.blendswap.com/blends/view/75762
454kg
length=8
Guessed</t>
  </si>
  <si>
    <t xml:space="preserve">air\dh-91-albatross.dat</t>
  </si>
  <si>
    <t xml:space="preserve">dh-91-albatross-mail</t>
  </si>
  <si>
    <t xml:space="preserve">aec-regal-coach-10t10</t>
  </si>
  <si>
    <t xml:space="preserve">http://web.archive.org/web/20161223145711/http://www.countrybus.org/T-regal/T7.htm
This 'bus in the London 'Bus Museum is marked on the body as being 6t 12cwt.
Coach: 7.5 seconds per passenger</t>
  </si>
  <si>
    <t xml:space="preserve">bus\aec-regal-10t10-coach.dat</t>
  </si>
  <si>
    <t xml:space="preserve">leyland-tiger-tf</t>
  </si>
  <si>
    <t xml:space="preserve">http://web.archive.org/web/20161223145711/http://www.countrybus.org/T-regal/T7.htm
This is not quite authentic, but a fully authentic sound
cannot currently be located. This seems to be the closest
thing.
Coach (short distance): 5.0 seconds per passenger</t>
  </si>
  <si>
    <t xml:space="preserve">bus\leyland-tiger-tf.dat</t>
  </si>
  <si>
    <t xml:space="preserve">Douglas_DC3A</t>
  </si>
  <si>
    <t xml:space="preserve">air\douglas-dc-3a.dat</t>
  </si>
  <si>
    <t xml:space="preserve">Douglas_DC3A_Mail</t>
  </si>
  <si>
    <t xml:space="preserve">SRInvictaAddMail</t>
  </si>
  <si>
    <t xml:space="preserve">boats\holds\sr-invicta-mail.dat</t>
  </si>
  <si>
    <t xml:space="preserve">aec-regent-rt-2</t>
  </si>
  <si>
    <t xml:space="preserve">Pre-war RTs: http://web.archive.org/web/20120819011852/http://www.countrybus.org/RT/RT2.htm
An example of this 'bus at the London 'Bus Museum gives its weight as 6t, 15cwt, 3qrs
Rear platform with conductor: 2.0 seconds per passenger
EmptyImage[E]=./images/aec-regent-2rt-lt-green_E.0.0,-33,14
EmptyImage[SE]=./images/aec-regent-2rt-lt-green_SE.0.0,-13,0
EmptyImage[S]=./images/aec-regent-2rt-lt-green_S.0.0,0,0
EmptyImage[SW]=./images/aec-regent-2rt-lt-green_SW.0.0,-8,10
EmptyImage[W]=./images/aec-regent-2rt-lt-green_W.0.0,4,5
EmptyImage[NW]=./images/aec-regent-2rt-lt-green_NW.0.0,12,10
EmptyImage[N]=./images/aec-regent-2rt-lt-green_N.0.0,0,33
EmptyImage[NE]=./images/aec-regent-2rt-lt-green_NE.0.0,0,24</t>
  </si>
  <si>
    <t xml:space="preserve">bus\aec-regent-rt-2.dat</t>
  </si>
  <si>
    <t xml:space="preserve">bedford-ob</t>
  </si>
  <si>
    <t xml:space="preserve">https://en.wikipedia.org/wiki/Bedford_OB
https://3dwarehouse.sketchup.com/model/6df43847-51af-4b8f-89bf-a11eb3c9cd11/1949-Bedford-OB
http://storfjorden.no/asite/images/Busser/Bedford_modeller.pdf
Coach (short distance): 5.0 seconds per passenger</t>
  </si>
  <si>
    <t xml:space="preserve">bus\bedford-ob.dat</t>
  </si>
  <si>
    <t xml:space="preserve">Petrol1939</t>
  </si>
  <si>
    <t xml:space="preserve">LMS-502Front</t>
  </si>
  <si>
    <t xml:space="preserve">https://en.wikipedia.org/wiki/British_Rail_Class_502</t>
  </si>
  <si>
    <t xml:space="preserve">trains\lms-502.dat</t>
  </si>
  <si>
    <t xml:space="preserve">LMS-502Middle</t>
  </si>
  <si>
    <t xml:space="preserve">LMS-502MiddleComposite</t>
  </si>
  <si>
    <t xml:space="preserve">TODO: Consider whether special graphics will be needed for this</t>
  </si>
  <si>
    <t xml:space="preserve">LMS-502Rear</t>
  </si>
  <si>
    <t xml:space="preserve">TyneFerry</t>
  </si>
  <si>
    <t xml:space="preserve">http://www.simplonpc.co.uk/TyneFerries.html#Mid-Tyne-Ferries
http://www.offshoreradiomuseum.co.uk/page445.html</t>
  </si>
  <si>
    <t xml:space="preserve">boats\tyne-ferry.dat</t>
  </si>
  <si>
    <t xml:space="preserve">1940TubeStockFront</t>
  </si>
  <si>
    <t xml:space="preserve">See Jenkinson p. 404</t>
  </si>
  <si>
    <t xml:space="preserve">london-underground\1940-wc-stock.dat</t>
  </si>
  <si>
    <t xml:space="preserve">Electric1940</t>
  </si>
  <si>
    <t xml:space="preserve">1940TubeStockMiddle</t>
  </si>
  <si>
    <t xml:space="preserve">1940TubeStockRear</t>
  </si>
  <si>
    <t xml:space="preserve">SRInvicta</t>
  </si>
  <si>
    <t xml:space="preserve">https://en.wikipedia.org/wiki/SS_Invicta_(1939)
40-60 minutes
This is slightly fudged, as, of course, the ship was introduced before
the BTC was founded. Contemporary photographs, however, show an almost
indistinguishable livery.</t>
  </si>
  <si>
    <t xml:space="preserve">boats\boats192\sr-invicta.dat</t>
  </si>
  <si>
    <t xml:space="preserve">Coal1939</t>
  </si>
  <si>
    <t xml:space="preserve">boeing-307-stratoliner</t>
  </si>
  <si>
    <t xml:space="preserve">https://en.wikipedia.org/wiki/Boeing_307_Stratoliner
http://www.boeing.com/history/products/model-307-stratoliner.page
https://3dwarehouse.sketchup.com/model/11b1ef0f9fe3f65fe80771be8faac585/Boeing-307-Stratoliner
length=8
https://books.google.co.uk/books?id=NAHYdjQ5Pu8C&amp;pg=PA390&amp;lpg=PA390&amp;dq=boeing+307+runway+length&amp;source=bl&amp;ots=D5y4vyLZNQ&amp;sig=BByy30p8dThyRzWG1waztFYPMxs&amp;hl=en&amp;sa=X&amp;ved=0ahUKEwi2xJiv4pXUAhWMLMAKHUBsCkEQ6AEIUjAJ#v=onepage&amp;q=boeing%20307%20runway%20length&amp;f=false</t>
  </si>
  <si>
    <t xml:space="preserve">air\boeing-307-stratoliner.dat</t>
  </si>
  <si>
    <t xml:space="preserve">Aviation1940</t>
  </si>
  <si>
    <t xml:space="preserve">LNER-ClassEM1</t>
  </si>
  <si>
    <t xml:space="preserve">Within type only</t>
  </si>
  <si>
    <t xml:space="preserve">trains\lner-em1.dat</t>
  </si>
  <si>
    <t xml:space="preserve">SR-MerchantNavy_4-6-2</t>
  </si>
  <si>
    <t xml:space="preserve">Extrapolated
No hammer blow</t>
  </si>
  <si>
    <t xml:space="preserve">trains\sr-mn-4-6-2.dat</t>
  </si>
  <si>
    <t xml:space="preserve">SR-MerchantNavy_4-6-2Tender</t>
  </si>
  <si>
    <t xml:space="preserve">trains\sr-mn-4-6-2-tender.dat</t>
  </si>
  <si>
    <t xml:space="preserve">SR-4SUB(front)</t>
  </si>
  <si>
    <t xml:space="preserve">See Jenkinson, p. 391</t>
  </si>
  <si>
    <t xml:space="preserve">trains\sr-bullied-4-sub.dat</t>
  </si>
  <si>
    <t xml:space="preserve">SR-4SUB(rear)</t>
  </si>
  <si>
    <t xml:space="preserve">SR-4SUB(centre1)</t>
  </si>
  <si>
    <t xml:space="preserve">SR-4SUB(centre2)</t>
  </si>
  <si>
    <t xml:space="preserve">SR-Bulleid-Express-Coach-all-doors</t>
  </si>
  <si>
    <t xml:space="preserve">Earlier, all doors type</t>
  </si>
  <si>
    <t xml:space="preserve">trains\sr-bullied-corridor-carriages.dat</t>
  </si>
  <si>
    <t xml:space="preserve">SR-Bulleid-Express-brake-front-all-doors</t>
  </si>
  <si>
    <t xml:space="preserve">SR-Bulleid-Express-brake-rear-all-doors</t>
  </si>
  <si>
    <t xml:space="preserve">SR-Bulleid-Express-Dining</t>
  </si>
  <si>
    <t xml:space="preserve">SR-Bulleid-Express-Buffet</t>
  </si>
  <si>
    <t xml:space="preserve">This datum is hard to find by research: guessed.</t>
  </si>
  <si>
    <t xml:space="preserve">GWR-Swindon-TwinsetRear</t>
  </si>
  <si>
    <t xml:space="preserve">trains\gwr-swindon-twinset-b.dat</t>
  </si>
  <si>
    <t xml:space="preserve">GWR-Swindon-TwinsetFront</t>
  </si>
  <si>
    <t xml:space="preserve">trains\gwr-swindon-twinset-a.dat</t>
  </si>
  <si>
    <t xml:space="preserve">SR-CC</t>
  </si>
  <si>
    <t xml:space="preserve">trains\sr-cc.dat</t>
  </si>
  <si>
    <t xml:space="preserve">douglas-dc-4</t>
  </si>
  <si>
    <t xml:space="preserve">payload=8.6t
length=8
@ ISA (sea level, 0Centigrades), Runway Dry
minimum_runway_length=1130
@ ISA+10C, Runway dry = +10%</t>
  </si>
  <si>
    <t xml:space="preserve">air\douglas-dc-4.dat</t>
  </si>
  <si>
    <t xml:space="preserve">douglas-c54-mail</t>
  </si>
  <si>
    <t xml:space="preserve">capacity: 11.0t
length=8
@ ISA (sea level, 0Centigrades), Runway Dry
minimum_runway_length=1130
@ ISA+10C, Runway dry = +10%</t>
  </si>
  <si>
    <t xml:space="preserve">air\douglas-c54-mail.dat</t>
  </si>
  <si>
    <t xml:space="preserve">douglas-c54-piece</t>
  </si>
  <si>
    <t xml:space="preserve">payload=11.0t
length=8
@ ISA (sea level, 0Centigrades), Runway Dry
minimum_runway_length=1130
@ ISA+10C, Runway dry = +10%</t>
  </si>
  <si>
    <t xml:space="preserve">air\douglas-c54-cargo.dat</t>
  </si>
  <si>
    <t xml:space="preserve">douglas-c54-cool</t>
  </si>
  <si>
    <t xml:space="preserve">SR-Q1-Tender</t>
  </si>
  <si>
    <t xml:space="preserve">trains\sr-q1-tender.dat</t>
  </si>
  <si>
    <t xml:space="preserve">SR-Q1</t>
  </si>
  <si>
    <t xml:space="preserve">trains\sr-q1.dat</t>
  </si>
  <si>
    <t xml:space="preserve">GuyArab</t>
  </si>
  <si>
    <t xml:space="preserve">http://web.archive.org/web/20121001025604/http://www.countrybus.org/Guy/G1.htm#pk
http://www.londonbusmuseum.com/museum-exhibits/double-deck-buses/guy-arab-ii-g-351/
Rear platform with conductor: 2.0 seconds per passenger
The Bristol 6LB was rebuilt with a Gardner 5-cylinder engine in the 1950s,
so this should sound like a Guy Arab.
The Daimler COG-5 also had the Gardner 5LW engine,
but it had a pre-selective gearbox; the Arab had a
crash gearbox, so would have sounded more like the
Bristol 6-LB (as rebuilt)
sound=steve-o-hara-daimler-cog5.wav</t>
  </si>
  <si>
    <t xml:space="preserve">bus\guy-arab.dat</t>
  </si>
  <si>
    <t xml:space="preserve">lockheed-l049-constellation</t>
  </si>
  <si>
    <t xml:space="preserve">https://en.wikipedia.org/wiki/Lockheed_Constellation
https://en.wikipedia.org/wiki/Lockheed_L-049_Constellation
https://3dwarehouse.sketchup.com/model/uc032125a-50aa-4f18-9244-4f0b4bac3305/BOAC-Lockheed-L-049-Constellation-1947-Baltimore
length=8
http://dutchfs.com/files/handleidingen/Connie_FSDZigns_Handleiding1.pdf
6,000ft</t>
  </si>
  <si>
    <t xml:space="preserve">air\lockheed-l049-constellation.dat</t>
  </si>
  <si>
    <t xml:space="preserve">lockheed-l049-constellation-high-density</t>
  </si>
  <si>
    <t xml:space="preserve">https://3dwarehouse.sketchup.com/model/uc032125a-50aa-4f18-9244-4f0b4bac3305/BOAC-Lockheed-L-049-Constellation-1947-Baltimore
length=8
http://dutchfs.com/files/handleidingen/Connie_FSDZigns_Handleiding1.pdf
6,000ft</t>
  </si>
  <si>
    <t xml:space="preserve">LMS-rebuilt-royal-scot</t>
  </si>
  <si>
    <t xml:space="preserve">Extrapolated
http://mcgavin.no-ip.info/robbie/details/LMS_Royal_Scot_Rebuild_1947.html</t>
  </si>
  <si>
    <t xml:space="preserve">trains\lms-rebuilt-royal-scot.dat</t>
  </si>
  <si>
    <t xml:space="preserve">LMS-rebuilt-royal-scot-tender</t>
  </si>
  <si>
    <t xml:space="preserve">LNER-J94</t>
  </si>
  <si>
    <t xml:space="preserve">trains\lner-j94.dat</t>
  </si>
  <si>
    <t xml:space="preserve">Bulk16T</t>
  </si>
  <si>
    <t xml:space="preserve">trains\wagon-bulk-16t.dat</t>
  </si>
  <si>
    <t xml:space="preserve">WD-Austerity-2-8-0</t>
  </si>
  <si>
    <t xml:space="preserve">Extrapolated
Liveries indistinguishable on the locomotive (but not so the tender)</t>
  </si>
  <si>
    <t xml:space="preserve">trains\wd-austerity-2-8-0.dat</t>
  </si>
  <si>
    <t xml:space="preserve">WD-Austerity-2-8-0-Tender</t>
  </si>
  <si>
    <t xml:space="preserve">GWR-Modified-Hall</t>
  </si>
  <si>
    <t xml:space="preserve">trains\gwr-modified-hall.dat</t>
  </si>
  <si>
    <t xml:space="preserve">GWR-Modified-Hall-Tender</t>
  </si>
  <si>
    <t xml:space="preserve">SR-WestCountry_4-6-2</t>
  </si>
  <si>
    <t xml:space="preserve">Extrapolated
No hammer blow
No austerity livery? (Livery variants by The Hood)</t>
  </si>
  <si>
    <t xml:space="preserve">trains\sr-wc-4-6-2.dat</t>
  </si>
  <si>
    <t xml:space="preserve">GWR-Hawksworth-County</t>
  </si>
  <si>
    <t xml:space="preserve">Extrapolated
http://en.wikipedia.org/wiki/GWR_1000_Class</t>
  </si>
  <si>
    <t xml:space="preserve">trains\gwr-hawksworth-county.dat</t>
  </si>
  <si>
    <t xml:space="preserve">Coal1945</t>
  </si>
  <si>
    <t xml:space="preserve">GWR-Hawksworth-County-Tender</t>
  </si>
  <si>
    <t xml:space="preserve">LMS-Fairburn-4P-Tank</t>
  </si>
  <si>
    <t xml:space="preserve">LMS-Ivatt-2P-Tank</t>
  </si>
  <si>
    <t xml:space="preserve">trains\lms-ivatt-2p.dat</t>
  </si>
  <si>
    <t xml:space="preserve">LMS-Ivatt-2P-Tank-Push-Pull</t>
  </si>
  <si>
    <t xml:space="preserve">LMS-Stanier-7P-non-streamlined</t>
  </si>
  <si>
    <t xml:space="preserve">Extrapolated
Four cylinders
TODO: Add BR passenger express blue livery.</t>
  </si>
  <si>
    <t xml:space="preserve">SR-Bulleid-Express-Coach</t>
  </si>
  <si>
    <t xml:space="preserve">Later, vestibule type</t>
  </si>
  <si>
    <t xml:space="preserve">SR-Bulleid-Express-Saloon</t>
  </si>
  <si>
    <t xml:space="preserve">Externally indistinguishable from the corridor carriages</t>
  </si>
  <si>
    <t xml:space="preserve">SR-Bulleid-Express-Brake-rear</t>
  </si>
  <si>
    <t xml:space="preserve">SR-Bulleid-Express-Brake-front</t>
  </si>
  <si>
    <t xml:space="preserve">bristol-type-170-cars</t>
  </si>
  <si>
    <t xml:space="preserve">This is actually a passenger/car transport, not a transporter
for newly produced cars to be sold.
TODO: Modify this as such when the code supports private car
transport using player transport.
payload=5.45t
length=8
@ ISA (sea level, 0Centigrades), Runway Dry
minimum_runway_length=1130
@ ISA+10C, Runway dry = +10%</t>
  </si>
  <si>
    <t xml:space="preserve">air\bristol-type-170-cargo.dat</t>
  </si>
  <si>
    <t xml:space="preserve">AirCargo</t>
  </si>
  <si>
    <t xml:space="preserve">bristol-type-170-piece</t>
  </si>
  <si>
    <t xml:space="preserve">payload=5.45t
length=8
@ ISA (sea level, 0Centigrades), Runway Dry
minimum_runway_length=1130
@ ISA+10C, Runway dry = +10%</t>
  </si>
  <si>
    <t xml:space="preserve">bristol-type-170-cool</t>
  </si>
  <si>
    <t xml:space="preserve">bristol-type-170-mail</t>
  </si>
  <si>
    <t xml:space="preserve">air\bristol-type-170-mail.dat</t>
  </si>
  <si>
    <t xml:space="preserve">bristol-type-170</t>
  </si>
  <si>
    <t xml:space="preserve">air\bristol-type-170.dat</t>
  </si>
  <si>
    <t xml:space="preserve">vickers-vc1b-viking</t>
  </si>
  <si>
    <t xml:space="preserve">payload=2.5t
length=8
@ ISA (sea level, 0Centigrades), Runway Dry
minimum_runway_length=???
@ ISA+10C, Runway dry = +10%</t>
  </si>
  <si>
    <t xml:space="preserve">air\vickers-vc1b-viking.dat</t>
  </si>
  <si>
    <t xml:space="preserve">douglas-dc-6</t>
  </si>
  <si>
    <t xml:space="preserve">payload=13.6t
length=8
@ ISA (sea level, 0Centigrades), Runway Dry
minimum_runway_length=1100
@ ISA+10C, Runway dry = +10%</t>
  </si>
  <si>
    <t xml:space="preserve">air\douglas-dc-6.dat</t>
  </si>
  <si>
    <t xml:space="preserve">douglas-dc-6-high-density</t>
  </si>
  <si>
    <t xml:space="preserve">LMS-Ivatt-4F</t>
  </si>
  <si>
    <t xml:space="preserve">Extrapolated
http://en.wikipedia.org/wiki/LMS_Ivatt_Class_4</t>
  </si>
  <si>
    <t xml:space="preserve">trains\lms-ivatt-4f.dat</t>
  </si>
  <si>
    <t xml:space="preserve">LMS-Ivatt-4F-Tender</t>
  </si>
  <si>
    <t xml:space="preserve">aec-regent-rt-3</t>
  </si>
  <si>
    <t xml:space="preserve">Post-war RTs: http://web.archive.org/web/20120819012032/http://www.countrybus.org/RT/RT4.htm
An example of this 'bus at the London 'Bus Museum gives its weight as 7t, 10cwt, 0qrs
This is heavier than the earlier RT2 (the pre-war 'buses) probably because this had
a metal body and the earlier 'buses a wooden body
Rear platform with conductor: 2.0 seconds per passenger</t>
  </si>
  <si>
    <t xml:space="preserve">bus\aec-regent-rt-3.dat</t>
  </si>
  <si>
    <t xml:space="preserve">LeylandCometBulk</t>
  </si>
  <si>
    <t xml:space="preserve">https://en.wikipedia.org/wiki/Leyland_Comet
The graphics and data are for the original 1947 version.
TODO: Add later varients with larger engines, etc.</t>
  </si>
  <si>
    <t xml:space="preserve">bus\leyland-comet.dat</t>
  </si>
  <si>
    <t xml:space="preserve">LeylandCometLong</t>
  </si>
  <si>
    <t xml:space="preserve">LeylandCometPiece</t>
  </si>
  <si>
    <t xml:space="preserve">LeylandCometCool</t>
  </si>
  <si>
    <t xml:space="preserve">LeylandCometLivestock</t>
  </si>
  <si>
    <t xml:space="preserve">LeylandCometFluid</t>
  </si>
  <si>
    <t xml:space="preserve">LeylandCometCars</t>
  </si>
  <si>
    <t xml:space="preserve">LMS-10000</t>
  </si>
  <si>
    <t xml:space="preserve">Extended production time,
as this is when the next type 3s are introduced.
Multiple working within type</t>
  </si>
  <si>
    <t xml:space="preserve">trains\lms-10000-b.dat</t>
  </si>
  <si>
    <t xml:space="preserve">MCWQ1</t>
  </si>
  <si>
    <t xml:space="preserve">MCW Q1 Trolleybus
See p. 47 of "Glasgow Trolleybuses" by Brian T. Deans
8ft wide
Trolleybuses generally had only 1 motor:
http://www.ltmcollection.org/museum/object/link.html?_IXMAXHITS_=1&amp;IXinv=1981/528&amp;IXexpand=designservice
"The Rolls-Royce of trolleybuses"
Rear platform with conductor: 2.0 seconds per passenger</t>
  </si>
  <si>
    <t xml:space="preserve">bus\mcw-q1.dat</t>
  </si>
  <si>
    <t xml:space="preserve">aec-regal-15t13</t>
  </si>
  <si>
    <t xml:space="preserve">http://www.countrybus.org/T-regal/T10.htm
Guessed
Single door with conductor: 2.5 seconds per passenger</t>
  </si>
  <si>
    <t xml:space="preserve">bus\aec-regal-15t13.dat</t>
  </si>
  <si>
    <t xml:space="preserve">BantamPusher</t>
  </si>
  <si>
    <t xml:space="preserve">boats\bantam-pusher.dat</t>
  </si>
  <si>
    <t xml:space="preserve">glasgow-cunarder</t>
  </si>
  <si>
    <t xml:space="preserve">http://www.semple.biz/glasgow/tram%20rolling%20stock.shtml
Dimensions not available, so guessed based on similar types
http://www.semple.biz/glasgow/tram%20rolling%20stock.shtml
Guessed</t>
  </si>
  <si>
    <t xml:space="preserve">trams\glasgow-cunarder.dat</t>
  </si>
  <si>
    <t xml:space="preserve">ScammellScarab</t>
  </si>
  <si>
    <t xml:space="preserve">https://en.wikipedia.org/wiki/Scammell_Mechanical_Horse
http://www.mechanical-horse-club.org.uk/Scammells.htm</t>
  </si>
  <si>
    <t xml:space="preserve">Petrol1945</t>
  </si>
  <si>
    <t xml:space="preserve">MorrisMinorPiece</t>
  </si>
  <si>
    <t xml:space="preserve">bus\morris-minor-van.dat</t>
  </si>
  <si>
    <t xml:space="preserve">MorrisMinorCool</t>
  </si>
  <si>
    <t xml:space="preserve">MorrisMinorPost</t>
  </si>
  <si>
    <t xml:space="preserve">SR-Bulleid-Leader</t>
  </si>
  <si>
    <t xml:space="preserve">trains\sr-bulleid-leader.dat</t>
  </si>
  <si>
    <t xml:space="preserve">MVBalmoral</t>
  </si>
  <si>
    <t xml:space="preserve">boats\mv-balmoral.dat</t>
  </si>
  <si>
    <t xml:space="preserve">LightweightDieselBargeBulk</t>
  </si>
  <si>
    <t xml:space="preserve">boats\diesel-light-barge.dat</t>
  </si>
  <si>
    <t xml:space="preserve">LightweightDieselBargeLong</t>
  </si>
  <si>
    <t xml:space="preserve">LightweightDieselBargePiece</t>
  </si>
  <si>
    <t xml:space="preserve">LightweightDieselBargeCool</t>
  </si>
  <si>
    <t xml:space="preserve">LightweightDieselBargeOil</t>
  </si>
  <si>
    <t xml:space="preserve">LightweightDieselBargeLivestock</t>
  </si>
  <si>
    <t xml:space="preserve">boeing-377</t>
  </si>
  <si>
    <t xml:space="preserve">https://en.wikipedia.org/wiki/Boeing_377_Stratocruiser
https://3dwarehouse.sketchup.com/model/bfa52c24ed71614f48a7b7802dc31138/BOAC-Boeing-377-stratocruiser
"Up to 100 passengers on main deck plus 14 in lower deck lounge; typical seating for 63 or 84 passengers"
(Wikipedia)
length=8
US$1,225,000 (1945) (according to Wikipedia)
Guessed
Cannot find data, guessing based on DC-6</t>
  </si>
  <si>
    <t xml:space="preserve">air\boeing-377.dat</t>
  </si>
  <si>
    <t xml:space="preserve">leyland-titan-rtw</t>
  </si>
  <si>
    <t xml:space="preserve">http://www.countrybus.org/RT/RTW.htm
Rear platform with conductor (8ft wide): 1.8 seconds per passenger</t>
  </si>
  <si>
    <t xml:space="preserve">bus\leyland-titan-rtw.dat</t>
  </si>
  <si>
    <t xml:space="preserve">SR-4DD-front</t>
  </si>
  <si>
    <t xml:space="preserve">See Jenkinson p. 391</t>
  </si>
  <si>
    <t xml:space="preserve">trains\sr-bullied-4dd.dat</t>
  </si>
  <si>
    <t xml:space="preserve">SR-4DD-rear</t>
  </si>
  <si>
    <t xml:space="preserve">SR-4DD-TT1</t>
  </si>
  <si>
    <t xml:space="preserve">SR-4DD-TT2</t>
  </si>
  <si>
    <t xml:space="preserve">LUL_R_StockFrontDM</t>
  </si>
  <si>
    <t xml:space="preserve">http://en.wikipedia.org/wiki/London_Underground_R_Stock
Aluminium construction. Exact weight saving not clear.</t>
  </si>
  <si>
    <t xml:space="preserve">london-underground\lul-r-stock.dat</t>
  </si>
  <si>
    <t xml:space="preserve">LUL_R_StockMiddle</t>
  </si>
  <si>
    <t xml:space="preserve">LUL_R_StockRearDM</t>
  </si>
  <si>
    <t xml:space="preserve">Sheffield-Roberts</t>
  </si>
  <si>
    <t xml:space="preserve">http://en.wikipedia.org/wiki/Tramcars_of_the_Sheffield_Tramway
2x 65hp motors; 130hp = 97kW
Comfortable seats, all enclosed, but no bogies</t>
  </si>
  <si>
    <t xml:space="preserve">trams\sheffield-roberts.dat</t>
  </si>
  <si>
    <t xml:space="preserve">SR-1-Co-Co-1</t>
  </si>
  <si>
    <t xml:space="preserve">Multiple working within type</t>
  </si>
  <si>
    <t xml:space="preserve">trains\sr-1-co-co-1.dat</t>
  </si>
  <si>
    <t xml:space="preserve">BR-Class10800</t>
  </si>
  <si>
    <t xml:space="preserve">Built by the North British company for the LMS, but delivered in BR days.
None fitted</t>
  </si>
  <si>
    <t xml:space="preserve">trains\lms-10800.dat</t>
  </si>
  <si>
    <t xml:space="preserve">vickers-vc2-viscount-757</t>
  </si>
  <si>
    <t xml:space="preserve">turbine</t>
  </si>
  <si>
    <t xml:space="preserve">length=8
@ ISA (sea level, 0Centigrades), Runway Dry
minimum_runway_length=2250
@ ISA+10C, Runway dry = +10%</t>
  </si>
  <si>
    <t xml:space="preserve">air\vickers-vc2-viscount-757.dat</t>
  </si>
  <si>
    <t xml:space="preserve">BrakeBR</t>
  </si>
  <si>
    <t xml:space="preserve">trains\wagon-brake-br.dat</t>
  </si>
  <si>
    <t xml:space="preserve">TowpathTractor</t>
  </si>
  <si>
    <t xml:space="preserve">boats\towpath-tractor.dat</t>
  </si>
  <si>
    <t xml:space="preserve">Wagon3CarBogie</t>
  </si>
  <si>
    <t xml:space="preserve">trains\wagon-3-car-bogie.dat</t>
  </si>
  <si>
    <t xml:space="preserve">BR-506Front</t>
  </si>
  <si>
    <t xml:space="preserve">https://en.wikipedia.org/wiki/British_Rail_Class_506</t>
  </si>
  <si>
    <t xml:space="preserve">trains\br-506.dat</t>
  </si>
  <si>
    <t xml:space="preserve">BR-506Centre</t>
  </si>
  <si>
    <t xml:space="preserve">BR-506Rear</t>
  </si>
  <si>
    <t xml:space="preserve">BR-7MT-Tender</t>
  </si>
  <si>
    <t xml:space="preserve">trains\br-7mt-tender.dat</t>
  </si>
  <si>
    <t xml:space="preserve">BR-7MT</t>
  </si>
  <si>
    <t xml:space="preserve">For possible calibration data see http://www.traintesting.com/bulletin_5.htm
Max. speed given as 73mph with a train of 993t (gross, equivalent given testing vehicles)
On the level
NOTE: The source itself suggests drawbar horsepower at approx. 2,000,
which is equivalent to 1491Kw, compared to the 847kW suggested
by in-game tests. However, even this is out of line with other
locomotives, so extrapolated.
http://en.wikipedia.org/wiki/BR_Standard_Class_7</t>
  </si>
  <si>
    <t xml:space="preserve">trains\br-7mt.dat</t>
  </si>
  <si>
    <t xml:space="preserve">BR-Mk1-BSK-front</t>
  </si>
  <si>
    <t xml:space="preserve">trains\br-mk1-bsk.dat</t>
  </si>
  <si>
    <t xml:space="preserve">BR-Mk1-BSK-rear</t>
  </si>
  <si>
    <t xml:space="preserve">BR-Mk1-CK</t>
  </si>
  <si>
    <t xml:space="preserve">http://www.bluebell-railway.co.uk/bluebell/pics/16210.HTML</t>
  </si>
  <si>
    <t xml:space="preserve">trains\br-mk1-ck.dat</t>
  </si>
  <si>
    <t xml:space="preserve">BR-Mk1-RB</t>
  </si>
  <si>
    <t xml:space="preserve">trains\br-mk1-rb.dat</t>
  </si>
  <si>
    <t xml:space="preserve">BR-Mk1-FK</t>
  </si>
  <si>
    <t xml:space="preserve">trains\br-mk1-fk.dat</t>
  </si>
  <si>
    <t xml:space="preserve">airspeed-ambassador</t>
  </si>
  <si>
    <t xml:space="preserve">https://en.wikipedia.org/wiki/Airspeed_Ambassador
https://3dwarehouse.sketchup.com/model/u11b78343-fd51-43a1-ba86-c8e4886ec948/British-European-AirwaysBEA-Airspeed-Ambassador-1952
gear=1
"Up to" 60 passengers
length=8
Data not available: guessed from comparable types</t>
  </si>
  <si>
    <t xml:space="preserve">air\airspeed-ambassador.dat</t>
  </si>
  <si>
    <t xml:space="preserve">BR-Mk1-SK</t>
  </si>
  <si>
    <t xml:space="preserve">This is the Eastern/Midland region version with
three aside in the compartments and arm rests.</t>
  </si>
  <si>
    <t xml:space="preserve">trains\br-mk1-sk.dat</t>
  </si>
  <si>
    <t xml:space="preserve">BR-Mk1-BFK-front</t>
  </si>
  <si>
    <t xml:space="preserve">trains\br-mk1-bfk.dat</t>
  </si>
  <si>
    <t xml:space="preserve">BR-Mk1-BFK-rear</t>
  </si>
  <si>
    <t xml:space="preserve">BR-Mk1-BG</t>
  </si>
  <si>
    <t xml:space="preserve">These cannot retire earlier, as are needed for the mail vehicles.
retire_year=1975
retire_month=3</t>
  </si>
  <si>
    <t xml:space="preserve">trains\br-mk1-bg.dat</t>
  </si>
  <si>
    <t xml:space="preserve">BR-4MT-Tender</t>
  </si>
  <si>
    <t xml:space="preserve">trains\br-4mt-4-6-0.dat</t>
  </si>
  <si>
    <t xml:space="preserve">BR-5MT</t>
  </si>
  <si>
    <t xml:space="preserve">See http://www.traintesting.com/bulletin_6.htm for information on power.
Sadly, the data sheet is missing, but the summary suggests 1,000Hp, or approx.
So, extrapolated.</t>
  </si>
  <si>
    <t xml:space="preserve">trains\br-5mt.dat</t>
  </si>
  <si>
    <t xml:space="preserve">aero-commander-520</t>
  </si>
  <si>
    <t xml:space="preserve">https://en.wikipedia.org/wiki/Aero_Commander_500_family
http://www.airliners.net/aircraft-data/rockwell-500520560680685720-commander/343
http://www.planeandpilotmag.com/article/aero-commander-520/
CC-0
https://www.blendswap.com/blends/view/66578
length=8</t>
  </si>
  <si>
    <t xml:space="preserve">air\aero-commander-500.dat</t>
  </si>
  <si>
    <t xml:space="preserve">aero-commander-500</t>
  </si>
  <si>
    <t xml:space="preserve">CC-0
https://www.blendswap.com/blends/view/66578
length=8</t>
  </si>
  <si>
    <t xml:space="preserve">BR-4MT-4-6-0</t>
  </si>
  <si>
    <t xml:space="preserve">CALIBRATED: see http://www.traintesting.com/bulletin_4.htm
Max. speed given as 47mph with a train of 657t (gross)
Adjusting for rising gradient of 1/834 (+16Kw)
NOTE: The source itself suggests drawbar horsepower at approx. 700-800,
which is equivalent to 372.8-596.6Kw, compared to the 368Kw suggested
by in-game tests adjusted for by gradient.</t>
  </si>
  <si>
    <t xml:space="preserve">BR-4MT-Tank</t>
  </si>
  <si>
    <t xml:space="preserve">trains\br-4mt-tank.dat</t>
  </si>
  <si>
    <t xml:space="preserve">RFCoach</t>
  </si>
  <si>
    <t xml:space="preserve">The RF single decker - coach varient.
http://www.countrybus.org/rf/RF3.htm
TODO: Use a more authentic sound for this type.
Coach (short distance): 5.0 seconds per passenger</t>
  </si>
  <si>
    <t xml:space="preserve">bus\rf-coach.dat</t>
  </si>
  <si>
    <t xml:space="preserve">lockheed-l1049-c-super-constellation</t>
  </si>
  <si>
    <t xml:space="preserve">https://en.wikipedia.org/wiki/Lockheed_Constellation
http://www.varig-airlines.com/en/constellation.htm
https://3dwarehouse.sketchup.com/model/uff46f999-2374-451e-9d33-b691db43a7fc/Lockheed-L-1049G-Super-Constellation-QANTAS-1957
length=8
Guessed based on the L-1049G</t>
  </si>
  <si>
    <t xml:space="preserve">air\lockheed-l1049-c-super-constellation.dat</t>
  </si>
  <si>
    <t xml:space="preserve">lockheed-l1049-c-super-constellation-high-density</t>
  </si>
  <si>
    <t xml:space="preserve">https://3dwarehouse.sketchup.com/model/uff46f999-2374-451e-9d33-b691db43a7fc/Lockheed-L-1049G-Super-Constellation-QANTAS-1957
length=8
Guessed based on the L-1049G</t>
  </si>
  <si>
    <t xml:space="preserve">BR-4EPB(front)</t>
  </si>
  <si>
    <t xml:space="preserve">This shares a driving motor with the 2EPB
http://www.semgonline.com/gallery/class415_7.html</t>
  </si>
  <si>
    <t xml:space="preserve">trains\br-415[epb].dat</t>
  </si>
  <si>
    <t xml:space="preserve">BR-2EPB(rear)</t>
  </si>
  <si>
    <t xml:space="preserve">This is the driving *trailer* for the 2EBP only.</t>
  </si>
  <si>
    <t xml:space="preserve">BR-4EPB(rear)</t>
  </si>
  <si>
    <t xml:space="preserve">This is the driving *motor* for the 4EBP only.</t>
  </si>
  <si>
    <t xml:space="preserve">BR-4EPB(centre1)</t>
  </si>
  <si>
    <t xml:space="preserve">BR-4EPB(centre2)</t>
  </si>
  <si>
    <t xml:space="preserve">BTCLordWarden</t>
  </si>
  <si>
    <t xml:space="preserve">boats\boats192\btc-lord-warden.dat</t>
  </si>
  <si>
    <t xml:space="preserve">BTCLordWardenAddMail</t>
  </si>
  <si>
    <t xml:space="preserve">boats\holds\btc-lord-warden-holds.dat</t>
  </si>
  <si>
    <t xml:space="preserve">BTCLordWardenAddPiece</t>
  </si>
  <si>
    <t xml:space="preserve">BTCLordWardenAddCool</t>
  </si>
  <si>
    <t xml:space="preserve">douglas-dc-6a-piece</t>
  </si>
  <si>
    <t xml:space="preserve">payload=12.8t
length=8
@ ISA (sea level, 0Centigrades), Runway Dry
minimum_runway_length=1100
@ ISA+10C, Runway dry = +10%</t>
  </si>
  <si>
    <t xml:space="preserve">air\douglas-dc-6-cargo.dat</t>
  </si>
  <si>
    <t xml:space="preserve">douglas-dc-6a-cool</t>
  </si>
  <si>
    <t xml:space="preserve">douglas-dc-6b</t>
  </si>
  <si>
    <t xml:space="preserve">air\douglas-dc-6b.dat</t>
  </si>
  <si>
    <t xml:space="preserve">douglas-dc-6a-mail</t>
  </si>
  <si>
    <t xml:space="preserve">payload: 12.8t
extended
length=8
@ ISA (sea level, 0Centigrades), Runway Dry
minimum_runway_length=1100
@ ISA+10C, Runway dry = +10%</t>
  </si>
  <si>
    <t xml:space="preserve">air\douglas-dc-6-mail.dat</t>
  </si>
  <si>
    <t xml:space="preserve">BR-Mk1-TSO</t>
  </si>
  <si>
    <t xml:space="preserve">Identical graphics to the SK because they
have an identical external appearance.</t>
  </si>
  <si>
    <t xml:space="preserve">trains\br-mk1-tso.dat</t>
  </si>
  <si>
    <t xml:space="preserve">BR-Mk1-FO</t>
  </si>
  <si>
    <t xml:space="preserve">http://www.bluebell-railway.co.uk/bluebell/pics/16210.HTML
TODO: Consider whether this needs its own graphics</t>
  </si>
  <si>
    <t xml:space="preserve">trains\br-mk1-fo.dat</t>
  </si>
  <si>
    <t xml:space="preserve">dh-comet-1</t>
  </si>
  <si>
    <t xml:space="preserve">https://en.wikipedia.org/wiki/De_Havilland_Comet
http://www.baesystems.com/en/heritage/de-havilland-comet-1---2
https://3dwarehouse.sketchup.com/model/u4b75c3f7-724b-4dab-a12e-8faeeba6bdea/BOAC-1954-de-Havilland-Comet-1
gear=1
http://www.oocities.org/capecanaveral/lab/8803/fcomette.htm
http://s3-eu-west-1.amazonaws.com/cjp-rbi-communities-blogs/wp-content/uploads/mt/flightglobalweb/blogs/aircraft-pictures/assets_c/2009/06/DH%20Comet%201%20DPS%20cutaway-thumb-450x233-39208.jpg
Guessed, as no data available
length=8
Â£275,000 (1952) (according to Wikipedia)
7,500lb/hour/engine
http://www.oocities.org/capecanaveral/lab/8803/fcomette.htm
Not available for the Comet 1. The below is
taken from the Comet 4B, data here:
http://www.airliners.net/forum/viewtopic.php?t=757007</t>
  </si>
  <si>
    <t xml:space="preserve">air\dh-comet-1.dat</t>
  </si>
  <si>
    <t xml:space="preserve">MorrisLDPiece</t>
  </si>
  <si>
    <t xml:space="preserve">http://www.austinmemories.com/styled-52/styled-58/index.html
This is the 1.5t version</t>
  </si>
  <si>
    <t xml:space="preserve">bus\morris-ld.dat</t>
  </si>
  <si>
    <t xml:space="preserve">MorrisLDCool</t>
  </si>
  <si>
    <t xml:space="preserve">MorrisLDPost</t>
  </si>
  <si>
    <t xml:space="preserve">RF</t>
  </si>
  <si>
    <t xml:space="preserve">http://www.countrybus.org/rf/RF4.htm
TODO: Use a more authentic sound for this type.
Single entrance with conductor: 2.5 seconds per passenger
TODO: Add OMO version</t>
  </si>
  <si>
    <t xml:space="preserve">bus\rf.dat</t>
  </si>
  <si>
    <t xml:space="preserve">lockheed-l1049-g-super-constellation</t>
  </si>
  <si>
    <t xml:space="preserve">https://en.wikipedia.org/wiki/Lockheed_Constellation
http://www.varig-airlines.com/en/constellation.htm
https://3dwarehouse.sketchup.com/model/uff46f999-2374-451e-9d33-b691db43a7fc/Lockheed-L-1049G-Super-Constellation-QANTAS-1957
length=8
Guessed: November 1951 is correct for the L-1049 original
3,937ft
http://www.varig-airlines.com/en/constellation.htm</t>
  </si>
  <si>
    <t xml:space="preserve">air\lockheed-l1049g-super-constellation.dat</t>
  </si>
  <si>
    <t xml:space="preserve">lockheed-l1049-g-super-constellation-high-density</t>
  </si>
  <si>
    <t xml:space="preserve">https://3dwarehouse.sketchup.com/model/uff46f999-2374-451e-9d33-b691db43a7fc/Lockheed-L-1049G-Super-Constellation-QANTAS-1957
length=8
Guessed: November 1951 is correct for the L-1049 original
3,937ft
http://www.varig-airlines.com/en/constellation.htm</t>
  </si>
  <si>
    <t xml:space="preserve">sunbeam-f4a</t>
  </si>
  <si>
    <t xml:space="preserve">See pp. 25 and 49-50 of "Glasgow Trolleybuses" by Brian T. Deans
8ft wide
Trolleybuses generally had only 1 motor:
http://www.ltmcollection.org/museum/object/link.html?_IXMAXHITS_=1&amp;IXinv=1981/528&amp;IXexpand=designservice
Rear platform with conductor (8ft wide): 1.8 seconds per passenger</t>
  </si>
  <si>
    <t xml:space="preserve">bus\sunbeam-f4a.dat</t>
  </si>
  <si>
    <t xml:space="preserve">BR-Mk1-Sub-cl</t>
  </si>
  <si>
    <t xml:space="preserve">Marked as 29 tons on a vehicle on the Llangollen Railway:
https://www.flickr.com/photos/8336963@N07/19680300432/in/album-72157655451912470/
NOTE: These graphics have been increased slightly in size
to match graphics produced with the old workflow.
The .blend files, however, only have the originally
sized models. The increase in size was 1.05 on all axes.</t>
  </si>
  <si>
    <t xml:space="preserve">trains\br-mk1-sub-cl.dat</t>
  </si>
  <si>
    <t xml:space="preserve">BR-Mk1-Sub</t>
  </si>
  <si>
    <t xml:space="preserve">Marked as 28 tons on a vehicle on the Llangollen Railway:
https://www.flickr.com/photos/8336963@N07/19499365978/in/album-72157655451912470/</t>
  </si>
  <si>
    <t xml:space="preserve">trains\br-mk1-sub.dat</t>
  </si>
  <si>
    <t xml:space="preserve">BR-Mk1-Sub-Brake-rear</t>
  </si>
  <si>
    <t xml:space="preserve">Marked as 29 tons on a vehicle on the Llangollen Railway:
https://www.flickr.com/photos/8336963@N07/19500762089/in/photostream/</t>
  </si>
  <si>
    <t xml:space="preserve">trains\br-mk1-sub-brake.dat</t>
  </si>
  <si>
    <t xml:space="preserve">BR-Mk1-Sub-Brake-front</t>
  </si>
  <si>
    <t xml:space="preserve">BR-4MT-2-6-0</t>
  </si>
  <si>
    <t xml:space="preserve">Extrapolated
http://en.wikipedia.org/wiki/BR_Standard_Class_4_2-6-0</t>
  </si>
  <si>
    <t xml:space="preserve">trains\br-4mt-2-6-0.dat</t>
  </si>
  <si>
    <t xml:space="preserve">dhc3-otter</t>
  </si>
  <si>
    <t xml:space="preserve">https://en.wikipedia.org/wiki/De_Havilland_Canada_DHC-3_Otter
CC-BY-SA
https://www.blendswap.com/blends/view/75392
length=8
The only available data is for the Turbo Otter:
https://www.airinuit.com/en/fleet/de-havilland-turbo-otter-dhc-3</t>
  </si>
  <si>
    <t xml:space="preserve">air\dhc3-otter.dat</t>
  </si>
  <si>
    <t xml:space="preserve">Blackpool-Coronation</t>
  </si>
  <si>
    <t xml:space="preserve">Guessed
http://www.sct61.org.uk/bp306</t>
  </si>
  <si>
    <t xml:space="preserve">trams\blackpool-coronation.dat</t>
  </si>
  <si>
    <t xml:space="preserve">LNER-ClassEM2</t>
  </si>
  <si>
    <t xml:space="preserve">trains\lner-em2.dat</t>
  </si>
  <si>
    <t xml:space="preserve">BR-2MT-Tank-Push-Pull</t>
  </si>
  <si>
    <t xml:space="preserve">trains\br-2mt-tank.dat</t>
  </si>
  <si>
    <t xml:space="preserve">BR-2MT-Tank</t>
  </si>
  <si>
    <t xml:space="preserve">Extrapolated
http://en.wikipedia.org/wiki/BR_Standard_Class_2_2-6-2T
http://en.wikipedia.org/wiki/BR_Standard_Class_2_2-6-2T</t>
  </si>
  <si>
    <t xml:space="preserve">guy-special</t>
  </si>
  <si>
    <t xml:space="preserve">http://web.archive.org/web/20130822174206/http://www.countrybus.org/GS/GS.html
http://www.busesfestival.com/view_article.asp?id=9059
http://www.londonbusmuseum.com/museum-exhibits/single-decker-buses/guy-special-gs-34/
# http://www.londonbusmuseum.com/museum-exhibits/single-decker-buses/guy-special-gs-34/
An authentic sound cannot be found for the time being:
use this until one is forthcoming.
Single door pay driver: 4.0 seconds per passenger</t>
  </si>
  <si>
    <t xml:space="preserve">bus\guy-special.dat</t>
  </si>
  <si>
    <t xml:space="preserve">douglas-dc7</t>
  </si>
  <si>
    <t xml:space="preserve">https://en.wikipedia.org/wiki/Douglas_DC-7
http://www.airliners.net/aircraft-data/douglas-dc-7/191
http://www.aviastar.org/air/usa/douglas_dc-7.php
https://3dwarehouse.sketchup.com/model/8fe1c92c1c9ff33fbc0909d98a1ff2b4/United-Air-Lines-Douglas-DC-7
length=8
Â£570,000 (1954)
Cannot find data, guessing based on DC-6</t>
  </si>
  <si>
    <t xml:space="preserve">air\douglas-dc-7.dat</t>
  </si>
  <si>
    <t xml:space="preserve">douglas-dc7-high-density</t>
  </si>
  <si>
    <t xml:space="preserve">https://3dwarehouse.sketchup.com/model/8fe1c92c1c9ff33fbc0909d98a1ff2b4/United-Air-Lines-Douglas-DC-7
length=8
Â£570,000 (1954)
Cannot find data, guessing based on DC-6</t>
  </si>
  <si>
    <t xml:space="preserve">BR-Derby-Lightweight-DTCL</t>
  </si>
  <si>
    <t xml:space="preserve">https://en.wikipedia.org/wiki/British_Rail_Derby_Lightweight</t>
  </si>
  <si>
    <t xml:space="preserve">trains\br-derby-lightweight.dat</t>
  </si>
  <si>
    <t xml:space="preserve">BR-Derby-Lightweight-DMBS</t>
  </si>
  <si>
    <t xml:space="preserve">BR-8P</t>
  </si>
  <si>
    <t xml:space="preserve">Calculated from figures at: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http://en.wikipedia.org/wiki/BR_Standard_Class_8
Three cylinders</t>
  </si>
  <si>
    <t xml:space="preserve">trains\br-8p.dat</t>
  </si>
  <si>
    <t xml:space="preserve">BR-9F</t>
  </si>
  <si>
    <t xml:space="preserve">See http://www.traintesting.com/bulletin_13.htm for information on power.
However, the figure suggests over 800kW, which would give &gt;12% thermal
efficiency, which is not accurate, so extrapolated on the basis of
8% thermal efficiency instead.
Balanced less: had reduced hammer blow
http://en.wikipedia.org/wiki/BR_Standard_Class_9F</t>
  </si>
  <si>
    <t xml:space="preserve">trains\br-9f.dat</t>
  </si>
  <si>
    <t xml:space="preserve">BR-9F-Tender</t>
  </si>
  <si>
    <t xml:space="preserve">trains\br-9f-tender.dat</t>
  </si>
  <si>
    <t xml:space="preserve">Hibberd-Planet</t>
  </si>
  <si>
    <t xml:space="preserve">http://www.festipedia.org.uk/wiki/Upnor_Castle
Guessed value
See Ffestiniog illustrated stock list p. 28
No information - guessed</t>
  </si>
  <si>
    <t xml:space="preserve">narrowgauge\hibberd-planet.dat</t>
  </si>
  <si>
    <t xml:space="preserve">ScammellRoutemanBulk</t>
  </si>
  <si>
    <t xml:space="preserve">bus\scammell-routeman.dat</t>
  </si>
  <si>
    <t xml:space="preserve">ScammellRoutemanLong</t>
  </si>
  <si>
    <t xml:space="preserve">ScammellRoutemanPiece</t>
  </si>
  <si>
    <t xml:space="preserve">ScammellRoutemanCool</t>
  </si>
  <si>
    <t xml:space="preserve">ScammellRoutemanLivestock</t>
  </si>
  <si>
    <t xml:space="preserve">ScammellRoutemanFluid</t>
  </si>
  <si>
    <t xml:space="preserve">ScammellHighwayman</t>
  </si>
  <si>
    <t xml:space="preserve">bus\scammell-1955-artic.dat</t>
  </si>
  <si>
    <t xml:space="preserve">ScammellHandyman</t>
  </si>
  <si>
    <t xml:space="preserve">Scammell1955TrailerBulk</t>
  </si>
  <si>
    <t xml:space="preserve">Scammell1955TrailerLong</t>
  </si>
  <si>
    <t xml:space="preserve">Scammell1955TrailerPiece</t>
  </si>
  <si>
    <t xml:space="preserve">Scammell1955TrailerCool</t>
  </si>
  <si>
    <t xml:space="preserve">Scammell1955TrailerLivestock</t>
  </si>
  <si>
    <t xml:space="preserve">Scammell1955TrailerFluid</t>
  </si>
  <si>
    <t xml:space="preserve">Scammell1955TrailerCars</t>
  </si>
  <si>
    <t xml:space="preserve">BR-Mk1-BSO-front</t>
  </si>
  <si>
    <t xml:space="preserve">trains\br-mk1-bso.dat</t>
  </si>
  <si>
    <t xml:space="preserve">BR-Mk1-BSO-rear</t>
  </si>
  <si>
    <t xml:space="preserve">aero-commander-681</t>
  </si>
  <si>
    <t xml:space="preserve">http://www.planeandpilotmag.com/article/aero-commander-680-courser/
CC-0
https://www.blendswap.com/blends/view/66578
length=8</t>
  </si>
  <si>
    <t xml:space="preserve">BR-Mk1-GUV</t>
  </si>
  <si>
    <t xml:space="preserve">trains\br-mk1-guv-b.dat</t>
  </si>
  <si>
    <t xml:space="preserve">BR-307(front)</t>
  </si>
  <si>
    <t xml:space="preserve">trains\br-307.dat</t>
  </si>
  <si>
    <t xml:space="preserve">BR-307(centre1)</t>
  </si>
  <si>
    <t xml:space="preserve">BR-307(centre2)</t>
  </si>
  <si>
    <t xml:space="preserve">BR-307(rear)</t>
  </si>
  <si>
    <t xml:space="preserve">BR-101-DMBS</t>
  </si>
  <si>
    <t xml:space="preserve">http://www.railcar.co.uk/print/diagrams/523.jpg</t>
  </si>
  <si>
    <t xml:space="preserve">trains\br-101.dat</t>
  </si>
  <si>
    <t xml:space="preserve">BR-101-TSL</t>
  </si>
  <si>
    <t xml:space="preserve">http://www.railcar.co.uk/print/diagrams/623.jpg</t>
  </si>
  <si>
    <t xml:space="preserve">BR-101-DMCL</t>
  </si>
  <si>
    <t xml:space="preserve">http://www.railcar.co.uk/print/diagrams/621.jpg</t>
  </si>
  <si>
    <t xml:space="preserve">BR-101-DTCL</t>
  </si>
  <si>
    <t xml:space="preserve">http://www.railcar.co.uk/print/diagrams/630.jpg</t>
  </si>
  <si>
    <t xml:space="preserve">douglas-dc7c</t>
  </si>
  <si>
    <t xml:space="preserve">https://en.wikipedia.org/wiki/Douglas_DC-7
http://www.airliners.net/aircraft-data/douglas-dc-7/191
https://3dwarehouse.sketchup.com/model/f4453381943f6039eba96cf317eae721/BOAC-DC-7C-Seven-Seas-G-AOIB
length=8
Â£800,000 in 1956; Â£930,000 in 1958
Cannot find data, guessing based on DC-6</t>
  </si>
  <si>
    <t xml:space="preserve">air\douglas-dc7c.dat</t>
  </si>
  <si>
    <t xml:space="preserve">douglas-dc7c-high-density</t>
  </si>
  <si>
    <t xml:space="preserve">https://3dwarehouse.sketchup.com/model/f4453381943f6039eba96cf317eae721/BOAC-DC-7C-Seven-Seas-G-AOIB
length=8
Â£800,000 in 1956; Â£930,000 in 1958
Cannot find data, guessing based on DC-6</t>
  </si>
  <si>
    <t xml:space="preserve">BR-414[HAP]Front</t>
  </si>
  <si>
    <t xml:space="preserve">Early withdrawals necessary because of asbestos</t>
  </si>
  <si>
    <t xml:space="preserve">trains\br-414[hap].dat</t>
  </si>
  <si>
    <t xml:space="preserve">BR-414[HAP]Rear</t>
  </si>
  <si>
    <t xml:space="preserve">SR-MerchantNavyRebuilt_4-6-2</t>
  </si>
  <si>
    <t xml:space="preserve">(Was formerly calibrated as below)
68mph (108.8km/h) up a 1/80 gradient: see http://www.traintesting.com/images/Mn%2035020%20results.jpg
Load not given, but a picture appears to show approx. 9 carriages including dynomometer car:
http://www.traintesting.com/images/MN%2035020%20on%20road.jpg
395kW assuming on level; adjusted to +175kW for gradient
Now extrapolated. Calibration from data as above produces a result inconsistently low compared to other locomotives.
3 cylinder</t>
  </si>
  <si>
    <t xml:space="preserve">trains\sr-mn-4-6-2-rebuilt.dat</t>
  </si>
  <si>
    <t xml:space="preserve">Routemaster</t>
  </si>
  <si>
    <t xml:space="preserve">http://www.countrybus.org/RM/RM7i.htm
Rear platform with conductor (8ft wide): 1.8 seconds per passenger</t>
  </si>
  <si>
    <t xml:space="preserve">bus\routemaster.dat</t>
  </si>
  <si>
    <t xml:space="preserve">vickers-vc2-viscount-802</t>
  </si>
  <si>
    <t xml:space="preserve">air\vickers-vc2-viscount-802.dat</t>
  </si>
  <si>
    <t xml:space="preserve">BR-410[CEP]Rear</t>
  </si>
  <si>
    <t xml:space="preserve">Would be 136Kn for a 4-CIG (presumably for the *whole* unit)</t>
  </si>
  <si>
    <t xml:space="preserve">trains\br-410[cep].dat</t>
  </si>
  <si>
    <t xml:space="preserve">BR-Mk1-RMB</t>
  </si>
  <si>
    <t xml:space="preserve">trains\br-mk1-rmb.dat</t>
  </si>
  <si>
    <t xml:space="preserve">bristol-britannia</t>
  </si>
  <si>
    <t xml:space="preserve">https://en.wikipedia.org/wiki/Bristol_Britannia
https://www.flightglobal.com/FlightPDFArchive/1960/1960%20-%202674.PDF
https://3dwarehouse.sketchup.com/model/b84b30bcaa2705c9bc0909d98a1ff2b4/BOAC-Bristol-Britannia-102
gear=1
Single class seating is 139 "coach class"
Max seats (presumably in high capacity format) is 149.
length=8
Â£700,000 - Â£1,400,000 (1957) (according to Wikipedia)
Â£1.07m new (according to Flight magazine, as above)
Specific fuel consumption: 0.585lb/bhp/hr
https://www.skybrary.aero/index.php/L188
@ ISA (sea level, 0Centigrades), Runway Dry
minimum_runway_length=2484
@ ISA+10C, Runway dry = +10%
It is very hard to find sounds for these.
TODO: Cargo version (no models currently on 3d Warehouse)</t>
  </si>
  <si>
    <t xml:space="preserve">air\bristol-britannia.dat</t>
  </si>
  <si>
    <t xml:space="preserve">BR-205Front</t>
  </si>
  <si>
    <t xml:space="preserve">http://en.wikipedia.org/wiki/British_Rail_Class_205</t>
  </si>
  <si>
    <t xml:space="preserve">trains\br-205.dat</t>
  </si>
  <si>
    <t xml:space="preserve">BR-205Rear</t>
  </si>
  <si>
    <t xml:space="preserve">BR-205Middle</t>
  </si>
  <si>
    <t xml:space="preserve">BR-202-front</t>
  </si>
  <si>
    <t xml:space="preserve">trains\br-202.dat</t>
  </si>
  <si>
    <t xml:space="preserve">BR-202-rear</t>
  </si>
  <si>
    <t xml:space="preserve">BR-202-trailer</t>
  </si>
  <si>
    <t xml:space="preserve">BR-202-trailer-first</t>
  </si>
  <si>
    <t xml:space="preserve">BR-202-buffet</t>
  </si>
  <si>
    <t xml:space="preserve">BR-Class15</t>
  </si>
  <si>
    <t xml:space="preserve">Blue star</t>
  </si>
  <si>
    <t xml:space="preserve">trains\br-cl15.dat</t>
  </si>
  <si>
    <t xml:space="preserve">lockheed-l1649-starliner</t>
  </si>
  <si>
    <t xml:space="preserve">https://en.wikipedia.org/wiki/Lockheed_L-1649_Starliner
http://www.zoggavia.com/uploads/Lufthansa_Superstar_Interior_Arrangement.jpg
https://3dwarehouse.sketchup.com/model/u70078171-5f64-4f63-b874-726e0f6d125f/Lufthansa-Lockheed-L1649-Starliner-D-ALAN-1957
length=8
US$3m (Wikipedia)
The actual retirement is 1958, but the production run would then be too short.
3,937ft
http://www.varig-airlines.com/en/constellation.htm</t>
  </si>
  <si>
    <t xml:space="preserve">air\lockheed-l1649-starliner.dat</t>
  </si>
  <si>
    <t xml:space="preserve">lockheed-l1649-starliner-high-density</t>
  </si>
  <si>
    <t xml:space="preserve">https://3dwarehouse.sketchup.com/model/u70078171-5f64-4f63-b874-726e0f6d125f/Lufthansa-Lockheed-L1649-Starliner-D-ALAN-1957
length=8
US$3m (Wikipedia)
The actual retirement is 1958, but the production run would then be too short.
3,937ft
http://www.varig-airlines.com/en/constellation.htm</t>
  </si>
  <si>
    <t xml:space="preserve">SR-WestCountryRebuilt_4-6-2</t>
  </si>
  <si>
    <t xml:space="preserve">Extrapolated
http://www.semgonline.com/steam/blp_dat.html
Wikipedia claims 1955
Three cylinder
See here for pricing details: http://www.semgonline.com/steam/blp51.html
Each rebuild was estimated to cost approx. Â£5,428 in 1954</t>
  </si>
  <si>
    <t xml:space="preserve">trains\sr-wc-4-6-2-rebuilt.dat</t>
  </si>
  <si>
    <t xml:space="preserve">BR-104Rear</t>
  </si>
  <si>
    <t xml:space="preserve">http://www.railcar.co.uk/print/diagrams/556.jpg
This is very late: but there are no replacements available.</t>
  </si>
  <si>
    <t xml:space="preserve">trains\br-104.dat</t>
  </si>
  <si>
    <t xml:space="preserve">BR-104Front</t>
  </si>
  <si>
    <t xml:space="preserve">http://www.railcar.co.uk/print/diagrams/558.jpg
This is very late: but there are no replacements available.</t>
  </si>
  <si>
    <t xml:space="preserve">BR-104Middle</t>
  </si>
  <si>
    <t xml:space="preserve">http://www.railcar.co.uk/print/diagrams/583.jpg
This is very late: but there are no replacements available.</t>
  </si>
  <si>
    <t xml:space="preserve">BR-Class20</t>
  </si>
  <si>
    <t xml:space="preserve">trains\br-cl20.dat</t>
  </si>
  <si>
    <t xml:space="preserve">BR-Class30</t>
  </si>
  <si>
    <t xml:space="preserve">The original engines suffered early failure: see
http://www.therailwaycentre.com/Pages%20Loco/Recognition%20loco/Illus_30_31A.html
Consider using overhaul parameters for this when overhauls are
first introduced.
Red circle</t>
  </si>
  <si>
    <t xml:space="preserve">trains\br-cl30.dat</t>
  </si>
  <si>
    <t xml:space="preserve">BR-410[CEP]Front</t>
  </si>
  <si>
    <t xml:space="preserve">BR-410[CEP]Brake</t>
  </si>
  <si>
    <t xml:space="preserve">Post-refurbishment</t>
  </si>
  <si>
    <t xml:space="preserve">BR-410[CEP]Middle</t>
  </si>
  <si>
    <t xml:space="preserve">BR-410[CEP]Buffet</t>
  </si>
  <si>
    <t xml:space="preserve">BR-501(DMB)</t>
  </si>
  <si>
    <t xml:space="preserve">https://en.wikipedia.org/wiki/British_Rail_Class_501</t>
  </si>
  <si>
    <t xml:space="preserve">trains\br-501.dat</t>
  </si>
  <si>
    <t xml:space="preserve">BR-501(T)</t>
  </si>
  <si>
    <t xml:space="preserve">BR-501(DTB)</t>
  </si>
  <si>
    <t xml:space="preserve">but-9613t</t>
  </si>
  <si>
    <t xml:space="preserve">See pp. 33 and 50 of "Glasgow Trolleybuses" by Brian T. Deans
Rear platform with conductor (8ft wide): 1.8 seconds per passenger</t>
  </si>
  <si>
    <t xml:space="preserve">bus\but-9613t.dat</t>
  </si>
  <si>
    <t xml:space="preserve">HandysizePiece</t>
  </si>
  <si>
    <t xml:space="preserve">http://marine.man.eu/docs/librariesprovider6/technical-papers/propulsion-of-30000-dwt-handysize-bulk-carrier.pdf?sfvrsn=16
http://en.wikipedia.org/wiki/Handysize
2-3 hours</t>
  </si>
  <si>
    <t xml:space="preserve">boats\boats192\handysize.dat</t>
  </si>
  <si>
    <t xml:space="preserve">ModernMetalShip</t>
  </si>
  <si>
    <t xml:space="preserve">HandysizeCars</t>
  </si>
  <si>
    <t xml:space="preserve">Guessed - no research available
2-3 hours</t>
  </si>
  <si>
    <t xml:space="preserve">HandysizeCool</t>
  </si>
  <si>
    <t xml:space="preserve">http://en.wikipedia.org/wiki/Handysize
2-3 hours</t>
  </si>
  <si>
    <t xml:space="preserve">HandysizeOil</t>
  </si>
  <si>
    <t xml:space="preserve">http://stevesmaritime.com/tanker.html
2-3 hours</t>
  </si>
  <si>
    <t xml:space="preserve">HandysizeLivestock</t>
  </si>
  <si>
    <t xml:space="preserve">Guessed figure - no research available.
2-3 hours</t>
  </si>
  <si>
    <t xml:space="preserve">HandysizeBulk</t>
  </si>
  <si>
    <t xml:space="preserve">HandysizeLong</t>
  </si>
  <si>
    <t xml:space="preserve">BR-Class41</t>
  </si>
  <si>
    <t xml:space="preserve">http://commons.wikimedia.org/wiki/File:Dainton_Bank_2_geograph-2387823-by-Ben-Brooksbank.jpg
Orange Square v1</t>
  </si>
  <si>
    <t xml:space="preserve">trains\br-cl41.dat</t>
  </si>
  <si>
    <t xml:space="preserve">BR-Class24</t>
  </si>
  <si>
    <t xml:space="preserve">trains\br-cl24.dat</t>
  </si>
  <si>
    <t xml:space="preserve">leyland-leopard-l2</t>
  </si>
  <si>
    <t xml:space="preserve">https://en.wikipedia.org/wiki/Leyland_Leopard
See also "A History of the Leyland Bus" (Ron Phillips), pp. 115-7
The L2 is the coach version, the L1 the (rarer) 'bus version
Speed limit was incerased from 40mph (64km/h) to 60mph (96km/h) for 'buses on
the "open road" in 1961: http://en.wikipedia.org/wiki/Coach_transport_in_the_United_Kingdom
However, earlier coaches (e.g. the 1930 Regal: http://web.archive.org/web/20161223135021/http://www.countrybus.org/T-regal/T2.htm#green2 )
could manage faster speeds (in that case, 60mph!). Is it better to opt for the speed limit on the roads (which changed with time), or the actual
maximum speed of the vehicle? Probably the latter, since the road speed limits are based on the roads themselves.
Leyland O.600 engine
Coach: 7.5 seconds per passenger</t>
  </si>
  <si>
    <t xml:space="preserve">bus\leyland-leopard-l2.dat</t>
  </si>
  <si>
    <t xml:space="preserve">Blackpool-ProgressTwin-Trailer</t>
  </si>
  <si>
    <t xml:space="preserve">Actually built for a much shorter period, this is necessary
as otherwise there are no trams in the 1960s and 1970s</t>
  </si>
  <si>
    <t xml:space="preserve">trams\blackpool-progress-twin-trailer.dat</t>
  </si>
  <si>
    <t xml:space="preserve">Blackpool-ProgressTwin-Power</t>
  </si>
  <si>
    <t xml:space="preserve">http://www.britishtramsonline.co.uk/blackpoolfleet.doc
Actually built for a much shorter period, this is necessary
as otherwise there are no trams in the 1960s and 1970s</t>
  </si>
  <si>
    <t xml:space="preserve">trams\blackpool-progress-twin-power.dat</t>
  </si>
  <si>
    <t xml:space="preserve">BR-120-DMBC</t>
  </si>
  <si>
    <t xml:space="preserve">http://railcar.co.uk/type/120/
2x 150hp engines: http://www.miac.org.uk/class120.htm</t>
  </si>
  <si>
    <t xml:space="preserve">trains\br-120.dat</t>
  </si>
  <si>
    <t xml:space="preserve">BR-120-TSLRB</t>
  </si>
  <si>
    <t xml:space="preserve">BR-120-DMSL</t>
  </si>
  <si>
    <t xml:space="preserve">http://www.railcar.co.uk/print/diagrams/586.jpg</t>
  </si>
  <si>
    <t xml:space="preserve">BR-Class42</t>
  </si>
  <si>
    <t xml:space="preserve">Gearing did not well restrict speed, exceeded 100mph numerous times, restricted later to 90mph due to track wear
White Diamond</t>
  </si>
  <si>
    <t xml:space="preserve">trains\br-cl42.dat</t>
  </si>
  <si>
    <t xml:space="preserve">BR-Class16</t>
  </si>
  <si>
    <t xml:space="preserve">This has the same engine as the Class 15
Red circle</t>
  </si>
  <si>
    <t xml:space="preserve">trains\br-cl16.dat</t>
  </si>
  <si>
    <t xml:space="preserve">BR-Class26</t>
  </si>
  <si>
    <t xml:space="preserve">trains\br-cl26.dat</t>
  </si>
  <si>
    <t xml:space="preserve">BR-Class21</t>
  </si>
  <si>
    <t xml:space="preserve">Red circle</t>
  </si>
  <si>
    <t xml:space="preserve">trains\br-cl21.dat</t>
  </si>
  <si>
    <t xml:space="preserve">boeing-707-320c</t>
  </si>
  <si>
    <t xml:space="preserve">gear=1
payload 17,8t
length=8
@ ISA (sea level, 0Centigrades), Runway Dry
minimum_runway_length=3600
@ ISA+10C, Runway dry = +10%</t>
  </si>
  <si>
    <t xml:space="preserve">air\air192\boeing-707-320c.dat</t>
  </si>
  <si>
    <t xml:space="preserve">BR-Class28</t>
  </si>
  <si>
    <t xml:space="preserve">This is a guess, as I can find no recordings of this locomotive anywhere.
Red circle</t>
  </si>
  <si>
    <t xml:space="preserve">trains\br-cl28.dat</t>
  </si>
  <si>
    <t xml:space="preserve">BR-Class40</t>
  </si>
  <si>
    <t xml:space="preserve">trains\br-cl40.dat</t>
  </si>
  <si>
    <t xml:space="preserve">BR-Class71</t>
  </si>
  <si>
    <t xml:space="preserve">No multiple working fitted</t>
  </si>
  <si>
    <t xml:space="preserve">trains\br-cl71.dat</t>
  </si>
  <si>
    <t xml:space="preserve">dh-comet-4</t>
  </si>
  <si>
    <t xml:space="preserve">https://en.wikipedia.org/wiki/De_Havilland_Comet
http://www.zoggavia.com/uploads/COMET_4_FLIGHT_DRAWING_195606_1500.jpg
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</si>
  <si>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 xml:space="preserve">air\dh-comet-4.dat</t>
  </si>
  <si>
    <t xml:space="preserve">dh-comet-4-high-density</t>
  </si>
  <si>
    <t xml:space="preserve">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</si>
  <si>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 xml:space="preserve">BR-302(front)</t>
  </si>
  <si>
    <t xml:space="preserve">Multiple working with BR classes 302-312:
http://en.wikipedia.org/wiki/British_Rail_Class_312</t>
  </si>
  <si>
    <t xml:space="preserve">trains\br-302.dat</t>
  </si>
  <si>
    <t xml:space="preserve">BR-302(centre1)</t>
  </si>
  <si>
    <t xml:space="preserve">BR-302(centre2)</t>
  </si>
  <si>
    <t xml:space="preserve">BR-302(rear)</t>
  </si>
  <si>
    <t xml:space="preserve">Boeing_707_120</t>
  </si>
  <si>
    <t xml:space="preserve">https://en.wikipedia.org/wiki/Boeing_707
http://www.airliners.net/aircraft-data/stats.main?id=87
This is *not* the 120B - that had turbofan engines.
gear=1
payload=6.9t
length=8
Turbojets are less fuel efficient than turbofans.
@ ISA (sea level, 0Centigrades), Runway Dry
minimum_runway_length=3100
@ ISA+10C, Runway dry = +10%</t>
  </si>
  <si>
    <t xml:space="preserve">air\air192\boeing-707-120.dat</t>
  </si>
  <si>
    <t xml:space="preserve">boeing-707-120-high-density</t>
  </si>
  <si>
    <t xml:space="preserve">gear=1
payload=6.9t
length=8
Turbojets are less fuel efficient than turbofans.
@ ISA (sea level, 0Centigrades), Runway Dry
minimum_runway_length=3100
@ ISA+10C, Runway dry = +10%</t>
  </si>
  <si>
    <t xml:space="preserve">lockheed-electra-l188</t>
  </si>
  <si>
    <t xml:space="preserve">http://www.airliners.net/aircraft-data/lockheed-l-188-electra/268
http://www.aviastar.org/air/usa/lok_l-188.php
http://www.wattsmedia.com/1968/images/l188tech.jpg
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</si>
  <si>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 xml:space="preserve">air\lockheed-electra-l188.dat</t>
  </si>
  <si>
    <t xml:space="preserve">lockheed-electra-l188-high-density</t>
  </si>
  <si>
    <t xml:space="preserve">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</si>
  <si>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 xml:space="preserve">fokker-f27-100-mail</t>
  </si>
  <si>
    <t xml:space="preserve">gear=1
payload 5.25t
Was 1986, but left a gap before the ATR-42 was introduced.
@ ISA (sea level, 0Centigrades), Runway Dry
minimum_runway_length=1755
@ ISA+10C, Runway dry = +10%</t>
  </si>
  <si>
    <t xml:space="preserve">air\fokker-f27-100-mail.dat</t>
  </si>
  <si>
    <t xml:space="preserve">fokker-f27-100</t>
  </si>
  <si>
    <t xml:space="preserve">payload 5.25t
@ ISA (sea level, 0Centigrades), Runway Dry
minimum_runway_length=1755
@ ISA+10C, Runway dry = +10%</t>
  </si>
  <si>
    <t xml:space="preserve">air\fokker-f27-100.dat</t>
  </si>
  <si>
    <t xml:space="preserve">but-retb1</t>
  </si>
  <si>
    <t xml:space="preserve">See pp. 33-4 and 50 of "Glasgow Trolleybuses" by Brian T. Deans
Single door with conductor: 2.5 seconds per passenger</t>
  </si>
  <si>
    <t xml:space="preserve">bus\but-retb1.dat</t>
  </si>
  <si>
    <t xml:space="preserve">LeylandAtlantean</t>
  </si>
  <si>
    <t xml:space="preserve">https://en.wikipedia.org/wiki/Leyland_Atlantean
This is the original, PDR1/1 version
Single entrance
Leyland O.600
TODO: Add earlier conductor operated versions when fixed costs are introduced
(this and the 2 door below)
Single entrance pay driver: 4.0 seconds per passenger</t>
  </si>
  <si>
    <t xml:space="preserve">bus\leyland-atlantean.dat</t>
  </si>
  <si>
    <t xml:space="preserve">leyland-atlantean-pdr1-2-entrance</t>
  </si>
  <si>
    <t xml:space="preserve">Leyland O.600
Double entrance pay driver: 3.0 seconds per passenger</t>
  </si>
  <si>
    <t xml:space="preserve">MerseyFerry</t>
  </si>
  <si>
    <t xml:space="preserve">boats\mersey-ferry.dat</t>
  </si>
  <si>
    <t xml:space="preserve">BR-419[MLV]</t>
  </si>
  <si>
    <t xml:space="preserve">No next constraints, as this could haul a trailing load
of 100t: http://www.therailwaycentre.com/Recognition%20Tech%20Data%20EMU/EMU_419_499.html</t>
  </si>
  <si>
    <t xml:space="preserve">trains\br-419-bg.dat</t>
  </si>
  <si>
    <t xml:space="preserve">BR-Mk1-TPO</t>
  </si>
  <si>
    <t xml:space="preserve">trains\br-mk1-tpo.dat</t>
  </si>
  <si>
    <t xml:space="preserve">BR-303Front</t>
  </si>
  <si>
    <t xml:space="preserve">trains\br-303.dat</t>
  </si>
  <si>
    <t xml:space="preserve">BR-303Pantograph</t>
  </si>
  <si>
    <t xml:space="preserve">BR-303Rear</t>
  </si>
  <si>
    <t xml:space="preserve">caravelle</t>
  </si>
  <si>
    <t xml:space="preserve">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5,000 lb/hour at 400kt (741km/h)</t>
  </si>
  <si>
    <t xml:space="preserve">air\sud-aviation-caravelle.dat</t>
  </si>
  <si>
    <t xml:space="preserve">caravelle-high-density</t>
  </si>
  <si>
    <t xml:space="preserve">https://3dwarehouse.sketchup.com/model/94804a279170d17d62b600da24e0965/Air-France-1976-Sud-Aviation-SE-210-Caravelle-III
length=8
5,000 lb/hour at 400kt (741km/h)</t>
  </si>
  <si>
    <t xml:space="preserve">1959TubeStockFront</t>
  </si>
  <si>
    <t xml:space="preserve">london-underground\1959-tube-stock.dat</t>
  </si>
  <si>
    <t xml:space="preserve">1959TubeStockMiddle1</t>
  </si>
  <si>
    <t xml:space="preserve">1959TubeStockMiddle2</t>
  </si>
  <si>
    <t xml:space="preserve">1959TubeStockRear</t>
  </si>
  <si>
    <t xml:space="preserve">lockheed-electra-l188-c</t>
  </si>
  <si>
    <t xml:space="preserve">http://www.airliners.net/aircraft-data/lockheed-l-188-electra/268
http://www.aviastar.org/air/usa/lok_l-188.php
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</si>
  <si>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 xml:space="preserve">air\lockheed-electra-l188-c.dat</t>
  </si>
  <si>
    <t xml:space="preserve">lockheed-electra-l188-c-high-density</t>
  </si>
  <si>
    <t xml:space="preserve">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</si>
  <si>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 xml:space="preserve">BR-128</t>
  </si>
  <si>
    <t xml:space="preserve">This is very late: but there are no replacements available.</t>
  </si>
  <si>
    <t xml:space="preserve">trains\br-128.dat</t>
  </si>
  <si>
    <t xml:space="preserve">BR-Class09</t>
  </si>
  <si>
    <t xml:space="preserve">trains\br-cl09.dat</t>
  </si>
  <si>
    <t xml:space="preserve">BR-117-DMS</t>
  </si>
  <si>
    <t xml:space="preserve">http://www.railcar.co.uk/print/diagrams/852.jpg
This is very late: but there are no replacements available.</t>
  </si>
  <si>
    <t xml:space="preserve">trains\br-117.dat</t>
  </si>
  <si>
    <t xml:space="preserve">BR-117-TCL</t>
  </si>
  <si>
    <t xml:space="preserve">http://www.railcar.co.uk/print/diagrams/851.jpg
This is very late: but there are no replacements available.</t>
  </si>
  <si>
    <t xml:space="preserve">BR-117-DMBS</t>
  </si>
  <si>
    <t xml:space="preserve">http://www.railcar.co.uk/print/diagrams/850.jpg
This is very late: but there are no replacements available.</t>
  </si>
  <si>
    <t xml:space="preserve">Fokker-F27-200</t>
  </si>
  <si>
    <t xml:space="preserve">length=8
@ ISA (sea level, 0Centigrades), Runway Dry
minimum_runway_length=1050
@ ISA+10C, Runway dry = +10%</t>
  </si>
  <si>
    <t xml:space="preserve">air\fokker-f27-200.dat</t>
  </si>
  <si>
    <t xml:space="preserve">BR-Class81</t>
  </si>
  <si>
    <t xml:space="preserve">trains\br-cl81.dat</t>
  </si>
  <si>
    <t xml:space="preserve">dh-comet-4b</t>
  </si>
  <si>
    <t xml:space="preserve">https://en.wikipedia.org/wiki/De_Havilland_Comet
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</si>
  <si>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 xml:space="preserve">air\dh-comet-4b.dat</t>
  </si>
  <si>
    <t xml:space="preserve">dh-comet-4b-high-density</t>
  </si>
  <si>
    <t xml:space="preserve">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</si>
  <si>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 xml:space="preserve">BR-Mk1-POS</t>
  </si>
  <si>
    <t xml:space="preserve">trains\br-mk1-pos-rm.dat</t>
  </si>
  <si>
    <t xml:space="preserve">dh-comet-4c</t>
  </si>
  <si>
    <t xml:space="preserve">https://en.wikipedia.org/wiki/De_Havilland_Comet
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</si>
  <si>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 xml:space="preserve">air\dh-comet-4c.dat</t>
  </si>
  <si>
    <t xml:space="preserve">Aviation1960</t>
  </si>
  <si>
    <t xml:space="preserve">dh-comet-4c-high-density</t>
  </si>
  <si>
    <t xml:space="preserve">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</si>
  <si>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 xml:space="preserve">MorrisFGBulk</t>
  </si>
  <si>
    <t xml:space="preserve">bus\morris-fg.dat</t>
  </si>
  <si>
    <t xml:space="preserve">Diesel1960</t>
  </si>
  <si>
    <t xml:space="preserve">MorrisFGLong</t>
  </si>
  <si>
    <t xml:space="preserve">MorrisFGPiece</t>
  </si>
  <si>
    <t xml:space="preserve">MorrisFGCool</t>
  </si>
  <si>
    <t xml:space="preserve">MorrisFGLivestock</t>
  </si>
  <si>
    <t xml:space="preserve">MorrisFGPost</t>
  </si>
  <si>
    <t xml:space="preserve">BR-Class33</t>
  </si>
  <si>
    <t xml:space="preserve">Allow to be built longer than in reality to accommodate hauling 4-TC sets. Would otherwise be 1965.
SR EMU
Also Mark I electric units.</t>
  </si>
  <si>
    <t xml:space="preserve">trains\br-cl33.dat</t>
  </si>
  <si>
    <t xml:space="preserve">DieselRail</t>
  </si>
  <si>
    <t xml:space="preserve">BR-Class45</t>
  </si>
  <si>
    <t xml:space="preserve">Actually built until 1962, but extend until class 47s become available, as we have no class 46s.
Blue star</t>
  </si>
  <si>
    <t xml:space="preserve">trains\br-cl45.dat</t>
  </si>
  <si>
    <t xml:space="preserve">boeing-707-420</t>
  </si>
  <si>
    <t xml:space="preserve">https://en.wikipedia.org/wiki/Boeing_707
Cruising speed of the 707-420 is hard to find, so
using speed of the 707-320B for the time being.
gear=1
length=8
@ ISA (sea level, 0Centigrades), Runway Dry
minimum_runway_length=3600
@ ISA+10C, Runway dry = +10%</t>
  </si>
  <si>
    <t xml:space="preserve">air\air192\boeing-707-420.dat</t>
  </si>
  <si>
    <t xml:space="preserve">boeing-707-420-high-density</t>
  </si>
  <si>
    <t xml:space="preserve">Cruising speed of the 707-420 is hard to find, so
using speed of the 707-320B for the time being.
gear=1
length=8
@ ISA (sea level, 0Centigrades), Runway Dry
minimum_runway_length=3600
@ ISA+10C, Runway dry = +10%</t>
  </si>
  <si>
    <t xml:space="preserve">BR-304Front</t>
  </si>
  <si>
    <t xml:space="preserve">trains\br-304.dat</t>
  </si>
  <si>
    <t xml:space="preserve">BR-304Centre-Trailer</t>
  </si>
  <si>
    <t xml:space="preserve">BR-304Centre-Motor</t>
  </si>
  <si>
    <t xml:space="preserve">Electric1960</t>
  </si>
  <si>
    <t xml:space="preserve">BR-304Rear</t>
  </si>
  <si>
    <t xml:space="preserve">BR-121</t>
  </si>
  <si>
    <t xml:space="preserve">trains\br-121.dat</t>
  </si>
  <si>
    <t xml:space="preserve">DaimlerFleetline</t>
  </si>
  <si>
    <t xml:space="preserve">http://web.archive.org/web/20130822192322/http://www.countrybus.org/DMS/DMS1.htm
https://en.wikipedia.org/wiki/Daimler_Fleetline
Three seconds per passenger (AFC)</t>
  </si>
  <si>
    <t xml:space="preserve">bus\daimler-fleetline.dat</t>
  </si>
  <si>
    <t xml:space="preserve">convair-cv880</t>
  </si>
  <si>
    <t xml:space="preserve">https://en.wikipedia.org/wiki/Convair_880
http://www.convairjet.com/specs.html
https://3dwarehouse.sketchup.com/model/b4575e5e6161fd497b164268a44f7712/Spantax-SA-Convair-CV-990A-Coronado
length=8
Turbojets are less fuel efficient than turbofans.
Cannot find proper data.
Inferred from information here: http://www.airliners.net/forum/viewtopic.php?t=753591</t>
  </si>
  <si>
    <t xml:space="preserve">air\convair-cv880.dat</t>
  </si>
  <si>
    <t xml:space="preserve">convair-cv880-high-density</t>
  </si>
  <si>
    <t xml:space="preserve">https://3dwarehouse.sketchup.com/model/b4575e5e6161fd497b164268a44f7712/Spantax-SA-Convair-CV-990A-Coronado
length=8
Turbojets are less fuel efficient than turbofans.
Cannot find proper data.
Inferred from information here: http://www.airliners.net/forum/viewtopic.php?t=753591</t>
  </si>
  <si>
    <t xml:space="preserve">BR-Class37</t>
  </si>
  <si>
    <t xml:space="preserve">trains\br-cl37.dat</t>
  </si>
  <si>
    <t xml:space="preserve">LUL_A_StockFrontDM</t>
  </si>
  <si>
    <t xml:space="preserve">http://en.wikipedia.org/wiki/London_Underground_A60_and_A62_Stock
http://web.archive.org/web/20080308202046/http://www.tfl.gov.uk/corporate/modesoftransport/londonunderground/rollingstock/1614.aspx</t>
  </si>
  <si>
    <t xml:space="preserve">london-underground\lul-a-stock.dat</t>
  </si>
  <si>
    <t xml:space="preserve">LUL_A_StockMiddle1</t>
  </si>
  <si>
    <t xml:space="preserve">LUL_A_StockMiddle2</t>
  </si>
  <si>
    <t xml:space="preserve">LUL_A_StockRearDM</t>
  </si>
  <si>
    <t xml:space="preserve">MorrisJ4Piece</t>
  </si>
  <si>
    <t xml:space="preserve">https://en.wikipedia.org/wiki/Morris_Commercial_J4</t>
  </si>
  <si>
    <t xml:space="preserve">bus\morris-j4.dat</t>
  </si>
  <si>
    <t xml:space="preserve">Petrol1960</t>
  </si>
  <si>
    <t xml:space="preserve">MorrisJ4Cool</t>
  </si>
  <si>
    <t xml:space="preserve">MorrisJ4Post</t>
  </si>
  <si>
    <t xml:space="preserve">BR-251FrontFirst</t>
  </si>
  <si>
    <t xml:space="preserve">trains\br-251.dat</t>
  </si>
  <si>
    <t xml:space="preserve">BR-251FrontSecond</t>
  </si>
  <si>
    <t xml:space="preserve">BR-251FirstParlour</t>
  </si>
  <si>
    <t xml:space="preserve">BR-251SecondParlour</t>
  </si>
  <si>
    <t xml:space="preserve">BR-251Kitchen</t>
  </si>
  <si>
    <t xml:space="preserve">BR-251RearFirst</t>
  </si>
  <si>
    <t xml:space="preserve">BR-251RearSecond</t>
  </si>
  <si>
    <t xml:space="preserve">vickers-vanguard-952</t>
  </si>
  <si>
    <t xml:space="preserve">https://www.flightglobal.com/FlightPDFArchive/1959/1959%20-%203114.PDF
gear=1
18 first, 109 economy
length=8
Approx. Â£1m in 1960
710 gal/hour
@ ISA (sea level, 0Centigrades), Runway Dry
minimum_runway_length=2286
@ ISA+10C, Runway dry = +10%</t>
  </si>
  <si>
    <t xml:space="preserve">air\vickers-vanguard-952.dat</t>
  </si>
  <si>
    <t xml:space="preserve">vickers-vanguard-952-piece</t>
  </si>
  <si>
    <t xml:space="preserve">gear=1
19.05 tonnes at 810kg
length=8
710 gal/hour
@ ISA (sea level, 0Centigrades), Runway Dry
minimum_runway_length=2286
@ ISA+10C, Runway dry = +10%</t>
  </si>
  <si>
    <t xml:space="preserve">vickers-vanguard-952-cool</t>
  </si>
  <si>
    <t xml:space="preserve">gear=1
19.05 tonnes at 410kg
length=8
710 gal/hour
@ ISA (sea level, 0Centigrades), Runway Dry
minimum_runway_length=2286
@ ISA+10C, Runway dry = +10%</t>
  </si>
  <si>
    <t xml:space="preserve">BR-Class35</t>
  </si>
  <si>
    <t xml:space="preserve">Yellow triangle</t>
  </si>
  <si>
    <t xml:space="preserve">trains\br-cl35.dat</t>
  </si>
  <si>
    <t xml:space="preserve">BR-Class27</t>
  </si>
  <si>
    <t xml:space="preserve">trains\br-cl27.dat</t>
  </si>
  <si>
    <t xml:space="preserve">RoutemasterLong</t>
  </si>
  <si>
    <t xml:space="preserve">http://www.countrybus.org/RML/RML.html
Rear platform with conductor (8ft wide): 1.8 seconds per passenger</t>
  </si>
  <si>
    <t xml:space="preserve">bus\routemaster-long.dat</t>
  </si>
  <si>
    <t xml:space="preserve">BR-Class52</t>
  </si>
  <si>
    <t xml:space="preserve">These had inefficient transmissions compared to diesel electric locomotives:
http://en.wikipedia.org/wiki/British_Rail_Class_52#Performance
No multiple working fitted</t>
  </si>
  <si>
    <t xml:space="preserve">trains\br-cl52.dat</t>
  </si>
  <si>
    <t xml:space="preserve">BR-Class55</t>
  </si>
  <si>
    <t xml:space="preserve">Retain until Class 50 available
so that players can always build 100mph diesel locomotives.
No multiple working fitted</t>
  </si>
  <si>
    <t xml:space="preserve">trains\br-cl55.dat</t>
  </si>
  <si>
    <t xml:space="preserve">convair-cv990</t>
  </si>
  <si>
    <t xml:space="preserve">https://en.wikipedia.org/wiki/Convair_990_Coronado
http://www.convairjet.com/specs.html
https://3dwarehouse.sketchup.com/model/b4575e5e6161fd497b164268a44f7712/Spantax-SA-Convair-CV-990A-Coronado
length=8
Turbofans
Should be 1963, but this makes the production run too short
Cannot find proper data.
Inferred from information here: http://www.airliners.net/forum/viewtopic.php?t=753591</t>
  </si>
  <si>
    <t xml:space="preserve">air\convair-cv990.dat</t>
  </si>
  <si>
    <t xml:space="preserve">convair-cv990-high-density</t>
  </si>
  <si>
    <t xml:space="preserve">https://3dwarehouse.sketchup.com/model/b4575e5e6161fd497b164268a44f7712/Spantax-SA-Convair-CV-990A-Coronado
length=8
Turbofans
Should be 1963, but this makes the production run too short
Cannot find proper data.
Inferred from information here: http://www.airliners.net/forum/viewtopic.php?t=753591</t>
  </si>
  <si>
    <t xml:space="preserve">leyland-leopard-psu3</t>
  </si>
  <si>
    <t xml:space="preserve">https://en.wikipedia.org/wiki/Leyland_Leopard
See also "A History of the Leyland Bus" (Ron Phillips), pp. 115-7
Leyland O.600 engine
Coach: 7.5 seconds per passenger</t>
  </si>
  <si>
    <t xml:space="preserve">bus\leyland-leopard-psu3.dat</t>
  </si>
  <si>
    <t xml:space="preserve">BR-Class25</t>
  </si>
  <si>
    <t xml:space="preserve">trains\br-cl25.dat</t>
  </si>
  <si>
    <t xml:space="preserve">BR-Class17</t>
  </si>
  <si>
    <t xml:space="preserve">Multiple working within type (red diamond)</t>
  </si>
  <si>
    <t xml:space="preserve">trains\br-cl17.dat</t>
  </si>
  <si>
    <t xml:space="preserve">aec-rmc</t>
  </si>
  <si>
    <t xml:space="preserve">http://www.countrybus.org/RMC/RMC.html
http://routemaster.org.uk/pages/history-68-RMC
Different gear ratio to permit higher speeds, so lower TE
Coach (short distance): 5.0 seconds per passenger</t>
  </si>
  <si>
    <t xml:space="preserve">bus\routemaster-coach.dat</t>
  </si>
  <si>
    <t xml:space="preserve">BR-Class47</t>
  </si>
  <si>
    <t xml:space="preserve">Green circle</t>
  </si>
  <si>
    <t xml:space="preserve">trains\br-cl47.dat</t>
  </si>
  <si>
    <t xml:space="preserve">BR-309-1Front</t>
  </si>
  <si>
    <t xml:space="preserve">trains\br-309.dat</t>
  </si>
  <si>
    <t xml:space="preserve">BR-309-2Front</t>
  </si>
  <si>
    <t xml:space="preserve">http://www.networksoutheast.net/uploads/3/5/5/9/3559064/134_orig.jpg</t>
  </si>
  <si>
    <t xml:space="preserve">BR-309Middle</t>
  </si>
  <si>
    <t xml:space="preserve">http://www.networksoutheast.net/uploads/3/5/5/9/3559064/142_orig.jpg</t>
  </si>
  <si>
    <t xml:space="preserve">BR-309Griddle</t>
  </si>
  <si>
    <t xml:space="preserve">BR-309Power</t>
  </si>
  <si>
    <t xml:space="preserve">http://www.networksoutheast.net/uploads/3/5/5/9/3559064/75_orig.jpg</t>
  </si>
  <si>
    <t xml:space="preserve">BR-309Rear</t>
  </si>
  <si>
    <t xml:space="preserve">BR-Class73</t>
  </si>
  <si>
    <t xml:space="preserve">SR EMU
Also Mark I electric units.
Blue star in diesel mode.</t>
  </si>
  <si>
    <t xml:space="preserve">trains\br-cl73.dat</t>
  </si>
  <si>
    <t xml:space="preserve">BR-Class29</t>
  </si>
  <si>
    <t xml:space="preserve">trains\br-cl29.dat</t>
  </si>
  <si>
    <t xml:space="preserve">BR-123-DMBS</t>
  </si>
  <si>
    <t xml:space="preserve">http://www.railcar.co.uk/type/class-123/numbering
This is very late: but there are no replacements available.
Although these used "blue square" multiple working systems,
they are incompatible with other "blue square" types, having
buckeye couplings and pullman gangways: http://railcar.co.uk/type/123/123.html</t>
  </si>
  <si>
    <t xml:space="preserve">trains\br-123.dat</t>
  </si>
  <si>
    <t xml:space="preserve">BR-123-TCK</t>
  </si>
  <si>
    <t xml:space="preserve">BR-123-TS</t>
  </si>
  <si>
    <t xml:space="preserve">BR-123-TBS</t>
  </si>
  <si>
    <t xml:space="preserve">TSRB
This is very late: but there are no replacements available.</t>
  </si>
  <si>
    <t xml:space="preserve">BR-123-DMS</t>
  </si>
  <si>
    <t xml:space="preserve">Cartic-4_Car_Transporter(Middle1)</t>
  </si>
  <si>
    <t xml:space="preserve">trains\wagon-cartic.dat</t>
  </si>
  <si>
    <t xml:space="preserve">Cartic-4_Car_Transporter(Middle2)</t>
  </si>
  <si>
    <t xml:space="preserve">Cartic-4_Car_Transporter(Rear)</t>
  </si>
  <si>
    <t xml:space="preserve">boeing-727-100-mail</t>
  </si>
  <si>
    <t xml:space="preserve">payload=14.7t
length=8
@ ISA (sea level, 0Centigrades), Runway Dry
minimum_runway_length=2650
@ ISA+10C, Runway dry = +10%</t>
  </si>
  <si>
    <t xml:space="preserve">air\boeing-727-100-mail.dat</t>
  </si>
  <si>
    <t xml:space="preserve">boeing-727-100-piece</t>
  </si>
  <si>
    <t xml:space="preserve">gear=1
payload=14.7t
length=8
@ ISA (sea level, 0Centigrades), Runway Dry
minimum_runway_length=2650
@ ISA+10C, Runway dry = +10%</t>
  </si>
  <si>
    <t xml:space="preserve">air\boeing-727-100-cargo.dat</t>
  </si>
  <si>
    <t xml:space="preserve">boeing-727-100-cool</t>
  </si>
  <si>
    <t xml:space="preserve">boeing-727-100</t>
  </si>
  <si>
    <t xml:space="preserve">gear=1
length=8
@ ISA (sea level, 0Centigrades), Runway Dry
minimum_runway_length=2300
@ ISA+10C, Runway dry = +10%</t>
  </si>
  <si>
    <t xml:space="preserve">air\boeing-727-100.dat</t>
  </si>
  <si>
    <t xml:space="preserve">boeing-727-100-high-density</t>
  </si>
  <si>
    <t xml:space="preserve">BR-Class31-1</t>
  </si>
  <si>
    <t xml:space="preserve">trains\br-cl31.dat</t>
  </si>
  <si>
    <t xml:space="preserve">hs-trident-1c</t>
  </si>
  <si>
    <t xml:space="preserve">https://en.wikipedia.org/wiki/Hawker_Siddeley_Trident
http://www.baesystems.com/en/heritage/hawker-siddeley-hs121-trident
http://www.shockcone.co.uk/hs121/trident/variants.htm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Guessed first/economy proportions
length=8
Guessed
https://www.flightglobal.com/FlightPDFArchive/1964/1964%20-%200940.PDF
@ ISA (sea level, 0Centigrades), Runway Dry
minimum_runway_length=2195
@ ISA+10C, Runway dry = +10%</t>
  </si>
  <si>
    <t xml:space="preserve">air\hs-trident-1c.dat</t>
  </si>
  <si>
    <t xml:space="preserve">hs-trident-1c-high-density</t>
  </si>
  <si>
    <t xml:space="preserve">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length=8
Guessed
https://www.flightglobal.com/FlightPDFArchive/1964/1964%20-%200940.PDF
@ ISA (sea level, 0Centigrades), Runway Dry
minimum_runway_length=2195
@ ISA+10C, Runway dry = +10%</t>
  </si>
  <si>
    <t xml:space="preserve">vickers-vc10</t>
  </si>
  <si>
    <t xml:space="preserve">https://en.wikipedia.org/wiki/Vickers_VC10
http://www.vc10.net/Technical/technical_specifications.html
http://www.vc10.net/History/historyBOAC.html
CC-BY-SA (the original Blender model; modified and rendered by jamespetts)
Power data not available - inferred from tractive force
109 in a mixed class arrangement
length=8
Were only produced until 1970, but allow people to buy these later.</t>
  </si>
  <si>
    <t xml:space="preserve">air\air192\vickers-vc-10.dat</t>
  </si>
  <si>
    <t xml:space="preserve">vickers-vc10-high-density</t>
  </si>
  <si>
    <t xml:space="preserve">CC-BY-SA (the original Blender model; modified and rendered by jamespetts)
Power data not available - inferred from tractive force
http://www.michaelprophet.com/News_articles/News_articles2010/images_VC10/logo4.jpg
length=8
Were only produced until 1970, but allow people to buy these later.</t>
  </si>
  <si>
    <t xml:space="preserve">Air Braked Tanker (TTA)</t>
  </si>
  <si>
    <t xml:space="preserve">trains\wagon-tta.dat</t>
  </si>
  <si>
    <t xml:space="preserve">FR-Barn-Buffet</t>
  </si>
  <si>
    <t xml:space="preserve">These are the "Barn" carriages.
See http://www.festipedia.org.uk/wiki/Carriages_100_-_107
http://www.festipedia.org.uk/wiki/Carriage_103_%281968%29</t>
  </si>
  <si>
    <t xml:space="preserve">narrowgauge\fr-barn-buffet.dat</t>
  </si>
  <si>
    <t xml:space="preserve">FR-Barn-Brake</t>
  </si>
  <si>
    <t xml:space="preserve">These are the "Barn" carriages.
See http://www.festipedia.org.uk/wiki/Carriages_100_-_107
Payload extrapolated from actual vehicles: 2/3rds of ordinary "Barn".</t>
  </si>
  <si>
    <t xml:space="preserve">narrowgauge\fr-barn-brake.dat</t>
  </si>
  <si>
    <t xml:space="preserve">FR-Barn-Mail</t>
  </si>
  <si>
    <t xml:space="preserve">Arbitrary...
No new FR mail carriages...
retire_year=2009
retire_month=3</t>
  </si>
  <si>
    <t xml:space="preserve">narrowgauge\fr-barn-mail.dat</t>
  </si>
  <si>
    <t xml:space="preserve">BR-421[CIG]Front</t>
  </si>
  <si>
    <t xml:space="preserve">trains\br-421[cig].dat</t>
  </si>
  <si>
    <t xml:space="preserve">BR-421[CIG]Motor</t>
  </si>
  <si>
    <t xml:space="preserve">BR-421[CIG]Middle</t>
  </si>
  <si>
    <t xml:space="preserve">BR-421[CIG]Buffet</t>
  </si>
  <si>
    <t xml:space="preserve">BR-421[CIG]Rear</t>
  </si>
  <si>
    <t xml:space="preserve">FR-Barn</t>
  </si>
  <si>
    <t xml:space="preserve">These are the "Barn" carriages.
See http://www.festipedia.org.uk/wiki/Carriages_100_-_107
http://www.festipedia.org.uk/wiki/Carriage_105 (non-lavatory configuration)</t>
  </si>
  <si>
    <t xml:space="preserve">narrowgauge\fr-barn.dat</t>
  </si>
  <si>
    <t xml:space="preserve">Cartic-4_Car_Transporter(Front)</t>
  </si>
  <si>
    <t xml:space="preserve">super-caravelle</t>
  </si>
  <si>
    <t xml:space="preserve">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Turbofans</t>
  </si>
  <si>
    <t xml:space="preserve">air\sud-aviation-super-caravelle.dat</t>
  </si>
  <si>
    <t xml:space="preserve">super-caravelle-high-density</t>
  </si>
  <si>
    <t xml:space="preserve">https://3dwarehouse.sketchup.com/model/94804a279170d17d62b600da24e0965/Air-France-1976-Sud-Aviation-SE-210-Caravelle-III
length=8
Turbofans</t>
  </si>
  <si>
    <t xml:space="preserve">BR-Mk2a-BFK</t>
  </si>
  <si>
    <t xml:space="preserve">trains\br-mk2a-bfk.dat</t>
  </si>
  <si>
    <t xml:space="preserve">BR-Mk2a-FK</t>
  </si>
  <si>
    <t xml:space="preserve">trains\br-mk2a-fk.dat</t>
  </si>
  <si>
    <t xml:space="preserve">BR-Mk2a-TSO</t>
  </si>
  <si>
    <t xml:space="preserve">Mk. 2s should have a higher purchase but
lower running/overhaul cost than Mk. 1s.</t>
  </si>
  <si>
    <t xml:space="preserve">trains\br-mk2a-tso.dat</t>
  </si>
  <si>
    <t xml:space="preserve">BR-Mk2a-BSO</t>
  </si>
  <si>
    <t xml:space="preserve">trains\br-mk2a-bso.dat</t>
  </si>
  <si>
    <t xml:space="preserve">BR-Mk2a-SO</t>
  </si>
  <si>
    <t xml:space="preserve">trains\br-mk2a-so.dat</t>
  </si>
  <si>
    <t xml:space="preserve">RoutemasterLongCoach</t>
  </si>
  <si>
    <t xml:space="preserve">http://routemaster.org.uk/pages/history-43-RCL
Coach (short distance): 5.0 seconds per passenger</t>
  </si>
  <si>
    <t xml:space="preserve">bus\routemaster-long-coach.dat</t>
  </si>
  <si>
    <t xml:space="preserve">Bulk Hopper(HAA)</t>
  </si>
  <si>
    <t xml:space="preserve">trains\wagon-haa.dat</t>
  </si>
  <si>
    <t xml:space="preserve">BR-Class86</t>
  </si>
  <si>
    <t xml:space="preserve">TDM
Also class 89</t>
  </si>
  <si>
    <t xml:space="preserve">trains\br-cl86.dat</t>
  </si>
  <si>
    <t xml:space="preserve">SR-N6-Winchester</t>
  </si>
  <si>
    <t xml:space="preserve">Hovercraft are expensive on fuel: see http://www.youtube.com/watch?v=Cyq0M4WhW9s
Hovercraft loading time: approx. 15 mins:
http://www.theyworkforyou.com/debates/?id=1986-06-05a.1100.0#g1124.0</t>
  </si>
  <si>
    <t xml:space="preserve">boats\sr-n6-winchester.dat</t>
  </si>
  <si>
    <t xml:space="preserve">SmallShip</t>
  </si>
  <si>
    <t xml:space="preserve">bac-1-11-200</t>
  </si>
  <si>
    <t xml:space="preserve">gear=1
length=8
@ ISA (sea level, 0Centigrades), Runway Dry
minimum_runway_length=1850
@ ISA+10C, Runway dry = +10%</t>
  </si>
  <si>
    <t xml:space="preserve">air\bac-1-11-200.dat</t>
  </si>
  <si>
    <t xml:space="preserve">vickers-super-vc10</t>
  </si>
  <si>
    <t xml:space="preserve">https://en.wikipedia.org/wiki/Vickers_VC10
http://www.vc10.net/Technical/technical_specifications.html
CC-BY-SA (the original Blender model; modified and rendered by jamespetts)
Power data not available - inferred from tractive force
139 in a mixed class arrangement
https://www.jetphotos.com/photo/7930453 (123 seats in "second class")
length=8
Were only produced until 1970, but allow people to buy these later.</t>
  </si>
  <si>
    <t xml:space="preserve">air\air192\vickers-super-vc10.dat</t>
  </si>
  <si>
    <t xml:space="preserve">vickers-super-vc10-high-density</t>
  </si>
  <si>
    <t xml:space="preserve">RoutemasterTrolleybus</t>
  </si>
  <si>
    <t xml:space="preserve">The (hypothetical) Routemaster Trolleybus Variant
Single door with conductor (8ft wide): 2.3 seconds per passenger</t>
  </si>
  <si>
    <t xml:space="preserve">bus\routemaster-trolley.dat</t>
  </si>
  <si>
    <t xml:space="preserve">wagon-ng-piece-sar</t>
  </si>
  <si>
    <t xml:space="preserve">narrowgauge\wagon-ng-piece-sar.dat</t>
  </si>
  <si>
    <t xml:space="preserve">ModernClosedRail</t>
  </si>
  <si>
    <t xml:space="preserve">wagon-ng-long-sar</t>
  </si>
  <si>
    <t xml:space="preserve">narrowgauge\wagon-ng-long-sar.dat</t>
  </si>
  <si>
    <t xml:space="preserve">ModernBulkRail</t>
  </si>
  <si>
    <t xml:space="preserve">wagon-ng-bulk-sar</t>
  </si>
  <si>
    <t xml:space="preserve">narrowgauge\wagon-ng-bulk-sar.dat</t>
  </si>
  <si>
    <t xml:space="preserve">wagon-ng-food-sar</t>
  </si>
  <si>
    <t xml:space="preserve">narrowgauge\wagon-ng-food-sar.dat</t>
  </si>
  <si>
    <t xml:space="preserve">wagon-ng-tanker-sar</t>
  </si>
  <si>
    <t xml:space="preserve">narrowgauge\wagon-ng-tanker-sar.dat</t>
  </si>
  <si>
    <t xml:space="preserve">BR-491[TC]Front</t>
  </si>
  <si>
    <t xml:space="preserve">http://www.kernowmodelrailcentre.com/p/54986/32-640Z-Bachmann-Class-438-4-TC-Unit-number-416-BR-Blue
Should be 1974, but there are no adequate replacements.</t>
  </si>
  <si>
    <t xml:space="preserve">trains\br-491[tc].dat</t>
  </si>
  <si>
    <t xml:space="preserve">BR-491[TC]Brake</t>
  </si>
  <si>
    <t xml:space="preserve">BR-491[TC]Middle</t>
  </si>
  <si>
    <t xml:space="preserve">BR-491[TC]Buffet</t>
  </si>
  <si>
    <t xml:space="preserve">BR-491[TC]Rear</t>
  </si>
  <si>
    <t xml:space="preserve">BR-430[REP]Front</t>
  </si>
  <si>
    <t xml:space="preserve">Should be 1974, but there are no adequate replacements.</t>
  </si>
  <si>
    <t xml:space="preserve">trains\br-430[rep].dat</t>
  </si>
  <si>
    <t xml:space="preserve">BR-430[REP]Brake</t>
  </si>
  <si>
    <t xml:space="preserve">BR-430[REP]Middle</t>
  </si>
  <si>
    <t xml:space="preserve">BR-430[REP]Buffet</t>
  </si>
  <si>
    <t xml:space="preserve">BR-430[REP]Rear</t>
  </si>
  <si>
    <t xml:space="preserve">BR-Class485Front</t>
  </si>
  <si>
    <t xml:space="preserve">london-underground\br-cl485.dat</t>
  </si>
  <si>
    <t xml:space="preserve">BR-Class485Middle1</t>
  </si>
  <si>
    <t xml:space="preserve">BR-Class485Middle2</t>
  </si>
  <si>
    <t xml:space="preserve">BR-Class485Rear</t>
  </si>
  <si>
    <t xml:space="preserve">ScammellTownsman</t>
  </si>
  <si>
    <t xml:space="preserve">boeing-727-200</t>
  </si>
  <si>
    <t xml:space="preserve">gear=1
length=8
@ ISA (sea level, 0Centigrades), Runway Dry
minimum_runway_length=2950
@ ISA+10C, Runway dry = +10%</t>
  </si>
  <si>
    <t xml:space="preserve">air\air192\boeing-727-200.dat</t>
  </si>
  <si>
    <t xml:space="preserve">boeing-727-200-high-density</t>
  </si>
  <si>
    <t xml:space="preserve">boeing-727-200-advanced-cool</t>
  </si>
  <si>
    <t xml:space="preserve">gear=1
payload=17.4t
length=8
@ ISA (sea level, 0Centigrades), Runway Dry
minimum_runway_length=3500
@ ISA+10C, Runway dry = +10%</t>
  </si>
  <si>
    <t xml:space="preserve">air\air192\boeing-727-200-advanced-cargo.dat</t>
  </si>
  <si>
    <t xml:space="preserve">boeing-727-200-advanced-piece</t>
  </si>
  <si>
    <t xml:space="preserve">leyland-leopard-psu3a</t>
  </si>
  <si>
    <t xml:space="preserve">https://en.wikipedia.org/wiki/Leyland_Leopard
See also "A History of the Leyland Bus" (Ron Phillips), pp. 115-7
Leyland O.680 engine
Coach: 7.5 seconds per passenger</t>
  </si>
  <si>
    <t xml:space="preserve">bus\leyland-leopard-psu3a.dat</t>
  </si>
  <si>
    <t xml:space="preserve">BR-423-DTCL-Front</t>
  </si>
  <si>
    <t xml:space="preserve">http://www.bluebell-railway.co.uk/bluebell/pic2/electric/VEP_DIAG_MS001.jpg</t>
  </si>
  <si>
    <t xml:space="preserve">trains\br-423.dat</t>
  </si>
  <si>
    <t xml:space="preserve">BR-423-MBSO</t>
  </si>
  <si>
    <t xml:space="preserve">BR-423-TSO</t>
  </si>
  <si>
    <t xml:space="preserve">BR-423-DTCL-Rear</t>
  </si>
  <si>
    <t xml:space="preserve">BR-Class50</t>
  </si>
  <si>
    <t xml:space="preserve">Orange square</t>
  </si>
  <si>
    <t xml:space="preserve">trains\br-cl50.dat</t>
  </si>
  <si>
    <t xml:space="preserve">1967TubeStockFront</t>
  </si>
  <si>
    <t xml:space="preserve">london-underground\1967-tube-stock.dat</t>
  </si>
  <si>
    <t xml:space="preserve">1967TubeStockMiddle1</t>
  </si>
  <si>
    <t xml:space="preserve">1967TubeStockMiddle2</t>
  </si>
  <si>
    <t xml:space="preserve">1967TubeStockRear</t>
  </si>
  <si>
    <t xml:space="preserve">Fokker-F27-500</t>
  </si>
  <si>
    <t xml:space="preserve">http://www.airliners.net/aircraft-data/fokker-f-27-fairchild-f-27-fh-227/217
https://3dwarehouse.sketchup.com/model/4200da53-9aa6-4fb8-9097-c925b21f0266/Aeronor-Chile-CC-CBS-Fokker-F-27-Friendship-1981
length=8
Was 1986, but left a gap before the ATR-42 was introduced.
http://www.brinkley.cc/AC/f275.htm</t>
  </si>
  <si>
    <t xml:space="preserve">air\fokker-f27-500.dat</t>
  </si>
  <si>
    <t xml:space="preserve">Fokker-F27-500-high-density</t>
  </si>
  <si>
    <t xml:space="preserve">https://3dwarehouse.sketchup.com/model/4200da53-9aa6-4fb8-9097-c925b21f0266/Aeronor-Chile-CC-CBS-Fokker-F-27-Friendship-1981
length=8
Was 1986, but left a gap before the ATR-42 was introduced.
http://www.brinkley.cc/AC/f275.htm</t>
  </si>
  <si>
    <t xml:space="preserve">boeing-737-100</t>
  </si>
  <si>
    <t xml:space="preserve">http://www.b737.org.uk/techspecsoriginals.htm
http://www.airliners.net/aircraft-data/boeing-737-100200/91
http://www.boeing.com/assets/pdf/commercial/airports/acaps/737.pdf
https://www.blendswap.com/blends/view/75609
LRC (TAS)
gear=1
length=8
@ ISA (sea level, 0Centigrades), Runway Dry
minimum_runway_length=1829
@ ISA+20C, Runway dry = +10%</t>
  </si>
  <si>
    <t xml:space="preserve">air\boeing-737-100.dat</t>
  </si>
  <si>
    <t xml:space="preserve">boeing-737-100-high-density</t>
  </si>
  <si>
    <t xml:space="preserve">https://www.blendswap.com/blends/view/75609
LRC (TAS)
gear=1
length=8
@ ISA (sea level, 0Centigrades), Runway Dry
minimum_runway_length=1829
@ ISA+20C, Runway dry = +10%</t>
  </si>
  <si>
    <t xml:space="preserve">ScammellCrusaderTrailerCool</t>
  </si>
  <si>
    <t xml:space="preserve">bus\scammell-crusader.dat</t>
  </si>
  <si>
    <t xml:space="preserve">boeing-737-200</t>
  </si>
  <si>
    <t xml:space="preserve">http://www.b737.org.uk/techspecsoriginals.htm
http://www.airliners.net/aircraft-data/boeing-737-100200/91
https://www.blendswap.com/blends/view/75609
(Modified by lengthening)
LRC (TAS)
gear=1
length=8
@ ISA (sea level, 0Centigrades), Runway Dry
minimum_runway_length=1990
@ ISA+20C, Runway dry = +10%</t>
  </si>
  <si>
    <t xml:space="preserve">air\boeing-737-200.dat</t>
  </si>
  <si>
    <t xml:space="preserve">boeing-737-200-high-density</t>
  </si>
  <si>
    <t xml:space="preserve">https://www.blendswap.com/blends/view/75609
(Modified by lengthening)
LRC (TAS)
gear=1
length=8
@ ISA (sea level, 0Centigrades), Runway Dry
minimum_runway_length=1990
@ ISA+20C, Runway dry = +10%</t>
  </si>
  <si>
    <t xml:space="preserve">hs-trident-2e</t>
  </si>
  <si>
    <t xml:space="preserve">https://en.wikipedia.org/wiki/Hawker_Siddeley_Trident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"Typical" seating is 115; but some airlines used a high density configuration of up to 149: http://www.dehavillandmuseum.co.uk/aircraft/de-havilland-dh121-trident/
length=8
Guessed
https://www.flightglobal.com/FlightPDFArchive/1964/1964%20-%200940.PDF
@ ISA (sea level, 0Centigrades), Runway Dry
minimum_runway_length=2195
@ ISA+10C, Runway dry = +10%</t>
  </si>
  <si>
    <t xml:space="preserve">air\hs-trident-2e.dat</t>
  </si>
  <si>
    <t xml:space="preserve">hs-trident-2e-high-density</t>
  </si>
  <si>
    <t xml:space="preserve">BR-Class28-2</t>
  </si>
  <si>
    <t xml:space="preserve">re-engined ? la the comparable CIE Class A (101) Class
This is a guess, as I can find no recordings of this locomotive anywhere.
Red circle</t>
  </si>
  <si>
    <t xml:space="preserve">CoolZSX</t>
  </si>
  <si>
    <t xml:space="preserve">?</t>
  </si>
  <si>
    <t xml:space="preserve">trains\wagon-cool-zsx.dat</t>
  </si>
  <si>
    <t xml:space="preserve">Funkey-Deisel</t>
  </si>
  <si>
    <t xml:space="preserve">http://www.festipedia.org.uk/wiki/Castell_Caernarfon
Guessed value
http://www.festipedia.org.uk/wiki/Castell_Caernarfon</t>
  </si>
  <si>
    <t xml:space="preserve">narrowgauge\funkey-diesel.dat</t>
  </si>
  <si>
    <t xml:space="preserve">PieceZSX</t>
  </si>
  <si>
    <t xml:space="preserve">trains\wagon-piece-zsx.dat</t>
  </si>
  <si>
    <t xml:space="preserve">SR-N4-Mountbatten-Mk1</t>
  </si>
  <si>
    <t xml:space="preserve">boats\sr-n4-mountbatten-mk1.dat</t>
  </si>
  <si>
    <t xml:space="preserve">BR-499[TLV]</t>
  </si>
  <si>
    <t xml:space="preserve">These were through-wired Mk. I BGs with their gangways plated up:
http://www.therailwaycentre.com/Recognition%20Tech%20Data%20EMU/EMU_419_499.html
No photographs availlable except for this MSTS model/render (the TLVs are at the rear):
http://farm4.staticflickr.com/3247/2448504052_87077169f9_o.jpg
These had a short life (1966 - 1975), so multiple
liveries are unlikely. See:
http://en.wikipedia.org/wiki/British_Rail_Class_499</t>
  </si>
  <si>
    <t xml:space="preserve">trains\br-499.dat</t>
  </si>
  <si>
    <t xml:space="preserve">AustinMorrisEAPiece</t>
  </si>
  <si>
    <t xml:space="preserve">bus\austin-morris-ea.dat</t>
  </si>
  <si>
    <t xml:space="preserve">AustinMorrisEACool</t>
  </si>
  <si>
    <t xml:space="preserve">AustinMorrisEAPost</t>
  </si>
  <si>
    <t xml:space="preserve">ScammellCrusader</t>
  </si>
  <si>
    <t xml:space="preserve">http://www.scammell-crusader.co.uk/info.html
http://www.crusader80.co.uk/scammell.html</t>
  </si>
  <si>
    <t xml:space="preserve">ScammellCrusaderTrailerBulk</t>
  </si>
  <si>
    <t xml:space="preserve">ScammellCrusaderTrailerLong</t>
  </si>
  <si>
    <t xml:space="preserve">ScammellCrusaderTrailerPiece</t>
  </si>
  <si>
    <t xml:space="preserve">ScammellCrusaderTrailerLivestock</t>
  </si>
  <si>
    <t xml:space="preserve">ScammellCrusaderTrailerFluid</t>
  </si>
  <si>
    <t xml:space="preserve">ScammellCrusaderTrailerCars</t>
  </si>
  <si>
    <t xml:space="preserve">bac-1-11-500</t>
  </si>
  <si>
    <t xml:space="preserve">gear=1
length=8
@ ISA (sea level, 0Centigrades), Runway Dry
minimum_runway_length=2000
@ ISA+10C, Runway dry = +10%</t>
  </si>
  <si>
    <t xml:space="preserve">air\bac-1-11-500.dat</t>
  </si>
  <si>
    <t xml:space="preserve">vickers-vanguard-953-piece</t>
  </si>
  <si>
    <t xml:space="preserve">https://www.flightglobal.com/FlightPDFArchive/1959/1959%20-%203114.PDF
gear=1
32 tonnes * 810kg
length=8
710 gal/hour
available_only_as_upgrade=1
@ ISA (sea level, 0Centigrades), Runway Dry
minimum_runway_length=2286
@ ISA+10C, Runway dry = +10%</t>
  </si>
  <si>
    <t xml:space="preserve">air\vickers-vanguard-953.dat</t>
  </si>
  <si>
    <t xml:space="preserve">vickers-vanguard-953-cool</t>
  </si>
  <si>
    <t xml:space="preserve">gear=1
32 tonnes * 410kg
length=8
710 gal/hour
available_only_as_upgrade=1
@ ISA (sea level, 0Centigrades), Runway Dry
minimum_runway_length=2286
@ ISA+10C, Runway dry = +10%</t>
  </si>
  <si>
    <t xml:space="preserve">LUL_C_StockFrontDM</t>
  </si>
  <si>
    <t xml:space="preserve">http://web.archive.org/web/20080308202105/http://www.tfl.gov.uk/corporate/modesoftransport/londonunderground/rollingstock/1616.aspx
http://en.wikipedia.org/wiki/London_Underground_C69_and_C77_Stock</t>
  </si>
  <si>
    <t xml:space="preserve">london-underground\lul-c-stock.dat</t>
  </si>
  <si>
    <t xml:space="preserve">LUL_C_StockMiddle1</t>
  </si>
  <si>
    <t xml:space="preserve">LUL_C_StockMiddle2</t>
  </si>
  <si>
    <t xml:space="preserve">LUL_C_StockRearDM</t>
  </si>
  <si>
    <t xml:space="preserve">twin-otter-300</t>
  </si>
  <si>
    <t xml:space="preserve">https://en.wikipedia.org/wiki/De_Havilland_Canada_DHC-6_Twin_Otter
http://webcache.googleusercontent.com/search?q=cache:jCnLSwyOypwJ:blog.arlit.co/2017/01/23/top-10-most-common-air-taxi-aircraft/+&amp;cd=8&amp;hl=en&amp;ct=clnk&amp;gl=uk&amp;client=firefox-b
https://3dwarehouse.sketchup.com/model/cb52fa98-bde6-41bf-9bb9-d81c72dc95ab/Aerov%C3%ADas-DAP-CC-CHV-de-Havilland-Canada-Twin-Otter-DHC-6-300
https://3dwarehouse.sketchup.com/model/d432f207fb22804858fe6ec8fb4e28b/British-Airways-De-Havilland-Canada-DHC-6-Twin-Otter-Series-310
gear=1
length=8
@ ISA (sea level, 0Centigrades), Runway Dry
minimum_runway_length=2484
@ ISA+10C, Runway dry = +10%</t>
  </si>
  <si>
    <t xml:space="preserve">air\twin-otter-300.dat</t>
  </si>
  <si>
    <t xml:space="preserve">AECSwift</t>
  </si>
  <si>
    <t xml:space="preserve">http://web.archive.org/web/20130822180950/http://www.countrybus.org/merlswft/swift.html
Single door version
Unable to find this information for the original Swift, so guessed
An SMS in the London 'Bus Museum is marked as being 7 tons, 12cwt
Temporary sound until a more suitalbe sound can be found
Single door pay driver: 4.0 seconds per passenger</t>
  </si>
  <si>
    <t xml:space="preserve">bus\aec-swift.dat</t>
  </si>
  <si>
    <t xml:space="preserve">boeing-747-100</t>
  </si>
  <si>
    <t xml:space="preserve">http://www.boeing.com/resources/boeingdotcom/company/about_bca/startup/pdf/historical/747-100_-200_-300_-SP_passenger.pdf
gear=1
length=8
@ ISA (sea level, 0Centigrades), Runway Dry
minimum_runway_length=3800
@ ISA+10C, Runway dry = +10%</t>
  </si>
  <si>
    <t xml:space="preserve">air\air256\boeing-747-100.dat</t>
  </si>
  <si>
    <t xml:space="preserve">AirLarge</t>
  </si>
  <si>
    <t xml:space="preserve">ModernAir</t>
  </si>
  <si>
    <t xml:space="preserve">boeing-747-100-high-density</t>
  </si>
  <si>
    <t xml:space="preserve">gear=1
length=8
@ ISA (sea level, 0Centigrades), Runway Dry
minimum_runway_length=3800
@ ISA+10C, Runway dry = +10%</t>
  </si>
  <si>
    <t xml:space="preserve">Bogie Tanker(TEA)</t>
  </si>
  <si>
    <t xml:space="preserve">http://www.mremag.com/news/article/graham-farish-tea-bogie-tank-wagon/12109
retire_year=2015
retire_month=7
Ought to be 23, but is too heavy for track using
known formula. Not clear why this should be.</t>
  </si>
  <si>
    <t xml:space="preserve">trains\wagon-tea.dat</t>
  </si>
  <si>
    <t xml:space="preserve">ModernRail</t>
  </si>
  <si>
    <t xml:space="preserve">boeing-747-200</t>
  </si>
  <si>
    <t xml:space="preserve">length=8
@ ISA (sea level, 0Centigrades), Runway Dry
minimum_runway_length=3800
@ ISA+10C, Runway dry = +10%</t>
  </si>
  <si>
    <t xml:space="preserve">air\air256\boeing-747-200.dat</t>
  </si>
  <si>
    <t xml:space="preserve">boeing-747-200-high-density</t>
  </si>
  <si>
    <t xml:space="preserve">BR-Class62</t>
  </si>
  <si>
    <t xml:space="preserve">Hypothetical production version of the "Kestrel" prototype:
http://en.wikipedia.org/wiki/British_Rail_HS4000
There is inconsistent information about the maximum speed, but this is a sensible guess for the production version.
No multiple working fitted</t>
  </si>
  <si>
    <t xml:space="preserve">trains\br-cl62.dat</t>
  </si>
  <si>
    <t xml:space="preserve">hs-trident-3b</t>
  </si>
  <si>
    <t xml:space="preserve">https://en.wikipedia.org/wiki/Hawker_Siddeley_Trident
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</si>
  <si>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 xml:space="preserve">air\hs-trident-3b.dat</t>
  </si>
  <si>
    <t xml:space="preserve">hs-trident-3b-high-density</t>
  </si>
  <si>
    <t xml:space="preserve">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</si>
  <si>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 xml:space="preserve">boeing-727-200-advanced-mail</t>
  </si>
  <si>
    <t xml:space="preserve">capacity: 19.2t
length=8
@ ISA (sea level, 0Centigrades), Runway Dry
minimum_runway_length=3500
@ ISA+10C, Runway dry = +10%</t>
  </si>
  <si>
    <t xml:space="preserve">air\air192\boeing-727-200-advanced-mail.dat</t>
  </si>
  <si>
    <t xml:space="preserve">Long30T</t>
  </si>
  <si>
    <t xml:space="preserve">?
retire_year=2020
retire_month=9
?</t>
  </si>
  <si>
    <t xml:space="preserve">trains\wagon-long-30t.dat</t>
  </si>
  <si>
    <t xml:space="preserve">Leyland_National_11(LC)</t>
  </si>
  <si>
    <t xml:space="preserve">Leyland 510 engine
Heavy fuel consumption and hard to maintain
Query: did these really have air conditioning, or was the pod just for heating?
Single door pay driver: 4.0 seconds per passenger
TODO: Add more liveries</t>
  </si>
  <si>
    <t xml:space="preserve">bus\leyland-national.dat</t>
  </si>
  <si>
    <t xml:space="preserve">leyland-national-11-lc-2-door</t>
  </si>
  <si>
    <t xml:space="preserve">Leyland 510 engine
Heavy fuel consumption and hard to maintain
Double door pay driver: 3.0 seconds per passenger
TODO: Add more liveries</t>
  </si>
  <si>
    <t xml:space="preserve">fairchild-metroliner</t>
  </si>
  <si>
    <t xml:space="preserve">https://en.wikipedia.org/wiki/Fairchild_Swearingen_metroliner#SA226_series
http://www.airliners.net/aircraft-data/fairchild-aerospace-metro-ii-iii-23/215
http://all-aero.com/index.php/contactus/10845-swearingen-sa227-merlin--metro
CC-BY-SA
https://www.blendswap.com/blends/view/83744
length=8</t>
  </si>
  <si>
    <t xml:space="preserve">air\fairchild-metro.dat</t>
  </si>
  <si>
    <t xml:space="preserve">fairchild-metroliner-mail</t>
  </si>
  <si>
    <t xml:space="preserve">CC-BY-SA
https://www.blendswap.com/blends/view/83744
length=8</t>
  </si>
  <si>
    <t xml:space="preserve">fairchild-metroliner-piece</t>
  </si>
  <si>
    <t xml:space="preserve">CC-BY-SA
https://www.blendswap.com/blends/view/83744
2,268kg payload
length=8</t>
  </si>
  <si>
    <t xml:space="preserve">fairchild-metroliner-cool</t>
  </si>
  <si>
    <t xml:space="preserve">boeing-747-200f-mail</t>
  </si>
  <si>
    <t xml:space="preserve">payload=41.5t
length=8
@ ISA (sea level, 0Centigrades), Runway Dry
minimum_runway_length=3250
@ ISA+10C, Runway dry = +10%</t>
  </si>
  <si>
    <t xml:space="preserve">air\air256\boeing-747-200f.dat</t>
  </si>
  <si>
    <t xml:space="preserve">boeing-747-200f-piece</t>
  </si>
  <si>
    <t xml:space="preserve">boeing-747-200f-cool</t>
  </si>
  <si>
    <t xml:space="preserve">tristar-1</t>
  </si>
  <si>
    <t xml:space="preserve">https://en.wikipedia.org/wiki/Lockheed_L-1011_TriStar
http://www.airliners.net/aircraft-data/lockheed-l-1011-tristar-150100150200250/271
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</si>
  <si>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 xml:space="preserve">air\air192\lockheed-tristar-1.dat</t>
  </si>
  <si>
    <t xml:space="preserve">tristar-1-high-density</t>
  </si>
  <si>
    <t xml:space="preserve">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</si>
  <si>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 xml:space="preserve">SealinkHorsa</t>
  </si>
  <si>
    <t xml:space="preserve">http://www.doverferryphotosforums.co.uk/wordpress/mv-horsa-past-and-present/
35-50 minutes</t>
  </si>
  <si>
    <t xml:space="preserve">boats\boats192\sealink-horsa.dat</t>
  </si>
  <si>
    <t xml:space="preserve">SealinkHorsaAddMail</t>
  </si>
  <si>
    <t xml:space="preserve">boats\holds\sealink-horsa-holds.dat</t>
  </si>
  <si>
    <t xml:space="preserve">SealinkHorsaAddPiece</t>
  </si>
  <si>
    <t xml:space="preserve">SealinkHorsaAddCool</t>
  </si>
  <si>
    <t xml:space="preserve">BR-Mk2-BFK</t>
  </si>
  <si>
    <t xml:space="preserve">trains\br-mk2-bfk.dat</t>
  </si>
  <si>
    <t xml:space="preserve">ModernPassengerRail</t>
  </si>
  <si>
    <t xml:space="preserve">BR-Mk2-TSOT</t>
  </si>
  <si>
    <t xml:space="preserve">trains\br-mk2-tsot.dat</t>
  </si>
  <si>
    <t xml:space="preserve">BR-Mk2-RFB</t>
  </si>
  <si>
    <t xml:space="preserve">trains\br-mk2-rfb.dat</t>
  </si>
  <si>
    <t xml:space="preserve">BR-Mk2-FO</t>
  </si>
  <si>
    <t xml:space="preserve">trains\br-mk2-fo.dat</t>
  </si>
  <si>
    <t xml:space="preserve">BR-Mk2-TSO</t>
  </si>
  <si>
    <t xml:space="preserve">trains\br-mk2-to.dat</t>
  </si>
  <si>
    <t xml:space="preserve">BR-Mk2a-RMB</t>
  </si>
  <si>
    <t xml:space="preserve">trains\br-mk2a-rmb.dat</t>
  </si>
  <si>
    <t xml:space="preserve">MorrisMarinaPiece</t>
  </si>
  <si>
    <t xml:space="preserve">http://www.carfolio.com/specifications/models/car/?car=60049</t>
  </si>
  <si>
    <t xml:space="preserve">bus\morris-marina-van.dat</t>
  </si>
  <si>
    <t xml:space="preserve">MorrisMarinaCool</t>
  </si>
  <si>
    <t xml:space="preserve">MorrisMarinaPost</t>
  </si>
  <si>
    <t xml:space="preserve">BR-Mk2-BSO</t>
  </si>
  <si>
    <t xml:space="preserve">trains\br-mk2-bso.dat</t>
  </si>
  <si>
    <t xml:space="preserve">Island</t>
  </si>
  <si>
    <t xml:space="preserve">5-10 minutes</t>
  </si>
  <si>
    <t xml:space="preserve">boats\island.dat</t>
  </si>
  <si>
    <t xml:space="preserve">BR-Class87</t>
  </si>
  <si>
    <t xml:space="preserve">trains\br-cl87.dat</t>
  </si>
  <si>
    <t xml:space="preserve">aerospatiale-bac-concorde</t>
  </si>
  <si>
    <t xml:space="preserve">length=8
Delivery dates extended from actual dates to allow later purchases.
retire_year=1980
retire_month=10
@ ISA (sea level, 0Centigrades), Runway Dry
minimum_runway_length=3100
@ ISA+10C, Runway dry = +10%</t>
  </si>
  <si>
    <t xml:space="preserve">air\air192\aerospatiale-bac-concorde.dat</t>
  </si>
  <si>
    <t xml:space="preserve">AirService</t>
  </si>
  <si>
    <t xml:space="preserve">1973TubeStockFrontDM</t>
  </si>
  <si>
    <t xml:space="preserve">london-underground\1973-tube-stock.dat</t>
  </si>
  <si>
    <t xml:space="preserve">1973TubeStockFrontUNDM</t>
  </si>
  <si>
    <t xml:space="preserve">1973TubeStockMiddle1</t>
  </si>
  <si>
    <t xml:space="preserve">1973TubeStockMiddle2</t>
  </si>
  <si>
    <t xml:space="preserve">1973TubeStockRearUNDM</t>
  </si>
  <si>
    <t xml:space="preserve">1973TubeStockRearDM</t>
  </si>
  <si>
    <t xml:space="preserve">king-air-200</t>
  </si>
  <si>
    <t xml:space="preserve">http://www.airliners.net/aircraft-data/raytheon-beechcraft-king-air-200/328
https://www.aopa.org/go-fly/aircraft-and-ownership/aircraft-fact-sheets/beechcraft-super-king-air-200
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</si>
  <si>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air\king-air-200.dat</t>
  </si>
  <si>
    <t xml:space="preserve">king-air-200-mail</t>
  </si>
  <si>
    <t xml:space="preserve">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</si>
  <si>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leyland-atlantean-an68-1-entrance</t>
  </si>
  <si>
    <t xml:space="preserve">https://en.wikipedia.org/wiki/Leyland_Atlantean
Leyland O.680 engine
Single entrance pay driver: 4.0 seconds per passenger</t>
  </si>
  <si>
    <t xml:space="preserve">bus\leyland-atlantean-an68.dat</t>
  </si>
  <si>
    <t xml:space="preserve">leyland-atlantean-an68-2-entrance</t>
  </si>
  <si>
    <t xml:space="preserve">Leyland O.680 engine
Twin entrance pay driver: 3.0 seconds per passenger</t>
  </si>
  <si>
    <t xml:space="preserve">leyland-national-lnc</t>
  </si>
  <si>
    <t xml:space="preserve">http://web.archive.org/web/20160509175310/http://www.countrybus.org/National/SN.htm
Coach gearings
Leyland 510 engine
Heavy fuel consumption and hard to maintain
Coach gearings
Guessed
Coach seats
Coach (intermediate distance): 5.0 seconds per passenger
TODO: Add more liveries</t>
  </si>
  <si>
    <t xml:space="preserve">bus\leyland-national-lnc.dat</t>
  </si>
  <si>
    <t xml:space="preserve">leyland-national-b-1-door</t>
  </si>
  <si>
    <t xml:space="preserve">The shorter, cheaper version without the pod
Leyland 510 engine
Heavy fuel consumption and hard to maintain
Downrated: cheaper maintenance
Guessed
"A lot" cheaper than the basic version:
http://web.archive.org/web/20160509175310/http://www.countrybus.org/National/SN.htm
No pods
Single door pay driver: 4.0 seconds per passenger
TODO: Add more liveries</t>
  </si>
  <si>
    <t xml:space="preserve">bus\leyland-national-b.dat</t>
  </si>
  <si>
    <t xml:space="preserve">leyland-national-b-2-door</t>
  </si>
  <si>
    <t xml:space="preserve">Leyland 510 engine
Heavy fuel consumption and hard to maintain
Downrated: cheaper maintenance
Guessed
Double door pay driver: 3.0 seconds per passenger
TODO: Add more liveries</t>
  </si>
  <si>
    <t xml:space="preserve">BR-Mk3-TO(GNER)</t>
  </si>
  <si>
    <t xml:space="preserve">livery-trains\br-mk3-gner.dat</t>
  </si>
  <si>
    <t xml:space="preserve">BR-Mk3a-TO(GNER)</t>
  </si>
  <si>
    <t xml:space="preserve">BR-Mk3-TRB(GNER)</t>
  </si>
  <si>
    <t xml:space="preserve">BR-Mk3a-TRB(GNER)</t>
  </si>
  <si>
    <t xml:space="preserve">BR-Mk3-TO(FGW3)</t>
  </si>
  <si>
    <t xml:space="preserve">livery-trains\br-mk3-fgw3.dat</t>
  </si>
  <si>
    <t xml:space="preserve">BR-Mk3-TRB(FGW3)</t>
  </si>
  <si>
    <t xml:space="preserve">BR-Mk3-TO(GrandCentralDaylight)</t>
  </si>
  <si>
    <t xml:space="preserve">livery-trains\br-mk3-gc2.dat</t>
  </si>
  <si>
    <t xml:space="preserve">BR-Mk3-TRB(GrandCentralDaylight)</t>
  </si>
  <si>
    <t xml:space="preserve">BR-Mk3-TO(FGW1)</t>
  </si>
  <si>
    <t xml:space="preserve">livery-trains\br-mk3-fgw1.dat</t>
  </si>
  <si>
    <t xml:space="preserve">BR-Mk3-TRB(FGW1)</t>
  </si>
  <si>
    <t xml:space="preserve">BR-Mk3-TO(IntercitySwallow)</t>
  </si>
  <si>
    <t xml:space="preserve">livery-trains\br-mk3-is.dat</t>
  </si>
  <si>
    <t xml:space="preserve">BR-Mk3-TRB(IntercitySwallow)</t>
  </si>
  <si>
    <t xml:space="preserve">BR-Mk3a-TRB</t>
  </si>
  <si>
    <t xml:space="preserve">trains\br-mk3-trb.dat</t>
  </si>
  <si>
    <t xml:space="preserve">BR-Mk3-TO(BlueGrey)</t>
  </si>
  <si>
    <t xml:space="preserve">livery-trains\br-mk3-blue.dat</t>
  </si>
  <si>
    <t xml:space="preserve">BR-Mk3a-TO(BlueGrey)</t>
  </si>
  <si>
    <t xml:space="preserve">BR-Mk3-TRB(BlueGrey)</t>
  </si>
  <si>
    <t xml:space="preserve">BR-Mk3a-TRB(BlueGrey)</t>
  </si>
  <si>
    <t xml:space="preserve">BR-Mk3-TO(GWT)</t>
  </si>
  <si>
    <t xml:space="preserve">livery-trains\br-mk3-gwt.dat</t>
  </si>
  <si>
    <t xml:space="preserve">BR-Mk3-TRB(GWT)</t>
  </si>
  <si>
    <t xml:space="preserve">BR-Mk3-TO(NationalExpress)</t>
  </si>
  <si>
    <t xml:space="preserve">livery-trains\br-mk3-nx.dat</t>
  </si>
  <si>
    <t xml:space="preserve">BR-Mk3a-TO(NationalExpress)</t>
  </si>
  <si>
    <t xml:space="preserve">BR-Mk3-TRB(NationalExpress)</t>
  </si>
  <si>
    <t xml:space="preserve">BR-Mk3a-TRB(NationalExpress)</t>
  </si>
  <si>
    <t xml:space="preserve">BR-Mk3-TO(FGW2)</t>
  </si>
  <si>
    <t xml:space="preserve">livery-trains\br-mk3-fgw2.dat</t>
  </si>
  <si>
    <t xml:space="preserve">BR-Mk3-TRB(FGW2)</t>
  </si>
  <si>
    <t xml:space="preserve">BR-Mk3-TO(GrandCentralOriginal)</t>
  </si>
  <si>
    <t xml:space="preserve">livery-trains\br-mk3-gc1.dat</t>
  </si>
  <si>
    <t xml:space="preserve">BR-Mk3-TRB(GrandCentralOriginal)</t>
  </si>
  <si>
    <t xml:space="preserve">LeylandGBulk</t>
  </si>
  <si>
    <t xml:space="preserve">bus\leyland-g.dat</t>
  </si>
  <si>
    <t xml:space="preserve">LeylandGLong</t>
  </si>
  <si>
    <t xml:space="preserve">LeylandGPiece</t>
  </si>
  <si>
    <t xml:space="preserve">LeylandGCool</t>
  </si>
  <si>
    <t xml:space="preserve">LeylandGLivestock</t>
  </si>
  <si>
    <t xml:space="preserve">LeylandGPost</t>
  </si>
  <si>
    <t xml:space="preserve">BR-Mk3a-TRFB</t>
  </si>
  <si>
    <t xml:space="preserve">TODO: Produce proper TRFB graphics for this.</t>
  </si>
  <si>
    <t xml:space="preserve">trains\br-mk3-tfrb.dat</t>
  </si>
  <si>
    <t xml:space="preserve">BR-Mk3a-TSO</t>
  </si>
  <si>
    <t xml:space="preserve">trains\br-mk3-tso.dat</t>
  </si>
  <si>
    <t xml:space="preserve">BR-Mk3a-FO</t>
  </si>
  <si>
    <t xml:space="preserve">trains\br-mk3-fo.dat</t>
  </si>
  <si>
    <t xml:space="preserve">TTEuropeanFreight</t>
  </si>
  <si>
    <t xml:space="preserve">gear=500
35-50 minutes
This ought also to have the earlier TT livery available, as it launched a year
before the orange livery was introduced: http://en.wikipedia.org/wiki/European_Ferries</t>
  </si>
  <si>
    <t xml:space="preserve">boats\boats192\tt-european-freight.dat</t>
  </si>
  <si>
    <t xml:space="preserve">TTEuropeanFreightAddMail</t>
  </si>
  <si>
    <t xml:space="preserve">boats\holds\tt-european-holds.dat</t>
  </si>
  <si>
    <t xml:space="preserve">TTEuropeanFreightAddPiece</t>
  </si>
  <si>
    <t xml:space="preserve">TTEuropeanFreightAddCool</t>
  </si>
  <si>
    <t xml:space="preserve">BR-313Front</t>
  </si>
  <si>
    <t xml:space="preserve">trains\br-313.dat</t>
  </si>
  <si>
    <t xml:space="preserve">BR-313Pantograph</t>
  </si>
  <si>
    <t xml:space="preserve">BR-313Rear</t>
  </si>
  <si>
    <t xml:space="preserve">BR-Class43(FGW2)</t>
  </si>
  <si>
    <t xml:space="preserve">livery-trains\br-cl43-a-fgw2.dat</t>
  </si>
  <si>
    <t xml:space="preserve">BR-Class43Rear(FGW2)</t>
  </si>
  <si>
    <t xml:space="preserve">BR-Class43(NationalExpress)</t>
  </si>
  <si>
    <t xml:space="preserve">livery-trains\br-cl43-a-nx.dat</t>
  </si>
  <si>
    <t xml:space="preserve">BR-Class43Rear(NationalExpress)</t>
  </si>
  <si>
    <t xml:space="preserve">BR-Class43(GrandCentralDaylight)</t>
  </si>
  <si>
    <t xml:space="preserve">livery-trains\br-cl43-a-gc2.dat</t>
  </si>
  <si>
    <t xml:space="preserve">BR-Class43Rear(GrandCentralDaylight)</t>
  </si>
  <si>
    <t xml:space="preserve">BR-Class43(GNER)</t>
  </si>
  <si>
    <t xml:space="preserve">livery-trains\br-cl43-a-gner.dat</t>
  </si>
  <si>
    <t xml:space="preserve">BR-Class43Rear(GNER)</t>
  </si>
  <si>
    <t xml:space="preserve">LeylandSherpaCool</t>
  </si>
  <si>
    <t xml:space="preserve">bus\leyland-sherpa.dat</t>
  </si>
  <si>
    <t xml:space="preserve">LeylandSherpaPost</t>
  </si>
  <si>
    <t xml:space="preserve">BR-Class43(GWT)</t>
  </si>
  <si>
    <t xml:space="preserve">livery-trains\br-cl43-a-gwt.dat</t>
  </si>
  <si>
    <t xml:space="preserve">BR-Class43Rear(GWT)</t>
  </si>
  <si>
    <t xml:space="preserve">BR-Class43(BlueGrey)</t>
  </si>
  <si>
    <t xml:space="preserve">livery-trains\br-cl43-a-bg.dat</t>
  </si>
  <si>
    <t xml:space="preserve">BR-Class43Rear(BlueGrey)</t>
  </si>
  <si>
    <t xml:space="preserve">BR-Class43(IntercitySwallow)</t>
  </si>
  <si>
    <t xml:space="preserve">livery-trains\br-cl43-a-is.dat</t>
  </si>
  <si>
    <t xml:space="preserve">BR-Class43Rear(IntercitySwallow)</t>
  </si>
  <si>
    <t xml:space="preserve">BR-Class43(FGW1)</t>
  </si>
  <si>
    <t xml:space="preserve">livery-trains\br-cl43-a-fgw1.dat</t>
  </si>
  <si>
    <t xml:space="preserve">BR-Class43Rear(FGW1)</t>
  </si>
  <si>
    <t xml:space="preserve">BR-Class43(FGW3)</t>
  </si>
  <si>
    <t xml:space="preserve">livery-trains\br-cl43-a-fgw3.dat</t>
  </si>
  <si>
    <t xml:space="preserve">BR-Class43Rear(FGW3)</t>
  </si>
  <si>
    <t xml:space="preserve">BR-Class43(GrandCentralOriginal)</t>
  </si>
  <si>
    <t xml:space="preserve">livery-trains\br-cl43-a-gc1.dat</t>
  </si>
  <si>
    <t xml:space="preserve">BR-Class43Rear(GrandCentralOriginal)</t>
  </si>
  <si>
    <t xml:space="preserve">LeylandSherpaPiece</t>
  </si>
  <si>
    <t xml:space="preserve">https://www.flickr.com/photos/61090099@N04/28842561860</t>
  </si>
  <si>
    <t xml:space="preserve">BR-Class43</t>
  </si>
  <si>
    <t xml:space="preserve">Late because no replacements
sound=konakaboom-hst-mtu.wav</t>
  </si>
  <si>
    <t xml:space="preserve">trains\br-cl43.dat</t>
  </si>
  <si>
    <t xml:space="preserve">BR-Class43Rear</t>
  </si>
  <si>
    <t xml:space="preserve">BR-Mk3-TRFB</t>
  </si>
  <si>
    <t xml:space="preserve">BR-Mk3-TRB</t>
  </si>
  <si>
    <t xml:space="preserve">SR-N4-Mountbatten-Mk3</t>
  </si>
  <si>
    <t xml:space="preserve">boats\sr-n4-mountbatten-mk3.dat</t>
  </si>
  <si>
    <t xml:space="preserve">BR-Mk3-TSO</t>
  </si>
  <si>
    <t xml:space="preserve">BR-Mk3-FO</t>
  </si>
  <si>
    <t xml:space="preserve">tristar-200</t>
  </si>
  <si>
    <t xml:space="preserve">https://en.wikipedia.org/wiki/Lockheed_L-1011_TriStar
http://www.airliners.net/aircraft-data/lockheed-l-1011-tristar-150100150200250/271
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</si>
  <si>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 xml:space="preserve">air\air192\lockheed-tristar-200.dat</t>
  </si>
  <si>
    <t xml:space="preserve">tristar-200-high-density</t>
  </si>
  <si>
    <t xml:space="preserve">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</si>
  <si>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 xml:space="preserve">BR-Class56</t>
  </si>
  <si>
    <t xml:space="preserve">Red diamond</t>
  </si>
  <si>
    <t xml:space="preserve">trains\br-cl56.dat</t>
  </si>
  <si>
    <t xml:space="preserve">BR-312-BDTSOL</t>
  </si>
  <si>
    <t xml:space="preserve">Only produced until 1978, but need to await introduction of the Class 317
Multiple working with BR classes 302-312:
http://en.wikipedia.org/wiki/British_Rail_Class_312</t>
  </si>
  <si>
    <t xml:space="preserve">trains\br-312.dat</t>
  </si>
  <si>
    <t xml:space="preserve">BR-312-MBSO</t>
  </si>
  <si>
    <t xml:space="preserve">Only produced until 1978, but need to await introduction of the Class 317</t>
  </si>
  <si>
    <t xml:space="preserve">BR-312-TSO</t>
  </si>
  <si>
    <t xml:space="preserve">BR-312-DTCOL</t>
  </si>
  <si>
    <t xml:space="preserve">DennisDominator</t>
  </si>
  <si>
    <t xml:space="preserve">Dennis Dominator (double decker)
https://en.wikipedia.org/wiki/Dennis_Dominator
These were long-lasting reliable buses.
Not sure that this is correct - just a guess
Temporary sound - await a more suitable sound.
Double entrance pay driver: 3.0 seconds per passenger</t>
  </si>
  <si>
    <t xml:space="preserve">bus\dennis-dominator.dat</t>
  </si>
  <si>
    <t xml:space="preserve">DennisDominatorTrolley</t>
  </si>
  <si>
    <t xml:space="preserve">Dennis Dominator Trolleybus (double decker)
Actual cost circa Â£100,000 (Trolleybus Database CD-ROM)
Double entrance pay driver: 3.0 seconds per passenger</t>
  </si>
  <si>
    <t xml:space="preserve">bus\dennis-dominator-trolley.dat</t>
  </si>
  <si>
    <t xml:space="preserve">LeylandT45Roadtrain</t>
  </si>
  <si>
    <t xml:space="preserve">bus\standard-artics.dat</t>
  </si>
  <si>
    <t xml:space="preserve">LeylandT45RoadtrainMail</t>
  </si>
  <si>
    <t xml:space="preserve">StandardArticTrailerBulk</t>
  </si>
  <si>
    <t xml:space="preserve">Two axle trailers</t>
  </si>
  <si>
    <t xml:space="preserve">StandardArticTrailerLong</t>
  </si>
  <si>
    <t xml:space="preserve">StandardArticTrailerPiece</t>
  </si>
  <si>
    <t xml:space="preserve">StandardArticTrailerLivestock</t>
  </si>
  <si>
    <t xml:space="preserve">StandardArticTrailerFluid</t>
  </si>
  <si>
    <t xml:space="preserve">StandardArticTrailerCars</t>
  </si>
  <si>
    <t xml:space="preserve">StandardArticTrailerMail</t>
  </si>
  <si>
    <t xml:space="preserve">LeylandT45ConstructorBulk</t>
  </si>
  <si>
    <t xml:space="preserve">bus\leyland-t45-constructor.dat</t>
  </si>
  <si>
    <t xml:space="preserve">LeylandT45ConstructorLong</t>
  </si>
  <si>
    <t xml:space="preserve">LeylandT45ConstructorFluid</t>
  </si>
  <si>
    <t xml:space="preserve">StandardArticTrailerCool</t>
  </si>
  <si>
    <t xml:space="preserve">CoolContainer</t>
  </si>
  <si>
    <t xml:space="preserve">trains\wagon-cool-container.dat</t>
  </si>
  <si>
    <t xml:space="preserve">LeylandTitanB15</t>
  </si>
  <si>
    <t xml:space="preserve">http://web.archive.org/web/20140715155607/http://www.countrybus.org/Titan/Titan.html
http://www.redroutemaster.com/our-fleet/
TL11 engine (turbocharged)
http://middx.net/aec/board/viewtopic.php?f=1&amp;t=403
Double door pay driver: 3.0 seconds per passenger</t>
  </si>
  <si>
    <t xml:space="preserve">bus\leyland-titan.dat</t>
  </si>
  <si>
    <t xml:space="preserve">LeylandTitanB15-1-door</t>
  </si>
  <si>
    <t xml:space="preserve">TL11 engine (turbocharged)
http://middx.net/aec/board/viewtopic.php?f=1&amp;t=403
Single door pay driver: 4.0 seconds per passenger</t>
  </si>
  <si>
    <t xml:space="preserve">PieceContainer</t>
  </si>
  <si>
    <t xml:space="preserve">trains\wagon-piece-container.dat</t>
  </si>
  <si>
    <t xml:space="preserve">BR-507(front)</t>
  </si>
  <si>
    <t xml:space="preserve">trains\br-507.dat</t>
  </si>
  <si>
    <t xml:space="preserve">BR-507(centre1)</t>
  </si>
  <si>
    <t xml:space="preserve">BR-507(centre2)</t>
  </si>
  <si>
    <t xml:space="preserve">BR-507(rear)</t>
  </si>
  <si>
    <t xml:space="preserve">BR-Mk2-DBSO</t>
  </si>
  <si>
    <t xml:space="preserve">trains\br-mk2-dbso.dat</t>
  </si>
  <si>
    <t xml:space="preserve">Blackpool-Jubilee</t>
  </si>
  <si>
    <t xml:space="preserve">trams\blackpool-jubilee.dat</t>
  </si>
  <si>
    <t xml:space="preserve">tristar-500</t>
  </si>
  <si>
    <t xml:space="preserve">https://en.wikipedia.org/wiki/Lockheed_L-1011_TriStar
http://www.airliners.net/aircraft-data/lockheed-l-1011-tristar-500/272
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</si>
  <si>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 xml:space="preserve">air\air192\lockheed-tristar-500.dat</t>
  </si>
  <si>
    <t xml:space="preserve">tristar-500-high-density</t>
  </si>
  <si>
    <t xml:space="preserve">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</si>
  <si>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 xml:space="preserve">BR-314Front</t>
  </si>
  <si>
    <t xml:space="preserve">trains\br-314.dat</t>
  </si>
  <si>
    <t xml:space="preserve">BR-314Pantograph</t>
  </si>
  <si>
    <t xml:space="preserve">BR-314Rear</t>
  </si>
  <si>
    <t xml:space="preserve">TyneWearMetroClass994Front</t>
  </si>
  <si>
    <t xml:space="preserve">trains\tyne-wear-cl994.dat</t>
  </si>
  <si>
    <t xml:space="preserve">ModernElectricRail</t>
  </si>
  <si>
    <t xml:space="preserve">Electric1980</t>
  </si>
  <si>
    <t xml:space="preserve">TyneWearMetroClass994Rear</t>
  </si>
  <si>
    <t xml:space="preserve">LUL_D_StockFrontDM</t>
  </si>
  <si>
    <t xml:space="preserve">http://en.wikipedia.org/wiki/London_Underground_D78_Stock
http://web.archive.org/web/20080308213532/http://www.tfl.gov.uk/corporate/modesoftransport/londonunderground/rollingstock/1618.aspx</t>
  </si>
  <si>
    <t xml:space="preserve">london-underground\lul-d-stock.dat</t>
  </si>
  <si>
    <t xml:space="preserve">LUL_D_StockFrontUNDM</t>
  </si>
  <si>
    <t xml:space="preserve">LUL_D_StockMiddle1</t>
  </si>
  <si>
    <t xml:space="preserve">LUL_D_StockMiddle2</t>
  </si>
  <si>
    <t xml:space="preserve">LUL_D_StockRearUNDM</t>
  </si>
  <si>
    <t xml:space="preserve">LUL_D_StockRearDM</t>
  </si>
  <si>
    <t xml:space="preserve">BR-370FrontCab</t>
  </si>
  <si>
    <t xml:space="preserve">trains\br-370.dat</t>
  </si>
  <si>
    <t xml:space="preserve">BR-370TrailerSecond</t>
  </si>
  <si>
    <t xml:space="preserve">http://www.apt-p.com/APTPVehicleSpecTS.htm</t>
  </si>
  <si>
    <t xml:space="preserve">BR-370TrailerFirst</t>
  </si>
  <si>
    <t xml:space="preserve">http://www.apt-p.com/APTPVehicleSpecTF.htm</t>
  </si>
  <si>
    <t xml:space="preserve">BR-370RestaurantFront</t>
  </si>
  <si>
    <t xml:space="preserve">http://www.apt-p.com/APTPVehicleSpecTRBS.htm</t>
  </si>
  <si>
    <t xml:space="preserve">BR-370BrakeFirstFront</t>
  </si>
  <si>
    <t xml:space="preserve">http://www.apt-p.com/APTPVehicleSpecTBF.htm</t>
  </si>
  <si>
    <t xml:space="preserve">BR-370FrontPower</t>
  </si>
  <si>
    <t xml:space="preserve">BR-370RearPower</t>
  </si>
  <si>
    <t xml:space="preserve">BR-370BrakeFirstRear</t>
  </si>
  <si>
    <t xml:space="preserve">BR-370RestaurantRear</t>
  </si>
  <si>
    <t xml:space="preserve">BR-370RearCab</t>
  </si>
  <si>
    <t xml:space="preserve">leyland-national-2-standee</t>
  </si>
  <si>
    <t xml:space="preserve">http://web.archive.org/web/20131202232616/http://www.countrybus.org/National/LS2.htm
TL11 engine
Double door pay driver: 3.0 seconds per passenger
TODO: Add more liveries</t>
  </si>
  <si>
    <t xml:space="preserve">bus\leyland-national-2-standee.dat</t>
  </si>
  <si>
    <t xml:space="preserve">ModernTruckRoad</t>
  </si>
  <si>
    <t xml:space="preserve">Diesel1980</t>
  </si>
  <si>
    <t xml:space="preserve">leyland-national-2-1-door</t>
  </si>
  <si>
    <t xml:space="preserve">Leyland O.680 engine
http://www.reddibus.com/Leyland%20National%20II.htm
Single door pay driver: 4.0 seconds per passenger
TODO: Add more liveries</t>
  </si>
  <si>
    <t xml:space="preserve">bus\leyland-national-2.dat</t>
  </si>
  <si>
    <t xml:space="preserve">ModernBus</t>
  </si>
  <si>
    <t xml:space="preserve">leyland-national-2-2-door</t>
  </si>
  <si>
    <t xml:space="preserve">Leyland O.680 engine
Double door pay driver: 3.0 seconds per passenger
TODO: Add more liveries</t>
  </si>
  <si>
    <t xml:space="preserve">BR-315Front</t>
  </si>
  <si>
    <t xml:space="preserve">trains\br-315.dat</t>
  </si>
  <si>
    <t xml:space="preserve">BR-315Pantograph</t>
  </si>
  <si>
    <t xml:space="preserve">BR-315Trailer</t>
  </si>
  <si>
    <t xml:space="preserve">BR-315Rear</t>
  </si>
  <si>
    <t xml:space="preserve">BR-317-Driving-Front</t>
  </si>
  <si>
    <t xml:space="preserve">trains\br-317.dat</t>
  </si>
  <si>
    <t xml:space="preserve">BR-317-Motor</t>
  </si>
  <si>
    <t xml:space="preserve">BR-317-Trailer</t>
  </si>
  <si>
    <t xml:space="preserve">The 210 and 317 trailers are identical in appearance.
The original 317 graphics (kept in reserve) do not
feature the yellow first class stripe.</t>
  </si>
  <si>
    <t xml:space="preserve">BR-317-Driving-Rear</t>
  </si>
  <si>
    <t xml:space="preserve">BR-210-DM</t>
  </si>
  <si>
    <t xml:space="preserve">Until the introduction of the 165
TODO: Find a better sound effect from this: but recordings of this are very rare</t>
  </si>
  <si>
    <t xml:space="preserve">trains\br-210.dat</t>
  </si>
  <si>
    <t xml:space="preserve">ModernDieselRail</t>
  </si>
  <si>
    <t xml:space="preserve">BR-210-TSO</t>
  </si>
  <si>
    <t xml:space="preserve">Until the introduction of the 165</t>
  </si>
  <si>
    <t xml:space="preserve">BR-210-TCOL</t>
  </si>
  <si>
    <t xml:space="preserve">BR-210-DTSOL</t>
  </si>
  <si>
    <t xml:space="preserve">leyland-tiger-tr</t>
  </si>
  <si>
    <t xml:space="preserve">https://en.wikipedia.org/wiki/Leyland_Tiger
Leyland TL11 engine
(The more powerful version for coaches)
Coach: 7.5 seconds per passenger</t>
  </si>
  <si>
    <t xml:space="preserve">bus\leyland-tiger-tr.dat</t>
  </si>
  <si>
    <t xml:space="preserve">LeylandOlympian</t>
  </si>
  <si>
    <t xml:space="preserve">https://en.wikipedia.org/wiki/Leyland_Olympian
http://web.archive.org/web/20120324031450/http://www.countrybus.org/Olympian/L1.htm#AVE
TL11 engine (turbocharged)
http://middx.net/aec/board/viewtopic.php?f=1&amp;t=403
Twin door pay driver: 3.0 seconds per passenger</t>
  </si>
  <si>
    <t xml:space="preserve">bus\leyland-olympian.dat</t>
  </si>
  <si>
    <t xml:space="preserve">LeylandOlympian-1-door</t>
  </si>
  <si>
    <t xml:space="preserve">Autic-4_Car_Transporter(Rear)</t>
  </si>
  <si>
    <t xml:space="preserve">retire_year=2010
retire_month=1</t>
  </si>
  <si>
    <t xml:space="preserve">trains\wagon-autic.dat</t>
  </si>
  <si>
    <t xml:space="preserve">BR-455-Driving-Front</t>
  </si>
  <si>
    <t xml:space="preserve">trains\br-455.dat</t>
  </si>
  <si>
    <t xml:space="preserve">BR-455-Motor</t>
  </si>
  <si>
    <t xml:space="preserve">BR-455-Trailer</t>
  </si>
  <si>
    <t xml:space="preserve">Identical to the Class 317 in appearance, so graphics are shared</t>
  </si>
  <si>
    <t xml:space="preserve">BR-455-Driving-Rear</t>
  </si>
  <si>
    <t xml:space="preserve">Autic-4_Car_Transporter(Front)</t>
  </si>
  <si>
    <t xml:space="preserve">retire_year=2010
retire_month=9</t>
  </si>
  <si>
    <t xml:space="preserve">dornier-do-228</t>
  </si>
  <si>
    <t xml:space="preserve">https://en.wikipedia.org/wiki/Dornier_Do_228
https://www.airlines-inform.com/commercial-aircraft/Dornier-228.html
CC-BY-SA
https://www.blendswap.com/blends/view/83744
length=8</t>
  </si>
  <si>
    <t xml:space="preserve">air\dornier-do-228.dat</t>
  </si>
  <si>
    <t xml:space="preserve">Aviation1980</t>
  </si>
  <si>
    <t xml:space="preserve">dornier-do-228-mail</t>
  </si>
  <si>
    <t xml:space="preserve">BR-Class58</t>
  </si>
  <si>
    <t xml:space="preserve">Sound for this is very hard to find, so use a class 56 for now.
Red diamond</t>
  </si>
  <si>
    <t xml:space="preserve">trains\br-cl58.dat</t>
  </si>
  <si>
    <t xml:space="preserve">1983TubeStockFrontDM</t>
  </si>
  <si>
    <t xml:space="preserve">london-underground\1983-tube-stock.dat</t>
  </si>
  <si>
    <t xml:space="preserve">1983TubeStockFrontUNDM</t>
  </si>
  <si>
    <t xml:space="preserve">1983TubeStockMiddle1</t>
  </si>
  <si>
    <t xml:space="preserve">1983TubeStockRearUNDM</t>
  </si>
  <si>
    <t xml:space="preserve">1983TubeStockRearDM</t>
  </si>
  <si>
    <t xml:space="preserve">BR-489[GLV]</t>
  </si>
  <si>
    <t xml:space="preserve">trains\br-489-glv-ic.dat</t>
  </si>
  <si>
    <t xml:space="preserve">BHC-AP1-88_100</t>
  </si>
  <si>
    <t xml:space="preserve">Hovercraft loading time: approx. 15 mins:
http://www.theyworkforyou.com/debates/?id=1986-06-05a.1100.0#g1124.0</t>
  </si>
  <si>
    <t xml:space="preserve">boats\ap1-88.dat</t>
  </si>
  <si>
    <t xml:space="preserve">BHC-AP1-88_400(Piece)</t>
  </si>
  <si>
    <t xml:space="preserve">BHC-AP1-88_400(Cool)</t>
  </si>
  <si>
    <t xml:space="preserve">bae-146-100</t>
  </si>
  <si>
    <t xml:space="preserve">gear=1
length=8
@ ISA (sea level, 0Centigrades), Runway Dry
minimum_runway_length=1000
@ ISA+10C, Runway dry = +10%</t>
  </si>
  <si>
    <t xml:space="preserve">air\bae-146-100.dat</t>
  </si>
  <si>
    <t xml:space="preserve">Baguely-Drewery-0-6-0</t>
  </si>
  <si>
    <t xml:space="preserve">http://www.festipedia.org.uk/wiki/Criccieth_Castle
Guessed value
See Ffestiniog illustrated stock list p. 25
No information - guessed</t>
  </si>
  <si>
    <t xml:space="preserve">narrowgauge\baguely-drewery-0-6-0.dat</t>
  </si>
  <si>
    <t xml:space="preserve">1983TubeStockMiddle2</t>
  </si>
  <si>
    <t xml:space="preserve">AustinMaestroCool</t>
  </si>
  <si>
    <t xml:space="preserve">bus\austin-maestro-van.dat</t>
  </si>
  <si>
    <t xml:space="preserve">Petrol1980</t>
  </si>
  <si>
    <t xml:space="preserve">AustinMaestroPost</t>
  </si>
  <si>
    <t xml:space="preserve">Blackpool-Centenary</t>
  </si>
  <si>
    <t xml:space="preserve">http://www.britishtramsonline.co.uk/blackpoolfleet.doc
http://www.britishtramsonline.co.uk/blackpoolfleet.doc</t>
  </si>
  <si>
    <t xml:space="preserve">trams\blackpool-centenary.dat</t>
  </si>
  <si>
    <t xml:space="preserve">AustinMaestroPiece</t>
  </si>
  <si>
    <t xml:space="preserve">beechcraft-1900c</t>
  </si>
  <si>
    <t xml:space="preserve">https://en.wikipedia.org/wiki/Beechcraft_1900
http://www.airliners.net/aircraft-data/raytheon-beechcraft-1900/329
http://www.asslpk.com/beech-1900c.html
https://www.cgtrader.com/items/159850/download-page
length=8
http://www.maverickairlines.com/maverick-beechcraft1900-airplane.aspx
http://www.aero-news.net/index.cfm?do=main.textpost&amp;id=732cbc6e-a18e-4523-b985-cedc2277d071</t>
  </si>
  <si>
    <t xml:space="preserve">air\beechcraft-1900c.dat</t>
  </si>
  <si>
    <t xml:space="preserve">beechcraft-1900c-mail</t>
  </si>
  <si>
    <t xml:space="preserve">https://www.cgtrader.com/items/159850/download-page
length=8
http://www.maverickairlines.com/maverick-beechcraft1900-airplane.aspx
http://www.aero-news.net/index.cfm?do=main.textpost&amp;id=732cbc6e-a18e-4523-b985-cedc2277d071</t>
  </si>
  <si>
    <t xml:space="preserve">LeylandRoadrunnerBulk</t>
  </si>
  <si>
    <t xml:space="preserve">bus\leyland-roadrunner.dat</t>
  </si>
  <si>
    <t xml:space="preserve">LeylandRoadrunnerLong</t>
  </si>
  <si>
    <t xml:space="preserve">LeylandRoadrunnerPiece</t>
  </si>
  <si>
    <t xml:space="preserve">LeylandRoadrunnerCool</t>
  </si>
  <si>
    <t xml:space="preserve">LeylandRoadrunnerLivestock</t>
  </si>
  <si>
    <t xml:space="preserve">LeylandRoadrunnerPost</t>
  </si>
  <si>
    <t xml:space="preserve">br-150-front</t>
  </si>
  <si>
    <t xml:space="preserve">BSI multiple working</t>
  </si>
  <si>
    <t xml:space="preserve">trains\br-150.dat</t>
  </si>
  <si>
    <t xml:space="preserve">br-150-centre</t>
  </si>
  <si>
    <t xml:space="preserve">br-150-rear</t>
  </si>
  <si>
    <t xml:space="preserve">BSI multiple working.</t>
  </si>
  <si>
    <t xml:space="preserve">LeylandOlympianCoach</t>
  </si>
  <si>
    <t xml:space="preserve">http://web.archive.org/web/20140201062049/http://www.countrybus.org/Olympian/LRC.htm
This is the 11m version
TL11 engine (turbocharged)
http://middx.net/aec/board/viewtopic.php?f=1&amp;t=403
Coach (short distance): 5.0 seconds per passenger
TODO: Add multiple liveries</t>
  </si>
  <si>
    <t xml:space="preserve">bus\leyland-olympian-coach.dat</t>
  </si>
  <si>
    <t xml:space="preserve">boeing-737-300</t>
  </si>
  <si>
    <t xml:space="preserve">http://www.airliners.net/aircraft-data/boeing-737-300/92
http://www.b737.org.uk/techspecsdetailed.htm
https://www.cgtrader.com/free-3d-models/aircraft/commercial/old-shenzhen-airlines-boeing-737-300
LRC (TAS)
length=8
@ ISA (sea level, 0Centigrades), Runway Dry
minimum_runway_length=1939
@ ISA+20C, Runway dry = +10%</t>
  </si>
  <si>
    <t xml:space="preserve">air\boeing-737-300.dat</t>
  </si>
  <si>
    <t xml:space="preserve">boeing-737-300-high-density</t>
  </si>
  <si>
    <t xml:space="preserve">https://www.cgtrader.com/free-3d-models/aircraft/commercial/old-shenzhen-airlines-boeing-737-300
LRC (TAS)
length=8
@ ISA (sea level, 0Centigrades), Runway Dry
minimum_runway_length=1939
@ ISA+20C, Runway dry = +10%</t>
  </si>
  <si>
    <t xml:space="preserve">br-142-front</t>
  </si>
  <si>
    <t xml:space="preserve">trains\br-142.dat</t>
  </si>
  <si>
    <t xml:space="preserve">br-142-rear</t>
  </si>
  <si>
    <t xml:space="preserve">BR-Mk3-DVT</t>
  </si>
  <si>
    <t xml:space="preserve">trains\br-mk3-dvt.dat</t>
  </si>
  <si>
    <t xml:space="preserve">atr-42-300f-post</t>
  </si>
  <si>
    <t xml:space="preserve">payload 2.1t
length=8
@ ISA (sea level, 0Centigrades), Runway Dry
minimum_runway_length=1100
@ ISA+10C, Runway dry = +10%</t>
  </si>
  <si>
    <t xml:space="preserve">air\atr-42-300f.dat</t>
  </si>
  <si>
    <t xml:space="preserve">atr-42-300f-piece</t>
  </si>
  <si>
    <t xml:space="preserve">gear=1
payload 2.1t
length=8
@ ISA (sea level, 0Centigrades), Runway Dry
minimum_runway_length=1100
@ ISA+10C, Runway dry = +10%</t>
  </si>
  <si>
    <t xml:space="preserve">atr-42-300f-cool</t>
  </si>
  <si>
    <t xml:space="preserve">FordTransitPiece</t>
  </si>
  <si>
    <t xml:space="preserve">http://www.transit-center.uk/transit-mk3-data-specification.php
There were many versions of the Ford transit; TODO: add more of them
This is intended to be the long wheelbase, mid-height roof version
of the mk. 2 (3?) introduced in 1986.
TODO: Consider whether to introduce a petrol version alongside this
diesel version</t>
  </si>
  <si>
    <t xml:space="preserve">bus\ford-transit.dat</t>
  </si>
  <si>
    <t xml:space="preserve">FordTransitCool</t>
  </si>
  <si>
    <t xml:space="preserve">FordTransitPost</t>
  </si>
  <si>
    <t xml:space="preserve">mcw-metrorider-short</t>
  </si>
  <si>
    <t xml:space="preserve">https://en.wikipedia.org/wiki/MCW_Metrorider
http://www.aronline.co.uk/blogs/facts-and-figures/essays/mcw-optare-metrorider-a-bus-right-on-time/
Extended from April 2000 to match with introduction date of Optare Alero.
Cummins B Series engine
Lower in power than the Optare version
Await more suitable sound effect
Guessed
Single entrance pay driver (with narrow doorway): 4.4 seconds per passenger</t>
  </si>
  <si>
    <t xml:space="preserve">bus\mcw-metrorider-short.dat</t>
  </si>
  <si>
    <t xml:space="preserve">mcw-metrorider-long</t>
  </si>
  <si>
    <t xml:space="preserve">http://www.aronline.co.uk/blogs/facts-and-figures/essays/mcw-optare-metrorider-a-bus-right-on-time/
Apparently, these had corrosion problems (the long ones in particular)
Cummins B Series engine
Lower in power than the Optare version
TODO: Use a more authentic sound here
Guessed
Single entrance pay driver with narrow entrance: 4.4 seconds per passenger</t>
  </si>
  <si>
    <t xml:space="preserve">bus\mcw-metrorider-long.dat</t>
  </si>
  <si>
    <t xml:space="preserve">LeylandLynx</t>
  </si>
  <si>
    <t xml:space="preserve">https://en.wikipedia.org/wiki/Leyland_Lynx
TL11 engine (turbocharged)
http://middx.net/aec/board/viewtopic.php?f=1&amp;t=403
Single door pay driver: 4.0 seconds per passenger
NOTE: This is actually a later "Travel West Midlands" livery</t>
  </si>
  <si>
    <t xml:space="preserve">bus\leyland-lynx.dat</t>
  </si>
  <si>
    <t xml:space="preserve">LeylandDAF65Bulk</t>
  </si>
  <si>
    <t xml:space="preserve">bus\leyland-daf-65.dat</t>
  </si>
  <si>
    <t xml:space="preserve">LeylandDAF65Long</t>
  </si>
  <si>
    <t xml:space="preserve">LeylandDAF65Piece</t>
  </si>
  <si>
    <t xml:space="preserve">LeylandDAF65Cool</t>
  </si>
  <si>
    <t xml:space="preserve">LeylandDAF65Livestock</t>
  </si>
  <si>
    <t xml:space="preserve">LeylandDAF65Post</t>
  </si>
  <si>
    <t xml:space="preserve">HSC-Our-Lady</t>
  </si>
  <si>
    <t xml:space="preserve">https://en.wikipedia.org/wiki/HSC_Our_Lady_Pamela
http://thm-a01.yimg.com/nimage/dd2a03bd1f034982
15-20 minutes</t>
  </si>
  <si>
    <t xml:space="preserve">boats\hsc-our-lady.dat</t>
  </si>
  <si>
    <t xml:space="preserve">FordEscortPiece</t>
  </si>
  <si>
    <t xml:space="preserve">bus\ford-escort-van.dat</t>
  </si>
  <si>
    <t xml:space="preserve">FordEscortCool</t>
  </si>
  <si>
    <t xml:space="preserve">FordEscortPost</t>
  </si>
  <si>
    <t xml:space="preserve">Loch</t>
  </si>
  <si>
    <t xml:space="preserve">boats\loch.dat</t>
  </si>
  <si>
    <t xml:space="preserve">BR-318-Driving-Front</t>
  </si>
  <si>
    <t xml:space="preserve">trains\br-318.dat</t>
  </si>
  <si>
    <t xml:space="preserve">BR-318-Motor</t>
  </si>
  <si>
    <t xml:space="preserve">BR-318-Driving-Rear</t>
  </si>
  <si>
    <t xml:space="preserve">LargeArticTrailerBulk</t>
  </si>
  <si>
    <t xml:space="preserve">Three axle trailers</t>
  </si>
  <si>
    <t xml:space="preserve">bus\large-artics.dat</t>
  </si>
  <si>
    <t xml:space="preserve">ModernTrailer</t>
  </si>
  <si>
    <t xml:space="preserve">LargeArticTrailerLong</t>
  </si>
  <si>
    <t xml:space="preserve">LargeArticTrailerPiece</t>
  </si>
  <si>
    <t xml:space="preserve">LargeArticTrailerLivestock</t>
  </si>
  <si>
    <t xml:space="preserve">LargeArticTrailerFluid</t>
  </si>
  <si>
    <t xml:space="preserve">LargeArticTrailerCars</t>
  </si>
  <si>
    <t xml:space="preserve">LargeArticTrailerMail</t>
  </si>
  <si>
    <t xml:space="preserve">POPrideAddMail</t>
  </si>
  <si>
    <t xml:space="preserve">boats\holds\po-pride-holds.dat</t>
  </si>
  <si>
    <t xml:space="preserve">POPrideAddPiece</t>
  </si>
  <si>
    <t xml:space="preserve">POPrideAddCool</t>
  </si>
  <si>
    <t xml:space="preserve">BR-Class90(GNER)</t>
  </si>
  <si>
    <t xml:space="preserve">livery-trains\br-cl90.dat</t>
  </si>
  <si>
    <t xml:space="preserve">BR-Class90(NationalExpress)</t>
  </si>
  <si>
    <t xml:space="preserve">POPride</t>
  </si>
  <si>
    <t xml:space="preserve">boats\boats224\po-pride.dat</t>
  </si>
  <si>
    <t xml:space="preserve">LargeArticTrailerCool</t>
  </si>
  <si>
    <t xml:space="preserve">BR-Class90</t>
  </si>
  <si>
    <t xml:space="preserve">trains\br-cl90.dat</t>
  </si>
  <si>
    <t xml:space="preserve">DLR-P86Front</t>
  </si>
  <si>
    <t xml:space="preserve">london-underground\dlr-p86.dat</t>
  </si>
  <si>
    <t xml:space="preserve">DLR-P86Rear</t>
  </si>
  <si>
    <t xml:space="preserve">LeylandDAF95Artic</t>
  </si>
  <si>
    <t xml:space="preserve">LeylandDAF95ArticMail</t>
  </si>
  <si>
    <t xml:space="preserve">br-156-front</t>
  </si>
  <si>
    <t xml:space="preserve">trains\br-156.dat</t>
  </si>
  <si>
    <t xml:space="preserve">br-156-front-trolley</t>
  </si>
  <si>
    <t xml:space="preserve">br-156-rear</t>
  </si>
  <si>
    <t xml:space="preserve">BR-319Front</t>
  </si>
  <si>
    <t xml:space="preserve">trains\br-319.dat</t>
  </si>
  <si>
    <t xml:space="preserve">BR-319FrontComposite</t>
  </si>
  <si>
    <t xml:space="preserve">BR-319Pantograph</t>
  </si>
  <si>
    <t xml:space="preserve">BR-319Engine</t>
  </si>
  <si>
    <t xml:space="preserve">BR-319Rear</t>
  </si>
  <si>
    <t xml:space="preserve">fokker-f50</t>
  </si>
  <si>
    <t xml:space="preserve">https://en.wikipedia.org/wiki/Fokker_50
https://3dwarehouse.sketchup.com/model/38195e54-1fd7-4c59-8c30-b47890d8d073/KLM-Cityhopper-Fokker-50
length=8
http://www.brinkley.cc/AC/f275.htm</t>
  </si>
  <si>
    <t xml:space="preserve">air\fokker-f50.dat</t>
  </si>
  <si>
    <t xml:space="preserve">fokker-f50-high-density</t>
  </si>
  <si>
    <t xml:space="preserve">https://3dwarehouse.sketchup.com/model/38195e54-1fd7-4c59-8c30-b47890d8d073/KLM-Cityhopper-Fokker-50
length=8
http://www.brinkley.cc/AC/f275.htm</t>
  </si>
  <si>
    <t xml:space="preserve">VolvoCitybus</t>
  </si>
  <si>
    <t xml:space="preserve">https://en.wikipedia.org/wiki/Volvo_B10M
http://web.archive.org/web/20080412093438/http://www.countrybus.org/Volvo/VC.htm
http://web.archive.org/web/20160118082037/http://www.countrybus.org/Volvo/VCGG.htm
Two door pay driver: 3.0 seconds per passenger</t>
  </si>
  <si>
    <t xml:space="preserve">bus\volvo-citybus.dat</t>
  </si>
  <si>
    <t xml:space="preserve">VolvoCitybus-1-door</t>
  </si>
  <si>
    <t xml:space="preserve">Single door pay driver: 4.0 seconds per passenger</t>
  </si>
  <si>
    <t xml:space="preserve">atr-42-320</t>
  </si>
  <si>
    <t xml:space="preserve">length=8
@ ISA (sea level, 0Centigrades), Runway Dry
minimum_runway_length=1000
@ ISA+10C, Runway dry = +10%</t>
  </si>
  <si>
    <t xml:space="preserve">air\atr-42-320.dat</t>
  </si>
  <si>
    <t xml:space="preserve">BR-Class91(NXEC)</t>
  </si>
  <si>
    <t xml:space="preserve">livery-trains\br-cl91-nxec.dat</t>
  </si>
  <si>
    <t xml:space="preserve">BR-Mk3-DVT(GNER)</t>
  </si>
  <si>
    <t xml:space="preserve">BR-Mk4-DVT(EastCoast)</t>
  </si>
  <si>
    <t xml:space="preserve">livery-trains\br-mk4-ec.dat</t>
  </si>
  <si>
    <t xml:space="preserve">BR-Mk4-DVT(NXEC)</t>
  </si>
  <si>
    <t xml:space="preserve">livery-trains\br-mk4-nxec.dat</t>
  </si>
  <si>
    <t xml:space="preserve">BR-Class91(EastCoast)</t>
  </si>
  <si>
    <t xml:space="preserve">livery-trains\br-cl91-ec.dat</t>
  </si>
  <si>
    <t xml:space="preserve">BR-Mk3-DVT(BlueGrey)</t>
  </si>
  <si>
    <t xml:space="preserve">BR-321(front)</t>
  </si>
  <si>
    <t xml:space="preserve">trains\br-321.dat</t>
  </si>
  <si>
    <t xml:space="preserve">BR-321(front-composite)</t>
  </si>
  <si>
    <t xml:space="preserve">BR-321(pantograph)</t>
  </si>
  <si>
    <t xml:space="preserve">BR-321(motor)</t>
  </si>
  <si>
    <t xml:space="preserve">BR-321(rear)</t>
  </si>
  <si>
    <t xml:space="preserve">BR-Class91</t>
  </si>
  <si>
    <t xml:space="preserve">trains\br-cl91.dat</t>
  </si>
  <si>
    <t xml:space="preserve">BR-Mk4-DVT(GNER)</t>
  </si>
  <si>
    <t xml:space="preserve">livery-trains\br-mk4-gner.dat</t>
  </si>
  <si>
    <t xml:space="preserve">BR-Mk3-DVT(NationalExpress)</t>
  </si>
  <si>
    <t xml:space="preserve">BR-Class91(GNER)</t>
  </si>
  <si>
    <t xml:space="preserve">livery-trains\br-cl91-gner.dat</t>
  </si>
  <si>
    <t xml:space="preserve">BR-442-Front</t>
  </si>
  <si>
    <t xml:space="preserve">http://www.networksoutheast.net/dc.html</t>
  </si>
  <si>
    <t xml:space="preserve">trains\br-442.dat</t>
  </si>
  <si>
    <t xml:space="preserve">BR-442-Middle1</t>
  </si>
  <si>
    <t xml:space="preserve">BR-442-Middle2</t>
  </si>
  <si>
    <t xml:space="preserve">BR-442-Middle3</t>
  </si>
  <si>
    <t xml:space="preserve">BR-442-Rear</t>
  </si>
  <si>
    <t xml:space="preserve">airbus-a320</t>
  </si>
  <si>
    <t xml:space="preserve">gear=1
length=8
Upgrade consists just of changing seats
@ ISA (sea level, 0Centigrades), Runway Dry
minimum_runway_length=1900
@ ISA+10C, Runway dry = +10%</t>
  </si>
  <si>
    <t xml:space="preserve">air\airbus-a320.dat</t>
  </si>
  <si>
    <t xml:space="preserve">airbus-a320-high-density</t>
  </si>
  <si>
    <t xml:space="preserve">LeylandDAF85Artic</t>
  </si>
  <si>
    <t xml:space="preserve">LeylandDAF85ArticMail</t>
  </si>
  <si>
    <t xml:space="preserve">LeylandDAF85RigidBulk</t>
  </si>
  <si>
    <t xml:space="preserve">bus\leyland-daf-85-rigid.dat</t>
  </si>
  <si>
    <t xml:space="preserve">LeylandDAF85RigidLong</t>
  </si>
  <si>
    <t xml:space="preserve">LeylandDAF85RigidFluid</t>
  </si>
  <si>
    <t xml:space="preserve">ThameslineRiverbus</t>
  </si>
  <si>
    <t xml:space="preserve">boats\thamesline-riverbus.dat</t>
  </si>
  <si>
    <t xml:space="preserve">bae-atp</t>
  </si>
  <si>
    <t xml:space="preserve">http://www.airliners.net/aircraft-data/british-aerospace-atp/58
https://3dwarehouse.sketchup.com/model/7a13a7e4c3cc5fb898459325335edae9/asian-spirit-bae-atp
length=8
http://aircyber.weebly.com/aircraft-runway-requirements.html</t>
  </si>
  <si>
    <t xml:space="preserve">air\bae-atp.dat</t>
  </si>
  <si>
    <t xml:space="preserve">bae-atp-high-density</t>
  </si>
  <si>
    <t xml:space="preserve">https://3dwarehouse.sketchup.com/model/7a13a7e4c3cc5fb898459325335edae9/asian-spirit-bae-atp
length=8
http://aircyber.weebly.com/aircraft-runway-requirements.html</t>
  </si>
  <si>
    <t xml:space="preserve">optare-delta</t>
  </si>
  <si>
    <t xml:space="preserve">https://en.wikipedia.org/wiki/Optare_Excel
DAF DKTL 1160 (11.6 litres)
http://portal.enginedesk.net/engine/daf/1160_dktl/technical/data/471/0/KOP
TODO: Use a more accurate sound here.
Single entrance pay driver 4.0 seconds per passenger
TODO: Add more liveries and length varients. This is the longest.</t>
  </si>
  <si>
    <t xml:space="preserve">bus\optare-delta.dat</t>
  </si>
  <si>
    <t xml:space="preserve">boeing-737-400</t>
  </si>
  <si>
    <t xml:space="preserve">http://www.airliners.net/aircraft-data/boeing-737-400/93
http://www.b737.org.uk/techspecsdetailed.htm
https://www.cgtrader.com/free-3d-models/aircraft/commercial/boeing-737-400-tailwind-airlines
LRC (TAS)
gear=1
length=8
@ ISA (sea level, 0Centigrades), Runway Dry
minimum_runway_length=2540
@ ISA+20C, Runway dry = +10%</t>
  </si>
  <si>
    <t xml:space="preserve">air\boeing-737-400.dat</t>
  </si>
  <si>
    <t xml:space="preserve">boeing-737-400-high-density</t>
  </si>
  <si>
    <t xml:space="preserve">https://www.cgtrader.com/free-3d-models/aircraft/commercial/boeing-737-400-tailwind-airlines
LRC (TAS)
gear=1
length=8
@ ISA (sea level, 0Centigrades), Runway Dry
minimum_runway_length=2540
@ ISA+20C, Runway dry = +10%</t>
  </si>
  <si>
    <t xml:space="preserve">bae-146-300qt-mail</t>
  </si>
  <si>
    <t xml:space="preserve">gear=1
payload 9.4t
length=8
@ ISA (sea level, 0Centigrades), Runway Dry
minimum_runway_length=1100
@ ISA+10C, Runway dry = +10%</t>
  </si>
  <si>
    <t xml:space="preserve">air\bae-146-300qt.dat</t>
  </si>
  <si>
    <t xml:space="preserve">bae-146-300qt-cool</t>
  </si>
  <si>
    <t xml:space="preserve">bae-146-300qt-piece</t>
  </si>
  <si>
    <t xml:space="preserve">bae-146-300</t>
  </si>
  <si>
    <t xml:space="preserve">gear=1
length=8
@ ISA (sea level, 0Centigrades), Runway Dry
minimum_runway_length=1100
@ ISA+10C, Runway dry = +10%</t>
  </si>
  <si>
    <t xml:space="preserve">air\bae-146-300.dat</t>
  </si>
  <si>
    <t xml:space="preserve">Optare-Metrorider-Long</t>
  </si>
  <si>
    <t xml:space="preserve">Extended from April 2000 to match with introduction date of Optare Alero.
Cummins 6BT engine
TODO: Use a more authentic sound here
Guessed
Single entrance pay driver: 4.0 seconds per passenger</t>
  </si>
  <si>
    <t xml:space="preserve">bus\optare-metrorider-long.dat</t>
  </si>
  <si>
    <t xml:space="preserve">BR-Mk4-RSB(EastCoast)</t>
  </si>
  <si>
    <t xml:space="preserve">BR-Mk4-TSO(EastCoast)</t>
  </si>
  <si>
    <t xml:space="preserve">BR-Mk4-RSB(NXEC)</t>
  </si>
  <si>
    <t xml:space="preserve">BR-Mk4-TSO(NXEC)</t>
  </si>
  <si>
    <t xml:space="preserve">Optare-Metrorider-Short</t>
  </si>
  <si>
    <t xml:space="preserve">bus\optare-metrorider-short.dat</t>
  </si>
  <si>
    <t xml:space="preserve">BR-Mk4-RSB(GNER)</t>
  </si>
  <si>
    <t xml:space="preserve">BR-Mk4-TSO(GNER)</t>
  </si>
  <si>
    <t xml:space="preserve">BR-Class483Front</t>
  </si>
  <si>
    <t xml:space="preserve">http://upload.wikimedia.org/wikipedia/commons/2/25/483004_Interior.JPG</t>
  </si>
  <si>
    <t xml:space="preserve">london-underground\br-cl483.dat</t>
  </si>
  <si>
    <t xml:space="preserve">BR-Class483NDM</t>
  </si>
  <si>
    <t xml:space="preserve">BR-Class483Trailer</t>
  </si>
  <si>
    <t xml:space="preserve">BR-Class483Rear</t>
  </si>
  <si>
    <t xml:space="preserve">boeing-747-400</t>
  </si>
  <si>
    <t xml:space="preserve">http://www.airliners.net/aircraft-data/boeing-747-400/100
length=8
official end of sales 03/2007, deliberately considering this model still being sold for a wide body available after 2007
@ ISA (sea level, 0Centigrades), Runway Dry
minimum_runway_length=3200
@ ISA+10C, Runway dry = +10%</t>
  </si>
  <si>
    <t xml:space="preserve">air\air256\boeing-747-400.dat</t>
  </si>
  <si>
    <t xml:space="preserve">boeing-747-400-high-density</t>
  </si>
  <si>
    <t xml:space="preserve">length=8
official end of sales 03/2007, deliberately considering this model still being sold for a wide body available after 2007
@ ISA (sea level, 0Centigrades), Runway Dry
minimum_runway_length=3200
@ ISA+10C, Runway dry = +10%</t>
  </si>
  <si>
    <t xml:space="preserve">BR-Class60</t>
  </si>
  <si>
    <t xml:space="preserve">trains\br-cl60.dat</t>
  </si>
  <si>
    <t xml:space="preserve">atr-72-200</t>
  </si>
  <si>
    <t xml:space="preserve">gear=1
length=8
@ ISA (sea level, 0Centigrades), Runway Dry
minimum_runway_length=1400
@ ISA+10C, Runway dry = +10%</t>
  </si>
  <si>
    <t xml:space="preserve">air\atr-72-200.dat</t>
  </si>
  <si>
    <t xml:space="preserve">atr-72-200f-post</t>
  </si>
  <si>
    <t xml:space="preserve">gear=1
payload 4.8t
length=8
@ ISA (sea level, 0Centigrades), Runway Dry
minimum_runway_length=1400
@ ISA+10C, Runway dry = +10%</t>
  </si>
  <si>
    <t xml:space="preserve">air\atr-72-200f.dat</t>
  </si>
  <si>
    <t xml:space="preserve">atr-72-200f-piece</t>
  </si>
  <si>
    <t xml:space="preserve">atr-72-200f-cool</t>
  </si>
  <si>
    <t xml:space="preserve">BR-Mk4-FO</t>
  </si>
  <si>
    <t xml:space="preserve">NOTE: These graphics have been increased slightly in size
to match graphics produced with the old workflow.</t>
  </si>
  <si>
    <t xml:space="preserve">trains\br-mk4-fo.dat</t>
  </si>
  <si>
    <t xml:space="preserve">dennis-dart-9.8m-1-door</t>
  </si>
  <si>
    <t xml:space="preserve">https://en.wikipedia.org/wiki/Dennis_Dart
Original 9.8m version with Pointer body
Cummins 6BT engine
Single door pay driver: 4.0 seconds per passenger</t>
  </si>
  <si>
    <t xml:space="preserve">bus\dennis-dart-9.8m.dat</t>
  </si>
  <si>
    <t xml:space="preserve">dennis-dart-9.8m-2-door</t>
  </si>
  <si>
    <t xml:space="preserve">https://en.wikipedia.org/wiki/Dennis_Dart
Original 9.8m version with Pointer body
Cummins 6BT engine
Double door pay driver: 3.0 seconds per passenger</t>
  </si>
  <si>
    <t xml:space="preserve">BR-Mk4-DVT</t>
  </si>
  <si>
    <t xml:space="preserve">trains\br-mk4-dvt.dat</t>
  </si>
  <si>
    <t xml:space="preserve">BR-Mk4-RSB</t>
  </si>
  <si>
    <t xml:space="preserve">trains\br-mk4-rsb.dat</t>
  </si>
  <si>
    <t xml:space="preserve">BR-Mk4-TSO</t>
  </si>
  <si>
    <t xml:space="preserve">trains\br-mk4-tso.dat</t>
  </si>
  <si>
    <t xml:space="preserve">DennisDart</t>
  </si>
  <si>
    <t xml:space="preserve">https://en.wikipedia.org/wiki/Dennis_Dart
Original 9.0m version with Pointer body
Cummins 6BT engine
Single door pay driver: 4.0 seconds per passenger</t>
  </si>
  <si>
    <t xml:space="preserve">bus\dennis-dart.dat</t>
  </si>
  <si>
    <t xml:space="preserve">LeylandDAF200Piece</t>
  </si>
  <si>
    <t xml:space="preserve">https://en.wikipedia.org/wiki/LDV_Pilot#Leyland_DAF_200_Series_(1989%E2%80%931993)
These were available in diesel and petrol
TODO: Add the petrol version
http://www.carsurvey.org/reviews/leyland_daf/200/
38-40mph at 60mph</t>
  </si>
  <si>
    <t xml:space="preserve">bus\leyland-daf-200.dat</t>
  </si>
  <si>
    <t xml:space="preserve">LeylandDAF200Cool</t>
  </si>
  <si>
    <t xml:space="preserve">LeylandDAF200Post</t>
  </si>
  <si>
    <t xml:space="preserve">Incat74m</t>
  </si>
  <si>
    <t xml:space="preserve">http://www.boats.com/boat-details/INCAT-Wave-Piercing-Catamaran-Ferry/122795431
30-40 minutes</t>
  </si>
  <si>
    <t xml:space="preserve">boats\boats192\incat-74m.dat</t>
  </si>
  <si>
    <t xml:space="preserve">Incat74m(AddMail)</t>
  </si>
  <si>
    <t xml:space="preserve">br-158-front</t>
  </si>
  <si>
    <t xml:space="preserve">TODO: Add Class 159 (with first class)
BSI multiple working</t>
  </si>
  <si>
    <t xml:space="preserve">trains\br-158.dat</t>
  </si>
  <si>
    <t xml:space="preserve">br-158-centre</t>
  </si>
  <si>
    <t xml:space="preserve">br-158-rear</t>
  </si>
  <si>
    <t xml:space="preserve">BR-456-DMSO</t>
  </si>
  <si>
    <t xml:space="preserve">trains\br-456.dat</t>
  </si>
  <si>
    <t xml:space="preserve">BR-456-DTSO</t>
  </si>
  <si>
    <t xml:space="preserve">br-153</t>
  </si>
  <si>
    <t xml:space="preserve">trains\br-153.dat</t>
  </si>
  <si>
    <t xml:space="preserve">br-153-trolley</t>
  </si>
  <si>
    <t xml:space="preserve">FBM-Hydrocat</t>
  </si>
  <si>
    <t xml:space="preserve">boats\fbm-hydrocat.dat</t>
  </si>
  <si>
    <t xml:space="preserve">beechcraft-1900d</t>
  </si>
  <si>
    <t xml:space="preserve">https://en.wikipedia.org/wiki/Beechcraft_1900
http://www.flugzeuginfo.net/acdata_php/acdata_1900_en.php
https://www.cgtrader.com/items/159850/download-page
length=8
http://www.maverickairlines.com/maverick-beechcraft1900-airplane.aspx
http://www.aero-news.net/index.cfm?do=main.textpost&amp;id=732cbc6e-a18e-4523-b985-cedc2277d071</t>
  </si>
  <si>
    <t xml:space="preserve">air\beechcraft-1900d.dat</t>
  </si>
  <si>
    <t xml:space="preserve">beechcraft-1900d-mail</t>
  </si>
  <si>
    <t xml:space="preserve">plaxton-premiere</t>
  </si>
  <si>
    <t xml:space="preserve">https://en.wikipedia.org/wiki/Plaxton_Premiere
http://www.volvodemort.com/technical/engine.html
Coach: 7.5 seconds per passenger
TODO: Add more liveries</t>
  </si>
  <si>
    <t xml:space="preserve">bus\plaxton-premiere.dat</t>
  </si>
  <si>
    <t xml:space="preserve">BR-165Front</t>
  </si>
  <si>
    <t xml:space="preserve">http://web.archive.org/web/20080219234521/http://www.therailwaycentre.com/New%20DMU%20Tech%20Data%20/DMU_165.html</t>
  </si>
  <si>
    <t xml:space="preserve">trains\br-165.dat</t>
  </si>
  <si>
    <t xml:space="preserve">BR-165Middle</t>
  </si>
  <si>
    <t xml:space="preserve">BR-165Rear</t>
  </si>
  <si>
    <t xml:space="preserve">POSuperEuropeanFreightAddMail</t>
  </si>
  <si>
    <t xml:space="preserve">boats\holds\po-super-european-freight-holds.dat</t>
  </si>
  <si>
    <t xml:space="preserve">POSuperEuropeanFreightAddPiece</t>
  </si>
  <si>
    <t xml:space="preserve">POSuperEuropeanFreightAddCool</t>
  </si>
  <si>
    <t xml:space="preserve">POSuperEuropeanFreight</t>
  </si>
  <si>
    <t xml:space="preserve">boats\boats224\po-super-european-freight.dat</t>
  </si>
  <si>
    <t xml:space="preserve">BR-465Front</t>
  </si>
  <si>
    <t xml:space="preserve">http://www.networksoutheast.net/dc.html
DMSO</t>
  </si>
  <si>
    <t xml:space="preserve">trains\br-465.dat</t>
  </si>
  <si>
    <t xml:space="preserve">BR-465Middle</t>
  </si>
  <si>
    <t xml:space="preserve">TSO
The capacity is a mid-point between the
TSOL (86) and the TSO (90)</t>
  </si>
  <si>
    <t xml:space="preserve">BR-465Rear</t>
  </si>
  <si>
    <t xml:space="preserve">boeing-747-400f-mail</t>
  </si>
  <si>
    <t xml:space="preserve">payload 49,36t
length=8
@ ISA (sea level, 0Centigrades), Runway Dry
minimum_runway_length=3200
@ ISA+10C, Runway dry = +10%</t>
  </si>
  <si>
    <t xml:space="preserve">air\air256\boeing-747-400f.dat</t>
  </si>
  <si>
    <t xml:space="preserve">boeing-747-400f-piece</t>
  </si>
  <si>
    <t xml:space="preserve">payload 49.36t
length=8
@ ISA (sea level, 0Centigrades), Runway Dry
minimum_runway_length=3200
@ ISA+10C, Runway dry = +10%</t>
  </si>
  <si>
    <t xml:space="preserve">boeing-747-400f-cool</t>
  </si>
  <si>
    <t xml:space="preserve">Metrolink-T86(Front)</t>
  </si>
  <si>
    <t xml:space="preserve">http://en.wikipedia.org/wiki/T-68
http://en.wikipedia.org/wiki/T-68
This gives "per vehicle" specifications, which can only
sensibly mean per set of two, as 45t each is insane,
likewise the capacity.</t>
  </si>
  <si>
    <t xml:space="preserve">trams\metrolink-t86-front.dat</t>
  </si>
  <si>
    <t xml:space="preserve">Metrolink-T86(Rear)</t>
  </si>
  <si>
    <t xml:space="preserve">trams\metrolink-t86-back.dat</t>
  </si>
  <si>
    <t xml:space="preserve">DLR-B92Front</t>
  </si>
  <si>
    <t xml:space="preserve">london-underground\dlr-b92.dat</t>
  </si>
  <si>
    <t xml:space="preserve">DLR-B92Rear</t>
  </si>
  <si>
    <t xml:space="preserve">BR-323Front</t>
  </si>
  <si>
    <t xml:space="preserve">trains\br-323.dat</t>
  </si>
  <si>
    <t xml:space="preserve">BR-323Rear</t>
  </si>
  <si>
    <t xml:space="preserve">BR-323Middle</t>
  </si>
  <si>
    <t xml:space="preserve">1992TubeStockFront</t>
  </si>
  <si>
    <t xml:space="preserve">london-underground\1992-tube-stock-LU.dat</t>
  </si>
  <si>
    <t xml:space="preserve">1992TubeStockMiddle1</t>
  </si>
  <si>
    <t xml:space="preserve">1992TubeStockMiddle2</t>
  </si>
  <si>
    <t xml:space="preserve">1992TubeStockRear</t>
  </si>
  <si>
    <t xml:space="preserve">BR-166Front</t>
  </si>
  <si>
    <t xml:space="preserve">http://web.archive.org/web/20080219234526/http://www.therailwaycentre.com:80/New%20DMU%20Tech%20Data%20/DMU_166.html</t>
  </si>
  <si>
    <t xml:space="preserve">trains\br-166.dat</t>
  </si>
  <si>
    <t xml:space="preserve">BR-166Middle</t>
  </si>
  <si>
    <t xml:space="preserve">BR-166Middle-Trolley</t>
  </si>
  <si>
    <t xml:space="preserve">BR-166Rear</t>
  </si>
  <si>
    <t xml:space="preserve">Query whether this should be compatible with the class 14x and 15x BSI system.</t>
  </si>
  <si>
    <t xml:space="preserve">Sheffield-Supertram(Front)</t>
  </si>
  <si>
    <t xml:space="preserve">http://en.wikipedia.org/wiki/Siemens-Duewag_Supertram
TODO: Consider adding earlier liveries.</t>
  </si>
  <si>
    <t xml:space="preserve">trams\sheffield-supertram-front.dat</t>
  </si>
  <si>
    <t xml:space="preserve">Sheffield-Supertram(Rear)</t>
  </si>
  <si>
    <t xml:space="preserve">http://en.wikipedia.org/wiki/Siemens-Duewag_Supertram</t>
  </si>
  <si>
    <t xml:space="preserve">trams\sheffield-supertram-rear.dat</t>
  </si>
  <si>
    <t xml:space="preserve">Sheffield-Supertram(Middle)</t>
  </si>
  <si>
    <t xml:space="preserve">trams\sheffield-supertram-middle.dat</t>
  </si>
  <si>
    <t xml:space="preserve">VolvoOlympian</t>
  </si>
  <si>
    <t xml:space="preserve">http://web.archive.org/web/20121001044152/http://www.countrybus.org/Volvo/NVLSub.htm#content
https://en.wikipedia.org/wiki/Volvo_Olympian
Volvo TD102KF
Two door pay driver: 3.0 seconds per passenger</t>
  </si>
  <si>
    <t xml:space="preserve">bus\volvo-olympian.dat</t>
  </si>
  <si>
    <t xml:space="preserve">VolvoOlympian-1-door</t>
  </si>
  <si>
    <t xml:space="preserve">Volvo TD102KF
Two door pay driver: 4.0 seconds per passenger</t>
  </si>
  <si>
    <t xml:space="preserve">airbus-a321</t>
  </si>
  <si>
    <t xml:space="preserve">gear=1
length=8
Upgrade consists just of changing seats
@ ISA (sea level, 0Centigrades), Runway Dry
minimum_runway_length=2050
@ ISA+10C, Runway dry = +10%</t>
  </si>
  <si>
    <t xml:space="preserve">air\airbus-a321.dat</t>
  </si>
  <si>
    <t xml:space="preserve">airbus-a321-high-density</t>
  </si>
  <si>
    <t xml:space="preserve">BR-365Front</t>
  </si>
  <si>
    <t xml:space="preserve">trains\br-365.dat</t>
  </si>
  <si>
    <t xml:space="preserve">BR-365Power</t>
  </si>
  <si>
    <t xml:space="preserve">Note that this is not the power car, but the pantograph car: see http://en.wikipedia.org/wiki/British_Rail_Class_365</t>
  </si>
  <si>
    <t xml:space="preserve">BR-365Middle</t>
  </si>
  <si>
    <t xml:space="preserve">BR-365Rear</t>
  </si>
  <si>
    <t xml:space="preserve">BR-Class92</t>
  </si>
  <si>
    <t xml:space="preserve">retire_year=2030
retire_month=11
Within type only</t>
  </si>
  <si>
    <t xml:space="preserve">trains\br-cl92.dat</t>
  </si>
  <si>
    <t xml:space="preserve">atr-42-500f-post</t>
  </si>
  <si>
    <t xml:space="preserve">gear=1
payload 3.35t
length=8
@ ISA (sea level, 0Centigrades), Runway Dry
minimum_runway_length=1150
@ ISA+10C, Runway dry = +10%</t>
  </si>
  <si>
    <t xml:space="preserve">air\atr-42-500f.dat</t>
  </si>
  <si>
    <t xml:space="preserve">atr-42-500f-piece</t>
  </si>
  <si>
    <t xml:space="preserve">atr-42-500f-cool</t>
  </si>
  <si>
    <t xml:space="preserve">atr-42-500</t>
  </si>
  <si>
    <t xml:space="preserve">length=8
@ ISA (sea level, 0Centigrades), Runway Dry
minimum_runway_length=1150
@ ISA+10C, Runway dry = +10%</t>
  </si>
  <si>
    <t xml:space="preserve">air\atr-42-500.dat</t>
  </si>
  <si>
    <t xml:space="preserve">BR-373FrontCab</t>
  </si>
  <si>
    <t xml:space="preserve">Eurostar (original)
https://en.wikipedia.org/wiki/British_Rail_Class_373</t>
  </si>
  <si>
    <t xml:space="preserve">trains\br-373.dat</t>
  </si>
  <si>
    <t xml:space="preserve">BR-373FrontPower</t>
  </si>
  <si>
    <t xml:space="preserve">BR-373Coach</t>
  </si>
  <si>
    <t xml:space="preserve">BR-373CoachFirstClass</t>
  </si>
  <si>
    <t xml:space="preserve">BR-373Catering</t>
  </si>
  <si>
    <t xml:space="preserve">TODO: Produce separate graphics for the buffet car</t>
  </si>
  <si>
    <t xml:space="preserve">BR-373RearPower</t>
  </si>
  <si>
    <t xml:space="preserve">BR-373RearCab</t>
  </si>
  <si>
    <t xml:space="preserve">1995TubeStockMiddle1</t>
  </si>
  <si>
    <t xml:space="preserve">london-underground\1995-tube-stock.dat</t>
  </si>
  <si>
    <t xml:space="preserve">1995TubeStockFrontDM</t>
  </si>
  <si>
    <t xml:space="preserve">1995TubeStockFrontUNDM</t>
  </si>
  <si>
    <t xml:space="preserve">1995TubeStockMiddle2</t>
  </si>
  <si>
    <t xml:space="preserve">1995TubeStockRearUNDM</t>
  </si>
  <si>
    <t xml:space="preserve">1995TubeStockRearDM</t>
  </si>
  <si>
    <t xml:space="preserve">dennis-dart-slf-10.1m-1-door</t>
  </si>
  <si>
    <t xml:space="preserve">https://en.wikipedia.org/wiki/Dennis_Dart
Later low floor version with the 10.1m body
Cummins 6BT engine
Single door pay driver (low floor): 3.8 seconds per passenger</t>
  </si>
  <si>
    <t xml:space="preserve">bus\dennis-dart-slf-10.1m.dat</t>
  </si>
  <si>
    <t xml:space="preserve">dennis-dart-slf-10.1m-2-door</t>
  </si>
  <si>
    <t xml:space="preserve">https://en.wikipedia.org/wiki/Dennis_Dart
Later low floor version with the 10.1m body
Cummins 6BT engine
Double door pay driver (low floor): 2.8 seconds per passenger</t>
  </si>
  <si>
    <t xml:space="preserve">dennis-dart-slf-9.2m</t>
  </si>
  <si>
    <t xml:space="preserve">https://en.wikipedia.org/wiki/Dennis_Dart
Later low floor version with the 9.2m body
Cummins 6BT engine
Single door pay driver (low floor): 3.8 seconds per passenger</t>
  </si>
  <si>
    <t xml:space="preserve">bus\dennis-dart-slf-9.2m.dat</t>
  </si>
  <si>
    <t xml:space="preserve">OptareExcel</t>
  </si>
  <si>
    <t xml:space="preserve">https://en.wikipedia.org/wiki/Optare_Excel
Cummins 6BT engine
https://en.wikipedia.org/wiki/Cummins_B_Series_engine#6BT
TODO: Use a more accurate sound here.
Single entrance pay driver (low floor): 3.8 seconds per passenger
TODO: Add more liveries and length varients. This is the longest.</t>
  </si>
  <si>
    <t xml:space="preserve">bus\optare-excel.dat</t>
  </si>
  <si>
    <t xml:space="preserve">HSS-1500</t>
  </si>
  <si>
    <t xml:space="preserve">http://en.wikipedia.org/wiki/HSS_1500 - loading times 30 minutes or less (which is unusually low)
25-30 minutes</t>
  </si>
  <si>
    <t xml:space="preserve">boats\boats192\hss-1500.dat</t>
  </si>
  <si>
    <t xml:space="preserve">HSS-1500(AddMail)</t>
  </si>
  <si>
    <t xml:space="preserve">MidlandMetroT69Front</t>
  </si>
  <si>
    <t xml:space="preserve">http://en.wikipedia.org/wiki/Midland_Metro_rolling_stock</t>
  </si>
  <si>
    <t xml:space="preserve">trams\midland-metro-t69.dat</t>
  </si>
  <si>
    <t xml:space="preserve">MidlandMetroT69Rear</t>
  </si>
  <si>
    <t xml:space="preserve">RM-325Middle(RM)</t>
  </si>
  <si>
    <t xml:space="preserve">retire_year=2020
retire_month=11</t>
  </si>
  <si>
    <t xml:space="preserve">trains\rm-325middle-rm.dat</t>
  </si>
  <si>
    <t xml:space="preserve">MDV-1200</t>
  </si>
  <si>
    <t xml:space="preserve">30-40 minutes</t>
  </si>
  <si>
    <t xml:space="preserve">boats\boats192\mdv-1200.dat</t>
  </si>
  <si>
    <t xml:space="preserve">MDV-1200(AddMail)</t>
  </si>
  <si>
    <t xml:space="preserve">RM-325Front(RM)</t>
  </si>
  <si>
    <t xml:space="preserve">trains\rm-325front-rm.dat</t>
  </si>
  <si>
    <t xml:space="preserve">RM-325Power(RM)</t>
  </si>
  <si>
    <t xml:space="preserve">trains\rm-325power-rm.dat</t>
  </si>
  <si>
    <t xml:space="preserve">RM-325Rear(RM)</t>
  </si>
  <si>
    <t xml:space="preserve">trains\rm-325back-rm.dat</t>
  </si>
  <si>
    <t xml:space="preserve">HSC-FastCat</t>
  </si>
  <si>
    <t xml:space="preserve">15-20 minutes</t>
  </si>
  <si>
    <t xml:space="preserve">boats\hsc-fastcat.dat</t>
  </si>
  <si>
    <t xml:space="preserve">BR-Class57</t>
  </si>
  <si>
    <t xml:space="preserve">trains\br-cl57.dat</t>
  </si>
  <si>
    <t xml:space="preserve">erj-145</t>
  </si>
  <si>
    <t xml:space="preserve">https://en.wikipedia.org/wiki/Embraer_ERJ_145_family
http://www.airliners.net/aircraft-data/embraer-erj-145/198
CC-BY-SA
https://www.blendswap.com/blends/view/73072
length=8
Single class
http://www.embraercommercialjets.com.cn/AircraftPDF/E145_Performance.pdf</t>
  </si>
  <si>
    <t xml:space="preserve">air\erj-145.dat</t>
  </si>
  <si>
    <t xml:space="preserve">FR-Superbarn</t>
  </si>
  <si>
    <t xml:space="preserve">See http://www.festipedia.org.uk/wiki/Carriage_2040
http://www.flickr.com/photos/14730981@N08/8007231863/in/photostream/</t>
  </si>
  <si>
    <t xml:space="preserve">narrowgauge\fr-superbarn.dat</t>
  </si>
  <si>
    <t xml:space="preserve">FR-Superbarn-service-coach</t>
  </si>
  <si>
    <t xml:space="preserve">See http://www.festipedia.org.uk/wiki/Carriage_2010</t>
  </si>
  <si>
    <t xml:space="preserve">narrowgauge\fr-superbarn-service-coach.dat</t>
  </si>
  <si>
    <t xml:space="preserve">atr-72-500</t>
  </si>
  <si>
    <t xml:space="preserve">gear=1
length=8
@ ISA (sea level, 0Centigrades), Runway Dry
minimum_runway_length=1300
@ ISA+10C, Runway dry = +10%</t>
  </si>
  <si>
    <t xml:space="preserve">air\atr-72-500.dat</t>
  </si>
  <si>
    <t xml:space="preserve">atr-72-500-post</t>
  </si>
  <si>
    <t xml:space="preserve">gear=1
payload=5.4t
length=8
@ ISA (sea level, 0Centigrades), Runway Dry
minimum_runway_length=1300
@ ISA+10C, Runway dry = +10%</t>
  </si>
  <si>
    <t xml:space="preserve">air\atr-72-500-post.dat</t>
  </si>
  <si>
    <t xml:space="preserve">boeing-737-700</t>
  </si>
  <si>
    <t xml:space="preserve">https://en.wikipedia.org/wiki/Boeing_737_Next_Generation
http://www.b737.org.uk/techspecsdetailed.htm
http://www.airliners.net/aircraft-data/boeing-737-600700/95
https://www.cgtrader.com/free-3d-models/aircraft/commercial/united-airlines-boeing-737-924-er-n75436-continental-airlines-75th-anniversary-retro-livery-2015-wi-fi-dome
LRC (TAS)
length=8</t>
  </si>
  <si>
    <t xml:space="preserve">air\boeing-737-700.dat</t>
  </si>
  <si>
    <t xml:space="preserve">boeing-737-700-high-density</t>
  </si>
  <si>
    <t xml:space="preserve">https://www.cgtrader.com/free-3d-models/aircraft/commercial/united-airlines-boeing-737-924-er-n75436-continental-airlines-75th-anniversary-retro-livery-2015-wi-fi-dome
LRC (TAS)
length=8</t>
  </si>
  <si>
    <t xml:space="preserve">mercedes-citaro</t>
  </si>
  <si>
    <t xml:space="preserve">https://en.wikipedia.org/wiki/Mercedes-Benz_Citaro
2 axle standard version
http://www.mercedes-benz.com.sg/content/singapore/mpc/mpc_singapore_website/enng/home_mpc/bus/home/new_buses/models/regular_service_busses/citaro/technical_data.html
TODO: Use a more authentic sound for this type.
Two doors smartcard/prepay: 1.2 seconds per passenger</t>
  </si>
  <si>
    <t xml:space="preserve">bus\mercedes-citaro.dat</t>
  </si>
  <si>
    <t xml:space="preserve">BR-170Front</t>
  </si>
  <si>
    <t xml:space="preserve">http://nathanmorris.co.uk/seating%20plans/files/XC%20-%20Class%20170.pdf</t>
  </si>
  <si>
    <t xml:space="preserve">trains\br-170.dat</t>
  </si>
  <si>
    <t xml:space="preserve">BR-170Middle</t>
  </si>
  <si>
    <t xml:space="preserve">BR-170Rear</t>
  </si>
  <si>
    <t xml:space="preserve">BR-332(front)</t>
  </si>
  <si>
    <t xml:space="preserve">trains\br-332.dat</t>
  </si>
  <si>
    <t xml:space="preserve">BR-332(centre1)</t>
  </si>
  <si>
    <t xml:space="preserve">BR-332(centre2)</t>
  </si>
  <si>
    <t xml:space="preserve">BR-332(rear)</t>
  </si>
  <si>
    <t xml:space="preserve">BR-333(front)</t>
  </si>
  <si>
    <t xml:space="preserve">trains\br-333.dat</t>
  </si>
  <si>
    <t xml:space="preserve">BR-333(centre-pantograph)</t>
  </si>
  <si>
    <t xml:space="preserve">BR-333(centre-trailer)</t>
  </si>
  <si>
    <t xml:space="preserve">BR-333(rear)</t>
  </si>
  <si>
    <t xml:space="preserve">Blackpool-Millenium</t>
  </si>
  <si>
    <t xml:space="preserve">trams\blackpool-millenium.dat</t>
  </si>
  <si>
    <t xml:space="preserve">OptareSolo</t>
  </si>
  <si>
    <t xml:space="preserve">https://en.wikipedia.org/wiki/Optare_Solo
TODO: Use a more authentic sound here
Single entrance pay driver (low floor): 3.8 seconds per passenger
TODO: Add more length varients of this.</t>
  </si>
  <si>
    <t xml:space="preserve">bus\optare-solo.dat</t>
  </si>
  <si>
    <t xml:space="preserve">Flexity-SwiftFront</t>
  </si>
  <si>
    <t xml:space="preserve">These are still in production as of 2014:
http://en.wikipedia.org/wiki/Flexity_Swift
http://en.wikipedia.org/wiki/CR4000</t>
  </si>
  <si>
    <t xml:space="preserve">trams\bombardier-flexity-swift.dat</t>
  </si>
  <si>
    <t xml:space="preserve">Flexity-SwiftRear</t>
  </si>
  <si>
    <t xml:space="preserve">boeing-737-900er</t>
  </si>
  <si>
    <t xml:space="preserve">https://en.wikipedia.org/wiki/Boeing_737_Next_Generation
http://www.b737.org.uk/techspecsdetailed.htm
http://www.airliners.net/aircraft-data/boeing-737-800900/96
https://www.airlines-inform.com/commercial-aircraft/Boeing-737-900.html
https://www.cgtrader.com/free-3d-models/aircraft/commercial/united-airlines-boeing-737-924-er-n75436-continental-airlines-75th-anniversary-retro-livery-2015-wi-fi-dome
LRC (TAS)
gear=1
length=8</t>
  </si>
  <si>
    <t xml:space="preserve">air\boeing-737-900.dat</t>
  </si>
  <si>
    <t xml:space="preserve">boeing-737-900er-high-density</t>
  </si>
  <si>
    <t xml:space="preserve">https://www.cgtrader.com/free-3d-models/aircraft/commercial/united-airlines-boeing-737-924-er-n75436-continental-airlines-75th-anniversary-retro-livery-2015-wi-fi-dome
LRC (TAS)
gear=1
length=8</t>
  </si>
  <si>
    <t xml:space="preserve">boeing-737-800</t>
  </si>
  <si>
    <t xml:space="preserve">https://en.wikipedia.org/wiki/Boeing_737_Next_Generation
http://www.b737.org.uk/techspecsdetailed.htm
http://www.airliners.net/aircraft-data/boeing-737-800900/96
https://3dwarehouse.sketchup.com/model/u158321b5-ab38-4493-941e-ec9c49c5b069/Comair-Limited-Boeing-737-800-ZS-ZWI-2015 (BA livery)
CC-BY-SA
https://www.blendswap.com/blends/view/85759 (Southwest livery)
LRC (TAS)
gear=1
length=8</t>
  </si>
  <si>
    <t xml:space="preserve">air\boeing-737-800.dat</t>
  </si>
  <si>
    <t xml:space="preserve">boeing-737-800-high-density</t>
  </si>
  <si>
    <t xml:space="preserve">https://3dwarehouse.sketchup.com/model/ud069e0e2-fad2-4647-9df3-cc3a96c8b41b/Ryanair-Boeing-737-800WL-Aircraft
LRC (TAS)
gear=1
length=8</t>
  </si>
  <si>
    <t xml:space="preserve">BR-Class66</t>
  </si>
  <si>
    <t xml:space="preserve">AAR
Also class 59</t>
  </si>
  <si>
    <t xml:space="preserve">trains\br-cl66.dat</t>
  </si>
  <si>
    <t xml:space="preserve">Incat96m</t>
  </si>
  <si>
    <t xml:space="preserve">http://www.incat.com.au/domino/incat/incatweb.nsf/0/13C40ADB45E9B437CA2571AF0019ECA0?OpenDocument
http://www.shipspotting.com/gallery/photo.php?lid=1450659 (interior)
260 cars
30-40 minutes</t>
  </si>
  <si>
    <t xml:space="preserve">boats\boats192\incat-96m.dat</t>
  </si>
  <si>
    <t xml:space="preserve">Incat96m(AddMail)</t>
  </si>
  <si>
    <t xml:space="preserve">VolvoB7TL</t>
  </si>
  <si>
    <t xml:space="preserve">https://en.wikipedia.org/wiki/Wright_Eclipse_Gemini
https://en.wikipedia.org/wiki/Volvo_B7TL
Guessed
Two door pay driver (low floor): 2.8 seconds per passenger</t>
  </si>
  <si>
    <t xml:space="preserve">bus\volvo-b7tl.dat</t>
  </si>
  <si>
    <t xml:space="preserve">VolvoB7TL-1-door</t>
  </si>
  <si>
    <t xml:space="preserve">Guessed
Two door pay driver (low floor): 3.8 seconds per passenger</t>
  </si>
  <si>
    <t xml:space="preserve">optare-excel-2</t>
  </si>
  <si>
    <t xml:space="preserve">https://en.wikipedia.org/wiki/Optare_Excel
Mercedes-Benz 900 series engine
http://www.todaystrucking.com/the-mbe900-engine-from-mercedes
TODO: Use a more authentic sound here
Single entrance pay driver (low floor): 3.8 seconds per passenger
TODO: Add more liveries and length varients. This is the longest.</t>
  </si>
  <si>
    <t xml:space="preserve">bus\optare-excel-2.dat</t>
  </si>
  <si>
    <t xml:space="preserve">c2c-357(front)</t>
  </si>
  <si>
    <t xml:space="preserve">These should have low maintenance costs: they are very reliable and save engery with regenerative braking.</t>
  </si>
  <si>
    <t xml:space="preserve">trains\br-357.dat</t>
  </si>
  <si>
    <t xml:space="preserve">c2c-357(centre1)</t>
  </si>
  <si>
    <t xml:space="preserve">c2c-357(centre2)</t>
  </si>
  <si>
    <t xml:space="preserve">c2c-357(rear)</t>
  </si>
  <si>
    <t xml:space="preserve">airbus-a319</t>
  </si>
  <si>
    <t xml:space="preserve">length=8
Upgrade consists just of changing seats
@ ISA (sea level, 0Centigrades), Runway Dry
minimum_runway_length=1650
@ ISA+10C, Runway dry = +10%</t>
  </si>
  <si>
    <t xml:space="preserve">air\airbus-a319.dat</t>
  </si>
  <si>
    <t xml:space="preserve">airbus-a319-high-density</t>
  </si>
  <si>
    <t xml:space="preserve">length=8
Upgrade consists just of changing seats
@ ISA (sea level, 0Centigrades), Runway Dry
minimum_runway_length=1900
@ ISA+10C, Runway dry = +10%</t>
  </si>
  <si>
    <t xml:space="preserve">PlaxtonParagon</t>
  </si>
  <si>
    <t xml:space="preserve">https://en.wikipedia.org/wiki/Plaxton_Panther
Coach: 7.5 seconds per passenger
TODO: Add more liveries</t>
  </si>
  <si>
    <t xml:space="preserve">bus\plaxton-paragon.dat</t>
  </si>
  <si>
    <t xml:space="preserve">BR-Class67</t>
  </si>
  <si>
    <t xml:space="preserve">retire_year=2025
retire_month=8
AAR
Also class 59</t>
  </si>
  <si>
    <t xml:space="preserve">trains\br-cl67.dat</t>
  </si>
  <si>
    <t xml:space="preserve">Diesel2000</t>
  </si>
  <si>
    <t xml:space="preserve">DAFCFArtic</t>
  </si>
  <si>
    <t xml:space="preserve">DAFCFArticMail</t>
  </si>
  <si>
    <t xml:space="preserve">DAFCFRigidBulk</t>
  </si>
  <si>
    <t xml:space="preserve">http://www.daf.co.uk/SpecsheetsMedia//TSGBEN016F7671AAAA201713.PDF</t>
  </si>
  <si>
    <t xml:space="preserve">bus\daf-cf-rigid.dat</t>
  </si>
  <si>
    <t xml:space="preserve">DAFCFRigidLong</t>
  </si>
  <si>
    <t xml:space="preserve">DAFCFRigidFluid</t>
  </si>
  <si>
    <t xml:space="preserve">BR-460-DMSO</t>
  </si>
  <si>
    <t xml:space="preserve">http://www.semgonline.com/gallery/class460_01.html
Capacity information not available: guessed</t>
  </si>
  <si>
    <t xml:space="preserve">trains\br-460.dat</t>
  </si>
  <si>
    <t xml:space="preserve">Electric2000</t>
  </si>
  <si>
    <t xml:space="preserve">BR-460-MSO</t>
  </si>
  <si>
    <t xml:space="preserve">BR-460-TSO</t>
  </si>
  <si>
    <t xml:space="preserve">BR-460-TCO</t>
  </si>
  <si>
    <t xml:space="preserve">BR-460-TFO</t>
  </si>
  <si>
    <t xml:space="preserve">BR-460-DMLFO</t>
  </si>
  <si>
    <t xml:space="preserve">BR-458(front)</t>
  </si>
  <si>
    <t xml:space="preserve">https://en.wikipedia.org/wiki/British_Rail_Class_458
The "Juniper" units
Capacity guessed as information hard to find</t>
  </si>
  <si>
    <t xml:space="preserve">trains\br-458.dat</t>
  </si>
  <si>
    <t xml:space="preserve">BR-458(centre1)</t>
  </si>
  <si>
    <t xml:space="preserve">BR-458(centre2)</t>
  </si>
  <si>
    <t xml:space="preserve">BR-458(rear)</t>
  </si>
  <si>
    <t xml:space="preserve">BR-175Front</t>
  </si>
  <si>
    <t xml:space="preserve">trains\br-175.dat</t>
  </si>
  <si>
    <t xml:space="preserve">BR-175Rear</t>
  </si>
  <si>
    <t xml:space="preserve">BR-175Middle</t>
  </si>
  <si>
    <t xml:space="preserve">BR-175Middle-trolley</t>
  </si>
  <si>
    <t xml:space="preserve">DAFXFArtic</t>
  </si>
  <si>
    <t xml:space="preserve">DAFXFArticMail</t>
  </si>
  <si>
    <t xml:space="preserve">BR-180Front</t>
  </si>
  <si>
    <t xml:space="preserve">trains\br-180.dat</t>
  </si>
  <si>
    <t xml:space="preserve">BR-180Middle</t>
  </si>
  <si>
    <t xml:space="preserve">Trolley service if no buffet</t>
  </si>
  <si>
    <t xml:space="preserve">BR-180Middle-first</t>
  </si>
  <si>
    <t xml:space="preserve">BR-180Middle-Buffet</t>
  </si>
  <si>
    <t xml:space="preserve">BR-180Rear</t>
  </si>
  <si>
    <t xml:space="preserve">BR-390PoweredCoach</t>
  </si>
  <si>
    <t xml:space="preserve">trains\br-390.dat</t>
  </si>
  <si>
    <t xml:space="preserve">BR-390PoweredCoachFirst</t>
  </si>
  <si>
    <t xml:space="preserve">River-Runner-150</t>
  </si>
  <si>
    <t xml:space="preserve">boats\river-runner.dat</t>
  </si>
  <si>
    <t xml:space="preserve">BR-220Front</t>
  </si>
  <si>
    <t xml:space="preserve">trains\br-220.dat</t>
  </si>
  <si>
    <t xml:space="preserve">BR-220Middle</t>
  </si>
  <si>
    <t xml:space="preserve">Trolley service if no shop</t>
  </si>
  <si>
    <t xml:space="preserve">BR-220Middle-shop</t>
  </si>
  <si>
    <t xml:space="preserve">BR-220Rear</t>
  </si>
  <si>
    <t xml:space="preserve">River-Runner-200</t>
  </si>
  <si>
    <t xml:space="preserve">Bulk Hopper(HTA)</t>
  </si>
  <si>
    <t xml:space="preserve">retire_year=2030
retire_month=11</t>
  </si>
  <si>
    <t xml:space="preserve">trains\wagon-hta.dat</t>
  </si>
  <si>
    <t xml:space="preserve">OptareAlero</t>
  </si>
  <si>
    <t xml:space="preserve">Original image by James Petts &amp; James Hood
Do not retire this until replacements are available.
retire_year=2009
retire_month=2
Single entrance pay driver: 4.0 seconds per passenger</t>
  </si>
  <si>
    <t xml:space="preserve">bus\optare-alero.dat</t>
  </si>
  <si>
    <t xml:space="preserve">BR-375Front</t>
  </si>
  <si>
    <t xml:space="preserve">trains\br-375.dat</t>
  </si>
  <si>
    <t xml:space="preserve">BR-375Panto</t>
  </si>
  <si>
    <t xml:space="preserve">Not actually a pantograph vehicle on the non-dual voltage trains</t>
  </si>
  <si>
    <t xml:space="preserve">BR-375Middle</t>
  </si>
  <si>
    <t xml:space="preserve">See http://www.districtdavesforum.co.uk/thread/22284/378-fifth-car</t>
  </si>
  <si>
    <t xml:space="preserve">BR-375Rear</t>
  </si>
  <si>
    <t xml:space="preserve">BR-375-6Front</t>
  </si>
  <si>
    <t xml:space="preserve">trains\br-375-dual-voltage.dat</t>
  </si>
  <si>
    <t xml:space="preserve">BR-375-6Middle</t>
  </si>
  <si>
    <t xml:space="preserve">BR-375-6Panto</t>
  </si>
  <si>
    <t xml:space="preserve">BR-375-6Rear</t>
  </si>
  <si>
    <t xml:space="preserve">BR-334Front</t>
  </si>
  <si>
    <t xml:space="preserve">trains\br-334.dat</t>
  </si>
  <si>
    <t xml:space="preserve">BR-334Rear</t>
  </si>
  <si>
    <t xml:space="preserve">BR-334Middle</t>
  </si>
  <si>
    <t xml:space="preserve">FordTransitConnectPiece</t>
  </si>
  <si>
    <t xml:space="preserve">http://www.autoexpress.co.uk/ford/transit-connect
This is based on the long wheelbase version</t>
  </si>
  <si>
    <t xml:space="preserve">bus\ford-transit-connect.dat</t>
  </si>
  <si>
    <t xml:space="preserve">FordTransitConnectCool</t>
  </si>
  <si>
    <t xml:space="preserve">FordTransitConnectPost</t>
  </si>
  <si>
    <t xml:space="preserve">WrightElectrocity</t>
  </si>
  <si>
    <t xml:space="preserve">Experimental hybrid 'bus
https://en.wikipedia.org/wiki/Wright_Electrocity
http://www.explorerticket.co.uk/bustender/electrocity.htm
https://en.wikipedia.org/wiki/Cummins_B_Series_engine
TODO: Add a more authentic sound for this
Two door pay driver (low floor): 2.8 seconds per passenger
TODO: Add multiple liveries and a one door option</t>
  </si>
  <si>
    <t xml:space="preserve">bus\wright-electrocity.dat</t>
  </si>
  <si>
    <t xml:space="preserve">BR-221Front</t>
  </si>
  <si>
    <t xml:space="preserve">Do not retire these, as there are no other diesel tilting trains.</t>
  </si>
  <si>
    <t xml:space="preserve">trains\br-221.dat</t>
  </si>
  <si>
    <t xml:space="preserve">BR-221Middle</t>
  </si>
  <si>
    <t xml:space="preserve">BR-221Middle-shop</t>
  </si>
  <si>
    <t xml:space="preserve">BR-221Rear</t>
  </si>
  <si>
    <t xml:space="preserve">DAFLFBulk</t>
  </si>
  <si>
    <t xml:space="preserve">http://www.daf.co.uk/SpecsheetsMedia//TSGBEN016F3602CAAA201513.PDF</t>
  </si>
  <si>
    <t xml:space="preserve">bus\daf-lf.dat</t>
  </si>
  <si>
    <t xml:space="preserve">DAFLFLong</t>
  </si>
  <si>
    <t xml:space="preserve">DAFLFPiece</t>
  </si>
  <si>
    <t xml:space="preserve">DAFLFCool</t>
  </si>
  <si>
    <t xml:space="preserve">DAFLFLivestock</t>
  </si>
  <si>
    <t xml:space="preserve">DAFLFPost</t>
  </si>
  <si>
    <t xml:space="preserve">BR-450(front)</t>
  </si>
  <si>
    <t xml:space="preserve">trains\br-450.dat</t>
  </si>
  <si>
    <t xml:space="preserve">BR-450(centre1)</t>
  </si>
  <si>
    <t xml:space="preserve">BR-450(centre2)</t>
  </si>
  <si>
    <t xml:space="preserve">BR-450(rear)</t>
  </si>
  <si>
    <t xml:space="preserve">MercedesCitaroG(Front)</t>
  </si>
  <si>
    <t xml:space="preserve">https://en.wikipedia.org/wiki/Mercedes-Benz_Citaro
3 axle articulated "bendy" version
Mercedes-Benz OM 457 hLA
TODO: Use a more authentic sound for this type.
Three doors smartcard/prepay: 1.0 seconds per passenger</t>
  </si>
  <si>
    <t xml:space="preserve">bus\mercedes-citaro-g.dat</t>
  </si>
  <si>
    <t xml:space="preserve">MercedesCitaroG(Rear)</t>
  </si>
  <si>
    <t xml:space="preserve">Three doors smartcard/prepay: 1.0 seconds per passenger</t>
  </si>
  <si>
    <t xml:space="preserve">POSuperEuropeanMixed</t>
  </si>
  <si>
    <t xml:space="preserve">boats\boats224\po-super-european-mixed.dat</t>
  </si>
  <si>
    <t xml:space="preserve">POSuperEuropeanMixedAddMail</t>
  </si>
  <si>
    <t xml:space="preserve">boats\holds\po-super-european-mixed-holds.dat</t>
  </si>
  <si>
    <t xml:space="preserve">POSuperEuropeanMixedAddPiece</t>
  </si>
  <si>
    <t xml:space="preserve">POSuperEuropeanMixedAddCool</t>
  </si>
  <si>
    <t xml:space="preserve">BR-390FrontCab</t>
  </si>
  <si>
    <t xml:space="preserve">BR-390FrontCoach</t>
  </si>
  <si>
    <t xml:space="preserve">BR-390FrontPantograph</t>
  </si>
  <si>
    <t xml:space="preserve">BR-390Coach</t>
  </si>
  <si>
    <t xml:space="preserve">BR-390RearPantograph</t>
  </si>
  <si>
    <t xml:space="preserve">BR-390RearCoach</t>
  </si>
  <si>
    <t xml:space="preserve">BR-390RearCab</t>
  </si>
  <si>
    <t xml:space="preserve">airbus-a318</t>
  </si>
  <si>
    <t xml:space="preserve">length=8
Upgrade consists just of changing seats
@ ISA (sea level, 0Centigrades), Runway Dry
minimum_runway_length=1800
@ ISA+10C, Runway dry = +10%</t>
  </si>
  <si>
    <t xml:space="preserve">air\airbus-a318.dat</t>
  </si>
  <si>
    <t xml:space="preserve">Aviation2000</t>
  </si>
  <si>
    <t xml:space="preserve">airbus-a318-high-density</t>
  </si>
  <si>
    <t xml:space="preserve">BR-444(front)</t>
  </si>
  <si>
    <t xml:space="preserve">Awareded the "Golden Spanner" in 2010 for reliability (Wikipedia article)</t>
  </si>
  <si>
    <t xml:space="preserve">trains\br-444.dat</t>
  </si>
  <si>
    <t xml:space="preserve">BR-444(centre1)</t>
  </si>
  <si>
    <t xml:space="preserve">BR-444(centre2)</t>
  </si>
  <si>
    <t xml:space="preserve">BR-444(centre3)</t>
  </si>
  <si>
    <t xml:space="preserve">BR-444(rear)</t>
  </si>
  <si>
    <t xml:space="preserve">BR-360(front)</t>
  </si>
  <si>
    <t xml:space="preserve">trains\br-360.dat</t>
  </si>
  <si>
    <t xml:space="preserve">BR-360(centre1)</t>
  </si>
  <si>
    <t xml:space="preserve">BR-360(centre2)</t>
  </si>
  <si>
    <t xml:space="preserve">BR-360(rear)</t>
  </si>
  <si>
    <t xml:space="preserve">BR-Ultra-450(front)</t>
  </si>
  <si>
    <t xml:space="preserve">maglev_track</t>
  </si>
  <si>
    <t xml:space="preserve">hydrogene</t>
  </si>
  <si>
    <t xml:space="preserve">maglev\Ultra450.dat</t>
  </si>
  <si>
    <t xml:space="preserve">Maglev</t>
  </si>
  <si>
    <t xml:space="preserve">BR-Ultra-450(Open)</t>
  </si>
  <si>
    <t xml:space="preserve">BR-Ultra-450(Buffet)</t>
  </si>
  <si>
    <t xml:space="preserve">BR-Ultra-450(rear)</t>
  </si>
  <si>
    <t xml:space="preserve">OptareTempo</t>
  </si>
  <si>
    <t xml:space="preserve">https://en.wikipedia.org/wiki/Optare_Tempo
Mercedes OM-906-LA engine
https://www.mercedes-benz.com.sg/content/singapore/mpc/mpc_singapore_website/enng/home_mpc/truck_home/home/trucks/econic/engine_transmission_axles/engines.fb0002.html
Single entrance pay driver (low floor): 3.8 seconds per passenger
TODO: Add more length varients of this.</t>
  </si>
  <si>
    <t xml:space="preserve">bus\optare-tempo.dat</t>
  </si>
  <si>
    <t xml:space="preserve">bombardier-incentro-front</t>
  </si>
  <si>
    <t xml:space="preserve">http://en.wikipedia.org/wiki/Incentro</t>
  </si>
  <si>
    <t xml:space="preserve">trams\net-bombardier-incentro.dat</t>
  </si>
  <si>
    <t xml:space="preserve">bombardier-incentro-middle1</t>
  </si>
  <si>
    <t xml:space="preserve">bombardier-incentro-middle2</t>
  </si>
  <si>
    <t xml:space="preserve">bombardier-incentro-panto</t>
  </si>
  <si>
    <t xml:space="preserve">bombardier-incentro-rear</t>
  </si>
  <si>
    <t xml:space="preserve">BR-376Front</t>
  </si>
  <si>
    <t xml:space="preserve">trains\br-376.dat</t>
  </si>
  <si>
    <t xml:space="preserve">BR-376Rear</t>
  </si>
  <si>
    <t xml:space="preserve">BR-376Middle</t>
  </si>
  <si>
    <t xml:space="preserve">BR-376MiddlePower</t>
  </si>
  <si>
    <t xml:space="preserve">MercedesCitaroK</t>
  </si>
  <si>
    <t xml:space="preserve">https://en.wikipedia.org/wiki/Mercedes-Benz_Citaro
2 axle short version
http://www.mercedes-benz.com.sg/content/singapore/mpc/mpc_singapore_website/enng/home_mpc/bus/home/new_buses/models/regular_service_busses/citaro/technical_data.html
Guessed
TODO: Use a more authentic sound for this type.
Two doors smartcard/prepay: 1.2 seconds per passenger</t>
  </si>
  <si>
    <t xml:space="preserve">bus\mercedes-citaro-k.dat</t>
  </si>
  <si>
    <t xml:space="preserve">caetano-levante-3-axle</t>
  </si>
  <si>
    <t xml:space="preserve">https://en.wikipedia.org/wiki/Caetano_Levante
http://www.busandcoachprofessional.com/news/articles/archive/national-express-goes-for-15m-coaches/
http://www.busandcoach.com/news/articles/archive/national-express-unveils-new-levante/
TODO: Add four axle version
Modern coaches are low emission, I imagine
smoke=Diesel-light
Volvo DH12E engine at 340hp
http://www.volvobuses.com/SiteCollectionDocuments/VBC/United_Kingdom_and_Ireland/Downloads/b12b_ifs_rhd_6x2.pdf
Still in production to date
Coach: 7.5 seconds per passenger</t>
  </si>
  <si>
    <t xml:space="preserve">bus\caeteno-levante-3-axle.dat</t>
  </si>
  <si>
    <t xml:space="preserve">BHT-150(Piece)</t>
  </si>
  <si>
    <t xml:space="preserve">boats\bht-150.dat</t>
  </si>
  <si>
    <t xml:space="preserve">BHC-BHT-150_400(Cool)</t>
  </si>
  <si>
    <t xml:space="preserve">BHT-130</t>
  </si>
  <si>
    <t xml:space="preserve">boats\bht-130.dat</t>
  </si>
  <si>
    <t xml:space="preserve">DennisEnviro400</t>
  </si>
  <si>
    <t xml:space="preserve">https://en.wikipedia.org/wiki/Alexander_Dennis_Enviro400
This is the first generation version in the 10.3m length
Double entrance pay driver: 2.8 seconds per passenger
TODO: Add more liveries</t>
  </si>
  <si>
    <t xml:space="preserve">bus\dennis-enviro400.dat</t>
  </si>
  <si>
    <t xml:space="preserve">DennisEnviro400-1-door</t>
  </si>
  <si>
    <t xml:space="preserve">Single entrance pay driver: 3.8 seconds per passenger
TODO: Add more liveries</t>
  </si>
  <si>
    <t xml:space="preserve">BR-185Front</t>
  </si>
  <si>
    <t xml:space="preserve">trains\br-185.dat</t>
  </si>
  <si>
    <t xml:space="preserve">BR-185Rear</t>
  </si>
  <si>
    <t xml:space="preserve">BR-185Middle</t>
  </si>
  <si>
    <t xml:space="preserve">WrightStreetcar(Front)</t>
  </si>
  <si>
    <t xml:space="preserve">https://en.wikipedia.org/wiki/Wright_StreetCar
https://nbrti.org/docs/pdf/2006_brt_compendium.pdf
TODO: Add a more authentic sound for this
Two smartcard/prepay: 2.0 seconds per passenger</t>
  </si>
  <si>
    <t xml:space="preserve">bus\wright-streetcar.dat</t>
  </si>
  <si>
    <t xml:space="preserve">WrightStreetcar(Rear)</t>
  </si>
  <si>
    <t xml:space="preserve">Two smartcard/prepay: 2.0 seconds per passenger</t>
  </si>
  <si>
    <t xml:space="preserve">Enviro300</t>
  </si>
  <si>
    <t xml:space="preserve">https://en.wikipedia.org/wiki/Alexander_Dennis_Enviro300
Single entrance pay driver (low floor): 3.8 seconds per passenger
TODO: Add multiple liveries</t>
  </si>
  <si>
    <t xml:space="preserve">bus\dennis-enviro300.dat</t>
  </si>
  <si>
    <t xml:space="preserve">BR-350-1(front)</t>
  </si>
  <si>
    <t xml:space="preserve">Was originally 160, but upgraded in 2012.</t>
  </si>
  <si>
    <t xml:space="preserve">trains\br-350-1.dat</t>
  </si>
  <si>
    <t xml:space="preserve">BR-350-1(centre1)</t>
  </si>
  <si>
    <t xml:space="preserve">BR-350-1(centre2)</t>
  </si>
  <si>
    <t xml:space="preserve">BR-350-1(rear)</t>
  </si>
  <si>
    <t xml:space="preserve">dennis-enviro-200-10.2m</t>
  </si>
  <si>
    <t xml:space="preserve">http://www.alexander-dennis.com/wp-content/uploads/2012/11/e200_spec_sheet.pdf
Cummins ISBe 4 cylinder engine
Double entrance pay driver (low floor): 2.8 seconds per passenger
TODO: Add more liveries</t>
  </si>
  <si>
    <t xml:space="preserve">bus\dennis-enviro200-10.2m.dat</t>
  </si>
  <si>
    <t xml:space="preserve">dennis-enviro200-8.9m</t>
  </si>
  <si>
    <t xml:space="preserve">http://www.alexander-dennis.com/wp-content/uploads/2012/11/e200_spec_sheet.pdf
Cummins ISBe 4 cylinder engine
Single entrance pay driver (low floor): 3.8 seconds per passenger
TODO: Add more liveries</t>
  </si>
  <si>
    <t xml:space="preserve">bus\dennis-enviro200-8.9m.dat</t>
  </si>
  <si>
    <t xml:space="preserve">Envrio200-10.8m-2-door</t>
  </si>
  <si>
    <t xml:space="preserve">See: http://www.alexander-dennis.com/uploads/files/e200_spec_sheet.pdf
https://en.wikipedia.org/wiki/Alexander_Dennis_Enviro200
Note: These are the *second* generation type.
Only 5 of the first generation were ever produced: the type was unsuccessful.
Cummins ISBe 4 cylinder engine
Double entrance pay driver (low floor): 2.8 seconds per passenger
TODO: Add more liveries</t>
  </si>
  <si>
    <t xml:space="preserve">bus\dennis-enviro200-10.8m.dat</t>
  </si>
  <si>
    <t xml:space="preserve">Envrio200-10.8m-1-door</t>
  </si>
  <si>
    <t xml:space="preserve">Cummins ISBe 4 cylinder engine
Single entrance pay driver (low floor): 3.8 seconds per passenger
TODO: Add more length variants. This is the 10.8 meter version.</t>
  </si>
  <si>
    <t xml:space="preserve">DLR-B07Front</t>
  </si>
  <si>
    <t xml:space="preserve">retire_year=2035
retire_month=1</t>
  </si>
  <si>
    <t xml:space="preserve">london-underground\dlr-b07.dat</t>
  </si>
  <si>
    <t xml:space="preserve">DLR-B07Rear</t>
  </si>
  <si>
    <t xml:space="preserve">Super-Loch</t>
  </si>
  <si>
    <t xml:space="preserve">boats\superloch.dat</t>
  </si>
  <si>
    <t xml:space="preserve">FuelOil2000</t>
  </si>
  <si>
    <t xml:space="preserve">optare-solo-sr</t>
  </si>
  <si>
    <t xml:space="preserve">https://en.wikipedia.org/wiki/Optare_Solo
Single entrance pay driver (low floor): 3.8 seconds per passenger
TODO: Add more length varients of this.</t>
  </si>
  <si>
    <t xml:space="preserve">bus\optare-solo-sr.dat</t>
  </si>
  <si>
    <t xml:space="preserve">BR-350-2(front)</t>
  </si>
  <si>
    <t xml:space="preserve">trains\br-350-2.dat</t>
  </si>
  <si>
    <t xml:space="preserve">BR-350-2(centre1)</t>
  </si>
  <si>
    <t xml:space="preserve">BR-350-2(centre2)</t>
  </si>
  <si>
    <t xml:space="preserve">BR-350-2(rear)</t>
  </si>
  <si>
    <t xml:space="preserve">Incat112m(AddMail)</t>
  </si>
  <si>
    <t xml:space="preserve">boats\boats192\incat-112m.dat</t>
  </si>
  <si>
    <t xml:space="preserve">Incat112m</t>
  </si>
  <si>
    <t xml:space="preserve">http://www.irishseashipping.com/features/manannannorman/manannannorman.htm
30-40 minutes</t>
  </si>
  <si>
    <t xml:space="preserve">optare-solo-ev</t>
  </si>
  <si>
    <t xml:space="preserve">battery</t>
  </si>
  <si>
    <t xml:space="preserve">bus\optare-solo-ev.dat</t>
  </si>
  <si>
    <t xml:space="preserve">BR-139</t>
  </si>
  <si>
    <t xml:space="preserve">trains\br-139.dat</t>
  </si>
  <si>
    <t xml:space="preserve">BR-395Front</t>
  </si>
  <si>
    <t xml:space="preserve">trains\br-395.dat</t>
  </si>
  <si>
    <t xml:space="preserve">BR-395Middle</t>
  </si>
  <si>
    <t xml:space="preserve">BR-395Rear</t>
  </si>
  <si>
    <t xml:space="preserve">BR-378Front</t>
  </si>
  <si>
    <t xml:space="preserve">trains\br-378.dat</t>
  </si>
  <si>
    <t xml:space="preserve">BR-378Middle</t>
  </si>
  <si>
    <t xml:space="preserve">BR-378Middle-unpowered</t>
  </si>
  <si>
    <t xml:space="preserve">BR-378Rear</t>
  </si>
  <si>
    <t xml:space="preserve">17kN per motor with 3 motors per car: http://www.districtdavesforum.co.uk/thread/22284/378-fifth-car</t>
  </si>
  <si>
    <t xml:space="preserve">HSC-WightRyder</t>
  </si>
  <si>
    <t xml:space="preserve">Most modern catamaran so no retire year.
http://commons.wikimedia.org/wiki/File:Wight_Ryder_II_interior_2.jpg
15-20 minutes</t>
  </si>
  <si>
    <t xml:space="preserve">boats\hsc-wight-ryder.dat</t>
  </si>
  <si>
    <t xml:space="preserve">BR-Class70</t>
  </si>
  <si>
    <t xml:space="preserve">trains\br-cl70.dat</t>
  </si>
  <si>
    <t xml:space="preserve">2009TubeStockFrontDM</t>
  </si>
  <si>
    <t xml:space="preserve">london-underground\2009-tube-stock.dat</t>
  </si>
  <si>
    <t xml:space="preserve">2009TubeStockFrontUNDM</t>
  </si>
  <si>
    <t xml:space="preserve">2009TubeStockMiddle1</t>
  </si>
  <si>
    <t xml:space="preserve">2009TubeStockMiddle2</t>
  </si>
  <si>
    <t xml:space="preserve">2009TubeStockRearUNDM</t>
  </si>
  <si>
    <t xml:space="preserve">2009TubeStockRearDM</t>
  </si>
  <si>
    <t xml:space="preserve">dennis-enviro350h-1-door</t>
  </si>
  <si>
    <t xml:space="preserve">http://web.archive.org/web/20110719225719/http://www.alexander-dennis.com/uploads/files/enviro350h_specification_sheet.pdf
https://en.wikipedia.org/wiki/Alexander_Dennis_Enviro350H
Single entrance pay driver (low floor): 3.8 seconds per passenger
TODO: Add multiple liveries</t>
  </si>
  <si>
    <t xml:space="preserve">bus\dennis-enviro350h.dat</t>
  </si>
  <si>
    <t xml:space="preserve">Diesel2010</t>
  </si>
  <si>
    <t xml:space="preserve">dennis-enviro350h-2-door</t>
  </si>
  <si>
    <t xml:space="preserve">Double entrance pay driver (low floor): 2.8 seconds per passenger
TODO: Add multiple liveries</t>
  </si>
  <si>
    <t xml:space="preserve">LUL_S_Stock(Front)</t>
  </si>
  <si>
    <t xml:space="preserve">https://www.whatdotheyknow.com/request/66598/response/170252/attach/5/S%20Stock%20information%20sheet%20July%202010.pdf
http://en.wikipedia.org/wiki/London_Underground_S7_and_S8_Stock</t>
  </si>
  <si>
    <t xml:space="preserve">london-underground\lul-s-stock.dat</t>
  </si>
  <si>
    <t xml:space="preserve">Electric2010</t>
  </si>
  <si>
    <t xml:space="preserve">LUL_S_Stock(Middle)</t>
  </si>
  <si>
    <t xml:space="preserve">LUL_S_Stock(Rear)</t>
  </si>
  <si>
    <t xml:space="preserve">BR-172-0Front</t>
  </si>
  <si>
    <t xml:space="preserve">trains\br-172-0.dat</t>
  </si>
  <si>
    <t xml:space="preserve">BR-172-0Rear</t>
  </si>
  <si>
    <t xml:space="preserve">retire_year=2025
retire_month=10</t>
  </si>
  <si>
    <t xml:space="preserve">BR-172-0Middle</t>
  </si>
  <si>
    <t xml:space="preserve">BR-172-2Front</t>
  </si>
  <si>
    <t xml:space="preserve">trains\br-172-2.dat</t>
  </si>
  <si>
    <t xml:space="preserve">BR-172-2Rear</t>
  </si>
  <si>
    <t xml:space="preserve">BR-172-2Middle</t>
  </si>
  <si>
    <t xml:space="preserve">BR-379Front</t>
  </si>
  <si>
    <t xml:space="preserve">trains\br-379.dat</t>
  </si>
  <si>
    <t xml:space="preserve">BR-379Middle</t>
  </si>
  <si>
    <t xml:space="preserve">BR-379Panto</t>
  </si>
  <si>
    <t xml:space="preserve">BR-379Rear</t>
  </si>
  <si>
    <t xml:space="preserve">BR-380(front)</t>
  </si>
  <si>
    <t xml:space="preserve">trains\br-380.dat</t>
  </si>
  <si>
    <t xml:space="preserve">BR-380(centre1)</t>
  </si>
  <si>
    <t xml:space="preserve">BR-380(centre2)</t>
  </si>
  <si>
    <t xml:space="preserve">BR-380(rear)</t>
  </si>
  <si>
    <t xml:space="preserve">CAF-Edinburgh-front</t>
  </si>
  <si>
    <t xml:space="preserve">http://en.wikipedia.org/wiki/Edinburgh_Tram_%28vehicle%29</t>
  </si>
  <si>
    <t xml:space="preserve">trams\caf-edinburgh.dat</t>
  </si>
  <si>
    <t xml:space="preserve">CAF-Edinburgh-middle1</t>
  </si>
  <si>
    <t xml:space="preserve">CAF-Edinburgh-middle2</t>
  </si>
  <si>
    <t xml:space="preserve">CAF-Edinburgh-panto</t>
  </si>
  <si>
    <t xml:space="preserve">CAF-Edinburgh-bogie</t>
  </si>
  <si>
    <t xml:space="preserve">CAF-Edinburgh-rear</t>
  </si>
  <si>
    <t xml:space="preserve">POSpiritAddPiece</t>
  </si>
  <si>
    <t xml:space="preserve">retire_year=1880
retire_month=9</t>
  </si>
  <si>
    <t xml:space="preserve">boats\holds\po-spirit-holds.dat</t>
  </si>
  <si>
    <t xml:space="preserve">POSpirit</t>
  </si>
  <si>
    <t xml:space="preserve">boats\boats224\po-spirit.dat</t>
  </si>
  <si>
    <t xml:space="preserve">POSpiritAddMail</t>
  </si>
  <si>
    <t xml:space="preserve">POSpiritAddCool</t>
  </si>
  <si>
    <t xml:space="preserve">boeing-747-8f-piece</t>
  </si>
  <si>
    <t xml:space="preserve">https://en.wikipedia.org/wiki/Boeing_747-8
http://www.boeing.com/assets/pdf/commercial/airports/acaps/747_8.pdf
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</si>
  <si>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 xml:space="preserve">air\air256\boeing-747-8f.dat</t>
  </si>
  <si>
    <t xml:space="preserve">Aviation2010</t>
  </si>
  <si>
    <t xml:space="preserve">boeing-747-8f-cool</t>
  </si>
  <si>
    <t xml:space="preserve">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</si>
  <si>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 xml:space="preserve">OptareTempoSR</t>
  </si>
  <si>
    <t xml:space="preserve">Single entrance pay driver (low floor): 3.8 seconds per passenger</t>
  </si>
  <si>
    <t xml:space="preserve">bus\optare-tempo-sr.dat</t>
  </si>
  <si>
    <t xml:space="preserve">boeing-787-8</t>
  </si>
  <si>
    <t xml:space="preserve">https://en.wikipedia.org/wiki/Boeing_787_Dreamliner#787-8
http://www.airliners.net/aircraft-data/boeing-787-8-dreamliner/407
CC-BY
https://www.blendswap.com/blends/view/26936
Power data not available - inferred from tractive force
length=8
@ ISA (sea level, 0Centigrades), Runway Dry
minimum_runway_length=3100
@ ISA+10C, Runway dry = +10%</t>
  </si>
  <si>
    <t xml:space="preserve">air\air192\boeing-787-8.dat</t>
  </si>
  <si>
    <t xml:space="preserve">boeing-787-8-high-density</t>
  </si>
  <si>
    <t xml:space="preserve">CC-BY
https://www.blendswap.com/blends/view/26936
Power data not available - inferred from tractive force
length=8
@ ISA (sea level, 0Centigrades), Runway Dry
minimum_runway_length=3100
@ ISA+10C, Runway dry = +10%</t>
  </si>
  <si>
    <t xml:space="preserve">RMU-aerocab(front)</t>
  </si>
  <si>
    <t xml:space="preserve">maglev\RMU_Aerocab.dat</t>
  </si>
  <si>
    <t xml:space="preserve">RMU-aerocab(rear)</t>
  </si>
  <si>
    <t xml:space="preserve">RMUflat(cooled)</t>
  </si>
  <si>
    <t xml:space="preserve"># Empty
# meat
# fish</t>
  </si>
  <si>
    <t xml:space="preserve">maglev\RMU_Flatcars.dat</t>
  </si>
  <si>
    <t xml:space="preserve">RMUflat(piece)</t>
  </si>
  <si>
    <t xml:space="preserve">Empty
# other
# fruit
# vegetables
# beer
# furniture
# Pharmaceuticals
# newspaper
# books</t>
  </si>
  <si>
    <t xml:space="preserve">BR-Ultra-Mail(front)</t>
  </si>
  <si>
    <t xml:space="preserve">maglev\UltraMail.dat</t>
  </si>
  <si>
    <t xml:space="preserve">BR-Ultra-Mail(Open)</t>
  </si>
  <si>
    <t xml:space="preserve">BR-Ultra-Mail(rear)</t>
  </si>
  <si>
    <t xml:space="preserve">BR-Ultra-520(front)</t>
  </si>
  <si>
    <t xml:space="preserve">maglev\Ultra520.dat</t>
  </si>
  <si>
    <t xml:space="preserve">BR-Ultra-520(Open)</t>
  </si>
  <si>
    <t xml:space="preserve">BR-Ultra-520(Buffet)</t>
  </si>
  <si>
    <t xml:space="preserve">BR-Ultra-520(rear)</t>
  </si>
  <si>
    <t xml:space="preserve">RMUbox(cooled)</t>
  </si>
  <si>
    <t xml:space="preserve"># Empty
# meat</t>
  </si>
  <si>
    <t xml:space="preserve">maglev\RMU_Boxcars.dat</t>
  </si>
  <si>
    <t xml:space="preserve">RMUbox(piece)</t>
  </si>
  <si>
    <t xml:space="preserve">Empty
other
Fruit
Newspaper
Furniture
Beer</t>
  </si>
  <si>
    <t xml:space="preserve">BR-377-7Middle2</t>
  </si>
  <si>
    <t xml:space="preserve">Croydon-Variobahn-front</t>
  </si>
  <si>
    <t xml:space="preserve">trams\croydon-variobahn.dat</t>
  </si>
  <si>
    <t xml:space="preserve">Croydon-Variobahn-middle1</t>
  </si>
  <si>
    <t xml:space="preserve">Croydon-Variobahn-middle2</t>
  </si>
  <si>
    <t xml:space="preserve">Croydon-Variobahn-panto</t>
  </si>
  <si>
    <t xml:space="preserve">Croydon-Variobahn-rear</t>
  </si>
  <si>
    <t xml:space="preserve">Bombardier-Flexity-2-front</t>
  </si>
  <si>
    <t xml:space="preserve">http://en.wikipedia.org/wiki/Flexity_2_%28Blackpool%29</t>
  </si>
  <si>
    <t xml:space="preserve">trams\bombardier-flexity-2.dat</t>
  </si>
  <si>
    <t xml:space="preserve">Bombardier-Flexity-2-middle1</t>
  </si>
  <si>
    <t xml:space="preserve">Bombardier-Flexity-2-middle2</t>
  </si>
  <si>
    <t xml:space="preserve">Bombardier-Flexity-2-panto</t>
  </si>
  <si>
    <t xml:space="preserve">Bombardier-Flexity-2-rear</t>
  </si>
  <si>
    <t xml:space="preserve">boeing-747-8i</t>
  </si>
  <si>
    <t xml:space="preserve">https://en.wikipedia.org/wiki/Boeing_747-8
http://www.seatplans.com/airlines/lufthansa/b747-800
https://www.seatguru.com/airlines/Lufthansa/Lufthansa_Boeing_747_8_V3.php
http://www.boeing.com/assets/pdf/commercial/airports/acaps/747_8.pdf
https://3dwarehouse.sketchup.com/model/6abf0b20-056b-473a-a9fd-b360b6ad09ec/British-Airways-Boeing-747-836i-G-NLAA-2016-F
length=8
https://www.aircraftcompare.com/aircraft-specification/Boeing-747-8-VIP/40/spec</t>
  </si>
  <si>
    <t xml:space="preserve">air\air256\boeing-747-8i.dat</t>
  </si>
  <si>
    <t xml:space="preserve">airbus-a320-post</t>
  </si>
  <si>
    <t xml:space="preserve">gear=1
payload 17.8t
length=8
@ ISA (sea level, 0Centigrades), Runway Dry
minimum_runway_length=2000
@ ISA+10C, Runway dry = +10%</t>
  </si>
  <si>
    <t xml:space="preserve">air\airbus-a320-cargo.dat</t>
  </si>
  <si>
    <t xml:space="preserve">airbus-a320-piece</t>
  </si>
  <si>
    <t xml:space="preserve">airbus-a320-cool</t>
  </si>
  <si>
    <t xml:space="preserve">BR-Class88</t>
  </si>
  <si>
    <t xml:space="preserve">TODO: In reality, these are bi-mode vehicles.
Make this electro-diesel when bi-mode capability is added to the code.
Unknown</t>
  </si>
  <si>
    <t xml:space="preserve">trains\br-cl88.dat</t>
  </si>
  <si>
    <t xml:space="preserve">CAF-Urbos-3-front</t>
  </si>
  <si>
    <t xml:space="preserve">http://www.centro.org.uk/metro/trams/caf-urbos-3/
http://en.wikipedia.org/wiki/Midland_Metro_rolling_stock</t>
  </si>
  <si>
    <t xml:space="preserve">trams\caf-urbos-3.dat</t>
  </si>
  <si>
    <t xml:space="preserve">CAF-Urbos-3-middle1</t>
  </si>
  <si>
    <t xml:space="preserve">CAF-Urbos-3-middle2</t>
  </si>
  <si>
    <t xml:space="preserve">CAF-Urbos-3-panto</t>
  </si>
  <si>
    <t xml:space="preserve">CAF-Urbos-3-rear</t>
  </si>
  <si>
    <t xml:space="preserve">boeing-787-9</t>
  </si>
  <si>
    <t xml:space="preserve">https://en.wikipedia.org/wiki/Boeing_787_Dreamliner
https://3dwarehouse.sketchup.com/model/u95beb13f-b02a-4840-bdcb-5944ea9bf43a/British-Airways-Boeing-787-9-DreamLiner-version-1
Power data not available - inferred from tractive force
length=8
@ ISA (sea level, 0Centigrades), Runway Dry
minimum_runway_length=2900
@ ISA+10C, Runway dry = +10%</t>
  </si>
  <si>
    <t xml:space="preserve">air\air192\boeing-787-9.dat</t>
  </si>
  <si>
    <t xml:space="preserve">boeing-787-9-high-density</t>
  </si>
  <si>
    <t xml:space="preserve">https://3dwarehouse.sketchup.com/model/u95beb13f-b02a-4840-bdcb-5944ea9bf43a/British-Airways-Boeing-787-9-DreamLiner-version-1
Power data not available - inferred from tractive force
length=8
@ ISA (sea level, 0Centigrades), Runway Dry
minimum_runway_length=2900
@ ISA+10C, Runway dry = +10%</t>
  </si>
  <si>
    <t xml:space="preserve">BR-Class68</t>
  </si>
  <si>
    <t xml:space="preserve">Within class only</t>
  </si>
  <si>
    <t xml:space="preserve">trains\br-cl68.dat</t>
  </si>
  <si>
    <t xml:space="preserve">BR-387Front</t>
  </si>
  <si>
    <t xml:space="preserve">trains\br-387.dat</t>
  </si>
  <si>
    <t xml:space="preserve">BR-387Middle</t>
  </si>
  <si>
    <t xml:space="preserve">BR-387Panto</t>
  </si>
  <si>
    <t xml:space="preserve">BR-387Rear</t>
  </si>
  <si>
    <t xml:space="preserve">BR-M-Class9000</t>
  </si>
  <si>
    <t xml:space="preserve">maglev\RMU9000.dat</t>
  </si>
  <si>
    <t xml:space="preserve">dennis-enviro200-mmc-11.8m-1-door</t>
  </si>
  <si>
    <t xml:space="preserve">http://www.alexander-dennis.com/wp-content/uploads/2012/11/e200_spec_sheet.pdf
Cummins ISB6.7 engine
Single entrance pay driver (low floor): 3.8 seconds per passenger
TODO: Add more liveries</t>
  </si>
  <si>
    <t xml:space="preserve">bus\dennis-enviro200-mmc-11.8m.dat</t>
  </si>
  <si>
    <t xml:space="preserve">dennis-enviro200-mmc-11.8m-2-door</t>
  </si>
  <si>
    <t xml:space="preserve">http://www.alexander-dennis.com/wp-content/uploads/2012/11/e200_spec_sheet.pdf
Cummins ISB6.7 engine
Double entrance pay driver (low floor): 2.8 seconds per passenger
TODO: Add more liveries</t>
  </si>
  <si>
    <t xml:space="preserve">dennis-enviro200-mmc-8.9m</t>
  </si>
  <si>
    <t xml:space="preserve">http://www.alexander-dennis.com/wp-content/uploads/2012/11/e200_spec_sheet.pdf
Cummins ISB4.5 engine
Single entrance pay driver (low floor): 3.8 seconds per passenger
TODO: Add more liveries
TODO: Add the EV version of this.</t>
  </si>
  <si>
    <t xml:space="preserve">bus\dennis-enviro200-mmc-8.9m.dat</t>
  </si>
  <si>
    <t xml:space="preserve">dennis-enviro200-mmc-10.4m-1-door</t>
  </si>
  <si>
    <t xml:space="preserve">http://www.alexander-dennis.com/wp-content/uploads/2012/11/e200_spec_sheet.pdf
Cummins ISB4.5 engine
Single entrance pay driver (low floor): 3.8 seconds per passenger
TODO: Add more liveries</t>
  </si>
  <si>
    <t xml:space="preserve">bus\dennis-enviro200-mmc-10.4m.dat</t>
  </si>
  <si>
    <t xml:space="preserve">dennis-enviro200-mmc-10.4m-2-door</t>
  </si>
  <si>
    <t xml:space="preserve">http://www.alexander-dennis.com/wp-content/uploads/2012/11/e200_spec_sheet.pdf
Cummins ISB4.5 engine
Double entrance pay driver (low floor): 2.8 seconds per passenger
TODO: Add more liveries</t>
  </si>
  <si>
    <t xml:space="preserve">dennis-enviro400mmc-2-door</t>
  </si>
  <si>
    <t xml:space="preserve">https://en.wikipedia.org/wiki/Alexander_Dennis_Enviro400
http://www.alexander-dennis.com/wp-content/files_mf/1403884467Enviro400E6Specification.pdf
10.3m length
Double entrance pay driver: 2.8 seconds per passenger
TODO: Add more liveries</t>
  </si>
  <si>
    <t xml:space="preserve">bus\dennis-enviro400-mmc.dat</t>
  </si>
  <si>
    <t xml:space="preserve">dennis-enviro400mmc-1-door</t>
  </si>
  <si>
    <t xml:space="preserve">dennis-enviro400h-city-2-door</t>
  </si>
  <si>
    <t xml:space="preserve">https://en.wikipedia.org/wiki/Alexander_Dennis_Enviro400
http://www.alexander-dennis.com/wp-content/uploads/2012/11/e400h_spec_sheet.pdf
10.3m length
Double entrance pay driver: 2.8 seconds per passenger
TODO: Add more liveries</t>
  </si>
  <si>
    <t xml:space="preserve">bus\dennis-enviro400h-city.dat</t>
  </si>
  <si>
    <t xml:space="preserve">dennis-enviro400h-city-1-door</t>
  </si>
  <si>
    <t xml:space="preserve">BR-374(front)</t>
  </si>
  <si>
    <t xml:space="preserve">New Eurostar
https://en.wikipedia.org/wiki/British_Rail_Class_374
Multi-voltage, including 1.5k DC</t>
  </si>
  <si>
    <t xml:space="preserve">trains\br-374.dat</t>
  </si>
  <si>
    <t xml:space="preserve">BR-374(panto)</t>
  </si>
  <si>
    <t xml:space="preserve">BR-374(power)</t>
  </si>
  <si>
    <t xml:space="preserve">BR-374(buffet)</t>
  </si>
  <si>
    <t xml:space="preserve">TODO: Create proper graphics for this buffet car</t>
  </si>
  <si>
    <t xml:space="preserve">BR-374(first)</t>
  </si>
  <si>
    <t xml:space="preserve">BR-374(rear)</t>
  </si>
  <si>
    <t xml:space="preserve">BR-700Front</t>
  </si>
  <si>
    <t xml:space="preserve">Dual voltage
https://en.wikipedia.org/wiki/British_Rail_Class_700</t>
  </si>
  <si>
    <t xml:space="preserve">trains\br-700.dat</t>
  </si>
  <si>
    <t xml:space="preserve">BR-700MiddlePower</t>
  </si>
  <si>
    <t xml:space="preserve">BR-700MiddleTrailer</t>
  </si>
  <si>
    <t xml:space="preserve">BR-700Panto</t>
  </si>
  <si>
    <t xml:space="preserve">BR-700Rear</t>
  </si>
  <si>
    <t xml:space="preserve">Sheffield-VosslohTramtrain(Front)</t>
  </si>
  <si>
    <t xml:space="preserve">https://en.wikipedia.org/wiki/British_Rail_Class_399
retire_year=2005
retire_month=10
TODO: Consider adding earlier liveries.</t>
  </si>
  <si>
    <t xml:space="preserve">trams\sheffield-vossloh-tramtrain.dat</t>
  </si>
  <si>
    <t xml:space="preserve">Sheffield-VosslohTramtrain(Middle)</t>
  </si>
  <si>
    <t xml:space="preserve">retire_year=2005
retire_month=10</t>
  </si>
  <si>
    <t xml:space="preserve">Sheffield-VosslohTramtrain(Rear)</t>
  </si>
  <si>
    <t xml:space="preserve">https://en.wikipedia.org/wiki/British_Rail_Class_399
retire_year=2005
retire_month=10</t>
  </si>
  <si>
    <t xml:space="preserve">boeing-787-10</t>
  </si>
  <si>
    <t xml:space="preserve">https://en.wikipedia.org/wiki/Boeing_787_Dreamliner
http://www.airliners.net/aircraft-data/boeing-787-8-dreamliner/407
https://3dwarehouse.sketchup.com/model/ufe49a6a4-44c9-4b18-8252-8f19677e350f/KLM-BOEING-787-10-DreamLiner
Power data not available - inferred from tractive force
These numbers are guessed as no detailed
four class cabin plans are currently available.
length=8
US$306m (2015 - Wikipedia)
This is a first flight date: the real introduction date is currently in the future
(as of June 2017), so should be added when known.
Accurate data are hard to find: guessed from other types</t>
  </si>
  <si>
    <t xml:space="preserve">air\air192\boeing-787-10.dat</t>
  </si>
  <si>
    <t xml:space="preserve">boeing-737-max-7</t>
  </si>
  <si>
    <t xml:space="preserve">https://en.wikipedia.org/wiki/Boeing_737_MAX
http://www.b737.org.uk/737maxdiffs.htm
https://3dwarehouse.sketchup.com/model/u36b2e77b-d3af-4e3f-ae68-21412f593280/Sriwijaya-air-B-737-MAX-7
LRC (TAS)
length=8
Data not available: Boeing recommends treating the 737-NG takeoff
charts as a "conservative estimate", so reducing from 2140 to 2000</t>
  </si>
  <si>
    <t xml:space="preserve">air\boeing-737-max-7.dat</t>
  </si>
  <si>
    <t xml:space="preserve">boeing-737-max-7-high-density</t>
  </si>
  <si>
    <t xml:space="preserve">https://3dwarehouse.sketchup.com/model/u36b2e77b-d3af-4e3f-ae68-21412f593280/Sriwijaya-air-B-737-MAX-7
LRC (TAS)
length=8
Data not available: Boeing recommends treating the 737-NG takeoff
charts as a "conservative estimate", so reducing from 2140 to 2000</t>
  </si>
  <si>
    <t xml:space="preserve">boeing-737-max-9</t>
  </si>
  <si>
    <t xml:space="preserve">https://en.wikipedia.org/wiki/Boeing_737_MAX
http://www.b737.org.uk/737maxdiffs.htm
https://3dwarehouse.sketchup.com/model/1900e97c-2a95-4b72-acaf-11a818915244/United-Airlines-Boeing-737-MAX-9?hl=en
LRC (TAS)
length=8
Data not available: Boeing recommends treating the 737-NG takeoff
charts as a "conservative estimate", so reducing from 2900 to 2800</t>
  </si>
  <si>
    <t xml:space="preserve">air\boeing-737-max-9.dat</t>
  </si>
  <si>
    <t xml:space="preserve">boeing-737-max-9-high-density</t>
  </si>
  <si>
    <t xml:space="preserve">https://3dwarehouse.sketchup.com/model/1900e97c-2a95-4b72-acaf-11a818915244/United-Airlines-Boeing-737-MAX-9?hl=en
LRC (TAS)
length=8
Data not available: Boeing recommends treating the 737-NG takeoff
charts as a "conservative estimate", so reducing from 2900 to 2800</t>
  </si>
  <si>
    <t xml:space="preserve">BR-345Front</t>
  </si>
  <si>
    <t xml:space="preserve">Crossrail trains</t>
  </si>
  <si>
    <t xml:space="preserve">trains\br-345.dat</t>
  </si>
  <si>
    <t xml:space="preserve">BR-345Rear</t>
  </si>
  <si>
    <t xml:space="preserve">BR-345Middle</t>
  </si>
  <si>
    <t xml:space="preserve">BR-345Panto</t>
  </si>
  <si>
    <t xml:space="preserve">boeing-737-max-8</t>
  </si>
  <si>
    <t xml:space="preserve">https://en.wikipedia.org/wiki/Boeing_737_MAX
http://www.b737.org.uk/737maxdiffs.htm
https://3dwarehouse.sketchup.com/model/b69701fc-d291-4407-976e-5eaf84349319/Thai-Airways-B-737-MAX-8
LRC (TAS)
length=8
Data not available: Boeing recommends treating the 737-NG takeoff
charts as a "conservative estimate", so reducing from 2780 to 2650</t>
  </si>
  <si>
    <t xml:space="preserve">air\boeing-737-max-8.dat</t>
  </si>
  <si>
    <t xml:space="preserve">boeing-737-max-8-high-density</t>
  </si>
  <si>
    <t xml:space="preserve">This is actually the MAX 200 as ordered by Ryanair.
TODO: Find a Ryanair livery version of this one day.
https://3dwarehouse.sketchup.com/model/b69701fc-d291-4407-976e-5eaf84349319/Thai-Airways-B-737-MAX-8
LRC (TAS)
length=8
Data not available: Boeing recommends treating the 737-NG takeoff
charts as a "conservative estimate", so reducing from 2780 to 2650</t>
  </si>
  <si>
    <t xml:space="preserve">BR-385(front)</t>
  </si>
  <si>
    <t xml:space="preserve">https://en.wikipedia.org/wiki/British_Rail_Class_385
https://www.railengineer.uk/2016/04/29/from-shinkansen-to-scotland/
https://www.railforums.co.uk/threads/scotrail-class-385-discussion.126141/</t>
  </si>
  <si>
    <t xml:space="preserve">trains\br-385.dat</t>
  </si>
  <si>
    <t xml:space="preserve">BR-385(centre1)</t>
  </si>
  <si>
    <t xml:space="preserve">BR-385(centre2)</t>
  </si>
  <si>
    <t xml:space="preserve">BR-385(rear)</t>
  </si>
  <si>
    <t xml:space="preserve">BR-707Front</t>
  </si>
  <si>
    <t xml:space="preserve">https://en.wikipedia.org/wiki/British_Rail_Class_707</t>
  </si>
  <si>
    <t xml:space="preserve">trains\br-707.dat</t>
  </si>
  <si>
    <t xml:space="preserve">BR-707MiddlePower</t>
  </si>
  <si>
    <t xml:space="preserve">BR-707MiddleTrailer</t>
  </si>
  <si>
    <t xml:space="preserve">BR-707Rear</t>
  </si>
  <si>
    <t xml:space="preserve">BR-800Front</t>
  </si>
  <si>
    <t xml:space="preserve">TODO: In reality, these are bi-mode vehicles.
Make these electro-diesel when bi-mode capability is added to the code.
https://en.wikipedia.org/wiki/British_Rail_Class_800
These have a trolley and a kitchen, so hard to judge appropriate catering level.
http://www.hitachi.com/rev/pdf/2014/r2014_10_105.pdf</t>
  </si>
  <si>
    <t xml:space="preserve">trains\br-800.dat</t>
  </si>
  <si>
    <t xml:space="preserve">BR-800MiddlePower</t>
  </si>
  <si>
    <t xml:space="preserve">BR-800MiddleTrailer</t>
  </si>
  <si>
    <t xml:space="preserve">BR-800MiddleComposite</t>
  </si>
  <si>
    <t xml:space="preserve">BR-800Rear</t>
  </si>
  <si>
    <t xml:space="preserve">BR-801Front</t>
  </si>
  <si>
    <t xml:space="preserve">TODO: In reality, these are bi-mode vehicles.
Make these electro-diesel when bi-mode capability is added to the code.
https://en.wikipedia.org/wiki/British_Rail_Class_801
These have a trolley and a kitchen, so hard to judge appropriate catering level.</t>
  </si>
  <si>
    <t xml:space="preserve">trains\br-801.dat</t>
  </si>
  <si>
    <t xml:space="preserve">BR-801MiddlePower</t>
  </si>
  <si>
    <t xml:space="preserve">BR-801MiddleTrailer</t>
  </si>
  <si>
    <t xml:space="preserve">BR-801MiddleComposite</t>
  </si>
  <si>
    <t xml:space="preserve">BR-801Rear</t>
  </si>
  <si>
    <t xml:space="preserve">BR-710Front</t>
  </si>
  <si>
    <t xml:space="preserve">Dual voltage
https://en.wikipedia.org/wiki/British_Rail_Class_710</t>
  </si>
  <si>
    <t xml:space="preserve">trains\br-710.dat</t>
  </si>
  <si>
    <t xml:space="preserve">BR-710Middle</t>
  </si>
  <si>
    <t xml:space="preserve">BR-710Panto</t>
  </si>
  <si>
    <t xml:space="preserve">BR-710Rear</t>
  </si>
  <si>
    <t xml:space="preserve">BR-Ultra-520DD(front)</t>
  </si>
  <si>
    <t xml:space="preserve">alt name "Platinum Jubilee"</t>
  </si>
  <si>
    <t xml:space="preserve">maglev\Ultra520DD.dat</t>
  </si>
  <si>
    <t xml:space="preserve">Electric2020</t>
  </si>
  <si>
    <t xml:space="preserve">BR-Ultra-520DD(Open)</t>
  </si>
  <si>
    <t xml:space="preserve">BR-Ultra-520DD(Buffet)</t>
  </si>
  <si>
    <t xml:space="preserve">BR-Ultra-520DD(rear)</t>
  </si>
  <si>
    <t xml:space="preserve">comment</t>
  </si>
  <si>
    <t xml:space="preserve">Modern rail crews.</t>
  </si>
  <si>
    <t xml:space="preserve">commend</t>
  </si>
  <si>
    <t xml:space="preserve">Ship crew paid on average less. This is to make ships more attractive to players. Realistically crew is being paid in haulage space as well as due having no reliable employment contract due to high turn around.</t>
  </si>
  <si>
    <t xml:space="preserve">Train drivers are paid more due to needing a lot of technical skill and training.</t>
  </si>
  <si>
    <t xml:space="preserve">Person paid to sit around and turn breaks on as well as other unskilled stuff.</t>
  </si>
  <si>
    <t xml:space="preserve">Person paid for physical labour to move something. Slightly more than rest due to needing to buy more food.</t>
  </si>
  <si>
    <t xml:space="preserve">Person paid to sit behind a coach. Unskilled job with little manual labour.</t>
  </si>
  <si>
    <t xml:space="preserve">Child labour. Children are paid considerably less than adults.</t>
  </si>
  <si>
    <t xml:space="preserve">TPO staff need to be literate and efficient.</t>
  </si>
  <si>
    <t xml:space="preserve">Dining staff reasonably low paid cooks.</t>
  </si>
  <si>
    <t xml:space="preserve">Paid more than steam train crew as he has more responsibility as an individual.</t>
  </si>
  <si>
    <t xml:space="preserve">This includes pay for a conductor and a single driver spread across multiple units.</t>
  </si>
  <si>
    <t xml:space="preserve">Air staff is expensive.</t>
  </si>
  <si>
    <t xml:space="preserve">Humans never wear with distance.</t>
  </si>
  <si>
    <t xml:space="preserve">Old coaches has bad suspensions and bearings.</t>
  </si>
  <si>
    <t xml:space="preserve">Horses never wear with distance.</t>
  </si>
  <si>
    <t xml:space="preserve">New coaches run much futher.</t>
  </si>
  <si>
    <t xml:space="preserve">Rail coach designs not so efficient and reliable.</t>
  </si>
  <si>
    <t xml:space="preserve">Extreemly complicated and hard to maintain.</t>
  </si>
  <si>
    <t xml:space="preserve">More modern coach designs with better rails.</t>
  </si>
  <si>
    <t xml:space="preserve">Continiously welded track and precision parts to reduce wear.</t>
  </si>
  <si>
    <t xml:space="preserve">Not very reliable due to technology teething issues.</t>
  </si>
  <si>
    <t xml:space="preserve">Extreemly reliable thanks to precision parts.</t>
  </si>
  <si>
    <t xml:space="preserve">Extreemly unreliable. Joke of the world…</t>
  </si>
  <si>
    <t xml:space="preserve">Modeled around 100,000 flight hours at 700km/h. Does not factor in cycle strain which needs durability system. Reduced by about half to consider part replacement.</t>
  </si>
  <si>
    <t xml:space="preserve">Wooden ship that is subjected to excessive hell strain due to speed.</t>
  </si>
  <si>
    <t xml:space="preserve">Practically no wear due to levitation.</t>
  </si>
  <si>
    <t xml:space="preserve">Wooden ships are subject to deteriation due to water.</t>
  </si>
  <si>
    <t xml:space="preserve">Human operator replacement is part of staffing.</t>
  </si>
  <si>
    <t xml:space="preserve">Coaches are not really effected by age.</t>
  </si>
  <si>
    <t xml:space="preserve">Horses are technically property. They are subject to death due to old age as well as degrading performance towards end of life. Actual useful life for hard working horses probably around 10 years but 20 to make game easier for players.</t>
  </si>
  <si>
    <t xml:space="preserve">Passenger coaches fittings wear out with use and become dated fashion. People treated coaches with more care in old day so they look longer to wear out.</t>
  </si>
  <si>
    <t xml:space="preserve">Hard working, often needing replacement and fixes.</t>
  </si>
  <si>
    <t xml:space="preserve">State of fittings less important than passenger coaches.</t>
  </si>
  <si>
    <t xml:space="preserve">Open coach fittings subject to weather so last shorter.</t>
  </si>
  <si>
    <t xml:space="preserve">Made of tougher materials.</t>
  </si>
  <si>
    <t xml:space="preserve">Fittings wear out on modern coaches very fast. Also vandalisim is a big problem.</t>
  </si>
  <si>
    <t xml:space="preserve">Prety much indistructable unless really abused. Easy to fix anything that brakes.</t>
  </si>
  <si>
    <t xml:space="preserve">State of fittings less important than passenger coaches. As is work place some care is taken to avoid purpose damage. Use of heavy tools and less care from workers decrease life.</t>
  </si>
  <si>
    <t xml:space="preserve">Engine life degraded by modern passenger maintainance.</t>
  </si>
  <si>
    <t xml:space="preserve">EarlyDieselRailPassengers</t>
  </si>
  <si>
    <t xml:space="preserve">DieselRailPassengers</t>
  </si>
  <si>
    <t xml:space="preserve">Airframe only really degrades when in use. However some parts in planes have finite life span and need regular replacement.</t>
  </si>
  <si>
    <t xml:space="preserve">Did not really age? They were all scrapped due to an accident.</t>
  </si>
  <si>
    <t xml:space="preserve">Subject to corrosion but otherwise prety much last forever.</t>
  </si>
  <si>
    <t xml:space="preserve">Wind is free.</t>
  </si>
  <si>
    <t xml:space="preserve">Horses fed by hay which is much more common than human food.</t>
  </si>
  <si>
    <t xml:space="preserve">Humans buy their own food from wages.</t>
  </si>
  <si>
    <t xml:space="preserve">Early coal.</t>
  </si>
  <si>
    <t xml:space="preserve">Start of industrilization</t>
  </si>
  <si>
    <t xml:space="preserve">World War 1 bad economy so coal goes up.</t>
  </si>
  <si>
    <t xml:space="preserve">World War 2 bad economy so coal goes up.</t>
  </si>
  <si>
    <t xml:space="preserve">Post war economy is in bad shape.</t>
  </si>
  <si>
    <t xml:space="preserve">Inefficient generation.</t>
  </si>
  <si>
    <t xml:space="preserve">Lots of fresh power stations.</t>
  </si>
  <si>
    <t xml:space="preserve">Power stations starting to age and close.</t>
  </si>
  <si>
    <t xml:space="preserve">Uk power network starting to be strained. Rise of green energy raising prices.</t>
  </si>
  <si>
    <t xml:space="preserve">Uk power largely green, but also expensive with wide spread energy povety.</t>
  </si>
  <si>
    <t xml:space="preserve">FuelOilEarly</t>
  </si>
  <si>
    <t xml:space="preserve">FuelOil1980</t>
  </si>
</sst>
</file>

<file path=xl/styles.xml><?xml version="1.0" encoding="utf-8"?>
<styleSheet xmlns="http://schemas.openxmlformats.org/spreadsheetml/2006/main">
  <numFmts count="2">
    <numFmt numFmtId="164" formatCode="General"/>
    <numFmt numFmtId="165" formatCode="0"/>
  </numFmts>
  <fonts count="7">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u val="single"/>
      <sz val="11"/>
      <color rgb="FF0563C1"/>
      <name val="Cambria"/>
      <family val="0"/>
      <charset val="1"/>
    </font>
    <font>
      <sz val="11"/>
      <name val="Cambria"/>
      <family val="0"/>
      <charset val="1"/>
    </font>
  </fonts>
  <fills count="3">
    <fill>
      <patternFill patternType="none"/>
    </fill>
    <fill>
      <patternFill patternType="gray125"/>
    </fill>
    <fill>
      <patternFill patternType="solid">
        <fgColor rgb="FFD9E2F3"/>
        <bgColor rgb="FFCCFFFF"/>
      </patternFill>
    </fill>
  </fills>
  <borders count="2">
    <border diagonalUp="false" diagonalDown="false">
      <left/>
      <right/>
      <top/>
      <bottom/>
      <diagonal/>
    </border>
    <border diagonalUp="false" diagonalDown="false">
      <left style="thin">
        <color rgb="FF8EAADB"/>
      </left>
      <right/>
      <top style="thin">
        <color rgb="FF8EAADB"/>
      </top>
      <bottom style="thin">
        <color rgb="FF8EAAD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AADB"/>
      <rgbColor rgb="FF993366"/>
      <rgbColor rgb="FFFFFFCC"/>
      <rgbColor rgb="FFCCFFFF"/>
      <rgbColor rgb="FF660066"/>
      <rgbColor rgb="FFFF8080"/>
      <rgbColor rgb="FF0563C1"/>
      <rgbColor rgb="FFD9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_1" displayName="Table_1" ref="A1:T3015" headerRowCount="1" totalsRowCount="0" totalsRowShown="0">
  <tableColumns count="20">
    <tableColumn id="1" name="name"/>
    <tableColumn id="2" name="intro_year"/>
    <tableColumn id="3" name="intro_month"/>
    <tableColumn id="4" name="waytype"/>
    <tableColumn id="5" name="engine_type"/>
    <tableColumn id="6" name="power"/>
    <tableColumn id="7" name="speed"/>
    <tableColumn id="8" name="cost"/>
    <tableColumn id="9" name="runningcost"/>
    <tableColumn id="10" name="fixed_cost"/>
    <tableColumn id="11" name="comments"/>
    <tableColumn id="12" name="file"/>
    <tableColumn id="13" name="file_index"/>
    <tableColumn id="14" name="crew"/>
    <tableColumn id="15" name="efficiency"/>
    <tableColumn id="16" name="usage"/>
    <tableColumn id="17" name="wage"/>
    <tableColumn id="18" name="mileage_km"/>
    <tableColumn id="19" name="life_years"/>
    <tableColumn id="20" name="fuel_kw_km_cost"/>
  </tableColumns>
</table>
</file>

<file path=xl/tables/table2.xml><?xml version="1.0" encoding="utf-8"?>
<table xmlns="http://schemas.openxmlformats.org/spreadsheetml/2006/main" id="2" name="Table_2" displayName="Table_2" ref="A1:C28" headerRowCount="1" totalsRowCount="0" totalsRowShown="0">
  <tableColumns count="3">
    <tableColumn id="1" name="name"/>
    <tableColumn id="2" name="crew"/>
    <tableColumn id="3" name="comment"/>
  </tableColumns>
</table>
</file>

<file path=xl/tables/table3.xml><?xml version="1.0" encoding="utf-8"?>
<table xmlns="http://schemas.openxmlformats.org/spreadsheetml/2006/main" id="3" name="Table_3" displayName="Table_3" ref="A1:C17" headerRowCount="1" totalsRowCount="0" totalsRowShown="0">
  <tableColumns count="3">
    <tableColumn id="1" name="name"/>
    <tableColumn id="2" name="wage"/>
    <tableColumn id="3" name="commend"/>
  </tableColumns>
</table>
</file>

<file path=xl/tables/table4.xml><?xml version="1.0" encoding="utf-8"?>
<table xmlns="http://schemas.openxmlformats.org/spreadsheetml/2006/main" id="4" name="Table_4" displayName="Table_4" ref="A1:C34" headerRowCount="1" totalsRowCount="0" totalsRowShown="0">
  <tableColumns count="3">
    <tableColumn id="1" name="name"/>
    <tableColumn id="2" name="mileage_km"/>
    <tableColumn id="3" name="comment"/>
  </tableColumns>
</table>
</file>

<file path=xl/tables/table5.xml><?xml version="1.0" encoding="utf-8"?>
<table xmlns="http://schemas.openxmlformats.org/spreadsheetml/2006/main" id="5" name="Table_5" displayName="Table_5" ref="A1:C35" headerRowCount="1" totalsRowCount="0" totalsRowShown="0">
  <tableColumns count="3">
    <tableColumn id="1" name="name"/>
    <tableColumn id="2" name="life_years"/>
    <tableColumn id="3" name="comment"/>
  </tableColumns>
</table>
</file>

<file path=xl/tables/table6.xml><?xml version="1.0" encoding="utf-8"?>
<table xmlns="http://schemas.openxmlformats.org/spreadsheetml/2006/main" id="6" name="Table_6" displayName="Table_6" ref="A1:C42" headerRowCount="1" totalsRowCount="0" totalsRowShown="0">
  <tableColumns count="3">
    <tableColumn id="1" name="name"/>
    <tableColumn id="2" name="fuel_kw_km_cost"/>
    <tableColumn id="3" name="comment"/>
  </tableColumns>
</table>
</file>

<file path=xl/worksheets/_rels/sheet1.xml.rels><?xml version="1.0" encoding="UTF-8"?>
<Relationships xmlns="http://schemas.openxmlformats.org/package/2006/relationships"><Relationship Id="rId1" Type="http://schemas.openxmlformats.org/officeDocument/2006/relationships/hyperlink" Target="https://en.wikipedia.org/wiki/Humber_Keel45-60%20minutes" TargetMode="External"/><Relationship Id="rId2" Type="http://schemas.openxmlformats.org/officeDocument/2006/relationships/hyperlink" Target="http://www.ltmcollection.org/resources/index.html?IXglossary=Public%20transport%20in%20Victorian%20London%3A%20Part%20One%3A%20OvergroundEight%20wheels!" TargetMode="External"/><Relationship Id="rId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015"/>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P105" activeCellId="0" sqref="P105"/>
    </sheetView>
  </sheetViews>
  <sheetFormatPr defaultColWidth="12.6171875" defaultRowHeight="15" zeroHeight="false" outlineLevelRow="0" outlineLevelCol="0"/>
  <cols>
    <col collapsed="false" customWidth="true" hidden="false" outlineLevel="0" max="1" min="1" style="0" width="41.88"/>
    <col collapsed="false" customWidth="true" hidden="false" outlineLevel="0" max="2" min="2" style="0" width="10.75"/>
    <col collapsed="false" customWidth="true" hidden="false" outlineLevel="0" max="3" min="3" style="0" width="12.5"/>
    <col collapsed="false" customWidth="true" hidden="false" outlineLevel="0" max="4" min="4" style="0" width="9.38"/>
    <col collapsed="false" customWidth="true" hidden="false" outlineLevel="0" max="5" min="5" style="0" width="12.5"/>
    <col collapsed="false" customWidth="true" hidden="false" outlineLevel="0" max="7" min="6" style="0" width="7.63"/>
    <col collapsed="false" customWidth="true" hidden="false" outlineLevel="0" max="8" min="8" style="0" width="9.13"/>
    <col collapsed="false" customWidth="true" hidden="false" outlineLevel="0" max="9" min="9" style="0" width="11.88"/>
    <col collapsed="false" customWidth="true" hidden="false" outlineLevel="0" max="10" min="10" style="0" width="10.75"/>
    <col collapsed="false" customWidth="true" hidden="false" outlineLevel="0" max="11" min="11" style="0" width="10.88"/>
    <col collapsed="false" customWidth="true" hidden="false" outlineLevel="0" max="12" min="12" style="0" width="7.63"/>
    <col collapsed="false" customWidth="true" hidden="false" outlineLevel="0" max="13" min="13" style="0" width="10.62"/>
    <col collapsed="false" customWidth="true" hidden="false" outlineLevel="0" max="14" min="14" style="0" width="7.63"/>
    <col collapsed="false" customWidth="true" hidden="false" outlineLevel="0" max="15" min="15" style="0" width="10.38"/>
    <col collapsed="false" customWidth="true" hidden="false" outlineLevel="0" max="17" min="16" style="0" width="7.63"/>
    <col collapsed="false" customWidth="true" hidden="false" outlineLevel="0" max="18" min="18" style="0" width="12.25"/>
    <col collapsed="false" customWidth="true" hidden="false" outlineLevel="0" max="19" min="19" style="0" width="10.38"/>
    <col collapsed="false" customWidth="true" hidden="false" outlineLevel="0" max="20" min="20" style="0" width="9.26"/>
  </cols>
  <sheetData>
    <row r="1" customFormat="false" ht="15" hidden="false" customHeight="true" outlineLevel="0" collapsed="false">
      <c r="A1" s="1" t="s">
        <v>0</v>
      </c>
      <c r="B1" s="1" t="s">
        <v>1</v>
      </c>
      <c r="C1" s="1" t="s">
        <v>2</v>
      </c>
      <c r="D1" s="1" t="s">
        <v>3</v>
      </c>
      <c r="E1" s="1" t="s">
        <v>4</v>
      </c>
      <c r="F1" s="1" t="s">
        <v>5</v>
      </c>
      <c r="G1" s="1" t="s">
        <v>6</v>
      </c>
      <c r="H1" s="2" t="s">
        <v>7</v>
      </c>
      <c r="I1" s="2" t="s">
        <v>8</v>
      </c>
      <c r="J1" s="2" t="s">
        <v>9</v>
      </c>
      <c r="K1" s="1" t="s">
        <v>10</v>
      </c>
      <c r="L1" s="1" t="s">
        <v>11</v>
      </c>
      <c r="M1" s="1" t="s">
        <v>12</v>
      </c>
      <c r="N1" s="1" t="s">
        <v>13</v>
      </c>
      <c r="O1" s="1" t="s">
        <v>14</v>
      </c>
      <c r="P1" s="1" t="s">
        <v>15</v>
      </c>
      <c r="Q1" s="1" t="s">
        <v>16</v>
      </c>
      <c r="R1" s="1" t="s">
        <v>17</v>
      </c>
      <c r="S1" s="1" t="s">
        <v>18</v>
      </c>
      <c r="T1" s="1" t="s">
        <v>19</v>
      </c>
    </row>
    <row r="2" customFormat="false" ht="15" hidden="false" customHeight="true" outlineLevel="0" collapsed="false">
      <c r="A2" s="1" t="s">
        <v>20</v>
      </c>
      <c r="B2" s="1" t="n">
        <v>1492</v>
      </c>
      <c r="C2" s="1" t="n">
        <v>3</v>
      </c>
      <c r="D2" s="1" t="s">
        <v>21</v>
      </c>
      <c r="E2" s="1" t="s">
        <v>22</v>
      </c>
      <c r="F2" s="1" t="n">
        <v>5</v>
      </c>
      <c r="G2" s="1" t="n">
        <v>5</v>
      </c>
      <c r="H2" s="2" t="n">
        <v>2</v>
      </c>
      <c r="I2" s="2" t="n">
        <f aca="false">(((H2 / 800) / IF(ISBLANK(R2), 1000000, IF(ISNA(VLOOKUP(R2, Mileages!$A$2:$C$34, 2, 0)), R2, VLOOKUP(R2, Mileages!$A$2:$C$34, 2, 0)))) + (F2 * IF(ISBLANK(P2), 1, P2) * IF(ISBLANK(T2), 0, IF(ISNA(VLOOKUP(T2, 'Fuel Costs'!$A$2:$C$42, 2, 0)), T2, VLOOKUP(T2, 'Fuel Costs'!$A$2:$C$42, 2, 0))) / IF(ISBLANK(O2), 1, O2))) * 100</f>
        <v>0</v>
      </c>
      <c r="J2" s="2" t="n">
        <f aca="false">((H2 / 800) / (IF(ISBLANK(S2), 100, IF(ISNA(VLOOKUP(S2, Lives!$A$2:$C$35, 2, 0)), S2, VLOOKUP(S2, Lives!$A$2:$C$35, 2, 0))) * 12) + (IF(ISBLANK(Q2), 0, IF(ISNA(VLOOKUP(Q2, Wages!$A$2:$C$17, 2, 0)), Q2, VLOOKUP(Q2, Wages!$A$2:$C$17, 2, 0))) * IF(ISBLANK(N2), 0, IF(ISNA(VLOOKUP(N2, Crews!$A$2:$C$28, 2, 0)), N2, VLOOKUP(N2, Crews!$A$2:$C$28, 2, 0))))) * 400</f>
        <v>6000</v>
      </c>
      <c r="K2" s="3" t="s">
        <v>23</v>
      </c>
      <c r="L2" s="1" t="s">
        <v>24</v>
      </c>
      <c r="M2" s="1" t="n">
        <v>0</v>
      </c>
      <c r="N2" s="1" t="s">
        <v>25</v>
      </c>
      <c r="O2" s="1"/>
      <c r="P2" s="1"/>
      <c r="Q2" s="1" t="s">
        <v>26</v>
      </c>
      <c r="R2" s="1" t="s">
        <v>27</v>
      </c>
      <c r="S2" s="1" t="s">
        <v>27</v>
      </c>
      <c r="T2" s="1" t="s">
        <v>27</v>
      </c>
    </row>
    <row r="3" customFormat="false" ht="15" hidden="false" customHeight="true" outlineLevel="0" collapsed="false">
      <c r="A3" s="1" t="s">
        <v>28</v>
      </c>
      <c r="B3" s="1" t="n">
        <v>1650</v>
      </c>
      <c r="C3" s="1" t="n">
        <v>1</v>
      </c>
      <c r="D3" s="1" t="s">
        <v>29</v>
      </c>
      <c r="E3" s="1" t="s">
        <v>30</v>
      </c>
      <c r="F3" s="1" t="n">
        <v>400</v>
      </c>
      <c r="G3" s="1" t="n">
        <v>12</v>
      </c>
      <c r="H3" s="2" t="n">
        <v>240000</v>
      </c>
      <c r="I3" s="2" t="n">
        <f aca="false">(((H3 / 800) / IF(ISBLANK(R3), 1000000, IF(ISNA(VLOOKUP(R3, Mileages!$A$2:$C$34, 2, 0)), R3, VLOOKUP(R3, Mileages!$A$2:$C$34, 2, 0)))) + (F3 * IF(ISBLANK(P3), 1, P3) * IF(ISBLANK(T3), 0, IF(ISNA(VLOOKUP(T3, 'Fuel Costs'!$A$2:$C$42, 2, 0)), T3, VLOOKUP(T3, 'Fuel Costs'!$A$2:$C$42, 2, 0))) / IF(ISBLANK(O3), 1, O3))) * 100</f>
        <v>0.0375</v>
      </c>
      <c r="J3" s="2" t="n">
        <f aca="false">((H3 / 800) / (IF(ISBLANK(S3), 100, IF(ISNA(VLOOKUP(S3, Lives!$A$2:$C$35, 2, 0)), S3, VLOOKUP(S3, Lives!$A$2:$C$35, 2, 0))) * 12) + (IF(ISBLANK(Q3), 0, IF(ISNA(VLOOKUP(Q3, Wages!$A$2:$C$17, 2, 0)), Q3, VLOOKUP(Q3, Wages!$A$2:$C$17, 2, 0))) * IF(ISBLANK(N3), 0, IF(ISNA(VLOOKUP(N3, Crews!$A$2:$C$28, 2, 0)), N3, VLOOKUP(N3, Crews!$A$2:$C$28, 2, 0))))) * 400</f>
        <v>16166.66667</v>
      </c>
      <c r="K3" s="1" t="s">
        <v>31</v>
      </c>
      <c r="L3" s="1" t="s">
        <v>32</v>
      </c>
      <c r="M3" s="1" t="n">
        <v>0</v>
      </c>
      <c r="N3" s="1" t="s">
        <v>33</v>
      </c>
      <c r="O3" s="1"/>
      <c r="P3" s="1"/>
      <c r="Q3" s="1" t="s">
        <v>34</v>
      </c>
      <c r="R3" s="4" t="s">
        <v>35</v>
      </c>
      <c r="S3" s="1" t="s">
        <v>35</v>
      </c>
      <c r="T3" s="1" t="s">
        <v>36</v>
      </c>
    </row>
    <row r="4" customFormat="false" ht="15" hidden="false" customHeight="true" outlineLevel="0" collapsed="false">
      <c r="A4" s="1" t="s">
        <v>37</v>
      </c>
      <c r="B4" s="1" t="n">
        <v>1700</v>
      </c>
      <c r="C4" s="1" t="n">
        <v>1</v>
      </c>
      <c r="D4" s="1" t="s">
        <v>38</v>
      </c>
      <c r="E4" s="1"/>
      <c r="F4" s="1"/>
      <c r="G4" s="1" t="n">
        <v>10</v>
      </c>
      <c r="H4" s="2" t="n">
        <v>30000</v>
      </c>
      <c r="I4" s="2" t="n">
        <f aca="false">(((H4 / 800) / IF(ISBLANK(R4), 1000000, IF(ISNA(VLOOKUP(R4, Mileages!$A$2:$C$34, 2, 0)), R4, VLOOKUP(R4, Mileages!$A$2:$C$34, 2, 0)))) + (F4 * IF(ISBLANK(P4), 1, P4) * IF(ISBLANK(T4), 0, IF(ISNA(VLOOKUP(T4, 'Fuel Costs'!$A$2:$C$42, 2, 0)), T4, VLOOKUP(T4, 'Fuel Costs'!$A$2:$C$42, 2, 0))) / IF(ISBLANK(O4), 1, O4))) * 100</f>
        <v>0.01875</v>
      </c>
      <c r="J4" s="2" t="n">
        <f aca="false">((H4 / 800) / (IF(ISBLANK(S4), 100, IF(ISNA(VLOOKUP(S4, Lives!$A$2:$C$35, 2, 0)), S4, VLOOKUP(S4, Lives!$A$2:$C$35, 2, 0))) * 12) + (IF(ISBLANK(Q4), 0, IF(ISNA(VLOOKUP(Q4, Wages!$A$2:$C$17, 2, 0)), Q4, VLOOKUP(Q4, Wages!$A$2:$C$17, 2, 0))) * IF(ISBLANK(N4), 0, IF(ISNA(VLOOKUP(N4, Crews!$A$2:$C$28, 2, 0)), N4, VLOOKUP(N4, Crews!$A$2:$C$28, 2, 0))))) * 400</f>
        <v>4812.5</v>
      </c>
      <c r="K4" s="3" t="s">
        <v>39</v>
      </c>
      <c r="L4" s="1" t="s">
        <v>40</v>
      </c>
      <c r="M4" s="1" t="n">
        <v>0</v>
      </c>
      <c r="N4" s="1" t="s">
        <v>25</v>
      </c>
      <c r="O4" s="1"/>
      <c r="P4" s="1"/>
      <c r="Q4" s="1" t="s">
        <v>41</v>
      </c>
      <c r="R4" s="1" t="s">
        <v>42</v>
      </c>
      <c r="S4" s="1" t="s">
        <v>43</v>
      </c>
      <c r="T4" s="1"/>
    </row>
    <row r="5" customFormat="false" ht="15" hidden="false" customHeight="true" outlineLevel="0" collapsed="false">
      <c r="A5" s="1" t="s">
        <v>44</v>
      </c>
      <c r="B5" s="1" t="n">
        <v>1700</v>
      </c>
      <c r="C5" s="1" t="n">
        <v>1</v>
      </c>
      <c r="D5" s="1" t="s">
        <v>29</v>
      </c>
      <c r="E5" s="1" t="s">
        <v>30</v>
      </c>
      <c r="F5" s="1"/>
      <c r="G5" s="1" t="n">
        <v>15</v>
      </c>
      <c r="H5" s="2"/>
      <c r="I5" s="2"/>
      <c r="J5" s="2"/>
      <c r="K5" s="3" t="s">
        <v>45</v>
      </c>
      <c r="L5" s="1" t="s">
        <v>46</v>
      </c>
      <c r="M5" s="1" t="n">
        <v>0</v>
      </c>
      <c r="N5" s="1"/>
      <c r="O5" s="1"/>
      <c r="P5" s="1"/>
      <c r="Q5" s="1"/>
      <c r="R5" s="1"/>
      <c r="S5" s="1"/>
      <c r="T5" s="1"/>
    </row>
    <row r="6" customFormat="false" ht="15" hidden="false" customHeight="true" outlineLevel="0" collapsed="false">
      <c r="A6" s="1" t="s">
        <v>47</v>
      </c>
      <c r="B6" s="1" t="n">
        <v>1700</v>
      </c>
      <c r="C6" s="1" t="n">
        <v>1</v>
      </c>
      <c r="D6" s="1" t="s">
        <v>29</v>
      </c>
      <c r="E6" s="1" t="s">
        <v>30</v>
      </c>
      <c r="F6" s="1"/>
      <c r="G6" s="1" t="n">
        <v>15</v>
      </c>
      <c r="H6" s="2"/>
      <c r="I6" s="2"/>
      <c r="J6" s="2"/>
      <c r="K6" s="1" t="s">
        <v>48</v>
      </c>
      <c r="L6" s="1" t="s">
        <v>46</v>
      </c>
      <c r="M6" s="1" t="n">
        <v>1</v>
      </c>
      <c r="N6" s="1"/>
      <c r="O6" s="1"/>
      <c r="P6" s="1"/>
      <c r="Q6" s="1"/>
      <c r="R6" s="1"/>
      <c r="S6" s="1"/>
      <c r="T6" s="1"/>
    </row>
    <row r="7" customFormat="false" ht="15" hidden="false" customHeight="true" outlineLevel="0" collapsed="false">
      <c r="A7" s="1" t="s">
        <v>49</v>
      </c>
      <c r="B7" s="1" t="n">
        <v>1700</v>
      </c>
      <c r="C7" s="1" t="n">
        <v>1</v>
      </c>
      <c r="D7" s="1" t="s">
        <v>29</v>
      </c>
      <c r="E7" s="1" t="s">
        <v>30</v>
      </c>
      <c r="F7" s="1"/>
      <c r="G7" s="1" t="n">
        <v>15</v>
      </c>
      <c r="H7" s="2"/>
      <c r="I7" s="2"/>
      <c r="J7" s="2"/>
      <c r="K7" s="1" t="s">
        <v>48</v>
      </c>
      <c r="L7" s="1" t="s">
        <v>46</v>
      </c>
      <c r="M7" s="1" t="n">
        <v>2</v>
      </c>
      <c r="N7" s="1"/>
      <c r="O7" s="1"/>
      <c r="P7" s="1"/>
      <c r="Q7" s="1"/>
      <c r="R7" s="1"/>
      <c r="S7" s="1"/>
      <c r="T7" s="1"/>
    </row>
    <row r="8" customFormat="false" ht="15" hidden="false" customHeight="true" outlineLevel="0" collapsed="false">
      <c r="A8" s="1" t="s">
        <v>50</v>
      </c>
      <c r="B8" s="1" t="n">
        <v>1700</v>
      </c>
      <c r="C8" s="1" t="n">
        <v>1</v>
      </c>
      <c r="D8" s="1" t="s">
        <v>29</v>
      </c>
      <c r="E8" s="1" t="s">
        <v>30</v>
      </c>
      <c r="F8" s="1"/>
      <c r="G8" s="1" t="n">
        <v>15</v>
      </c>
      <c r="H8" s="2"/>
      <c r="I8" s="2"/>
      <c r="J8" s="2"/>
      <c r="K8" s="1" t="s">
        <v>48</v>
      </c>
      <c r="L8" s="1" t="s">
        <v>46</v>
      </c>
      <c r="M8" s="1" t="n">
        <v>3</v>
      </c>
      <c r="N8" s="1"/>
      <c r="O8" s="1"/>
      <c r="P8" s="1"/>
      <c r="Q8" s="1"/>
      <c r="R8" s="1"/>
      <c r="S8" s="1"/>
      <c r="T8" s="1"/>
    </row>
    <row r="9" customFormat="false" ht="15" hidden="false" customHeight="true" outlineLevel="0" collapsed="false">
      <c r="A9" s="1" t="s">
        <v>51</v>
      </c>
      <c r="B9" s="1" t="n">
        <v>1700</v>
      </c>
      <c r="C9" s="1" t="n">
        <v>1</v>
      </c>
      <c r="D9" s="1" t="s">
        <v>29</v>
      </c>
      <c r="E9" s="1" t="s">
        <v>30</v>
      </c>
      <c r="F9" s="1"/>
      <c r="G9" s="1" t="n">
        <v>15</v>
      </c>
      <c r="H9" s="2"/>
      <c r="I9" s="2"/>
      <c r="J9" s="2"/>
      <c r="K9" s="1" t="s">
        <v>48</v>
      </c>
      <c r="L9" s="1" t="s">
        <v>46</v>
      </c>
      <c r="M9" s="1" t="n">
        <v>4</v>
      </c>
      <c r="N9" s="1"/>
      <c r="O9" s="1"/>
      <c r="P9" s="1"/>
      <c r="Q9" s="1"/>
      <c r="R9" s="1"/>
      <c r="S9" s="1"/>
      <c r="T9" s="1"/>
    </row>
    <row r="10" customFormat="false" ht="15" hidden="false" customHeight="true" outlineLevel="0" collapsed="false">
      <c r="A10" s="1" t="s">
        <v>52</v>
      </c>
      <c r="B10" s="1" t="n">
        <v>1700</v>
      </c>
      <c r="C10" s="1" t="n">
        <v>1</v>
      </c>
      <c r="D10" s="1" t="s">
        <v>29</v>
      </c>
      <c r="E10" s="1" t="s">
        <v>30</v>
      </c>
      <c r="F10" s="1"/>
      <c r="G10" s="1" t="n">
        <v>15</v>
      </c>
      <c r="H10" s="2"/>
      <c r="I10" s="2"/>
      <c r="J10" s="2"/>
      <c r="K10" s="1" t="s">
        <v>48</v>
      </c>
      <c r="L10" s="1" t="s">
        <v>46</v>
      </c>
      <c r="M10" s="1" t="n">
        <v>5</v>
      </c>
      <c r="N10" s="1"/>
      <c r="O10" s="1"/>
      <c r="P10" s="1"/>
      <c r="Q10" s="1"/>
      <c r="R10" s="1"/>
      <c r="S10" s="1"/>
      <c r="T10" s="1"/>
    </row>
    <row r="11" customFormat="false" ht="15" hidden="false" customHeight="true" outlineLevel="0" collapsed="false">
      <c r="A11" s="1" t="s">
        <v>53</v>
      </c>
      <c r="B11" s="1" t="n">
        <v>1700</v>
      </c>
      <c r="C11" s="1" t="n">
        <v>1</v>
      </c>
      <c r="D11" s="1" t="s">
        <v>29</v>
      </c>
      <c r="E11" s="1" t="s">
        <v>30</v>
      </c>
      <c r="F11" s="1"/>
      <c r="G11" s="1" t="n">
        <v>15</v>
      </c>
      <c r="H11" s="2"/>
      <c r="I11" s="2"/>
      <c r="J11" s="2"/>
      <c r="K11" s="1" t="s">
        <v>48</v>
      </c>
      <c r="L11" s="1" t="s">
        <v>46</v>
      </c>
      <c r="M11" s="1" t="n">
        <v>6</v>
      </c>
      <c r="N11" s="1"/>
      <c r="O11" s="1"/>
      <c r="P11" s="1"/>
      <c r="Q11" s="1"/>
      <c r="R11" s="1"/>
      <c r="S11" s="1"/>
      <c r="T11" s="1"/>
    </row>
    <row r="12" customFormat="false" ht="15" hidden="false" customHeight="true" outlineLevel="0" collapsed="false">
      <c r="A12" s="1" t="s">
        <v>54</v>
      </c>
      <c r="B12" s="1" t="n">
        <v>1700</v>
      </c>
      <c r="C12" s="1" t="n">
        <v>1</v>
      </c>
      <c r="D12" s="1" t="s">
        <v>29</v>
      </c>
      <c r="E12" s="1" t="s">
        <v>30</v>
      </c>
      <c r="F12" s="1"/>
      <c r="G12" s="1" t="n">
        <v>15</v>
      </c>
      <c r="H12" s="2"/>
      <c r="I12" s="2"/>
      <c r="J12" s="2"/>
      <c r="K12" s="1" t="s">
        <v>48</v>
      </c>
      <c r="L12" s="1" t="s">
        <v>46</v>
      </c>
      <c r="M12" s="1" t="n">
        <v>7</v>
      </c>
      <c r="N12" s="1"/>
      <c r="O12" s="1"/>
      <c r="P12" s="1"/>
      <c r="Q12" s="1"/>
      <c r="R12" s="1"/>
      <c r="S12" s="1"/>
      <c r="T12" s="1"/>
    </row>
    <row r="13" customFormat="false" ht="15" hidden="false" customHeight="true" outlineLevel="0" collapsed="false">
      <c r="A13" s="1" t="s">
        <v>55</v>
      </c>
      <c r="B13" s="1" t="n">
        <v>1700</v>
      </c>
      <c r="C13" s="1" t="n">
        <v>1</v>
      </c>
      <c r="D13" s="1" t="s">
        <v>38</v>
      </c>
      <c r="E13" s="1"/>
      <c r="F13" s="1"/>
      <c r="G13" s="1" t="n">
        <v>10</v>
      </c>
      <c r="H13" s="2" t="n">
        <v>30000</v>
      </c>
      <c r="I13" s="2" t="n">
        <f aca="false">(((H13 / 800) / IF(ISBLANK(R13), 1000000, IF(ISNA(VLOOKUP(R13, Mileages!$A$2:$C$34, 2, 0)), R13, VLOOKUP(R13, Mileages!$A$2:$C$34, 2, 0)))) + (F13 * IF(ISBLANK(P13), 1, P13) * IF(ISBLANK(T13), 0, IF(ISNA(VLOOKUP(T13, 'Fuel Costs'!$A$2:$C$42, 2, 0)), T13, VLOOKUP(T13, 'Fuel Costs'!$A$2:$C$42, 2, 0))) / IF(ISBLANK(O13), 1, O13))) * 100</f>
        <v>0.01875</v>
      </c>
      <c r="J13" s="2" t="n">
        <f aca="false">((H13 / 800) / (IF(ISBLANK(S13), 100, IF(ISNA(VLOOKUP(S13, Lives!$A$2:$C$35, 2, 0)), S13, VLOOKUP(S13, Lives!$A$2:$C$35, 2, 0))) * 12) + (IF(ISBLANK(Q13), 0, IF(ISNA(VLOOKUP(Q13, Wages!$A$2:$C$17, 2, 0)), Q13, VLOOKUP(Q13, Wages!$A$2:$C$17, 2, 0))) * IF(ISBLANK(N13), 0, IF(ISNA(VLOOKUP(N13, Crews!$A$2:$C$28, 2, 0)), N13, VLOOKUP(N13, Crews!$A$2:$C$28, 2, 0))))) * 400</f>
        <v>4812.5</v>
      </c>
      <c r="K13" s="3" t="s">
        <v>39</v>
      </c>
      <c r="L13" s="1" t="s">
        <v>56</v>
      </c>
      <c r="M13" s="1" t="n">
        <v>0</v>
      </c>
      <c r="N13" s="1" t="s">
        <v>25</v>
      </c>
      <c r="O13" s="1"/>
      <c r="P13" s="1"/>
      <c r="Q13" s="1" t="s">
        <v>41</v>
      </c>
      <c r="R13" s="1" t="s">
        <v>42</v>
      </c>
      <c r="S13" s="1" t="s">
        <v>43</v>
      </c>
      <c r="T13" s="1"/>
    </row>
    <row r="14" customFormat="false" ht="15" hidden="false" customHeight="true" outlineLevel="0" collapsed="false">
      <c r="A14" s="1" t="s">
        <v>57</v>
      </c>
      <c r="B14" s="1" t="n">
        <v>1700</v>
      </c>
      <c r="C14" s="1" t="n">
        <v>1</v>
      </c>
      <c r="D14" s="1" t="s">
        <v>38</v>
      </c>
      <c r="E14" s="1"/>
      <c r="F14" s="1"/>
      <c r="G14" s="1" t="n">
        <v>10</v>
      </c>
      <c r="H14" s="2" t="n">
        <v>30000</v>
      </c>
      <c r="I14" s="2" t="n">
        <f aca="false">(((H14 / 800) / IF(ISBLANK(R14), 1000000, IF(ISNA(VLOOKUP(R14, Mileages!$A$2:$C$34, 2, 0)), R14, VLOOKUP(R14, Mileages!$A$2:$C$34, 2, 0)))) + (F14 * IF(ISBLANK(P14), 1, P14) * IF(ISBLANK(T14), 0, IF(ISNA(VLOOKUP(T14, 'Fuel Costs'!$A$2:$C$42, 2, 0)), T14, VLOOKUP(T14, 'Fuel Costs'!$A$2:$C$42, 2, 0))) / IF(ISBLANK(O14), 1, O14))) * 100</f>
        <v>0.01875</v>
      </c>
      <c r="J14" s="2" t="n">
        <f aca="false">((H14 / 800) / (IF(ISBLANK(S14), 100, IF(ISNA(VLOOKUP(S14, Lives!$A$2:$C$35, 2, 0)), S14, VLOOKUP(S14, Lives!$A$2:$C$35, 2, 0))) * 12) + (IF(ISBLANK(Q14), 0, IF(ISNA(VLOOKUP(Q14, Wages!$A$2:$C$17, 2, 0)), Q14, VLOOKUP(Q14, Wages!$A$2:$C$17, 2, 0))) * IF(ISBLANK(N14), 0, IF(ISNA(VLOOKUP(N14, Crews!$A$2:$C$28, 2, 0)), N14, VLOOKUP(N14, Crews!$A$2:$C$28, 2, 0))))) * 400</f>
        <v>4812.5</v>
      </c>
      <c r="K14" s="3" t="s">
        <v>39</v>
      </c>
      <c r="L14" s="1" t="s">
        <v>58</v>
      </c>
      <c r="M14" s="1" t="n">
        <v>0</v>
      </c>
      <c r="N14" s="1" t="s">
        <v>25</v>
      </c>
      <c r="O14" s="1"/>
      <c r="P14" s="1"/>
      <c r="Q14" s="1" t="s">
        <v>41</v>
      </c>
      <c r="R14" s="1" t="s">
        <v>42</v>
      </c>
      <c r="S14" s="1" t="s">
        <v>43</v>
      </c>
      <c r="T14" s="1"/>
    </row>
    <row r="15" customFormat="false" ht="15" hidden="false" customHeight="true" outlineLevel="0" collapsed="false">
      <c r="A15" s="1" t="s">
        <v>59</v>
      </c>
      <c r="B15" s="1" t="n">
        <v>1700</v>
      </c>
      <c r="C15" s="1" t="n">
        <v>1</v>
      </c>
      <c r="D15" s="1" t="s">
        <v>38</v>
      </c>
      <c r="E15" s="1"/>
      <c r="F15" s="1"/>
      <c r="G15" s="1" t="n">
        <v>10</v>
      </c>
      <c r="H15" s="2" t="n">
        <v>30000</v>
      </c>
      <c r="I15" s="2" t="n">
        <f aca="false">(((H15 / 800) / IF(ISBLANK(R15), 1000000, IF(ISNA(VLOOKUP(R15, Mileages!$A$2:$C$34, 2, 0)), R15, VLOOKUP(R15, Mileages!$A$2:$C$34, 2, 0)))) + (F15 * IF(ISBLANK(P15), 1, P15) * IF(ISBLANK(T15), 0, IF(ISNA(VLOOKUP(T15, 'Fuel Costs'!$A$2:$C$42, 2, 0)), T15, VLOOKUP(T15, 'Fuel Costs'!$A$2:$C$42, 2, 0))) / IF(ISBLANK(O15), 1, O15))) * 100</f>
        <v>0.01875</v>
      </c>
      <c r="J15" s="2" t="n">
        <f aca="false">((H15 / 800) / (IF(ISBLANK(S15), 100, IF(ISNA(VLOOKUP(S15, Lives!$A$2:$C$35, 2, 0)), S15, VLOOKUP(S15, Lives!$A$2:$C$35, 2, 0))) * 12) + (IF(ISBLANK(Q15), 0, IF(ISNA(VLOOKUP(Q15, Wages!$A$2:$C$17, 2, 0)), Q15, VLOOKUP(Q15, Wages!$A$2:$C$17, 2, 0))) * IF(ISBLANK(N15), 0, IF(ISNA(VLOOKUP(N15, Crews!$A$2:$C$28, 2, 0)), N15, VLOOKUP(N15, Crews!$A$2:$C$28, 2, 0))))) * 400</f>
        <v>4812.5</v>
      </c>
      <c r="K15" s="3" t="s">
        <v>60</v>
      </c>
      <c r="L15" s="1" t="s">
        <v>61</v>
      </c>
      <c r="M15" s="1" t="n">
        <v>0</v>
      </c>
      <c r="N15" s="1" t="s">
        <v>25</v>
      </c>
      <c r="O15" s="1"/>
      <c r="P15" s="1"/>
      <c r="Q15" s="1" t="s">
        <v>41</v>
      </c>
      <c r="R15" s="1" t="s">
        <v>42</v>
      </c>
      <c r="S15" s="1" t="s">
        <v>43</v>
      </c>
      <c r="T15" s="1"/>
    </row>
    <row r="16" customFormat="false" ht="15" hidden="false" customHeight="true" outlineLevel="0" collapsed="false">
      <c r="A16" s="1" t="s">
        <v>62</v>
      </c>
      <c r="B16" s="1" t="n">
        <v>1700</v>
      </c>
      <c r="C16" s="1" t="n">
        <v>1</v>
      </c>
      <c r="D16" s="1" t="s">
        <v>29</v>
      </c>
      <c r="E16" s="1" t="s">
        <v>30</v>
      </c>
      <c r="F16" s="1" t="n">
        <v>440</v>
      </c>
      <c r="G16" s="1" t="n">
        <v>15</v>
      </c>
      <c r="H16" s="2" t="n">
        <f aca="false">750000*10</f>
        <v>7500000</v>
      </c>
      <c r="I16" s="2" t="n">
        <f aca="false">(((H16 / 800) / IF(ISBLANK(R16), 1000000, IF(ISNA(VLOOKUP(R16, Mileages!$A$2:$C$34, 2, 0)), R16, VLOOKUP(R16, Mileages!$A$2:$C$34, 2, 0)))) + (F16 * IF(ISBLANK(P16), 1, P16) * IF(ISBLANK(T16), 0, IF(ISNA(VLOOKUP(T16, 'Fuel Costs'!$A$2:$C$42, 2, 0)), T16, VLOOKUP(T16, 'Fuel Costs'!$A$2:$C$42, 2, 0))) / IF(ISBLANK(O16), 1, O16))) * 100</f>
        <v>1.171875</v>
      </c>
      <c r="J16" s="2" t="n">
        <f aca="false">((H16 / 800) / (IF(ISBLANK(S16), 100, IF(ISNA(VLOOKUP(S16, Lives!$A$2:$C$35, 2, 0)), S16, VLOOKUP(S16, Lives!$A$2:$C$35, 2, 0))) * 12) + (IF(ISBLANK(Q16), 0, IF(ISNA(VLOOKUP(Q16, Wages!$A$2:$C$17, 2, 0)), Q16, VLOOKUP(Q16, Wages!$A$2:$C$17, 2, 0))) * IF(ISBLANK(N16), 0, IF(ISNA(VLOOKUP(N16, Crews!$A$2:$C$28, 2, 0)), N16, VLOOKUP(N16, Crews!$A$2:$C$28, 2, 0))))) * 400</f>
        <v>85208.33333</v>
      </c>
      <c r="K16" s="1" t="s">
        <v>63</v>
      </c>
      <c r="L16" s="1" t="s">
        <v>64</v>
      </c>
      <c r="M16" s="1" t="n">
        <v>0</v>
      </c>
      <c r="N16" s="1" t="s">
        <v>65</v>
      </c>
      <c r="O16" s="1"/>
      <c r="P16" s="1"/>
      <c r="Q16" s="1" t="s">
        <v>34</v>
      </c>
      <c r="R16" s="4" t="s">
        <v>35</v>
      </c>
      <c r="S16" s="1" t="s">
        <v>35</v>
      </c>
      <c r="T16" s="1" t="s">
        <v>36</v>
      </c>
    </row>
    <row r="17" customFormat="false" ht="15" hidden="false" customHeight="true" outlineLevel="0" collapsed="false">
      <c r="A17" s="1" t="s">
        <v>66</v>
      </c>
      <c r="B17" s="1" t="n">
        <v>1700</v>
      </c>
      <c r="C17" s="1" t="n">
        <v>1</v>
      </c>
      <c r="D17" s="1" t="s">
        <v>29</v>
      </c>
      <c r="E17" s="1" t="s">
        <v>30</v>
      </c>
      <c r="F17" s="1"/>
      <c r="G17" s="1" t="n">
        <v>15</v>
      </c>
      <c r="H17" s="2"/>
      <c r="I17" s="2"/>
      <c r="J17" s="2"/>
      <c r="K17" s="3" t="s">
        <v>67</v>
      </c>
      <c r="L17" s="1" t="s">
        <v>68</v>
      </c>
      <c r="M17" s="1" t="n">
        <v>0</v>
      </c>
      <c r="N17" s="1"/>
      <c r="O17" s="1"/>
      <c r="P17" s="1"/>
      <c r="Q17" s="1"/>
      <c r="R17" s="1"/>
      <c r="S17" s="1"/>
      <c r="T17" s="1"/>
    </row>
    <row r="18" customFormat="false" ht="15" hidden="false" customHeight="true" outlineLevel="0" collapsed="false">
      <c r="A18" s="1" t="s">
        <v>69</v>
      </c>
      <c r="B18" s="1" t="n">
        <v>1700</v>
      </c>
      <c r="C18" s="1" t="n">
        <v>1</v>
      </c>
      <c r="D18" s="1" t="s">
        <v>29</v>
      </c>
      <c r="E18" s="1" t="s">
        <v>30</v>
      </c>
      <c r="F18" s="1"/>
      <c r="G18" s="1" t="n">
        <v>15</v>
      </c>
      <c r="H18" s="2"/>
      <c r="I18" s="2"/>
      <c r="J18" s="2"/>
      <c r="K18" s="1" t="s">
        <v>70</v>
      </c>
      <c r="L18" s="1" t="s">
        <v>68</v>
      </c>
      <c r="M18" s="1" t="n">
        <v>1</v>
      </c>
      <c r="N18" s="1"/>
      <c r="O18" s="1"/>
      <c r="P18" s="1"/>
      <c r="Q18" s="1"/>
      <c r="R18" s="1"/>
      <c r="S18" s="1"/>
      <c r="T18" s="1"/>
    </row>
    <row r="19" customFormat="false" ht="15" hidden="false" customHeight="true" outlineLevel="0" collapsed="false">
      <c r="A19" s="1" t="s">
        <v>71</v>
      </c>
      <c r="B19" s="1" t="n">
        <v>1700</v>
      </c>
      <c r="C19" s="1" t="n">
        <v>1</v>
      </c>
      <c r="D19" s="1" t="s">
        <v>29</v>
      </c>
      <c r="E19" s="1" t="s">
        <v>30</v>
      </c>
      <c r="F19" s="1"/>
      <c r="G19" s="1" t="n">
        <v>15</v>
      </c>
      <c r="H19" s="2"/>
      <c r="I19" s="2"/>
      <c r="J19" s="2"/>
      <c r="K19" s="1" t="s">
        <v>70</v>
      </c>
      <c r="L19" s="1" t="s">
        <v>68</v>
      </c>
      <c r="M19" s="1" t="n">
        <v>2</v>
      </c>
      <c r="N19" s="1"/>
      <c r="O19" s="1"/>
      <c r="P19" s="1"/>
      <c r="Q19" s="1"/>
      <c r="R19" s="1"/>
      <c r="S19" s="1"/>
      <c r="T19" s="1"/>
    </row>
    <row r="20" customFormat="false" ht="15" hidden="false" customHeight="true" outlineLevel="0" collapsed="false">
      <c r="A20" s="1" t="s">
        <v>72</v>
      </c>
      <c r="B20" s="1" t="n">
        <v>1700</v>
      </c>
      <c r="C20" s="1" t="n">
        <v>1</v>
      </c>
      <c r="D20" s="1" t="s">
        <v>29</v>
      </c>
      <c r="E20" s="1" t="s">
        <v>30</v>
      </c>
      <c r="F20" s="1"/>
      <c r="G20" s="1" t="n">
        <v>15</v>
      </c>
      <c r="H20" s="2"/>
      <c r="I20" s="2"/>
      <c r="J20" s="2"/>
      <c r="K20" s="1" t="s">
        <v>70</v>
      </c>
      <c r="L20" s="1" t="s">
        <v>68</v>
      </c>
      <c r="M20" s="1" t="n">
        <v>3</v>
      </c>
      <c r="N20" s="1"/>
      <c r="O20" s="1"/>
      <c r="P20" s="1"/>
      <c r="Q20" s="1"/>
      <c r="R20" s="1"/>
      <c r="S20" s="1"/>
      <c r="T20" s="1"/>
    </row>
    <row r="21" customFormat="false" ht="15" hidden="false" customHeight="true" outlineLevel="0" collapsed="false">
      <c r="A21" s="1" t="s">
        <v>73</v>
      </c>
      <c r="B21" s="1" t="n">
        <v>1700</v>
      </c>
      <c r="C21" s="1" t="n">
        <v>1</v>
      </c>
      <c r="D21" s="1" t="s">
        <v>29</v>
      </c>
      <c r="E21" s="1" t="s">
        <v>30</v>
      </c>
      <c r="F21" s="1"/>
      <c r="G21" s="1" t="n">
        <v>15</v>
      </c>
      <c r="H21" s="2"/>
      <c r="I21" s="2"/>
      <c r="J21" s="2"/>
      <c r="K21" s="1" t="s">
        <v>70</v>
      </c>
      <c r="L21" s="1" t="s">
        <v>68</v>
      </c>
      <c r="M21" s="1" t="n">
        <v>4</v>
      </c>
      <c r="N21" s="1"/>
      <c r="O21" s="1"/>
      <c r="P21" s="1"/>
      <c r="Q21" s="1"/>
      <c r="R21" s="1"/>
      <c r="S21" s="1"/>
      <c r="T21" s="1"/>
    </row>
    <row r="22" customFormat="false" ht="15" hidden="false" customHeight="true" outlineLevel="0" collapsed="false">
      <c r="A22" s="1" t="s">
        <v>74</v>
      </c>
      <c r="B22" s="1" t="n">
        <v>1700</v>
      </c>
      <c r="C22" s="1" t="n">
        <v>1</v>
      </c>
      <c r="D22" s="1" t="s">
        <v>29</v>
      </c>
      <c r="E22" s="1" t="s">
        <v>30</v>
      </c>
      <c r="F22" s="1"/>
      <c r="G22" s="1" t="n">
        <v>15</v>
      </c>
      <c r="H22" s="2"/>
      <c r="I22" s="2"/>
      <c r="J22" s="2"/>
      <c r="K22" s="1" t="s">
        <v>70</v>
      </c>
      <c r="L22" s="1" t="s">
        <v>68</v>
      </c>
      <c r="M22" s="1" t="n">
        <v>5</v>
      </c>
      <c r="N22" s="1"/>
      <c r="O22" s="1"/>
      <c r="P22" s="1"/>
      <c r="Q22" s="1"/>
      <c r="R22" s="1"/>
      <c r="S22" s="1"/>
      <c r="T22" s="1"/>
    </row>
    <row r="23" customFormat="false" ht="15" hidden="false" customHeight="true" outlineLevel="0" collapsed="false">
      <c r="A23" s="1" t="s">
        <v>75</v>
      </c>
      <c r="B23" s="1" t="n">
        <v>1700</v>
      </c>
      <c r="C23" s="1" t="n">
        <v>1</v>
      </c>
      <c r="D23" s="1" t="s">
        <v>29</v>
      </c>
      <c r="E23" s="1" t="s">
        <v>30</v>
      </c>
      <c r="F23" s="1"/>
      <c r="G23" s="1" t="n">
        <v>15</v>
      </c>
      <c r="H23" s="2"/>
      <c r="I23" s="2"/>
      <c r="J23" s="2"/>
      <c r="K23" s="1" t="s">
        <v>70</v>
      </c>
      <c r="L23" s="1" t="s">
        <v>68</v>
      </c>
      <c r="M23" s="1" t="n">
        <v>6</v>
      </c>
      <c r="N23" s="1"/>
      <c r="O23" s="1"/>
      <c r="P23" s="1"/>
      <c r="Q23" s="1"/>
      <c r="R23" s="1"/>
      <c r="S23" s="1"/>
      <c r="T23" s="1"/>
    </row>
    <row r="24" customFormat="false" ht="15" hidden="false" customHeight="true" outlineLevel="0" collapsed="false">
      <c r="A24" s="1" t="s">
        <v>76</v>
      </c>
      <c r="B24" s="1" t="n">
        <v>1700</v>
      </c>
      <c r="C24" s="1" t="n">
        <v>1</v>
      </c>
      <c r="D24" s="1" t="s">
        <v>29</v>
      </c>
      <c r="E24" s="1" t="s">
        <v>30</v>
      </c>
      <c r="F24" s="1"/>
      <c r="G24" s="1" t="n">
        <v>15</v>
      </c>
      <c r="H24" s="2"/>
      <c r="I24" s="2"/>
      <c r="J24" s="2"/>
      <c r="K24" s="1" t="s">
        <v>70</v>
      </c>
      <c r="L24" s="1" t="s">
        <v>68</v>
      </c>
      <c r="M24" s="1" t="n">
        <v>7</v>
      </c>
      <c r="N24" s="1"/>
      <c r="O24" s="1"/>
      <c r="P24" s="1"/>
      <c r="Q24" s="1"/>
      <c r="R24" s="1"/>
      <c r="S24" s="1"/>
      <c r="T24" s="1"/>
    </row>
    <row r="25" customFormat="false" ht="15" hidden="false" customHeight="true" outlineLevel="0" collapsed="false">
      <c r="A25" s="1" t="s">
        <v>77</v>
      </c>
      <c r="B25" s="1" t="n">
        <v>1700</v>
      </c>
      <c r="C25" s="1" t="n">
        <v>1</v>
      </c>
      <c r="D25" s="1" t="s">
        <v>29</v>
      </c>
      <c r="E25" s="1" t="s">
        <v>30</v>
      </c>
      <c r="F25" s="1"/>
      <c r="G25" s="1" t="n">
        <v>15</v>
      </c>
      <c r="H25" s="2"/>
      <c r="I25" s="2"/>
      <c r="J25" s="2"/>
      <c r="K25" s="1" t="s">
        <v>70</v>
      </c>
      <c r="L25" s="1" t="s">
        <v>68</v>
      </c>
      <c r="M25" s="1" t="n">
        <v>8</v>
      </c>
      <c r="N25" s="1"/>
      <c r="O25" s="1"/>
      <c r="P25" s="1"/>
      <c r="Q25" s="1"/>
      <c r="R25" s="1"/>
      <c r="S25" s="1"/>
      <c r="T25" s="1"/>
    </row>
    <row r="26" customFormat="false" ht="15" hidden="false" customHeight="true" outlineLevel="0" collapsed="false">
      <c r="A26" s="1" t="s">
        <v>78</v>
      </c>
      <c r="B26" s="1" t="n">
        <v>1700</v>
      </c>
      <c r="C26" s="1" t="n">
        <v>1</v>
      </c>
      <c r="D26" s="1" t="s">
        <v>29</v>
      </c>
      <c r="E26" s="1" t="s">
        <v>30</v>
      </c>
      <c r="F26" s="1" t="n">
        <v>1270</v>
      </c>
      <c r="G26" s="1" t="n">
        <v>15</v>
      </c>
      <c r="H26" s="2" t="n">
        <f aca="false">2000000*15</f>
        <v>30000000</v>
      </c>
      <c r="I26" s="2" t="n">
        <f aca="false">(((H26 / 800) / IF(ISBLANK(R26), 1000000, IF(ISNA(VLOOKUP(R26, Mileages!$A$2:$C$34, 2, 0)), R26, VLOOKUP(R26, Mileages!$A$2:$C$34, 2, 0)))) + (F26 * IF(ISBLANK(P26), 1, P26) * IF(ISBLANK(T26), 0, IF(ISNA(VLOOKUP(T26, 'Fuel Costs'!$A$2:$C$42, 2, 0)), T26, VLOOKUP(T26, 'Fuel Costs'!$A$2:$C$42, 2, 0))) / IF(ISBLANK(O26), 1, O26))) * 100</f>
        <v>4.6875</v>
      </c>
      <c r="J26" s="2" t="n">
        <f aca="false">((H26 / 800) / (IF(ISBLANK(S26), 100, IF(ISNA(VLOOKUP(S26, Lives!$A$2:$C$35, 2, 0)), S26, VLOOKUP(S26, Lives!$A$2:$C$35, 2, 0))) * 12) + (IF(ISBLANK(Q26), 0, IF(ISNA(VLOOKUP(Q26, Wages!$A$2:$C$17, 2, 0)), Q26, VLOOKUP(Q26, Wages!$A$2:$C$17, 2, 0))) * IF(ISBLANK(N26), 0, IF(ISNA(VLOOKUP(N26, Crews!$A$2:$C$28, 2, 0)), N26, VLOOKUP(N26, Crews!$A$2:$C$28, 2, 0))))) * 400</f>
        <v>140833.3333</v>
      </c>
      <c r="K26" s="1"/>
      <c r="L26" s="1" t="s">
        <v>79</v>
      </c>
      <c r="M26" s="1" t="n">
        <v>0</v>
      </c>
      <c r="N26" s="1" t="s">
        <v>80</v>
      </c>
      <c r="O26" s="1"/>
      <c r="P26" s="1"/>
      <c r="Q26" s="1" t="s">
        <v>34</v>
      </c>
      <c r="R26" s="4" t="s">
        <v>35</v>
      </c>
      <c r="S26" s="1" t="s">
        <v>35</v>
      </c>
      <c r="T26" s="1" t="s">
        <v>36</v>
      </c>
    </row>
    <row r="27" customFormat="false" ht="15" hidden="false" customHeight="true" outlineLevel="0" collapsed="false">
      <c r="A27" s="1" t="s">
        <v>81</v>
      </c>
      <c r="B27" s="1" t="n">
        <v>1700</v>
      </c>
      <c r="C27" s="1" t="n">
        <v>6</v>
      </c>
      <c r="D27" s="1" t="s">
        <v>21</v>
      </c>
      <c r="E27" s="1"/>
      <c r="F27" s="1"/>
      <c r="G27" s="1" t="n">
        <v>6</v>
      </c>
      <c r="H27" s="2" t="n">
        <f aca="false">7500*2</f>
        <v>15000</v>
      </c>
      <c r="I27" s="2" t="n">
        <f aca="false">(((H27 / 800) / IF(ISBLANK(R27), 1000000, IF(ISNA(VLOOKUP(R27, Mileages!$A$2:$C$34, 2, 0)), R27, VLOOKUP(R27, Mileages!$A$2:$C$34, 2, 0)))) + (F27 * IF(ISBLANK(P27), 1, P27) * IF(ISBLANK(T27), 0, IF(ISNA(VLOOKUP(T27, 'Fuel Costs'!$A$2:$C$42, 2, 0)), T27, VLOOKUP(T27, 'Fuel Costs'!$A$2:$C$42, 2, 0))) / IF(ISBLANK(O27), 1, O27))) * 100</f>
        <v>0.009375</v>
      </c>
      <c r="J27" s="2" t="n">
        <f aca="false">((H27 / 800) / (IF(ISBLANK(S27), 100, IF(ISNA(VLOOKUP(S27, Lives!$A$2:$C$35, 2, 0)), S27, VLOOKUP(S27, Lives!$A$2:$C$35, 2, 0))) * 12) + (IF(ISBLANK(Q27), 0, IF(ISNA(VLOOKUP(Q27, Wages!$A$2:$C$17, 2, 0)), Q27, VLOOKUP(Q27, Wages!$A$2:$C$17, 2, 0))) * IF(ISBLANK(N27), 0, IF(ISNA(VLOOKUP(N27, Crews!$A$2:$C$28, 2, 0)), N27, VLOOKUP(N27, Crews!$A$2:$C$28, 2, 0))))) * 400</f>
        <v>4806.25</v>
      </c>
      <c r="K27" s="1" t="s">
        <v>82</v>
      </c>
      <c r="L27" s="1" t="s">
        <v>83</v>
      </c>
      <c r="M27" s="1" t="n">
        <v>4</v>
      </c>
      <c r="N27" s="1" t="s">
        <v>25</v>
      </c>
      <c r="O27" s="1"/>
      <c r="P27" s="1"/>
      <c r="Q27" s="1" t="s">
        <v>41</v>
      </c>
      <c r="R27" s="1" t="s">
        <v>42</v>
      </c>
      <c r="S27" s="1" t="s">
        <v>43</v>
      </c>
      <c r="T27" s="1"/>
    </row>
    <row r="28" customFormat="false" ht="15" hidden="false" customHeight="true" outlineLevel="0" collapsed="false">
      <c r="A28" s="1" t="s">
        <v>84</v>
      </c>
      <c r="B28" s="1" t="n">
        <v>1750</v>
      </c>
      <c r="C28" s="1" t="n">
        <v>1</v>
      </c>
      <c r="D28" s="1" t="s">
        <v>21</v>
      </c>
      <c r="E28" s="1" t="s">
        <v>22</v>
      </c>
      <c r="F28" s="1" t="n">
        <v>1</v>
      </c>
      <c r="G28" s="1" t="n">
        <v>12</v>
      </c>
      <c r="H28" s="2" t="n">
        <v>52500</v>
      </c>
      <c r="I28" s="2" t="n">
        <f aca="false">(((H28 / 800) / IF(ISBLANK(R28), 1000000, IF(ISNA(VLOOKUP(R28, Mileages!$A$2:$C$34, 2, 0)), R28, VLOOKUP(R28, Mileages!$A$2:$C$34, 2, 0)))) + (F28 * IF(ISBLANK(P28), 1, P28) * IF(ISBLANK(T28), 0, IF(ISNA(VLOOKUP(T28, 'Fuel Costs'!$A$2:$C$42, 2, 0)), T28, VLOOKUP(T28, 'Fuel Costs'!$A$2:$C$42, 2, 0))) / IF(ISBLANK(O28), 1, O28))) * 100</f>
        <v>2.500000007</v>
      </c>
      <c r="J28" s="2" t="n">
        <f aca="false">((H28 / 800) / (IF(ISBLANK(S28), 100, IF(ISNA(VLOOKUP(S28, Lives!$A$2:$C$35, 2, 0)), S28, VLOOKUP(S28, Lives!$A$2:$C$35, 2, 0))) * 12) + (IF(ISBLANK(Q28), 0, IF(ISNA(VLOOKUP(Q28, Wages!$A$2:$C$17, 2, 0)), Q28, VLOOKUP(Q28, Wages!$A$2:$C$17, 2, 0))) * IF(ISBLANK(N28), 0, IF(ISNA(VLOOKUP(N28, Crews!$A$2:$C$28, 2, 0)), N28, VLOOKUP(N28, Crews!$A$2:$C$28, 2, 0))))) * 400</f>
        <v>2909.375</v>
      </c>
      <c r="K28" s="1"/>
      <c r="L28" s="1" t="s">
        <v>85</v>
      </c>
      <c r="M28" s="1" t="n">
        <v>0</v>
      </c>
      <c r="N28" s="1" t="s">
        <v>25</v>
      </c>
      <c r="O28" s="1"/>
      <c r="P28" s="1"/>
      <c r="Q28" s="1" t="s">
        <v>86</v>
      </c>
      <c r="R28" s="5" t="s">
        <v>87</v>
      </c>
      <c r="S28" s="5" t="s">
        <v>87</v>
      </c>
      <c r="T28" s="5" t="s">
        <v>87</v>
      </c>
    </row>
    <row r="29" customFormat="false" ht="15" hidden="false" customHeight="true" outlineLevel="0" collapsed="false">
      <c r="A29" s="1" t="s">
        <v>88</v>
      </c>
      <c r="B29" s="1" t="n">
        <v>1750</v>
      </c>
      <c r="C29" s="1" t="n">
        <v>1</v>
      </c>
      <c r="D29" s="1" t="s">
        <v>29</v>
      </c>
      <c r="E29" s="1" t="s">
        <v>22</v>
      </c>
      <c r="F29" s="1" t="n">
        <v>1</v>
      </c>
      <c r="G29" s="1" t="n">
        <v>7</v>
      </c>
      <c r="H29" s="2" t="n">
        <v>50000</v>
      </c>
      <c r="I29" s="2" t="n">
        <f aca="false">(((H29 / 800) / IF(ISBLANK(R29), 1000000, IF(ISNA(VLOOKUP(R29, Mileages!$A$2:$C$34, 2, 0)), R29, VLOOKUP(R29, Mileages!$A$2:$C$34, 2, 0)))) + (F29 * IF(ISBLANK(P29), 1, P29) * IF(ISBLANK(T29), 0, IF(ISNA(VLOOKUP(T29, 'Fuel Costs'!$A$2:$C$42, 2, 0)), T29, VLOOKUP(T29, 'Fuel Costs'!$A$2:$C$42, 2, 0))) / IF(ISBLANK(O29), 1, O29))) * 100</f>
        <v>2.500000006</v>
      </c>
      <c r="J29" s="2" t="n">
        <f aca="false">((H29 / 800) / (IF(ISBLANK(S29), 100, IF(ISNA(VLOOKUP(S29, Lives!$A$2:$C$35, 2, 0)), S29, VLOOKUP(S29, Lives!$A$2:$C$35, 2, 0))) * 12) + (IF(ISBLANK(Q29), 0, IF(ISNA(VLOOKUP(Q29, Wages!$A$2:$C$17, 2, 0)), Q29, VLOOKUP(Q29, Wages!$A$2:$C$17, 2, 0))) * IF(ISBLANK(N29), 0, IF(ISNA(VLOOKUP(N29, Crews!$A$2:$C$28, 2, 0)), N29, VLOOKUP(N29, Crews!$A$2:$C$28, 2, 0))))) * 400</f>
        <v>6104.166667</v>
      </c>
      <c r="K29" s="1"/>
      <c r="L29" s="1" t="s">
        <v>89</v>
      </c>
      <c r="M29" s="1" t="n">
        <v>0</v>
      </c>
      <c r="N29" s="1" t="s">
        <v>25</v>
      </c>
      <c r="O29" s="1"/>
      <c r="P29" s="1"/>
      <c r="Q29" s="1" t="s">
        <v>26</v>
      </c>
      <c r="R29" s="5" t="s">
        <v>87</v>
      </c>
      <c r="S29" s="5" t="s">
        <v>87</v>
      </c>
      <c r="T29" s="5" t="s">
        <v>87</v>
      </c>
    </row>
    <row r="30" customFormat="false" ht="15" hidden="false" customHeight="true" outlineLevel="0" collapsed="false">
      <c r="A30" s="1" t="s">
        <v>90</v>
      </c>
      <c r="B30" s="1" t="n">
        <v>1750</v>
      </c>
      <c r="C30" s="1" t="n">
        <v>1</v>
      </c>
      <c r="D30" s="1" t="s">
        <v>29</v>
      </c>
      <c r="E30" s="1"/>
      <c r="F30" s="1"/>
      <c r="G30" s="1" t="n">
        <v>3</v>
      </c>
      <c r="H30" s="2"/>
      <c r="I30" s="2"/>
      <c r="J30" s="2"/>
      <c r="K30" s="1"/>
      <c r="L30" s="1" t="s">
        <v>91</v>
      </c>
      <c r="M30" s="1" t="n">
        <v>0</v>
      </c>
      <c r="N30" s="1"/>
      <c r="O30" s="1"/>
      <c r="P30" s="1"/>
      <c r="Q30" s="1"/>
      <c r="R30" s="1"/>
      <c r="S30" s="1"/>
      <c r="T30" s="1"/>
    </row>
    <row r="31" customFormat="false" ht="15" hidden="false" customHeight="true" outlineLevel="0" collapsed="false">
      <c r="A31" s="1" t="s">
        <v>92</v>
      </c>
      <c r="B31" s="1" t="n">
        <v>1750</v>
      </c>
      <c r="C31" s="1" t="n">
        <v>1</v>
      </c>
      <c r="D31" s="1" t="s">
        <v>38</v>
      </c>
      <c r="E31" s="1" t="s">
        <v>22</v>
      </c>
      <c r="F31" s="1" t="n">
        <v>1</v>
      </c>
      <c r="G31" s="1" t="n">
        <v>12</v>
      </c>
      <c r="H31" s="2" t="n">
        <v>50000</v>
      </c>
      <c r="I31" s="2" t="n">
        <f aca="false">(((H31 / 800) / IF(ISBLANK(R31), 1000000, IF(ISNA(VLOOKUP(R31, Mileages!$A$2:$C$34, 2, 0)), R31, VLOOKUP(R31, Mileages!$A$2:$C$34, 2, 0)))) + (F31 * IF(ISBLANK(P31), 1, P31) * IF(ISBLANK(T31), 0, IF(ISNA(VLOOKUP(T31, 'Fuel Costs'!$A$2:$C$42, 2, 0)), T31, VLOOKUP(T31, 'Fuel Costs'!$A$2:$C$42, 2, 0))) / IF(ISBLANK(O31), 1, O31))) * 100</f>
        <v>2.500000006</v>
      </c>
      <c r="J31" s="2" t="n">
        <f aca="false">((H31 / 800) / (IF(ISBLANK(S31), 100, IF(ISNA(VLOOKUP(S31, Lives!$A$2:$C$35, 2, 0)), S31, VLOOKUP(S31, Lives!$A$2:$C$35, 2, 0))) * 12) + (IF(ISBLANK(Q31), 0, IF(ISNA(VLOOKUP(Q31, Wages!$A$2:$C$17, 2, 0)), Q31, VLOOKUP(Q31, Wages!$A$2:$C$17, 2, 0))) * IF(ISBLANK(N31), 0, IF(ISNA(VLOOKUP(N31, Crews!$A$2:$C$28, 2, 0)), N31, VLOOKUP(N31, Crews!$A$2:$C$28, 2, 0))))) * 400</f>
        <v>104.1666667</v>
      </c>
      <c r="K31" s="3" t="s">
        <v>93</v>
      </c>
      <c r="L31" s="1" t="s">
        <v>94</v>
      </c>
      <c r="M31" s="1" t="n">
        <v>0</v>
      </c>
      <c r="N31" s="1"/>
      <c r="O31" s="1"/>
      <c r="P31" s="1"/>
      <c r="Q31" s="1"/>
      <c r="R31" s="5" t="s">
        <v>87</v>
      </c>
      <c r="S31" s="5" t="s">
        <v>87</v>
      </c>
      <c r="T31" s="5" t="s">
        <v>87</v>
      </c>
    </row>
    <row r="32" customFormat="false" ht="15" hidden="false" customHeight="true" outlineLevel="0" collapsed="false">
      <c r="A32" s="1" t="s">
        <v>95</v>
      </c>
      <c r="B32" s="1" t="n">
        <v>1750</v>
      </c>
      <c r="C32" s="1" t="n">
        <v>1</v>
      </c>
      <c r="D32" s="1" t="s">
        <v>29</v>
      </c>
      <c r="E32" s="1" t="s">
        <v>30</v>
      </c>
      <c r="F32" s="1" t="n">
        <v>70</v>
      </c>
      <c r="G32" s="1" t="n">
        <v>12</v>
      </c>
      <c r="H32" s="2" t="n">
        <v>85000</v>
      </c>
      <c r="I32" s="2" t="n">
        <f aca="false">(((H32 / 800) / IF(ISBLANK(R32), 1000000, IF(ISNA(VLOOKUP(R32, Mileages!$A$2:$C$34, 2, 0)), R32, VLOOKUP(R32, Mileages!$A$2:$C$34, 2, 0)))) + (F32 * IF(ISBLANK(P32), 1, P32) * IF(ISBLANK(T32), 0, IF(ISNA(VLOOKUP(T32, 'Fuel Costs'!$A$2:$C$42, 2, 0)), T32, VLOOKUP(T32, 'Fuel Costs'!$A$2:$C$42, 2, 0))) / IF(ISBLANK(O32), 1, O32))) * 100</f>
        <v>0.01328125</v>
      </c>
      <c r="J32" s="2" t="n">
        <f aca="false">((H32 / 800) / (IF(ISBLANK(S32), 100, IF(ISNA(VLOOKUP(S32, Lives!$A$2:$C$35, 2, 0)), S32, VLOOKUP(S32, Lives!$A$2:$C$35, 2, 0))) * 12) + (IF(ISBLANK(Q32), 0, IF(ISNA(VLOOKUP(Q32, Wages!$A$2:$C$17, 2, 0)), Q32, VLOOKUP(Q32, Wages!$A$2:$C$17, 2, 0))) * IF(ISBLANK(N32), 0, IF(ISNA(VLOOKUP(N32, Crews!$A$2:$C$28, 2, 0)), N32, VLOOKUP(N32, Crews!$A$2:$C$28, 2, 0))))) * 400</f>
        <v>16059.02778</v>
      </c>
      <c r="K32" s="1" t="s">
        <v>96</v>
      </c>
      <c r="L32" s="1" t="s">
        <v>97</v>
      </c>
      <c r="M32" s="1" t="n">
        <v>0</v>
      </c>
      <c r="N32" s="1" t="s">
        <v>33</v>
      </c>
      <c r="O32" s="1"/>
      <c r="P32" s="1"/>
      <c r="Q32" s="1" t="s">
        <v>34</v>
      </c>
      <c r="R32" s="4" t="s">
        <v>35</v>
      </c>
      <c r="S32" s="1" t="s">
        <v>35</v>
      </c>
      <c r="T32" s="1" t="s">
        <v>36</v>
      </c>
    </row>
    <row r="33" customFormat="false" ht="15" hidden="false" customHeight="true" outlineLevel="0" collapsed="false">
      <c r="A33" s="1" t="s">
        <v>98</v>
      </c>
      <c r="B33" s="1" t="n">
        <v>1750</v>
      </c>
      <c r="C33" s="1" t="n">
        <v>1</v>
      </c>
      <c r="D33" s="1" t="s">
        <v>29</v>
      </c>
      <c r="E33" s="1" t="s">
        <v>30</v>
      </c>
      <c r="F33" s="1" t="n">
        <v>70</v>
      </c>
      <c r="G33" s="1" t="n">
        <v>12</v>
      </c>
      <c r="H33" s="2" t="n">
        <v>85000</v>
      </c>
      <c r="I33" s="2" t="n">
        <f aca="false">(((H33 / 800) / IF(ISBLANK(R33), 1000000, IF(ISNA(VLOOKUP(R33, Mileages!$A$2:$C$34, 2, 0)), R33, VLOOKUP(R33, Mileages!$A$2:$C$34, 2, 0)))) + (F33 * IF(ISBLANK(P33), 1, P33) * IF(ISBLANK(T33), 0, IF(ISNA(VLOOKUP(T33, 'Fuel Costs'!$A$2:$C$42, 2, 0)), T33, VLOOKUP(T33, 'Fuel Costs'!$A$2:$C$42, 2, 0))) / IF(ISBLANK(O33), 1, O33))) * 100</f>
        <v>0.01328125</v>
      </c>
      <c r="J33" s="2" t="n">
        <f aca="false">((H33 / 800) / (IF(ISBLANK(S33), 100, IF(ISNA(VLOOKUP(S33, Lives!$A$2:$C$35, 2, 0)), S33, VLOOKUP(S33, Lives!$A$2:$C$35, 2, 0))) * 12) + (IF(ISBLANK(Q33), 0, IF(ISNA(VLOOKUP(Q33, Wages!$A$2:$C$17, 2, 0)), Q33, VLOOKUP(Q33, Wages!$A$2:$C$17, 2, 0))) * IF(ISBLANK(N33), 0, IF(ISNA(VLOOKUP(N33, Crews!$A$2:$C$28, 2, 0)), N33, VLOOKUP(N33, Crews!$A$2:$C$28, 2, 0))))) * 400</f>
        <v>16059.02778</v>
      </c>
      <c r="K33" s="1" t="s">
        <v>96</v>
      </c>
      <c r="L33" s="1" t="s">
        <v>97</v>
      </c>
      <c r="M33" s="1" t="n">
        <v>1</v>
      </c>
      <c r="N33" s="1" t="s">
        <v>33</v>
      </c>
      <c r="O33" s="1"/>
      <c r="P33" s="1"/>
      <c r="Q33" s="1" t="s">
        <v>34</v>
      </c>
      <c r="R33" s="4" t="s">
        <v>35</v>
      </c>
      <c r="S33" s="1" t="s">
        <v>35</v>
      </c>
      <c r="T33" s="1" t="s">
        <v>36</v>
      </c>
    </row>
    <row r="34" customFormat="false" ht="15" hidden="false" customHeight="true" outlineLevel="0" collapsed="false">
      <c r="A34" s="1" t="s">
        <v>99</v>
      </c>
      <c r="B34" s="1" t="n">
        <v>1750</v>
      </c>
      <c r="C34" s="1" t="n">
        <v>1</v>
      </c>
      <c r="D34" s="1" t="s">
        <v>29</v>
      </c>
      <c r="E34" s="1" t="s">
        <v>30</v>
      </c>
      <c r="F34" s="1" t="n">
        <v>70</v>
      </c>
      <c r="G34" s="1" t="n">
        <v>12</v>
      </c>
      <c r="H34" s="2" t="n">
        <v>85000</v>
      </c>
      <c r="I34" s="2" t="n">
        <f aca="false">(((H34 / 800) / IF(ISBLANK(R34), 1000000, IF(ISNA(VLOOKUP(R34, Mileages!$A$2:$C$34, 2, 0)), R34, VLOOKUP(R34, Mileages!$A$2:$C$34, 2, 0)))) + (F34 * IF(ISBLANK(P34), 1, P34) * IF(ISBLANK(T34), 0, IF(ISNA(VLOOKUP(T34, 'Fuel Costs'!$A$2:$C$42, 2, 0)), T34, VLOOKUP(T34, 'Fuel Costs'!$A$2:$C$42, 2, 0))) / IF(ISBLANK(O34), 1, O34))) * 100</f>
        <v>0.01328125</v>
      </c>
      <c r="J34" s="2" t="n">
        <f aca="false">((H34 / 800) / (IF(ISBLANK(S34), 100, IF(ISNA(VLOOKUP(S34, Lives!$A$2:$C$35, 2, 0)), S34, VLOOKUP(S34, Lives!$A$2:$C$35, 2, 0))) * 12) + (IF(ISBLANK(Q34), 0, IF(ISNA(VLOOKUP(Q34, Wages!$A$2:$C$17, 2, 0)), Q34, VLOOKUP(Q34, Wages!$A$2:$C$17, 2, 0))) * IF(ISBLANK(N34), 0, IF(ISNA(VLOOKUP(N34, Crews!$A$2:$C$28, 2, 0)), N34, VLOOKUP(N34, Crews!$A$2:$C$28, 2, 0))))) * 400</f>
        <v>16059.02778</v>
      </c>
      <c r="K34" s="1" t="s">
        <v>96</v>
      </c>
      <c r="L34" s="1" t="s">
        <v>97</v>
      </c>
      <c r="M34" s="1" t="n">
        <v>2</v>
      </c>
      <c r="N34" s="1" t="s">
        <v>33</v>
      </c>
      <c r="O34" s="1"/>
      <c r="P34" s="1"/>
      <c r="Q34" s="1" t="s">
        <v>34</v>
      </c>
      <c r="R34" s="4" t="s">
        <v>35</v>
      </c>
      <c r="S34" s="1" t="s">
        <v>35</v>
      </c>
      <c r="T34" s="1" t="s">
        <v>36</v>
      </c>
    </row>
    <row r="35" customFormat="false" ht="15" hidden="false" customHeight="true" outlineLevel="0" collapsed="false">
      <c r="A35" s="1" t="s">
        <v>100</v>
      </c>
      <c r="B35" s="1" t="n">
        <v>1750</v>
      </c>
      <c r="C35" s="1" t="n">
        <v>1</v>
      </c>
      <c r="D35" s="1" t="s">
        <v>29</v>
      </c>
      <c r="E35" s="1" t="s">
        <v>30</v>
      </c>
      <c r="F35" s="1" t="n">
        <v>70</v>
      </c>
      <c r="G35" s="1" t="n">
        <v>12</v>
      </c>
      <c r="H35" s="2" t="n">
        <v>85000</v>
      </c>
      <c r="I35" s="2" t="n">
        <f aca="false">(((H35 / 800) / IF(ISBLANK(R35), 1000000, IF(ISNA(VLOOKUP(R35, Mileages!$A$2:$C$34, 2, 0)), R35, VLOOKUP(R35, Mileages!$A$2:$C$34, 2, 0)))) + (F35 * IF(ISBLANK(P35), 1, P35) * IF(ISBLANK(T35), 0, IF(ISNA(VLOOKUP(T35, 'Fuel Costs'!$A$2:$C$42, 2, 0)), T35, VLOOKUP(T35, 'Fuel Costs'!$A$2:$C$42, 2, 0))) / IF(ISBLANK(O35), 1, O35))) * 100</f>
        <v>0.01328125</v>
      </c>
      <c r="J35" s="2" t="n">
        <f aca="false">((H35 / 800) / (IF(ISBLANK(S35), 100, IF(ISNA(VLOOKUP(S35, Lives!$A$2:$C$35, 2, 0)), S35, VLOOKUP(S35, Lives!$A$2:$C$35, 2, 0))) * 12) + (IF(ISBLANK(Q35), 0, IF(ISNA(VLOOKUP(Q35, Wages!$A$2:$C$17, 2, 0)), Q35, VLOOKUP(Q35, Wages!$A$2:$C$17, 2, 0))) * IF(ISBLANK(N35), 0, IF(ISNA(VLOOKUP(N35, Crews!$A$2:$C$28, 2, 0)), N35, VLOOKUP(N35, Crews!$A$2:$C$28, 2, 0))))) * 400</f>
        <v>16059.02778</v>
      </c>
      <c r="K35" s="1" t="s">
        <v>96</v>
      </c>
      <c r="L35" s="1" t="s">
        <v>97</v>
      </c>
      <c r="M35" s="1" t="n">
        <v>3</v>
      </c>
      <c r="N35" s="1" t="s">
        <v>33</v>
      </c>
      <c r="O35" s="1"/>
      <c r="P35" s="1"/>
      <c r="Q35" s="1" t="s">
        <v>34</v>
      </c>
      <c r="R35" s="4" t="s">
        <v>35</v>
      </c>
      <c r="S35" s="1" t="s">
        <v>35</v>
      </c>
      <c r="T35" s="1" t="s">
        <v>36</v>
      </c>
    </row>
    <row r="36" customFormat="false" ht="15" hidden="false" customHeight="true" outlineLevel="0" collapsed="false">
      <c r="A36" s="1" t="s">
        <v>101</v>
      </c>
      <c r="B36" s="1" t="n">
        <v>1750</v>
      </c>
      <c r="C36" s="1" t="n">
        <v>1</v>
      </c>
      <c r="D36" s="1" t="s">
        <v>29</v>
      </c>
      <c r="E36" s="1" t="s">
        <v>30</v>
      </c>
      <c r="F36" s="1" t="n">
        <v>70</v>
      </c>
      <c r="G36" s="1" t="n">
        <v>12</v>
      </c>
      <c r="H36" s="2" t="n">
        <v>85000</v>
      </c>
      <c r="I36" s="2" t="n">
        <f aca="false">(((H36 / 800) / IF(ISBLANK(R36), 1000000, IF(ISNA(VLOOKUP(R36, Mileages!$A$2:$C$34, 2, 0)), R36, VLOOKUP(R36, Mileages!$A$2:$C$34, 2, 0)))) + (F36 * IF(ISBLANK(P36), 1, P36) * IF(ISBLANK(T36), 0, IF(ISNA(VLOOKUP(T36, 'Fuel Costs'!$A$2:$C$42, 2, 0)), T36, VLOOKUP(T36, 'Fuel Costs'!$A$2:$C$42, 2, 0))) / IF(ISBLANK(O36), 1, O36))) * 100</f>
        <v>0.01328125</v>
      </c>
      <c r="J36" s="2" t="n">
        <f aca="false">((H36 / 800) / (IF(ISBLANK(S36), 100, IF(ISNA(VLOOKUP(S36, Lives!$A$2:$C$35, 2, 0)), S36, VLOOKUP(S36, Lives!$A$2:$C$35, 2, 0))) * 12) + (IF(ISBLANK(Q36), 0, IF(ISNA(VLOOKUP(Q36, Wages!$A$2:$C$17, 2, 0)), Q36, VLOOKUP(Q36, Wages!$A$2:$C$17, 2, 0))) * IF(ISBLANK(N36), 0, IF(ISNA(VLOOKUP(N36, Crews!$A$2:$C$28, 2, 0)), N36, VLOOKUP(N36, Crews!$A$2:$C$28, 2, 0))))) * 400</f>
        <v>16059.02778</v>
      </c>
      <c r="K36" s="1" t="s">
        <v>102</v>
      </c>
      <c r="L36" s="1" t="s">
        <v>97</v>
      </c>
      <c r="M36" s="1" t="n">
        <v>4</v>
      </c>
      <c r="N36" s="1" t="s">
        <v>33</v>
      </c>
      <c r="O36" s="1"/>
      <c r="P36" s="1"/>
      <c r="Q36" s="1" t="s">
        <v>34</v>
      </c>
      <c r="R36" s="4" t="s">
        <v>35</v>
      </c>
      <c r="S36" s="1" t="s">
        <v>35</v>
      </c>
      <c r="T36" s="1" t="s">
        <v>36</v>
      </c>
    </row>
    <row r="37" customFormat="false" ht="15" hidden="false" customHeight="true" outlineLevel="0" collapsed="false">
      <c r="A37" s="1" t="s">
        <v>103</v>
      </c>
      <c r="B37" s="1" t="n">
        <v>1750</v>
      </c>
      <c r="C37" s="1" t="n">
        <v>1</v>
      </c>
      <c r="D37" s="1" t="s">
        <v>29</v>
      </c>
      <c r="E37" s="1" t="s">
        <v>30</v>
      </c>
      <c r="F37" s="1" t="n">
        <v>70</v>
      </c>
      <c r="G37" s="1" t="n">
        <v>12</v>
      </c>
      <c r="H37" s="2" t="n">
        <v>85000</v>
      </c>
      <c r="I37" s="2" t="n">
        <f aca="false">(((H37 / 800) / IF(ISBLANK(R37), 1000000, IF(ISNA(VLOOKUP(R37, Mileages!$A$2:$C$34, 2, 0)), R37, VLOOKUP(R37, Mileages!$A$2:$C$34, 2, 0)))) + (F37 * IF(ISBLANK(P37), 1, P37) * IF(ISBLANK(T37), 0, IF(ISNA(VLOOKUP(T37, 'Fuel Costs'!$A$2:$C$42, 2, 0)), T37, VLOOKUP(T37, 'Fuel Costs'!$A$2:$C$42, 2, 0))) / IF(ISBLANK(O37), 1, O37))) * 100</f>
        <v>0.01328125</v>
      </c>
      <c r="J37" s="2" t="n">
        <f aca="false">((H37 / 800) / (IF(ISBLANK(S37), 100, IF(ISNA(VLOOKUP(S37, Lives!$A$2:$C$35, 2, 0)), S37, VLOOKUP(S37, Lives!$A$2:$C$35, 2, 0))) * 12) + (IF(ISBLANK(Q37), 0, IF(ISNA(VLOOKUP(Q37, Wages!$A$2:$C$17, 2, 0)), Q37, VLOOKUP(Q37, Wages!$A$2:$C$17, 2, 0))) * IF(ISBLANK(N37), 0, IF(ISNA(VLOOKUP(N37, Crews!$A$2:$C$28, 2, 0)), N37, VLOOKUP(N37, Crews!$A$2:$C$28, 2, 0))))) * 400</f>
        <v>16059.02778</v>
      </c>
      <c r="K37" s="1" t="s">
        <v>104</v>
      </c>
      <c r="L37" s="1" t="s">
        <v>97</v>
      </c>
      <c r="M37" s="1" t="n">
        <v>5</v>
      </c>
      <c r="N37" s="1" t="s">
        <v>33</v>
      </c>
      <c r="O37" s="1"/>
      <c r="P37" s="1"/>
      <c r="Q37" s="1" t="s">
        <v>34</v>
      </c>
      <c r="R37" s="4" t="s">
        <v>35</v>
      </c>
      <c r="S37" s="1" t="s">
        <v>35</v>
      </c>
      <c r="T37" s="1" t="s">
        <v>36</v>
      </c>
    </row>
    <row r="38" customFormat="false" ht="15" hidden="false" customHeight="true" outlineLevel="0" collapsed="false">
      <c r="A38" s="1" t="s">
        <v>105</v>
      </c>
      <c r="B38" s="1" t="n">
        <v>1750</v>
      </c>
      <c r="C38" s="1" t="n">
        <v>1</v>
      </c>
      <c r="D38" s="1" t="s">
        <v>29</v>
      </c>
      <c r="E38" s="1" t="s">
        <v>30</v>
      </c>
      <c r="F38" s="1" t="n">
        <v>70</v>
      </c>
      <c r="G38" s="1" t="n">
        <v>12</v>
      </c>
      <c r="H38" s="2" t="n">
        <v>85000</v>
      </c>
      <c r="I38" s="2" t="n">
        <f aca="false">(((H38 / 800) / IF(ISBLANK(R38), 1000000, IF(ISNA(VLOOKUP(R38, Mileages!$A$2:$C$34, 2, 0)), R38, VLOOKUP(R38, Mileages!$A$2:$C$34, 2, 0)))) + (F38 * IF(ISBLANK(P38), 1, P38) * IF(ISBLANK(T38), 0, IF(ISNA(VLOOKUP(T38, 'Fuel Costs'!$A$2:$C$42, 2, 0)), T38, VLOOKUP(T38, 'Fuel Costs'!$A$2:$C$42, 2, 0))) / IF(ISBLANK(O38), 1, O38))) * 100</f>
        <v>0.01328125</v>
      </c>
      <c r="J38" s="2" t="n">
        <f aca="false">((H38 / 800) / (IF(ISBLANK(S38), 100, IF(ISNA(VLOOKUP(S38, Lives!$A$2:$C$35, 2, 0)), S38, VLOOKUP(S38, Lives!$A$2:$C$35, 2, 0))) * 12) + (IF(ISBLANK(Q38), 0, IF(ISNA(VLOOKUP(Q38, Wages!$A$2:$C$17, 2, 0)), Q38, VLOOKUP(Q38, Wages!$A$2:$C$17, 2, 0))) * IF(ISBLANK(N38), 0, IF(ISNA(VLOOKUP(N38, Crews!$A$2:$C$28, 2, 0)), N38, VLOOKUP(N38, Crews!$A$2:$C$28, 2, 0))))) * 400</f>
        <v>16059.02778</v>
      </c>
      <c r="K38" s="1" t="s">
        <v>96</v>
      </c>
      <c r="L38" s="1" t="s">
        <v>97</v>
      </c>
      <c r="M38" s="1" t="n">
        <v>6</v>
      </c>
      <c r="N38" s="1" t="s">
        <v>33</v>
      </c>
      <c r="O38" s="1"/>
      <c r="P38" s="1"/>
      <c r="Q38" s="1" t="s">
        <v>34</v>
      </c>
      <c r="R38" s="4" t="s">
        <v>35</v>
      </c>
      <c r="S38" s="1" t="s">
        <v>35</v>
      </c>
      <c r="T38" s="1" t="s">
        <v>36</v>
      </c>
    </row>
    <row r="39" customFormat="false" ht="15" hidden="false" customHeight="true" outlineLevel="0" collapsed="false">
      <c r="A39" s="1" t="s">
        <v>106</v>
      </c>
      <c r="B39" s="1" t="n">
        <v>1750</v>
      </c>
      <c r="C39" s="1" t="n">
        <v>1</v>
      </c>
      <c r="D39" s="1" t="s">
        <v>21</v>
      </c>
      <c r="E39" s="1"/>
      <c r="F39" s="1"/>
      <c r="G39" s="1" t="n">
        <v>6</v>
      </c>
      <c r="H39" s="2" t="n">
        <f aca="false">7500*2</f>
        <v>15000</v>
      </c>
      <c r="I39" s="2" t="n">
        <f aca="false">(((H39 / 800) / IF(ISBLANK(R39), 1000000, IF(ISNA(VLOOKUP(R39, Mileages!$A$2:$C$34, 2, 0)), R39, VLOOKUP(R39, Mileages!$A$2:$C$34, 2, 0)))) + (F39 * IF(ISBLANK(P39), 1, P39) * IF(ISBLANK(T39), 0, IF(ISNA(VLOOKUP(T39, 'Fuel Costs'!$A$2:$C$42, 2, 0)), T39, VLOOKUP(T39, 'Fuel Costs'!$A$2:$C$42, 2, 0))) / IF(ISBLANK(O39), 1, O39))) * 100</f>
        <v>0.009375</v>
      </c>
      <c r="J39" s="2" t="n">
        <f aca="false">((H39 / 800) / (IF(ISBLANK(S39), 100, IF(ISNA(VLOOKUP(S39, Lives!$A$2:$C$35, 2, 0)), S39, VLOOKUP(S39, Lives!$A$2:$C$35, 2, 0))) * 12) + (IF(ISBLANK(Q39), 0, IF(ISNA(VLOOKUP(Q39, Wages!$A$2:$C$17, 2, 0)), Q39, VLOOKUP(Q39, Wages!$A$2:$C$17, 2, 0))) * IF(ISBLANK(N39), 0, IF(ISNA(VLOOKUP(N39, Crews!$A$2:$C$28, 2, 0)), N39, VLOOKUP(N39, Crews!$A$2:$C$28, 2, 0))))) * 400</f>
        <v>4806.25</v>
      </c>
      <c r="K39" s="3" t="s">
        <v>107</v>
      </c>
      <c r="L39" s="1" t="s">
        <v>83</v>
      </c>
      <c r="M39" s="1" t="n">
        <v>0</v>
      </c>
      <c r="N39" s="1" t="s">
        <v>25</v>
      </c>
      <c r="O39" s="1"/>
      <c r="P39" s="1"/>
      <c r="Q39" s="1" t="s">
        <v>41</v>
      </c>
      <c r="R39" s="1" t="s">
        <v>42</v>
      </c>
      <c r="S39" s="1" t="s">
        <v>43</v>
      </c>
      <c r="T39" s="1"/>
    </row>
    <row r="40" customFormat="false" ht="15" hidden="false" customHeight="true" outlineLevel="0" collapsed="false">
      <c r="A40" s="1" t="s">
        <v>108</v>
      </c>
      <c r="B40" s="1" t="n">
        <v>1750</v>
      </c>
      <c r="C40" s="1" t="n">
        <v>1</v>
      </c>
      <c r="D40" s="1" t="s">
        <v>21</v>
      </c>
      <c r="E40" s="1"/>
      <c r="F40" s="1"/>
      <c r="G40" s="1" t="n">
        <v>6</v>
      </c>
      <c r="H40" s="2" t="n">
        <f aca="false">7500*2</f>
        <v>15000</v>
      </c>
      <c r="I40" s="2" t="n">
        <f aca="false">(((H40 / 800) / IF(ISBLANK(R40), 1000000, IF(ISNA(VLOOKUP(R40, Mileages!$A$2:$C$34, 2, 0)), R40, VLOOKUP(R40, Mileages!$A$2:$C$34, 2, 0)))) + (F40 * IF(ISBLANK(P40), 1, P40) * IF(ISBLANK(T40), 0, IF(ISNA(VLOOKUP(T40, 'Fuel Costs'!$A$2:$C$42, 2, 0)), T40, VLOOKUP(T40, 'Fuel Costs'!$A$2:$C$42, 2, 0))) / IF(ISBLANK(O40), 1, O40))) * 100</f>
        <v>0.009375</v>
      </c>
      <c r="J40" s="2" t="n">
        <f aca="false">((H40 / 800) / (IF(ISBLANK(S40), 100, IF(ISNA(VLOOKUP(S40, Lives!$A$2:$C$35, 2, 0)), S40, VLOOKUP(S40, Lives!$A$2:$C$35, 2, 0))) * 12) + (IF(ISBLANK(Q40), 0, IF(ISNA(VLOOKUP(Q40, Wages!$A$2:$C$17, 2, 0)), Q40, VLOOKUP(Q40, Wages!$A$2:$C$17, 2, 0))) * IF(ISBLANK(N40), 0, IF(ISNA(VLOOKUP(N40, Crews!$A$2:$C$28, 2, 0)), N40, VLOOKUP(N40, Crews!$A$2:$C$28, 2, 0))))) * 400</f>
        <v>4806.25</v>
      </c>
      <c r="K40" s="1" t="s">
        <v>82</v>
      </c>
      <c r="L40" s="1" t="s">
        <v>83</v>
      </c>
      <c r="M40" s="1" t="n">
        <v>1</v>
      </c>
      <c r="N40" s="1" t="s">
        <v>25</v>
      </c>
      <c r="O40" s="1"/>
      <c r="P40" s="1"/>
      <c r="Q40" s="1" t="s">
        <v>41</v>
      </c>
      <c r="R40" s="1" t="s">
        <v>42</v>
      </c>
      <c r="S40" s="1" t="s">
        <v>43</v>
      </c>
      <c r="T40" s="1"/>
    </row>
    <row r="41" customFormat="false" ht="15" hidden="false" customHeight="true" outlineLevel="0" collapsed="false">
      <c r="A41" s="1" t="s">
        <v>109</v>
      </c>
      <c r="B41" s="1" t="n">
        <v>1750</v>
      </c>
      <c r="C41" s="1" t="n">
        <v>1</v>
      </c>
      <c r="D41" s="1" t="s">
        <v>21</v>
      </c>
      <c r="E41" s="1"/>
      <c r="F41" s="1"/>
      <c r="G41" s="1" t="n">
        <v>6</v>
      </c>
      <c r="H41" s="2" t="n">
        <f aca="false">7500*2</f>
        <v>15000</v>
      </c>
      <c r="I41" s="2" t="n">
        <f aca="false">(((H41 / 800) / IF(ISBLANK(R41), 1000000, IF(ISNA(VLOOKUP(R41, Mileages!$A$2:$C$34, 2, 0)), R41, VLOOKUP(R41, Mileages!$A$2:$C$34, 2, 0)))) + (F41 * IF(ISBLANK(P41), 1, P41) * IF(ISBLANK(T41), 0, IF(ISNA(VLOOKUP(T41, 'Fuel Costs'!$A$2:$C$42, 2, 0)), T41, VLOOKUP(T41, 'Fuel Costs'!$A$2:$C$42, 2, 0))) / IF(ISBLANK(O41), 1, O41))) * 100</f>
        <v>0.009375</v>
      </c>
      <c r="J41" s="2" t="n">
        <f aca="false">((H41 / 800) / (IF(ISBLANK(S41), 100, IF(ISNA(VLOOKUP(S41, Lives!$A$2:$C$35, 2, 0)), S41, VLOOKUP(S41, Lives!$A$2:$C$35, 2, 0))) * 12) + (IF(ISBLANK(Q41), 0, IF(ISNA(VLOOKUP(Q41, Wages!$A$2:$C$17, 2, 0)), Q41, VLOOKUP(Q41, Wages!$A$2:$C$17, 2, 0))) * IF(ISBLANK(N41), 0, IF(ISNA(VLOOKUP(N41, Crews!$A$2:$C$28, 2, 0)), N41, VLOOKUP(N41, Crews!$A$2:$C$28, 2, 0))))) * 400</f>
        <v>4806.25</v>
      </c>
      <c r="K41" s="1" t="s">
        <v>82</v>
      </c>
      <c r="L41" s="1" t="s">
        <v>83</v>
      </c>
      <c r="M41" s="1" t="n">
        <v>2</v>
      </c>
      <c r="N41" s="1" t="s">
        <v>25</v>
      </c>
      <c r="O41" s="1"/>
      <c r="P41" s="1"/>
      <c r="Q41" s="1" t="s">
        <v>41</v>
      </c>
      <c r="R41" s="1" t="s">
        <v>42</v>
      </c>
      <c r="S41" s="1" t="s">
        <v>43</v>
      </c>
      <c r="T41" s="1"/>
    </row>
    <row r="42" customFormat="false" ht="15" hidden="false" customHeight="true" outlineLevel="0" collapsed="false">
      <c r="A42" s="1" t="s">
        <v>110</v>
      </c>
      <c r="B42" s="1" t="n">
        <v>1750</v>
      </c>
      <c r="C42" s="1" t="n">
        <v>1</v>
      </c>
      <c r="D42" s="1" t="s">
        <v>21</v>
      </c>
      <c r="E42" s="1"/>
      <c r="F42" s="1"/>
      <c r="G42" s="1" t="n">
        <v>6</v>
      </c>
      <c r="H42" s="2" t="n">
        <f aca="false">7500*2</f>
        <v>15000</v>
      </c>
      <c r="I42" s="2" t="n">
        <f aca="false">(((H42 / 800) / IF(ISBLANK(R42), 1000000, IF(ISNA(VLOOKUP(R42, Mileages!$A$2:$C$34, 2, 0)), R42, VLOOKUP(R42, Mileages!$A$2:$C$34, 2, 0)))) + (F42 * IF(ISBLANK(P42), 1, P42) * IF(ISBLANK(T42), 0, IF(ISNA(VLOOKUP(T42, 'Fuel Costs'!$A$2:$C$42, 2, 0)), T42, VLOOKUP(T42, 'Fuel Costs'!$A$2:$C$42, 2, 0))) / IF(ISBLANK(O42), 1, O42))) * 100</f>
        <v>0.009375</v>
      </c>
      <c r="J42" s="2" t="n">
        <f aca="false">((H42 / 800) / (IF(ISBLANK(S42), 100, IF(ISNA(VLOOKUP(S42, Lives!$A$2:$C$35, 2, 0)), S42, VLOOKUP(S42, Lives!$A$2:$C$35, 2, 0))) * 12) + (IF(ISBLANK(Q42), 0, IF(ISNA(VLOOKUP(Q42, Wages!$A$2:$C$17, 2, 0)), Q42, VLOOKUP(Q42, Wages!$A$2:$C$17, 2, 0))) * IF(ISBLANK(N42), 0, IF(ISNA(VLOOKUP(N42, Crews!$A$2:$C$28, 2, 0)), N42, VLOOKUP(N42, Crews!$A$2:$C$28, 2, 0))))) * 400</f>
        <v>4806.25</v>
      </c>
      <c r="K42" s="1" t="s">
        <v>82</v>
      </c>
      <c r="L42" s="1" t="s">
        <v>83</v>
      </c>
      <c r="M42" s="1" t="n">
        <v>3</v>
      </c>
      <c r="N42" s="1" t="s">
        <v>25</v>
      </c>
      <c r="O42" s="1"/>
      <c r="P42" s="1"/>
      <c r="Q42" s="1" t="s">
        <v>41</v>
      </c>
      <c r="R42" s="1" t="s">
        <v>42</v>
      </c>
      <c r="S42" s="1" t="s">
        <v>43</v>
      </c>
      <c r="T42" s="1"/>
    </row>
    <row r="43" customFormat="false" ht="15" hidden="false" customHeight="true" outlineLevel="0" collapsed="false">
      <c r="A43" s="1" t="s">
        <v>111</v>
      </c>
      <c r="B43" s="1" t="n">
        <v>1750</v>
      </c>
      <c r="C43" s="1" t="n">
        <v>1</v>
      </c>
      <c r="D43" s="1" t="s">
        <v>21</v>
      </c>
      <c r="E43" s="1"/>
      <c r="F43" s="1"/>
      <c r="G43" s="1" t="n">
        <v>10</v>
      </c>
      <c r="H43" s="2" t="n">
        <v>25000</v>
      </c>
      <c r="I43" s="2" t="n">
        <f aca="false">(((H43 / 800) / IF(ISBLANK(R43), 1000000, IF(ISNA(VLOOKUP(R43, Mileages!$A$2:$C$34, 2, 0)), R43, VLOOKUP(R43, Mileages!$A$2:$C$34, 2, 0)))) + (F43 * IF(ISBLANK(P43), 1, P43) * IF(ISBLANK(T43), 0, IF(ISNA(VLOOKUP(T43, 'Fuel Costs'!$A$2:$C$42, 2, 0)), T43, VLOOKUP(T43, 'Fuel Costs'!$A$2:$C$42, 2, 0))) / IF(ISBLANK(O43), 1, O43))) * 100</f>
        <v>0.015625</v>
      </c>
      <c r="J43" s="2" t="n">
        <f aca="false">((H43 / 800) / (IF(ISBLANK(S43), 100, IF(ISNA(VLOOKUP(S43, Lives!$A$2:$C$35, 2, 0)), S43, VLOOKUP(S43, Lives!$A$2:$C$35, 2, 0))) * 12) + (IF(ISBLANK(Q43), 0, IF(ISNA(VLOOKUP(Q43, Wages!$A$2:$C$17, 2, 0)), Q43, VLOOKUP(Q43, Wages!$A$2:$C$17, 2, 0))) * IF(ISBLANK(N43), 0, IF(ISNA(VLOOKUP(N43, Crews!$A$2:$C$28, 2, 0)), N43, VLOOKUP(N43, Crews!$A$2:$C$28, 2, 0))))) * 400</f>
        <v>4810.416667</v>
      </c>
      <c r="K43" s="1" t="s">
        <v>82</v>
      </c>
      <c r="L43" s="1" t="s">
        <v>112</v>
      </c>
      <c r="M43" s="1" t="n">
        <v>0</v>
      </c>
      <c r="N43" s="1" t="s">
        <v>25</v>
      </c>
      <c r="O43" s="1"/>
      <c r="P43" s="1"/>
      <c r="Q43" s="1" t="s">
        <v>41</v>
      </c>
      <c r="R43" s="1" t="s">
        <v>42</v>
      </c>
      <c r="S43" s="1" t="s">
        <v>43</v>
      </c>
      <c r="T43" s="1"/>
    </row>
    <row r="44" customFormat="false" ht="15" hidden="false" customHeight="true" outlineLevel="0" collapsed="false">
      <c r="A44" s="1" t="s">
        <v>113</v>
      </c>
      <c r="B44" s="1" t="n">
        <v>1750</v>
      </c>
      <c r="C44" s="1" t="n">
        <v>1</v>
      </c>
      <c r="D44" s="1" t="s">
        <v>21</v>
      </c>
      <c r="E44" s="1"/>
      <c r="F44" s="1"/>
      <c r="G44" s="1" t="n">
        <v>10</v>
      </c>
      <c r="H44" s="2" t="n">
        <v>25000</v>
      </c>
      <c r="I44" s="2" t="n">
        <f aca="false">(((H44 / 800) / IF(ISBLANK(R44), 1000000, IF(ISNA(VLOOKUP(R44, Mileages!$A$2:$C$34, 2, 0)), R44, VLOOKUP(R44, Mileages!$A$2:$C$34, 2, 0)))) + (F44 * IF(ISBLANK(P44), 1, P44) * IF(ISBLANK(T44), 0, IF(ISNA(VLOOKUP(T44, 'Fuel Costs'!$A$2:$C$42, 2, 0)), T44, VLOOKUP(T44, 'Fuel Costs'!$A$2:$C$42, 2, 0))) / IF(ISBLANK(O44), 1, O44))) * 100</f>
        <v>0.015625</v>
      </c>
      <c r="J44" s="2" t="n">
        <f aca="false">((H44 / 800) / (IF(ISBLANK(S44), 100, IF(ISNA(VLOOKUP(S44, Lives!$A$2:$C$35, 2, 0)), S44, VLOOKUP(S44, Lives!$A$2:$C$35, 2, 0))) * 12) + (IF(ISBLANK(Q44), 0, IF(ISNA(VLOOKUP(Q44, Wages!$A$2:$C$17, 2, 0)), Q44, VLOOKUP(Q44, Wages!$A$2:$C$17, 2, 0))) * IF(ISBLANK(N44), 0, IF(ISNA(VLOOKUP(N44, Crews!$A$2:$C$28, 2, 0)), N44, VLOOKUP(N44, Crews!$A$2:$C$28, 2, 0))))) * 400</f>
        <v>4810.416667</v>
      </c>
      <c r="K44" s="1" t="s">
        <v>82</v>
      </c>
      <c r="L44" s="1" t="s">
        <v>112</v>
      </c>
      <c r="M44" s="1" t="n">
        <v>1</v>
      </c>
      <c r="N44" s="1" t="s">
        <v>25</v>
      </c>
      <c r="O44" s="1"/>
      <c r="P44" s="1"/>
      <c r="Q44" s="1" t="s">
        <v>41</v>
      </c>
      <c r="R44" s="1" t="s">
        <v>42</v>
      </c>
      <c r="S44" s="1" t="s">
        <v>43</v>
      </c>
      <c r="T44" s="1"/>
    </row>
    <row r="45" customFormat="false" ht="15" hidden="false" customHeight="true" outlineLevel="0" collapsed="false">
      <c r="A45" s="1" t="s">
        <v>114</v>
      </c>
      <c r="B45" s="1" t="n">
        <v>1750</v>
      </c>
      <c r="C45" s="1" t="n">
        <v>1</v>
      </c>
      <c r="D45" s="1" t="s">
        <v>21</v>
      </c>
      <c r="E45" s="1"/>
      <c r="F45" s="1"/>
      <c r="G45" s="1" t="n">
        <v>10</v>
      </c>
      <c r="H45" s="2" t="n">
        <v>25000</v>
      </c>
      <c r="I45" s="2" t="n">
        <f aca="false">(((H45 / 800) / IF(ISBLANK(R45), 1000000, IF(ISNA(VLOOKUP(R45, Mileages!$A$2:$C$34, 2, 0)), R45, VLOOKUP(R45, Mileages!$A$2:$C$34, 2, 0)))) + (F45 * IF(ISBLANK(P45), 1, P45) * IF(ISBLANK(T45), 0, IF(ISNA(VLOOKUP(T45, 'Fuel Costs'!$A$2:$C$42, 2, 0)), T45, VLOOKUP(T45, 'Fuel Costs'!$A$2:$C$42, 2, 0))) / IF(ISBLANK(O45), 1, O45))) * 100</f>
        <v>0.015625</v>
      </c>
      <c r="J45" s="2" t="n">
        <f aca="false">((H45 / 800) / (IF(ISBLANK(S45), 100, IF(ISNA(VLOOKUP(S45, Lives!$A$2:$C$35, 2, 0)), S45, VLOOKUP(S45, Lives!$A$2:$C$35, 2, 0))) * 12) + (IF(ISBLANK(Q45), 0, IF(ISNA(VLOOKUP(Q45, Wages!$A$2:$C$17, 2, 0)), Q45, VLOOKUP(Q45, Wages!$A$2:$C$17, 2, 0))) * IF(ISBLANK(N45), 0, IF(ISNA(VLOOKUP(N45, Crews!$A$2:$C$28, 2, 0)), N45, VLOOKUP(N45, Crews!$A$2:$C$28, 2, 0))))) * 400</f>
        <v>4810.416667</v>
      </c>
      <c r="K45" s="1" t="s">
        <v>82</v>
      </c>
      <c r="L45" s="1" t="s">
        <v>112</v>
      </c>
      <c r="M45" s="1" t="n">
        <v>2</v>
      </c>
      <c r="N45" s="1" t="s">
        <v>25</v>
      </c>
      <c r="O45" s="1"/>
      <c r="P45" s="1"/>
      <c r="Q45" s="1" t="s">
        <v>41</v>
      </c>
      <c r="R45" s="1" t="s">
        <v>42</v>
      </c>
      <c r="S45" s="1" t="s">
        <v>43</v>
      </c>
      <c r="T45" s="1"/>
    </row>
    <row r="46" customFormat="false" ht="15" hidden="false" customHeight="true" outlineLevel="0" collapsed="false">
      <c r="A46" s="1" t="s">
        <v>115</v>
      </c>
      <c r="B46" s="1" t="n">
        <v>1750</v>
      </c>
      <c r="C46" s="1" t="n">
        <v>1</v>
      </c>
      <c r="D46" s="1" t="s">
        <v>29</v>
      </c>
      <c r="E46" s="1" t="s">
        <v>22</v>
      </c>
      <c r="F46" s="1" t="n">
        <v>2</v>
      </c>
      <c r="G46" s="1" t="n">
        <v>3</v>
      </c>
      <c r="H46" s="2" t="n">
        <v>10000</v>
      </c>
      <c r="I46" s="2" t="n">
        <f aca="false">(((H46 / 800) / IF(ISBLANK(R46), 1000000, IF(ISNA(VLOOKUP(R46, Mileages!$A$2:$C$34, 2, 0)), R46, VLOOKUP(R46, Mileages!$A$2:$C$34, 2, 0)))) + (F46 * IF(ISBLANK(P46), 1, P46) * IF(ISBLANK(T46), 0, IF(ISNA(VLOOKUP(T46, 'Fuel Costs'!$A$2:$C$42, 2, 0)), T46, VLOOKUP(T46, 'Fuel Costs'!$A$2:$C$42, 2, 0))) / IF(ISBLANK(O46), 1, O46))) * 100</f>
        <v>0.0015625</v>
      </c>
      <c r="J46" s="2" t="n">
        <f aca="false">((H46 / 800) / (IF(ISBLANK(S46), 100, IF(ISNA(VLOOKUP(S46, Lives!$A$2:$C$35, 2, 0)), S46, VLOOKUP(S46, Lives!$A$2:$C$35, 2, 0))) * 12) + (IF(ISBLANK(Q46), 0, IF(ISNA(VLOOKUP(Q46, Wages!$A$2:$C$17, 2, 0)), Q46, VLOOKUP(Q46, Wages!$A$2:$C$17, 2, 0))) * IF(ISBLANK(N46), 0, IF(ISNA(VLOOKUP(N46, Crews!$A$2:$C$28, 2, 0)), N46, VLOOKUP(N46, Crews!$A$2:$C$28, 2, 0))))) * 400</f>
        <v>6006.944444</v>
      </c>
      <c r="K46" s="3" t="s">
        <v>116</v>
      </c>
      <c r="L46" s="1" t="s">
        <v>117</v>
      </c>
      <c r="M46" s="1" t="n">
        <v>0</v>
      </c>
      <c r="N46" s="1" t="s">
        <v>25</v>
      </c>
      <c r="O46" s="1"/>
      <c r="P46" s="1"/>
      <c r="Q46" s="1" t="s">
        <v>26</v>
      </c>
      <c r="R46" s="4" t="s">
        <v>35</v>
      </c>
      <c r="S46" s="1" t="s">
        <v>35</v>
      </c>
      <c r="T46" s="1" t="s">
        <v>27</v>
      </c>
    </row>
    <row r="47" customFormat="false" ht="15" hidden="false" customHeight="true" outlineLevel="0" collapsed="false">
      <c r="A47" s="1" t="s">
        <v>118</v>
      </c>
      <c r="B47" s="1" t="n">
        <v>1750</v>
      </c>
      <c r="C47" s="1" t="n">
        <v>1</v>
      </c>
      <c r="D47" s="1" t="s">
        <v>29</v>
      </c>
      <c r="E47" s="1" t="s">
        <v>22</v>
      </c>
      <c r="F47" s="1" t="n">
        <v>2</v>
      </c>
      <c r="G47" s="1" t="n">
        <v>3</v>
      </c>
      <c r="H47" s="2" t="n">
        <v>10000</v>
      </c>
      <c r="I47" s="2" t="n">
        <f aca="false">(((H47 / 800) / IF(ISBLANK(R47), 1000000, IF(ISNA(VLOOKUP(R47, Mileages!$A$2:$C$34, 2, 0)), R47, VLOOKUP(R47, Mileages!$A$2:$C$34, 2, 0)))) + (F47 * IF(ISBLANK(P47), 1, P47) * IF(ISBLANK(T47), 0, IF(ISNA(VLOOKUP(T47, 'Fuel Costs'!$A$2:$C$42, 2, 0)), T47, VLOOKUP(T47, 'Fuel Costs'!$A$2:$C$42, 2, 0))) / IF(ISBLANK(O47), 1, O47))) * 100</f>
        <v>0.0015625</v>
      </c>
      <c r="J47" s="2" t="n">
        <f aca="false">((H47 / 800) / (IF(ISBLANK(S47), 100, IF(ISNA(VLOOKUP(S47, Lives!$A$2:$C$35, 2, 0)), S47, VLOOKUP(S47, Lives!$A$2:$C$35, 2, 0))) * 12) + (IF(ISBLANK(Q47), 0, IF(ISNA(VLOOKUP(Q47, Wages!$A$2:$C$17, 2, 0)), Q47, VLOOKUP(Q47, Wages!$A$2:$C$17, 2, 0))) * IF(ISBLANK(N47), 0, IF(ISNA(VLOOKUP(N47, Crews!$A$2:$C$28, 2, 0)), N47, VLOOKUP(N47, Crews!$A$2:$C$28, 2, 0))))) * 400</f>
        <v>6006.944444</v>
      </c>
      <c r="K47" s="3" t="s">
        <v>116</v>
      </c>
      <c r="L47" s="1" t="s">
        <v>117</v>
      </c>
      <c r="M47" s="1" t="n">
        <v>1</v>
      </c>
      <c r="N47" s="1" t="s">
        <v>25</v>
      </c>
      <c r="O47" s="1"/>
      <c r="P47" s="1"/>
      <c r="Q47" s="1" t="s">
        <v>26</v>
      </c>
      <c r="R47" s="4" t="s">
        <v>35</v>
      </c>
      <c r="S47" s="1" t="s">
        <v>35</v>
      </c>
      <c r="T47" s="1" t="s">
        <v>27</v>
      </c>
    </row>
    <row r="48" customFormat="false" ht="15" hidden="false" customHeight="true" outlineLevel="0" collapsed="false">
      <c r="A48" s="1" t="s">
        <v>119</v>
      </c>
      <c r="B48" s="1" t="n">
        <v>1750</v>
      </c>
      <c r="C48" s="1" t="n">
        <v>1</v>
      </c>
      <c r="D48" s="1" t="s">
        <v>29</v>
      </c>
      <c r="E48" s="1" t="s">
        <v>22</v>
      </c>
      <c r="F48" s="1" t="n">
        <v>2</v>
      </c>
      <c r="G48" s="1" t="n">
        <v>3</v>
      </c>
      <c r="H48" s="2" t="n">
        <v>10000</v>
      </c>
      <c r="I48" s="2" t="n">
        <f aca="false">(((H48 / 800) / IF(ISBLANK(R48), 1000000, IF(ISNA(VLOOKUP(R48, Mileages!$A$2:$C$34, 2, 0)), R48, VLOOKUP(R48, Mileages!$A$2:$C$34, 2, 0)))) + (F48 * IF(ISBLANK(P48), 1, P48) * IF(ISBLANK(T48), 0, IF(ISNA(VLOOKUP(T48, 'Fuel Costs'!$A$2:$C$42, 2, 0)), T48, VLOOKUP(T48, 'Fuel Costs'!$A$2:$C$42, 2, 0))) / IF(ISBLANK(O48), 1, O48))) * 100</f>
        <v>0.0015625</v>
      </c>
      <c r="J48" s="2" t="n">
        <f aca="false">((H48 / 800) / (IF(ISBLANK(S48), 100, IF(ISNA(VLOOKUP(S48, Lives!$A$2:$C$35, 2, 0)), S48, VLOOKUP(S48, Lives!$A$2:$C$35, 2, 0))) * 12) + (IF(ISBLANK(Q48), 0, IF(ISNA(VLOOKUP(Q48, Wages!$A$2:$C$17, 2, 0)), Q48, VLOOKUP(Q48, Wages!$A$2:$C$17, 2, 0))) * IF(ISBLANK(N48), 0, IF(ISNA(VLOOKUP(N48, Crews!$A$2:$C$28, 2, 0)), N48, VLOOKUP(N48, Crews!$A$2:$C$28, 2, 0))))) * 400</f>
        <v>6006.944444</v>
      </c>
      <c r="K48" s="3" t="s">
        <v>116</v>
      </c>
      <c r="L48" s="1" t="s">
        <v>117</v>
      </c>
      <c r="M48" s="1" t="n">
        <v>2</v>
      </c>
      <c r="N48" s="1" t="s">
        <v>25</v>
      </c>
      <c r="O48" s="1"/>
      <c r="P48" s="1"/>
      <c r="Q48" s="1" t="s">
        <v>26</v>
      </c>
      <c r="R48" s="4" t="s">
        <v>35</v>
      </c>
      <c r="S48" s="1" t="s">
        <v>35</v>
      </c>
      <c r="T48" s="1" t="s">
        <v>27</v>
      </c>
    </row>
    <row r="49" customFormat="false" ht="15" hidden="false" customHeight="true" outlineLevel="0" collapsed="false">
      <c r="A49" s="1" t="s">
        <v>120</v>
      </c>
      <c r="B49" s="1" t="n">
        <v>1750</v>
      </c>
      <c r="C49" s="1" t="n">
        <v>1</v>
      </c>
      <c r="D49" s="1" t="s">
        <v>29</v>
      </c>
      <c r="E49" s="1" t="s">
        <v>22</v>
      </c>
      <c r="F49" s="1" t="n">
        <v>2</v>
      </c>
      <c r="G49" s="1" t="n">
        <v>3</v>
      </c>
      <c r="H49" s="2" t="n">
        <v>10000</v>
      </c>
      <c r="I49" s="2" t="n">
        <f aca="false">(((H49 / 800) / IF(ISBLANK(R49), 1000000, IF(ISNA(VLOOKUP(R49, Mileages!$A$2:$C$34, 2, 0)), R49, VLOOKUP(R49, Mileages!$A$2:$C$34, 2, 0)))) + (F49 * IF(ISBLANK(P49), 1, P49) * IF(ISBLANK(T49), 0, IF(ISNA(VLOOKUP(T49, 'Fuel Costs'!$A$2:$C$42, 2, 0)), T49, VLOOKUP(T49, 'Fuel Costs'!$A$2:$C$42, 2, 0))) / IF(ISBLANK(O49), 1, O49))) * 100</f>
        <v>0.0015625</v>
      </c>
      <c r="J49" s="2" t="n">
        <f aca="false">((H49 / 800) / (IF(ISBLANK(S49), 100, IF(ISNA(VLOOKUP(S49, Lives!$A$2:$C$35, 2, 0)), S49, VLOOKUP(S49, Lives!$A$2:$C$35, 2, 0))) * 12) + (IF(ISBLANK(Q49), 0, IF(ISNA(VLOOKUP(Q49, Wages!$A$2:$C$17, 2, 0)), Q49, VLOOKUP(Q49, Wages!$A$2:$C$17, 2, 0))) * IF(ISBLANK(N49), 0, IF(ISNA(VLOOKUP(N49, Crews!$A$2:$C$28, 2, 0)), N49, VLOOKUP(N49, Crews!$A$2:$C$28, 2, 0))))) * 400</f>
        <v>6006.944444</v>
      </c>
      <c r="K49" s="3" t="s">
        <v>116</v>
      </c>
      <c r="L49" s="1" t="s">
        <v>117</v>
      </c>
      <c r="M49" s="1" t="n">
        <v>3</v>
      </c>
      <c r="N49" s="1" t="s">
        <v>25</v>
      </c>
      <c r="O49" s="1"/>
      <c r="P49" s="1"/>
      <c r="Q49" s="1" t="s">
        <v>26</v>
      </c>
      <c r="R49" s="4" t="s">
        <v>35</v>
      </c>
      <c r="S49" s="1" t="s">
        <v>35</v>
      </c>
      <c r="T49" s="1" t="s">
        <v>27</v>
      </c>
    </row>
    <row r="50" customFormat="false" ht="15" hidden="false" customHeight="true" outlineLevel="0" collapsed="false">
      <c r="A50" s="1" t="s">
        <v>121</v>
      </c>
      <c r="B50" s="1" t="n">
        <v>1750</v>
      </c>
      <c r="C50" s="1" t="n">
        <v>1</v>
      </c>
      <c r="D50" s="1" t="s">
        <v>29</v>
      </c>
      <c r="E50" s="1" t="s">
        <v>22</v>
      </c>
      <c r="F50" s="1" t="n">
        <v>2</v>
      </c>
      <c r="G50" s="1" t="n">
        <v>3</v>
      </c>
      <c r="H50" s="2" t="n">
        <v>10000</v>
      </c>
      <c r="I50" s="2" t="n">
        <f aca="false">(((H50 / 800) / IF(ISBLANK(R50), 1000000, IF(ISNA(VLOOKUP(R50, Mileages!$A$2:$C$34, 2, 0)), R50, VLOOKUP(R50, Mileages!$A$2:$C$34, 2, 0)))) + (F50 * IF(ISBLANK(P50), 1, P50) * IF(ISBLANK(T50), 0, IF(ISNA(VLOOKUP(T50, 'Fuel Costs'!$A$2:$C$42, 2, 0)), T50, VLOOKUP(T50, 'Fuel Costs'!$A$2:$C$42, 2, 0))) / IF(ISBLANK(O50), 1, O50))) * 100</f>
        <v>0.0015625</v>
      </c>
      <c r="J50" s="2" t="n">
        <f aca="false">((H50 / 800) / (IF(ISBLANK(S50), 100, IF(ISNA(VLOOKUP(S50, Lives!$A$2:$C$35, 2, 0)), S50, VLOOKUP(S50, Lives!$A$2:$C$35, 2, 0))) * 12) + (IF(ISBLANK(Q50), 0, IF(ISNA(VLOOKUP(Q50, Wages!$A$2:$C$17, 2, 0)), Q50, VLOOKUP(Q50, Wages!$A$2:$C$17, 2, 0))) * IF(ISBLANK(N50), 0, IF(ISNA(VLOOKUP(N50, Crews!$A$2:$C$28, 2, 0)), N50, VLOOKUP(N50, Crews!$A$2:$C$28, 2, 0))))) * 400</f>
        <v>6006.944444</v>
      </c>
      <c r="K50" s="3" t="s">
        <v>116</v>
      </c>
      <c r="L50" s="1" t="s">
        <v>117</v>
      </c>
      <c r="M50" s="1" t="n">
        <v>4</v>
      </c>
      <c r="N50" s="1" t="s">
        <v>25</v>
      </c>
      <c r="O50" s="1"/>
      <c r="P50" s="1"/>
      <c r="Q50" s="1" t="s">
        <v>26</v>
      </c>
      <c r="R50" s="4" t="s">
        <v>35</v>
      </c>
      <c r="S50" s="1" t="s">
        <v>35</v>
      </c>
      <c r="T50" s="1" t="s">
        <v>27</v>
      </c>
    </row>
    <row r="51" customFormat="false" ht="15" hidden="false" customHeight="true" outlineLevel="0" collapsed="false">
      <c r="A51" s="1" t="s">
        <v>122</v>
      </c>
      <c r="B51" s="1" t="n">
        <v>1750</v>
      </c>
      <c r="C51" s="1" t="n">
        <v>1</v>
      </c>
      <c r="D51" s="1" t="s">
        <v>29</v>
      </c>
      <c r="E51" s="1" t="s">
        <v>22</v>
      </c>
      <c r="F51" s="1" t="n">
        <v>2</v>
      </c>
      <c r="G51" s="1" t="n">
        <v>3</v>
      </c>
      <c r="H51" s="2" t="n">
        <v>10000</v>
      </c>
      <c r="I51" s="2" t="n">
        <f aca="false">(((H51 / 800) / IF(ISBLANK(R51), 1000000, IF(ISNA(VLOOKUP(R51, Mileages!$A$2:$C$34, 2, 0)), R51, VLOOKUP(R51, Mileages!$A$2:$C$34, 2, 0)))) + (F51 * IF(ISBLANK(P51), 1, P51) * IF(ISBLANK(T51), 0, IF(ISNA(VLOOKUP(T51, 'Fuel Costs'!$A$2:$C$42, 2, 0)), T51, VLOOKUP(T51, 'Fuel Costs'!$A$2:$C$42, 2, 0))) / IF(ISBLANK(O51), 1, O51))) * 100</f>
        <v>0.0015625</v>
      </c>
      <c r="J51" s="2" t="n">
        <f aca="false">((H51 / 800) / (IF(ISBLANK(S51), 100, IF(ISNA(VLOOKUP(S51, Lives!$A$2:$C$35, 2, 0)), S51, VLOOKUP(S51, Lives!$A$2:$C$35, 2, 0))) * 12) + (IF(ISBLANK(Q51), 0, IF(ISNA(VLOOKUP(Q51, Wages!$A$2:$C$17, 2, 0)), Q51, VLOOKUP(Q51, Wages!$A$2:$C$17, 2, 0))) * IF(ISBLANK(N51), 0, IF(ISNA(VLOOKUP(N51, Crews!$A$2:$C$28, 2, 0)), N51, VLOOKUP(N51, Crews!$A$2:$C$28, 2, 0))))) * 400</f>
        <v>6006.944444</v>
      </c>
      <c r="K51" s="3" t="s">
        <v>116</v>
      </c>
      <c r="L51" s="1" t="s">
        <v>117</v>
      </c>
      <c r="M51" s="1" t="n">
        <v>5</v>
      </c>
      <c r="N51" s="1" t="s">
        <v>25</v>
      </c>
      <c r="O51" s="1"/>
      <c r="P51" s="1"/>
      <c r="Q51" s="1" t="s">
        <v>26</v>
      </c>
      <c r="R51" s="4" t="s">
        <v>35</v>
      </c>
      <c r="S51" s="1" t="s">
        <v>35</v>
      </c>
      <c r="T51" s="1" t="s">
        <v>27</v>
      </c>
    </row>
    <row r="52" customFormat="false" ht="15" hidden="false" customHeight="true" outlineLevel="0" collapsed="false">
      <c r="A52" s="1" t="s">
        <v>123</v>
      </c>
      <c r="B52" s="1" t="n">
        <v>1750</v>
      </c>
      <c r="C52" s="1" t="n">
        <v>1</v>
      </c>
      <c r="D52" s="1" t="s">
        <v>21</v>
      </c>
      <c r="E52" s="1"/>
      <c r="F52" s="1"/>
      <c r="G52" s="1" t="n">
        <v>12</v>
      </c>
      <c r="H52" s="2" t="n">
        <v>10000</v>
      </c>
      <c r="I52" s="2" t="n">
        <f aca="false">(((H52 / 800) / IF(ISBLANK(R52), 1000000, IF(ISNA(VLOOKUP(R52, Mileages!$A$2:$C$34, 2, 0)), R52, VLOOKUP(R52, Mileages!$A$2:$C$34, 2, 0)))) + (F52 * IF(ISBLANK(P52), 1, P52) * IF(ISBLANK(T52), 0, IF(ISNA(VLOOKUP(T52, 'Fuel Costs'!$A$2:$C$42, 2, 0)), T52, VLOOKUP(T52, 'Fuel Costs'!$A$2:$C$42, 2, 0))) / IF(ISBLANK(O52), 1, O52))) * 100</f>
        <v>0.00625</v>
      </c>
      <c r="J52" s="2" t="n">
        <f aca="false">((H52 / 800) / (IF(ISBLANK(S52), 100, IF(ISNA(VLOOKUP(S52, Lives!$A$2:$C$35, 2, 0)), S52, VLOOKUP(S52, Lives!$A$2:$C$35, 2, 0))) * 12) + (IF(ISBLANK(Q52), 0, IF(ISNA(VLOOKUP(Q52, Wages!$A$2:$C$17, 2, 0)), Q52, VLOOKUP(Q52, Wages!$A$2:$C$17, 2, 0))) * IF(ISBLANK(N52), 0, IF(ISNA(VLOOKUP(N52, Crews!$A$2:$C$28, 2, 0)), N52, VLOOKUP(N52, Crews!$A$2:$C$28, 2, 0))))) * 400</f>
        <v>4804.166667</v>
      </c>
      <c r="K52" s="3" t="s">
        <v>124</v>
      </c>
      <c r="L52" s="1" t="s">
        <v>125</v>
      </c>
      <c r="M52" s="1" t="n">
        <v>0</v>
      </c>
      <c r="N52" s="1" t="s">
        <v>25</v>
      </c>
      <c r="O52" s="1"/>
      <c r="P52" s="1"/>
      <c r="Q52" s="1" t="s">
        <v>41</v>
      </c>
      <c r="R52" s="1" t="s">
        <v>42</v>
      </c>
      <c r="S52" s="1" t="s">
        <v>43</v>
      </c>
      <c r="T52" s="1"/>
    </row>
    <row r="53" customFormat="false" ht="15" hidden="false" customHeight="true" outlineLevel="0" collapsed="false">
      <c r="A53" s="1" t="s">
        <v>126</v>
      </c>
      <c r="B53" s="1" t="n">
        <v>1750</v>
      </c>
      <c r="C53" s="1" t="n">
        <v>1</v>
      </c>
      <c r="D53" s="1" t="s">
        <v>29</v>
      </c>
      <c r="E53" s="1"/>
      <c r="F53" s="1"/>
      <c r="G53" s="1" t="n">
        <v>8</v>
      </c>
      <c r="H53" s="2" t="n">
        <v>20000</v>
      </c>
      <c r="I53" s="2" t="n">
        <f aca="false">(((H53 / 800) / IF(ISBLANK(R53), 1000000, IF(ISNA(VLOOKUP(R53, Mileages!$A$2:$C$34, 2, 0)), R53, VLOOKUP(R53, Mileages!$A$2:$C$34, 2, 0)))) + (F53 * IF(ISBLANK(P53), 1, P53) * IF(ISBLANK(T53), 0, IF(ISNA(VLOOKUP(T53, 'Fuel Costs'!$A$2:$C$42, 2, 0)), T53, VLOOKUP(T53, 'Fuel Costs'!$A$2:$C$42, 2, 0))) / IF(ISBLANK(O53), 1, O53))) * 100</f>
        <v>0.003125</v>
      </c>
      <c r="J53" s="2" t="n">
        <f aca="false">((H53 / 800) / (IF(ISBLANK(S53), 100, IF(ISNA(VLOOKUP(S53, Lives!$A$2:$C$35, 2, 0)), S53, VLOOKUP(S53, Lives!$A$2:$C$35, 2, 0))) * 12) + (IF(ISBLANK(Q53), 0, IF(ISNA(VLOOKUP(Q53, Wages!$A$2:$C$17, 2, 0)), Q53, VLOOKUP(Q53, Wages!$A$2:$C$17, 2, 0))) * IF(ISBLANK(N53), 0, IF(ISNA(VLOOKUP(N53, Crews!$A$2:$C$28, 2, 0)), N53, VLOOKUP(N53, Crews!$A$2:$C$28, 2, 0))))) * 400</f>
        <v>13.88888889</v>
      </c>
      <c r="K53" s="1" t="s">
        <v>96</v>
      </c>
      <c r="L53" s="1" t="s">
        <v>127</v>
      </c>
      <c r="M53" s="1" t="n">
        <v>0</v>
      </c>
      <c r="N53" s="1"/>
      <c r="O53" s="1"/>
      <c r="P53" s="1"/>
      <c r="Q53" s="1"/>
      <c r="R53" s="4" t="s">
        <v>35</v>
      </c>
      <c r="S53" s="1" t="s">
        <v>35</v>
      </c>
      <c r="T53" s="1"/>
    </row>
    <row r="54" customFormat="false" ht="15" hidden="false" customHeight="true" outlineLevel="0" collapsed="false">
      <c r="A54" s="1" t="s">
        <v>128</v>
      </c>
      <c r="B54" s="1" t="n">
        <v>1750</v>
      </c>
      <c r="C54" s="1" t="n">
        <v>1</v>
      </c>
      <c r="D54" s="1" t="s">
        <v>29</v>
      </c>
      <c r="E54" s="1"/>
      <c r="F54" s="1"/>
      <c r="G54" s="1" t="n">
        <v>8</v>
      </c>
      <c r="H54" s="2" t="n">
        <v>20000</v>
      </c>
      <c r="I54" s="2" t="n">
        <f aca="false">(((H54 / 800) / IF(ISBLANK(R54), 1000000, IF(ISNA(VLOOKUP(R54, Mileages!$A$2:$C$34, 2, 0)), R54, VLOOKUP(R54, Mileages!$A$2:$C$34, 2, 0)))) + (F54 * IF(ISBLANK(P54), 1, P54) * IF(ISBLANK(T54), 0, IF(ISNA(VLOOKUP(T54, 'Fuel Costs'!$A$2:$C$42, 2, 0)), T54, VLOOKUP(T54, 'Fuel Costs'!$A$2:$C$42, 2, 0))) / IF(ISBLANK(O54), 1, O54))) * 100</f>
        <v>0.003125</v>
      </c>
      <c r="J54" s="2" t="n">
        <f aca="false">((H54 / 800) / (IF(ISBLANK(S54), 100, IF(ISNA(VLOOKUP(S54, Lives!$A$2:$C$35, 2, 0)), S54, VLOOKUP(S54, Lives!$A$2:$C$35, 2, 0))) * 12) + (IF(ISBLANK(Q54), 0, IF(ISNA(VLOOKUP(Q54, Wages!$A$2:$C$17, 2, 0)), Q54, VLOOKUP(Q54, Wages!$A$2:$C$17, 2, 0))) * IF(ISBLANK(N54), 0, IF(ISNA(VLOOKUP(N54, Crews!$A$2:$C$28, 2, 0)), N54, VLOOKUP(N54, Crews!$A$2:$C$28, 2, 0))))) * 400</f>
        <v>13.88888889</v>
      </c>
      <c r="K54" s="1" t="s">
        <v>96</v>
      </c>
      <c r="L54" s="1" t="s">
        <v>127</v>
      </c>
      <c r="M54" s="1" t="n">
        <v>1</v>
      </c>
      <c r="N54" s="1"/>
      <c r="O54" s="1"/>
      <c r="P54" s="1"/>
      <c r="Q54" s="1"/>
      <c r="R54" s="4" t="s">
        <v>35</v>
      </c>
      <c r="S54" s="1" t="s">
        <v>35</v>
      </c>
      <c r="T54" s="1"/>
    </row>
    <row r="55" customFormat="false" ht="15" hidden="false" customHeight="true" outlineLevel="0" collapsed="false">
      <c r="A55" s="1" t="s">
        <v>129</v>
      </c>
      <c r="B55" s="1" t="n">
        <v>1750</v>
      </c>
      <c r="C55" s="1" t="n">
        <v>1</v>
      </c>
      <c r="D55" s="1" t="s">
        <v>29</v>
      </c>
      <c r="E55" s="1"/>
      <c r="F55" s="1"/>
      <c r="G55" s="1" t="n">
        <v>8</v>
      </c>
      <c r="H55" s="2" t="n">
        <v>20000</v>
      </c>
      <c r="I55" s="2" t="n">
        <f aca="false">(((H55 / 800) / IF(ISBLANK(R55), 1000000, IF(ISNA(VLOOKUP(R55, Mileages!$A$2:$C$34, 2, 0)), R55, VLOOKUP(R55, Mileages!$A$2:$C$34, 2, 0)))) + (F55 * IF(ISBLANK(P55), 1, P55) * IF(ISBLANK(T55), 0, IF(ISNA(VLOOKUP(T55, 'Fuel Costs'!$A$2:$C$42, 2, 0)), T55, VLOOKUP(T55, 'Fuel Costs'!$A$2:$C$42, 2, 0))) / IF(ISBLANK(O55), 1, O55))) * 100</f>
        <v>0.003125</v>
      </c>
      <c r="J55" s="2" t="n">
        <f aca="false">((H55 / 800) / (IF(ISBLANK(S55), 100, IF(ISNA(VLOOKUP(S55, Lives!$A$2:$C$35, 2, 0)), S55, VLOOKUP(S55, Lives!$A$2:$C$35, 2, 0))) * 12) + (IF(ISBLANK(Q55), 0, IF(ISNA(VLOOKUP(Q55, Wages!$A$2:$C$17, 2, 0)), Q55, VLOOKUP(Q55, Wages!$A$2:$C$17, 2, 0))) * IF(ISBLANK(N55), 0, IF(ISNA(VLOOKUP(N55, Crews!$A$2:$C$28, 2, 0)), N55, VLOOKUP(N55, Crews!$A$2:$C$28, 2, 0))))) * 400</f>
        <v>13.88888889</v>
      </c>
      <c r="K55" s="1" t="s">
        <v>96</v>
      </c>
      <c r="L55" s="1" t="s">
        <v>127</v>
      </c>
      <c r="M55" s="1" t="n">
        <v>2</v>
      </c>
      <c r="N55" s="1"/>
      <c r="O55" s="1"/>
      <c r="P55" s="1"/>
      <c r="Q55" s="1"/>
      <c r="R55" s="4" t="s">
        <v>35</v>
      </c>
      <c r="S55" s="1" t="s">
        <v>35</v>
      </c>
      <c r="T55" s="1"/>
    </row>
    <row r="56" customFormat="false" ht="15" hidden="false" customHeight="true" outlineLevel="0" collapsed="false">
      <c r="A56" s="1" t="s">
        <v>130</v>
      </c>
      <c r="B56" s="1" t="n">
        <v>1750</v>
      </c>
      <c r="C56" s="1" t="n">
        <v>1</v>
      </c>
      <c r="D56" s="1" t="s">
        <v>29</v>
      </c>
      <c r="E56" s="1"/>
      <c r="F56" s="1"/>
      <c r="G56" s="1" t="n">
        <v>8</v>
      </c>
      <c r="H56" s="2" t="n">
        <v>20000</v>
      </c>
      <c r="I56" s="2" t="n">
        <f aca="false">(((H56 / 800) / IF(ISBLANK(R56), 1000000, IF(ISNA(VLOOKUP(R56, Mileages!$A$2:$C$34, 2, 0)), R56, VLOOKUP(R56, Mileages!$A$2:$C$34, 2, 0)))) + (F56 * IF(ISBLANK(P56), 1, P56) * IF(ISBLANK(T56), 0, IF(ISNA(VLOOKUP(T56, 'Fuel Costs'!$A$2:$C$42, 2, 0)), T56, VLOOKUP(T56, 'Fuel Costs'!$A$2:$C$42, 2, 0))) / IF(ISBLANK(O56), 1, O56))) * 100</f>
        <v>0.003125</v>
      </c>
      <c r="J56" s="2" t="n">
        <f aca="false">((H56 / 800) / (IF(ISBLANK(S56), 100, IF(ISNA(VLOOKUP(S56, Lives!$A$2:$C$35, 2, 0)), S56, VLOOKUP(S56, Lives!$A$2:$C$35, 2, 0))) * 12) + (IF(ISBLANK(Q56), 0, IF(ISNA(VLOOKUP(Q56, Wages!$A$2:$C$17, 2, 0)), Q56, VLOOKUP(Q56, Wages!$A$2:$C$17, 2, 0))) * IF(ISBLANK(N56), 0, IF(ISNA(VLOOKUP(N56, Crews!$A$2:$C$28, 2, 0)), N56, VLOOKUP(N56, Crews!$A$2:$C$28, 2, 0))))) * 400</f>
        <v>13.88888889</v>
      </c>
      <c r="K56" s="1" t="s">
        <v>96</v>
      </c>
      <c r="L56" s="1" t="s">
        <v>127</v>
      </c>
      <c r="M56" s="1" t="n">
        <v>3</v>
      </c>
      <c r="N56" s="1"/>
      <c r="O56" s="1"/>
      <c r="P56" s="1"/>
      <c r="Q56" s="1"/>
      <c r="R56" s="4" t="s">
        <v>35</v>
      </c>
      <c r="S56" s="1" t="s">
        <v>35</v>
      </c>
      <c r="T56" s="1"/>
    </row>
    <row r="57" customFormat="false" ht="15" hidden="false" customHeight="true" outlineLevel="0" collapsed="false">
      <c r="A57" s="1" t="s">
        <v>131</v>
      </c>
      <c r="B57" s="1" t="n">
        <v>1750</v>
      </c>
      <c r="C57" s="1" t="n">
        <v>1</v>
      </c>
      <c r="D57" s="1" t="s">
        <v>29</v>
      </c>
      <c r="E57" s="1"/>
      <c r="F57" s="1"/>
      <c r="G57" s="1" t="n">
        <v>8</v>
      </c>
      <c r="H57" s="2" t="n">
        <v>20000</v>
      </c>
      <c r="I57" s="2" t="n">
        <f aca="false">(((H57 / 800) / IF(ISBLANK(R57), 1000000, IF(ISNA(VLOOKUP(R57, Mileages!$A$2:$C$34, 2, 0)), R57, VLOOKUP(R57, Mileages!$A$2:$C$34, 2, 0)))) + (F57 * IF(ISBLANK(P57), 1, P57) * IF(ISBLANK(T57), 0, IF(ISNA(VLOOKUP(T57, 'Fuel Costs'!$A$2:$C$42, 2, 0)), T57, VLOOKUP(T57, 'Fuel Costs'!$A$2:$C$42, 2, 0))) / IF(ISBLANK(O57), 1, O57))) * 100</f>
        <v>0.003125</v>
      </c>
      <c r="J57" s="2" t="n">
        <f aca="false">((H57 / 800) / (IF(ISBLANK(S57), 100, IF(ISNA(VLOOKUP(S57, Lives!$A$2:$C$35, 2, 0)), S57, VLOOKUP(S57, Lives!$A$2:$C$35, 2, 0))) * 12) + (IF(ISBLANK(Q57), 0, IF(ISNA(VLOOKUP(Q57, Wages!$A$2:$C$17, 2, 0)), Q57, VLOOKUP(Q57, Wages!$A$2:$C$17, 2, 0))) * IF(ISBLANK(N57), 0, IF(ISNA(VLOOKUP(N57, Crews!$A$2:$C$28, 2, 0)), N57, VLOOKUP(N57, Crews!$A$2:$C$28, 2, 0))))) * 400</f>
        <v>13.88888889</v>
      </c>
      <c r="K57" s="1" t="s">
        <v>96</v>
      </c>
      <c r="L57" s="1" t="s">
        <v>127</v>
      </c>
      <c r="M57" s="1" t="n">
        <v>4</v>
      </c>
      <c r="N57" s="1"/>
      <c r="O57" s="1"/>
      <c r="P57" s="1"/>
      <c r="Q57" s="1"/>
      <c r="R57" s="4" t="s">
        <v>35</v>
      </c>
      <c r="S57" s="1" t="s">
        <v>35</v>
      </c>
      <c r="T57" s="1"/>
    </row>
    <row r="58" customFormat="false" ht="15" hidden="false" customHeight="true" outlineLevel="0" collapsed="false">
      <c r="A58" s="1" t="s">
        <v>132</v>
      </c>
      <c r="B58" s="1" t="n">
        <v>1750</v>
      </c>
      <c r="C58" s="1" t="n">
        <v>1</v>
      </c>
      <c r="D58" s="1" t="s">
        <v>29</v>
      </c>
      <c r="E58" s="1"/>
      <c r="F58" s="1"/>
      <c r="G58" s="1" t="n">
        <v>8</v>
      </c>
      <c r="H58" s="2" t="n">
        <v>20000</v>
      </c>
      <c r="I58" s="2" t="n">
        <f aca="false">(((H58 / 800) / IF(ISBLANK(R58), 1000000, IF(ISNA(VLOOKUP(R58, Mileages!$A$2:$C$34, 2, 0)), R58, VLOOKUP(R58, Mileages!$A$2:$C$34, 2, 0)))) + (F58 * IF(ISBLANK(P58), 1, P58) * IF(ISBLANK(T58), 0, IF(ISNA(VLOOKUP(T58, 'Fuel Costs'!$A$2:$C$42, 2, 0)), T58, VLOOKUP(T58, 'Fuel Costs'!$A$2:$C$42, 2, 0))) / IF(ISBLANK(O58), 1, O58))) * 100</f>
        <v>0.003125</v>
      </c>
      <c r="J58" s="2" t="n">
        <f aca="false">((H58 / 800) / (IF(ISBLANK(S58), 100, IF(ISNA(VLOOKUP(S58, Lives!$A$2:$C$35, 2, 0)), S58, VLOOKUP(S58, Lives!$A$2:$C$35, 2, 0))) * 12) + (IF(ISBLANK(Q58), 0, IF(ISNA(VLOOKUP(Q58, Wages!$A$2:$C$17, 2, 0)), Q58, VLOOKUP(Q58, Wages!$A$2:$C$17, 2, 0))) * IF(ISBLANK(N58), 0, IF(ISNA(VLOOKUP(N58, Crews!$A$2:$C$28, 2, 0)), N58, VLOOKUP(N58, Crews!$A$2:$C$28, 2, 0))))) * 400</f>
        <v>13.88888889</v>
      </c>
      <c r="K58" s="1" t="s">
        <v>96</v>
      </c>
      <c r="L58" s="1" t="s">
        <v>127</v>
      </c>
      <c r="M58" s="1" t="n">
        <v>5</v>
      </c>
      <c r="N58" s="1"/>
      <c r="O58" s="1"/>
      <c r="P58" s="1"/>
      <c r="Q58" s="1"/>
      <c r="R58" s="4" t="s">
        <v>35</v>
      </c>
      <c r="S58" s="1" t="s">
        <v>35</v>
      </c>
      <c r="T58" s="1"/>
    </row>
    <row r="59" customFormat="false" ht="15" hidden="false" customHeight="true" outlineLevel="0" collapsed="false">
      <c r="A59" s="1" t="s">
        <v>133</v>
      </c>
      <c r="B59" s="1" t="n">
        <v>1750</v>
      </c>
      <c r="C59" s="1" t="n">
        <v>1</v>
      </c>
      <c r="D59" s="1" t="s">
        <v>21</v>
      </c>
      <c r="E59" s="1"/>
      <c r="F59" s="1"/>
      <c r="G59" s="1" t="n">
        <v>12</v>
      </c>
      <c r="H59" s="2" t="n">
        <v>25000</v>
      </c>
      <c r="I59" s="2" t="n">
        <f aca="false">(((H59 / 800) / IF(ISBLANK(R59), 1000000, IF(ISNA(VLOOKUP(R59, Mileages!$A$2:$C$34, 2, 0)), R59, VLOOKUP(R59, Mileages!$A$2:$C$34, 2, 0)))) + (F59 * IF(ISBLANK(P59), 1, P59) * IF(ISBLANK(T59), 0, IF(ISNA(VLOOKUP(T59, 'Fuel Costs'!$A$2:$C$42, 2, 0)), T59, VLOOKUP(T59, 'Fuel Costs'!$A$2:$C$42, 2, 0))) / IF(ISBLANK(O59), 1, O59))) * 100</f>
        <v>0.015625</v>
      </c>
      <c r="J59" s="2" t="n">
        <f aca="false">((H59 / 800) / (IF(ISBLANK(S59), 100, IF(ISNA(VLOOKUP(S59, Lives!$A$2:$C$35, 2, 0)), S59, VLOOKUP(S59, Lives!$A$2:$C$35, 2, 0))) * 12) + (IF(ISBLANK(Q59), 0, IF(ISNA(VLOOKUP(Q59, Wages!$A$2:$C$17, 2, 0)), Q59, VLOOKUP(Q59, Wages!$A$2:$C$17, 2, 0))) * IF(ISBLANK(N59), 0, IF(ISNA(VLOOKUP(N59, Crews!$A$2:$C$28, 2, 0)), N59, VLOOKUP(N59, Crews!$A$2:$C$28, 2, 0))))) * 400</f>
        <v>4810.416667</v>
      </c>
      <c r="K59" s="3" t="s">
        <v>134</v>
      </c>
      <c r="L59" s="1" t="s">
        <v>135</v>
      </c>
      <c r="M59" s="1" t="n">
        <v>0</v>
      </c>
      <c r="N59" s="1" t="s">
        <v>25</v>
      </c>
      <c r="O59" s="1"/>
      <c r="P59" s="1"/>
      <c r="Q59" s="1" t="s">
        <v>41</v>
      </c>
      <c r="R59" s="1" t="s">
        <v>42</v>
      </c>
      <c r="S59" s="1" t="s">
        <v>43</v>
      </c>
      <c r="T59" s="1"/>
    </row>
    <row r="60" customFormat="false" ht="15" hidden="false" customHeight="true" outlineLevel="0" collapsed="false">
      <c r="A60" s="1" t="s">
        <v>136</v>
      </c>
      <c r="B60" s="1" t="n">
        <v>1750</v>
      </c>
      <c r="C60" s="1" t="n">
        <v>1</v>
      </c>
      <c r="D60" s="1" t="s">
        <v>29</v>
      </c>
      <c r="E60" s="1" t="s">
        <v>30</v>
      </c>
      <c r="F60" s="1"/>
      <c r="G60" s="1" t="n">
        <v>12</v>
      </c>
      <c r="H60" s="2"/>
      <c r="I60" s="2"/>
      <c r="J60" s="2"/>
      <c r="K60" s="1" t="s">
        <v>102</v>
      </c>
      <c r="L60" s="1" t="s">
        <v>137</v>
      </c>
      <c r="M60" s="1" t="n">
        <v>0</v>
      </c>
      <c r="N60" s="1"/>
      <c r="O60" s="1"/>
      <c r="P60" s="1"/>
      <c r="Q60" s="1"/>
      <c r="R60" s="1"/>
      <c r="S60" s="1"/>
      <c r="T60" s="1"/>
    </row>
    <row r="61" customFormat="false" ht="15" hidden="false" customHeight="true" outlineLevel="0" collapsed="false">
      <c r="A61" s="1" t="s">
        <v>138</v>
      </c>
      <c r="B61" s="1" t="n">
        <v>1750</v>
      </c>
      <c r="C61" s="1" t="n">
        <v>1</v>
      </c>
      <c r="D61" s="1" t="s">
        <v>21</v>
      </c>
      <c r="E61" s="1"/>
      <c r="F61" s="1"/>
      <c r="G61" s="1" t="n">
        <v>6</v>
      </c>
      <c r="H61" s="2" t="n">
        <v>20000</v>
      </c>
      <c r="I61" s="2" t="n">
        <f aca="false">(((H61 / 800) / IF(ISBLANK(R61), 1000000, IF(ISNA(VLOOKUP(R61, Mileages!$A$2:$C$34, 2, 0)), R61, VLOOKUP(R61, Mileages!$A$2:$C$34, 2, 0)))) + (F61 * IF(ISBLANK(P61), 1, P61) * IF(ISBLANK(T61), 0, IF(ISNA(VLOOKUP(T61, 'Fuel Costs'!$A$2:$C$42, 2, 0)), T61, VLOOKUP(T61, 'Fuel Costs'!$A$2:$C$42, 2, 0))) / IF(ISBLANK(O61), 1, O61))) * 100</f>
        <v>0.0125</v>
      </c>
      <c r="J61" s="2" t="n">
        <f aca="false">((H61 / 800) / (IF(ISBLANK(S61), 100, IF(ISNA(VLOOKUP(S61, Lives!$A$2:$C$35, 2, 0)), S61, VLOOKUP(S61, Lives!$A$2:$C$35, 2, 0))) * 12) + (IF(ISBLANK(Q61), 0, IF(ISNA(VLOOKUP(Q61, Wages!$A$2:$C$17, 2, 0)), Q61, VLOOKUP(Q61, Wages!$A$2:$C$17, 2, 0))) * IF(ISBLANK(N61), 0, IF(ISNA(VLOOKUP(N61, Crews!$A$2:$C$28, 2, 0)), N61, VLOOKUP(N61, Crews!$A$2:$C$28, 2, 0))))) * 400</f>
        <v>4808.333333</v>
      </c>
      <c r="K61" s="1" t="s">
        <v>139</v>
      </c>
      <c r="L61" s="1" t="s">
        <v>140</v>
      </c>
      <c r="M61" s="1" t="n">
        <v>0</v>
      </c>
      <c r="N61" s="1" t="s">
        <v>25</v>
      </c>
      <c r="O61" s="1"/>
      <c r="P61" s="1"/>
      <c r="Q61" s="1" t="s">
        <v>41</v>
      </c>
      <c r="R61" s="1" t="s">
        <v>42</v>
      </c>
      <c r="S61" s="1" t="s">
        <v>43</v>
      </c>
      <c r="T61" s="1"/>
    </row>
    <row r="62" customFormat="false" ht="15" hidden="false" customHeight="true" outlineLevel="0" collapsed="false">
      <c r="A62" s="1" t="s">
        <v>141</v>
      </c>
      <c r="B62" s="1" t="n">
        <v>1750</v>
      </c>
      <c r="C62" s="1" t="n">
        <v>1</v>
      </c>
      <c r="D62" s="1" t="s">
        <v>21</v>
      </c>
      <c r="E62" s="1"/>
      <c r="F62" s="1"/>
      <c r="G62" s="1" t="n">
        <v>6</v>
      </c>
      <c r="H62" s="2" t="n">
        <v>20000</v>
      </c>
      <c r="I62" s="2" t="n">
        <f aca="false">(((H62 / 800) / IF(ISBLANK(R62), 1000000, IF(ISNA(VLOOKUP(R62, Mileages!$A$2:$C$34, 2, 0)), R62, VLOOKUP(R62, Mileages!$A$2:$C$34, 2, 0)))) + (F62 * IF(ISBLANK(P62), 1, P62) * IF(ISBLANK(T62), 0, IF(ISNA(VLOOKUP(T62, 'Fuel Costs'!$A$2:$C$42, 2, 0)), T62, VLOOKUP(T62, 'Fuel Costs'!$A$2:$C$42, 2, 0))) / IF(ISBLANK(O62), 1, O62))) * 100</f>
        <v>0.0125</v>
      </c>
      <c r="J62" s="2" t="n">
        <f aca="false">((H62 / 800) / (IF(ISBLANK(S62), 100, IF(ISNA(VLOOKUP(S62, Lives!$A$2:$C$35, 2, 0)), S62, VLOOKUP(S62, Lives!$A$2:$C$35, 2, 0))) * 12) + (IF(ISBLANK(Q62), 0, IF(ISNA(VLOOKUP(Q62, Wages!$A$2:$C$17, 2, 0)), Q62, VLOOKUP(Q62, Wages!$A$2:$C$17, 2, 0))) * IF(ISBLANK(N62), 0, IF(ISNA(VLOOKUP(N62, Crews!$A$2:$C$28, 2, 0)), N62, VLOOKUP(N62, Crews!$A$2:$C$28, 2, 0))))) * 400</f>
        <v>4808.333333</v>
      </c>
      <c r="K62" s="1"/>
      <c r="L62" s="1" t="s">
        <v>140</v>
      </c>
      <c r="M62" s="1" t="n">
        <v>1</v>
      </c>
      <c r="N62" s="1" t="s">
        <v>25</v>
      </c>
      <c r="O62" s="1"/>
      <c r="P62" s="1"/>
      <c r="Q62" s="1" t="s">
        <v>41</v>
      </c>
      <c r="R62" s="1" t="s">
        <v>42</v>
      </c>
      <c r="S62" s="1" t="s">
        <v>43</v>
      </c>
      <c r="T62" s="1"/>
    </row>
    <row r="63" customFormat="false" ht="15" hidden="false" customHeight="true" outlineLevel="0" collapsed="false">
      <c r="A63" s="1" t="s">
        <v>142</v>
      </c>
      <c r="B63" s="1" t="n">
        <v>1750</v>
      </c>
      <c r="C63" s="1" t="n">
        <v>1</v>
      </c>
      <c r="D63" s="1" t="s">
        <v>21</v>
      </c>
      <c r="E63" s="1"/>
      <c r="F63" s="1"/>
      <c r="G63" s="1" t="n">
        <v>6</v>
      </c>
      <c r="H63" s="2" t="n">
        <v>20000</v>
      </c>
      <c r="I63" s="2" t="n">
        <f aca="false">(((H63 / 800) / IF(ISBLANK(R63), 1000000, IF(ISNA(VLOOKUP(R63, Mileages!$A$2:$C$34, 2, 0)), R63, VLOOKUP(R63, Mileages!$A$2:$C$34, 2, 0)))) + (F63 * IF(ISBLANK(P63), 1, P63) * IF(ISBLANK(T63), 0, IF(ISNA(VLOOKUP(T63, 'Fuel Costs'!$A$2:$C$42, 2, 0)), T63, VLOOKUP(T63, 'Fuel Costs'!$A$2:$C$42, 2, 0))) / IF(ISBLANK(O63), 1, O63))) * 100</f>
        <v>0.0125</v>
      </c>
      <c r="J63" s="2" t="n">
        <f aca="false">((H63 / 800) / (IF(ISBLANK(S63), 100, IF(ISNA(VLOOKUP(S63, Lives!$A$2:$C$35, 2, 0)), S63, VLOOKUP(S63, Lives!$A$2:$C$35, 2, 0))) * 12) + (IF(ISBLANK(Q63), 0, IF(ISNA(VLOOKUP(Q63, Wages!$A$2:$C$17, 2, 0)), Q63, VLOOKUP(Q63, Wages!$A$2:$C$17, 2, 0))) * IF(ISBLANK(N63), 0, IF(ISNA(VLOOKUP(N63, Crews!$A$2:$C$28, 2, 0)), N63, VLOOKUP(N63, Crews!$A$2:$C$28, 2, 0))))) * 400</f>
        <v>4808.333333</v>
      </c>
      <c r="K63" s="1"/>
      <c r="L63" s="1" t="s">
        <v>140</v>
      </c>
      <c r="M63" s="1" t="n">
        <v>2</v>
      </c>
      <c r="N63" s="1" t="s">
        <v>25</v>
      </c>
      <c r="O63" s="1"/>
      <c r="P63" s="1"/>
      <c r="Q63" s="1" t="s">
        <v>41</v>
      </c>
      <c r="R63" s="1" t="s">
        <v>42</v>
      </c>
      <c r="S63" s="1" t="s">
        <v>43</v>
      </c>
      <c r="T63" s="1"/>
    </row>
    <row r="64" customFormat="false" ht="15" hidden="false" customHeight="true" outlineLevel="0" collapsed="false">
      <c r="A64" s="1" t="s">
        <v>143</v>
      </c>
      <c r="B64" s="1" t="n">
        <v>1750</v>
      </c>
      <c r="C64" s="1" t="n">
        <v>1</v>
      </c>
      <c r="D64" s="1" t="s">
        <v>21</v>
      </c>
      <c r="E64" s="1"/>
      <c r="F64" s="1"/>
      <c r="G64" s="1" t="n">
        <v>6</v>
      </c>
      <c r="H64" s="2" t="n">
        <v>20000</v>
      </c>
      <c r="I64" s="2" t="n">
        <f aca="false">(((H64 / 800) / IF(ISBLANK(R64), 1000000, IF(ISNA(VLOOKUP(R64, Mileages!$A$2:$C$34, 2, 0)), R64, VLOOKUP(R64, Mileages!$A$2:$C$34, 2, 0)))) + (F64 * IF(ISBLANK(P64), 1, P64) * IF(ISBLANK(T64), 0, IF(ISNA(VLOOKUP(T64, 'Fuel Costs'!$A$2:$C$42, 2, 0)), T64, VLOOKUP(T64, 'Fuel Costs'!$A$2:$C$42, 2, 0))) / IF(ISBLANK(O64), 1, O64))) * 100</f>
        <v>0.0125</v>
      </c>
      <c r="J64" s="2" t="n">
        <f aca="false">((H64 / 800) / (IF(ISBLANK(S64), 100, IF(ISNA(VLOOKUP(S64, Lives!$A$2:$C$35, 2, 0)), S64, VLOOKUP(S64, Lives!$A$2:$C$35, 2, 0))) * 12) + (IF(ISBLANK(Q64), 0, IF(ISNA(VLOOKUP(Q64, Wages!$A$2:$C$17, 2, 0)), Q64, VLOOKUP(Q64, Wages!$A$2:$C$17, 2, 0))) * IF(ISBLANK(N64), 0, IF(ISNA(VLOOKUP(N64, Crews!$A$2:$C$28, 2, 0)), N64, VLOOKUP(N64, Crews!$A$2:$C$28, 2, 0))))) * 400</f>
        <v>4808.333333</v>
      </c>
      <c r="K64" s="1"/>
      <c r="L64" s="1" t="s">
        <v>140</v>
      </c>
      <c r="M64" s="1" t="n">
        <v>3</v>
      </c>
      <c r="N64" s="1" t="s">
        <v>25</v>
      </c>
      <c r="O64" s="1"/>
      <c r="P64" s="1"/>
      <c r="Q64" s="1" t="s">
        <v>41</v>
      </c>
      <c r="R64" s="1" t="s">
        <v>42</v>
      </c>
      <c r="S64" s="1" t="s">
        <v>43</v>
      </c>
      <c r="T64" s="1"/>
    </row>
    <row r="65" customFormat="false" ht="15" hidden="false" customHeight="true" outlineLevel="0" collapsed="false">
      <c r="A65" s="1" t="s">
        <v>144</v>
      </c>
      <c r="B65" s="1" t="n">
        <v>1750</v>
      </c>
      <c r="C65" s="1" t="n">
        <v>1</v>
      </c>
      <c r="D65" s="1" t="s">
        <v>29</v>
      </c>
      <c r="E65" s="1"/>
      <c r="F65" s="1"/>
      <c r="G65" s="1" t="n">
        <v>7</v>
      </c>
      <c r="H65" s="2" t="n">
        <v>20000</v>
      </c>
      <c r="I65" s="2" t="n">
        <f aca="false">(((H65 / 800) / IF(ISBLANK(R65), 1000000, IF(ISNA(VLOOKUP(R65, Mileages!$A$2:$C$34, 2, 0)), R65, VLOOKUP(R65, Mileages!$A$2:$C$34, 2, 0)))) + (F65 * IF(ISBLANK(P65), 1, P65) * IF(ISBLANK(T65), 0, IF(ISNA(VLOOKUP(T65, 'Fuel Costs'!$A$2:$C$42, 2, 0)), T65, VLOOKUP(T65, 'Fuel Costs'!$A$2:$C$42, 2, 0))) / IF(ISBLANK(O65), 1, O65))) * 100</f>
        <v>0.003125</v>
      </c>
      <c r="J65" s="2" t="n">
        <f aca="false">((H65 / 800) / (IF(ISBLANK(S65), 100, IF(ISNA(VLOOKUP(S65, Lives!$A$2:$C$35, 2, 0)), S65, VLOOKUP(S65, Lives!$A$2:$C$35, 2, 0))) * 12) + (IF(ISBLANK(Q65), 0, IF(ISNA(VLOOKUP(Q65, Wages!$A$2:$C$17, 2, 0)), Q65, VLOOKUP(Q65, Wages!$A$2:$C$17, 2, 0))) * IF(ISBLANK(N65), 0, IF(ISNA(VLOOKUP(N65, Crews!$A$2:$C$28, 2, 0)), N65, VLOOKUP(N65, Crews!$A$2:$C$28, 2, 0))))) * 400</f>
        <v>13.88888889</v>
      </c>
      <c r="K65" s="1" t="s">
        <v>145</v>
      </c>
      <c r="L65" s="1" t="s">
        <v>146</v>
      </c>
      <c r="M65" s="1" t="n">
        <v>0</v>
      </c>
      <c r="N65" s="1"/>
      <c r="O65" s="1"/>
      <c r="P65" s="1"/>
      <c r="Q65" s="1"/>
      <c r="R65" s="4" t="s">
        <v>35</v>
      </c>
      <c r="S65" s="1" t="s">
        <v>35</v>
      </c>
      <c r="T65" s="1"/>
    </row>
    <row r="66" customFormat="false" ht="15" hidden="false" customHeight="true" outlineLevel="0" collapsed="false">
      <c r="A66" s="1" t="s">
        <v>147</v>
      </c>
      <c r="B66" s="1" t="n">
        <v>1750</v>
      </c>
      <c r="C66" s="1" t="n">
        <v>1</v>
      </c>
      <c r="D66" s="1" t="s">
        <v>29</v>
      </c>
      <c r="E66" s="1"/>
      <c r="F66" s="1"/>
      <c r="G66" s="1" t="n">
        <v>7</v>
      </c>
      <c r="H66" s="2" t="n">
        <v>20000</v>
      </c>
      <c r="I66" s="2" t="n">
        <f aca="false">(((H66 / 800) / IF(ISBLANK(R66), 1000000, IF(ISNA(VLOOKUP(R66, Mileages!$A$2:$C$34, 2, 0)), R66, VLOOKUP(R66, Mileages!$A$2:$C$34, 2, 0)))) + (F66 * IF(ISBLANK(P66), 1, P66) * IF(ISBLANK(T66), 0, IF(ISNA(VLOOKUP(T66, 'Fuel Costs'!$A$2:$C$42, 2, 0)), T66, VLOOKUP(T66, 'Fuel Costs'!$A$2:$C$42, 2, 0))) / IF(ISBLANK(O66), 1, O66))) * 100</f>
        <v>0.003125</v>
      </c>
      <c r="J66" s="2" t="n">
        <f aca="false">((H66 / 800) / (IF(ISBLANK(S66), 100, IF(ISNA(VLOOKUP(S66, Lives!$A$2:$C$35, 2, 0)), S66, VLOOKUP(S66, Lives!$A$2:$C$35, 2, 0))) * 12) + (IF(ISBLANK(Q66), 0, IF(ISNA(VLOOKUP(Q66, Wages!$A$2:$C$17, 2, 0)), Q66, VLOOKUP(Q66, Wages!$A$2:$C$17, 2, 0))) * IF(ISBLANK(N66), 0, IF(ISNA(VLOOKUP(N66, Crews!$A$2:$C$28, 2, 0)), N66, VLOOKUP(N66, Crews!$A$2:$C$28, 2, 0))))) * 400</f>
        <v>13.88888889</v>
      </c>
      <c r="K66" s="1" t="s">
        <v>145</v>
      </c>
      <c r="L66" s="1" t="s">
        <v>146</v>
      </c>
      <c r="M66" s="1" t="n">
        <v>1</v>
      </c>
      <c r="N66" s="1"/>
      <c r="O66" s="1"/>
      <c r="P66" s="1"/>
      <c r="Q66" s="1"/>
      <c r="R66" s="4" t="s">
        <v>35</v>
      </c>
      <c r="S66" s="1" t="s">
        <v>35</v>
      </c>
      <c r="T66" s="1"/>
    </row>
    <row r="67" customFormat="false" ht="15" hidden="false" customHeight="true" outlineLevel="0" collapsed="false">
      <c r="A67" s="1" t="s">
        <v>148</v>
      </c>
      <c r="B67" s="1" t="n">
        <v>1750</v>
      </c>
      <c r="C67" s="1" t="n">
        <v>1</v>
      </c>
      <c r="D67" s="1" t="s">
        <v>29</v>
      </c>
      <c r="E67" s="1"/>
      <c r="F67" s="1"/>
      <c r="G67" s="1" t="n">
        <v>7</v>
      </c>
      <c r="H67" s="2" t="n">
        <v>20000</v>
      </c>
      <c r="I67" s="2" t="n">
        <f aca="false">(((H67 / 800) / IF(ISBLANK(R67), 1000000, IF(ISNA(VLOOKUP(R67, Mileages!$A$2:$C$34, 2, 0)), R67, VLOOKUP(R67, Mileages!$A$2:$C$34, 2, 0)))) + (F67 * IF(ISBLANK(P67), 1, P67) * IF(ISBLANK(T67), 0, IF(ISNA(VLOOKUP(T67, 'Fuel Costs'!$A$2:$C$42, 2, 0)), T67, VLOOKUP(T67, 'Fuel Costs'!$A$2:$C$42, 2, 0))) / IF(ISBLANK(O67), 1, O67))) * 100</f>
        <v>0.003125</v>
      </c>
      <c r="J67" s="2" t="n">
        <f aca="false">((H67 / 800) / (IF(ISBLANK(S67), 100, IF(ISNA(VLOOKUP(S67, Lives!$A$2:$C$35, 2, 0)), S67, VLOOKUP(S67, Lives!$A$2:$C$35, 2, 0))) * 12) + (IF(ISBLANK(Q67), 0, IF(ISNA(VLOOKUP(Q67, Wages!$A$2:$C$17, 2, 0)), Q67, VLOOKUP(Q67, Wages!$A$2:$C$17, 2, 0))) * IF(ISBLANK(N67), 0, IF(ISNA(VLOOKUP(N67, Crews!$A$2:$C$28, 2, 0)), N67, VLOOKUP(N67, Crews!$A$2:$C$28, 2, 0))))) * 400</f>
        <v>13.88888889</v>
      </c>
      <c r="K67" s="1" t="s">
        <v>145</v>
      </c>
      <c r="L67" s="1" t="s">
        <v>146</v>
      </c>
      <c r="M67" s="1" t="n">
        <v>2</v>
      </c>
      <c r="N67" s="1"/>
      <c r="O67" s="1"/>
      <c r="P67" s="1"/>
      <c r="Q67" s="1"/>
      <c r="R67" s="4" t="s">
        <v>35</v>
      </c>
      <c r="S67" s="1" t="s">
        <v>35</v>
      </c>
      <c r="T67" s="1"/>
    </row>
    <row r="68" customFormat="false" ht="15" hidden="false" customHeight="true" outlineLevel="0" collapsed="false">
      <c r="A68" s="1" t="s">
        <v>149</v>
      </c>
      <c r="B68" s="1" t="n">
        <v>1750</v>
      </c>
      <c r="C68" s="1" t="n">
        <v>1</v>
      </c>
      <c r="D68" s="1" t="s">
        <v>29</v>
      </c>
      <c r="E68" s="1"/>
      <c r="F68" s="1"/>
      <c r="G68" s="1" t="n">
        <v>7</v>
      </c>
      <c r="H68" s="2" t="n">
        <v>20000</v>
      </c>
      <c r="I68" s="2" t="n">
        <f aca="false">(((H68 / 800) / IF(ISBLANK(R68), 1000000, IF(ISNA(VLOOKUP(R68, Mileages!$A$2:$C$34, 2, 0)), R68, VLOOKUP(R68, Mileages!$A$2:$C$34, 2, 0)))) + (F68 * IF(ISBLANK(P68), 1, P68) * IF(ISBLANK(T68), 0, IF(ISNA(VLOOKUP(T68, 'Fuel Costs'!$A$2:$C$42, 2, 0)), T68, VLOOKUP(T68, 'Fuel Costs'!$A$2:$C$42, 2, 0))) / IF(ISBLANK(O68), 1, O68))) * 100</f>
        <v>0.003125</v>
      </c>
      <c r="J68" s="2" t="n">
        <f aca="false">((H68 / 800) / (IF(ISBLANK(S68), 100, IF(ISNA(VLOOKUP(S68, Lives!$A$2:$C$35, 2, 0)), S68, VLOOKUP(S68, Lives!$A$2:$C$35, 2, 0))) * 12) + (IF(ISBLANK(Q68), 0, IF(ISNA(VLOOKUP(Q68, Wages!$A$2:$C$17, 2, 0)), Q68, VLOOKUP(Q68, Wages!$A$2:$C$17, 2, 0))) * IF(ISBLANK(N68), 0, IF(ISNA(VLOOKUP(N68, Crews!$A$2:$C$28, 2, 0)), N68, VLOOKUP(N68, Crews!$A$2:$C$28, 2, 0))))) * 400</f>
        <v>13.88888889</v>
      </c>
      <c r="K68" s="1" t="s">
        <v>145</v>
      </c>
      <c r="L68" s="1" t="s">
        <v>146</v>
      </c>
      <c r="M68" s="1" t="n">
        <v>3</v>
      </c>
      <c r="N68" s="1"/>
      <c r="O68" s="1"/>
      <c r="P68" s="1"/>
      <c r="Q68" s="1"/>
      <c r="R68" s="4" t="s">
        <v>35</v>
      </c>
      <c r="S68" s="1" t="s">
        <v>35</v>
      </c>
      <c r="T68" s="1"/>
    </row>
    <row r="69" customFormat="false" ht="15" hidden="false" customHeight="true" outlineLevel="0" collapsed="false">
      <c r="A69" s="1" t="s">
        <v>150</v>
      </c>
      <c r="B69" s="1" t="n">
        <v>1750</v>
      </c>
      <c r="C69" s="1" t="n">
        <v>1</v>
      </c>
      <c r="D69" s="1" t="s">
        <v>38</v>
      </c>
      <c r="E69" s="1" t="s">
        <v>22</v>
      </c>
      <c r="F69" s="1" t="n">
        <v>1</v>
      </c>
      <c r="G69" s="1" t="n">
        <v>10</v>
      </c>
      <c r="H69" s="2" t="n">
        <v>45000</v>
      </c>
      <c r="I69" s="2" t="n">
        <f aca="false">(((H69 / 800) / IF(ISBLANK(R69), 1000000, IF(ISNA(VLOOKUP(R69, Mileages!$A$2:$C$34, 2, 0)), R69, VLOOKUP(R69, Mileages!$A$2:$C$34, 2, 0)))) + (F69 * IF(ISBLANK(P69), 1, P69) * IF(ISBLANK(T69), 0, IF(ISNA(VLOOKUP(T69, 'Fuel Costs'!$A$2:$C$42, 2, 0)), T69, VLOOKUP(T69, 'Fuel Costs'!$A$2:$C$42, 2, 0))) / IF(ISBLANK(O69), 1, O69))) * 100</f>
        <v>2.500000006</v>
      </c>
      <c r="J69" s="2" t="n">
        <f aca="false">((H69 / 800) / (IF(ISBLANK(S69), 100, IF(ISNA(VLOOKUP(S69, Lives!$A$2:$C$35, 2, 0)), S69, VLOOKUP(S69, Lives!$A$2:$C$35, 2, 0))) * 12) + (IF(ISBLANK(Q69), 0, IF(ISNA(VLOOKUP(Q69, Wages!$A$2:$C$17, 2, 0)), Q69, VLOOKUP(Q69, Wages!$A$2:$C$17, 2, 0))) * IF(ISBLANK(N69), 0, IF(ISNA(VLOOKUP(N69, Crews!$A$2:$C$28, 2, 0)), N69, VLOOKUP(N69, Crews!$A$2:$C$28, 2, 0))))) * 400</f>
        <v>1593.75</v>
      </c>
      <c r="K69" s="1" t="s">
        <v>151</v>
      </c>
      <c r="L69" s="1" t="s">
        <v>152</v>
      </c>
      <c r="M69" s="1" t="n">
        <v>0</v>
      </c>
      <c r="N69" s="4" t="s">
        <v>153</v>
      </c>
      <c r="O69" s="1"/>
      <c r="P69" s="1"/>
      <c r="Q69" s="1" t="s">
        <v>26</v>
      </c>
      <c r="R69" s="5" t="s">
        <v>87</v>
      </c>
      <c r="S69" s="5" t="s">
        <v>87</v>
      </c>
      <c r="T69" s="5" t="s">
        <v>87</v>
      </c>
    </row>
    <row r="70" customFormat="false" ht="15" hidden="false" customHeight="true" outlineLevel="0" collapsed="false">
      <c r="A70" s="1" t="s">
        <v>154</v>
      </c>
      <c r="B70" s="1" t="n">
        <v>1750</v>
      </c>
      <c r="C70" s="1" t="n">
        <v>1</v>
      </c>
      <c r="D70" s="1" t="s">
        <v>38</v>
      </c>
      <c r="E70" s="1" t="s">
        <v>22</v>
      </c>
      <c r="F70" s="1" t="n">
        <v>2</v>
      </c>
      <c r="G70" s="1" t="n">
        <v>10</v>
      </c>
      <c r="H70" s="2" t="n">
        <v>90000</v>
      </c>
      <c r="I70" s="2" t="n">
        <f aca="false">(((H70 / 800) / IF(ISBLANK(R70), 1000000, IF(ISNA(VLOOKUP(R70, Mileages!$A$2:$C$34, 2, 0)), R70, VLOOKUP(R70, Mileages!$A$2:$C$34, 2, 0)))) + (F70 * IF(ISBLANK(P70), 1, P70) * IF(ISBLANK(T70), 0, IF(ISNA(VLOOKUP(T70, 'Fuel Costs'!$A$2:$C$42, 2, 0)), T70, VLOOKUP(T70, 'Fuel Costs'!$A$2:$C$42, 2, 0))) / IF(ISBLANK(O70), 1, O70))) * 100</f>
        <v>5.000000011</v>
      </c>
      <c r="J70" s="2" t="n">
        <f aca="false">((H70 / 800) / (IF(ISBLANK(S70), 100, IF(ISNA(VLOOKUP(S70, Lives!$A$2:$C$35, 2, 0)), S70, VLOOKUP(S70, Lives!$A$2:$C$35, 2, 0))) * 12) + (IF(ISBLANK(Q70), 0, IF(ISNA(VLOOKUP(Q70, Wages!$A$2:$C$17, 2, 0)), Q70, VLOOKUP(Q70, Wages!$A$2:$C$17, 2, 0))) * IF(ISBLANK(N70), 0, IF(ISNA(VLOOKUP(N70, Crews!$A$2:$C$28, 2, 0)), N70, VLOOKUP(N70, Crews!$A$2:$C$28, 2, 0))))) * 400</f>
        <v>3187.5</v>
      </c>
      <c r="K70" s="1"/>
      <c r="L70" s="1" t="s">
        <v>152</v>
      </c>
      <c r="M70" s="1" t="n">
        <v>1</v>
      </c>
      <c r="N70" s="1" t="s">
        <v>155</v>
      </c>
      <c r="O70" s="1"/>
      <c r="P70" s="1"/>
      <c r="Q70" s="1" t="s">
        <v>26</v>
      </c>
      <c r="R70" s="5" t="s">
        <v>87</v>
      </c>
      <c r="S70" s="5" t="s">
        <v>87</v>
      </c>
      <c r="T70" s="5" t="s">
        <v>87</v>
      </c>
    </row>
    <row r="71" customFormat="false" ht="15" hidden="false" customHeight="true" outlineLevel="0" collapsed="false">
      <c r="A71" s="1" t="s">
        <v>156</v>
      </c>
      <c r="B71" s="1" t="n">
        <v>1750</v>
      </c>
      <c r="C71" s="1" t="n">
        <v>1</v>
      </c>
      <c r="D71" s="1" t="s">
        <v>157</v>
      </c>
      <c r="E71" s="1" t="s">
        <v>22</v>
      </c>
      <c r="F71" s="1" t="n">
        <v>1</v>
      </c>
      <c r="G71" s="1" t="n">
        <v>10</v>
      </c>
      <c r="H71" s="2" t="n">
        <v>45000</v>
      </c>
      <c r="I71" s="2" t="n">
        <f aca="false">(((H71 / 800) / IF(ISBLANK(R71), 1000000, IF(ISNA(VLOOKUP(R71, Mileages!$A$2:$C$34, 2, 0)), R71, VLOOKUP(R71, Mileages!$A$2:$C$34, 2, 0)))) + (F71 * IF(ISBLANK(P71), 1, P71) * IF(ISBLANK(T71), 0, IF(ISNA(VLOOKUP(T71, 'Fuel Costs'!$A$2:$C$42, 2, 0)), T71, VLOOKUP(T71, 'Fuel Costs'!$A$2:$C$42, 2, 0))) / IF(ISBLANK(O71), 1, O71))) * 100</f>
        <v>2.500000006</v>
      </c>
      <c r="J71" s="2" t="n">
        <f aca="false">((H71 / 800) / (IF(ISBLANK(S71), 100, IF(ISNA(VLOOKUP(S71, Lives!$A$2:$C$35, 2, 0)), S71, VLOOKUP(S71, Lives!$A$2:$C$35, 2, 0))) * 12) + (IF(ISBLANK(Q71), 0, IF(ISNA(VLOOKUP(Q71, Wages!$A$2:$C$17, 2, 0)), Q71, VLOOKUP(Q71, Wages!$A$2:$C$17, 2, 0))) * IF(ISBLANK(N71), 0, IF(ISNA(VLOOKUP(N71, Crews!$A$2:$C$28, 2, 0)), N71, VLOOKUP(N71, Crews!$A$2:$C$28, 2, 0))))) * 400</f>
        <v>1593.75</v>
      </c>
      <c r="K71" s="1" t="s">
        <v>151</v>
      </c>
      <c r="L71" s="1" t="s">
        <v>158</v>
      </c>
      <c r="M71" s="1" t="n">
        <v>0</v>
      </c>
      <c r="N71" s="4" t="s">
        <v>153</v>
      </c>
      <c r="O71" s="1"/>
      <c r="P71" s="1"/>
      <c r="Q71" s="1" t="s">
        <v>26</v>
      </c>
      <c r="R71" s="5" t="s">
        <v>87</v>
      </c>
      <c r="S71" s="5" t="s">
        <v>87</v>
      </c>
      <c r="T71" s="5" t="s">
        <v>87</v>
      </c>
    </row>
    <row r="72" customFormat="false" ht="15" hidden="false" customHeight="true" outlineLevel="0" collapsed="false">
      <c r="A72" s="1" t="s">
        <v>159</v>
      </c>
      <c r="B72" s="1" t="n">
        <v>1750</v>
      </c>
      <c r="C72" s="1" t="n">
        <v>1</v>
      </c>
      <c r="D72" s="1" t="s">
        <v>157</v>
      </c>
      <c r="E72" s="1" t="s">
        <v>22</v>
      </c>
      <c r="F72" s="1" t="n">
        <v>2</v>
      </c>
      <c r="G72" s="1" t="n">
        <v>10</v>
      </c>
      <c r="H72" s="2" t="n">
        <v>90000</v>
      </c>
      <c r="I72" s="2" t="n">
        <f aca="false">(((H72 / 800) / IF(ISBLANK(R72), 1000000, IF(ISNA(VLOOKUP(R72, Mileages!$A$2:$C$34, 2, 0)), R72, VLOOKUP(R72, Mileages!$A$2:$C$34, 2, 0)))) + (F72 * IF(ISBLANK(P72), 1, P72) * IF(ISBLANK(T72), 0, IF(ISNA(VLOOKUP(T72, 'Fuel Costs'!$A$2:$C$42, 2, 0)), T72, VLOOKUP(T72, 'Fuel Costs'!$A$2:$C$42, 2, 0))) / IF(ISBLANK(O72), 1, O72))) * 100</f>
        <v>5.000000011</v>
      </c>
      <c r="J72" s="2" t="n">
        <f aca="false">((H72 / 800) / (IF(ISBLANK(S72), 100, IF(ISNA(VLOOKUP(S72, Lives!$A$2:$C$35, 2, 0)), S72, VLOOKUP(S72, Lives!$A$2:$C$35, 2, 0))) * 12) + (IF(ISBLANK(Q72), 0, IF(ISNA(VLOOKUP(Q72, Wages!$A$2:$C$17, 2, 0)), Q72, VLOOKUP(Q72, Wages!$A$2:$C$17, 2, 0))) * IF(ISBLANK(N72), 0, IF(ISNA(VLOOKUP(N72, Crews!$A$2:$C$28, 2, 0)), N72, VLOOKUP(N72, Crews!$A$2:$C$28, 2, 0))))) * 400</f>
        <v>3187.5</v>
      </c>
      <c r="K72" s="1"/>
      <c r="L72" s="1" t="s">
        <v>158</v>
      </c>
      <c r="M72" s="1" t="n">
        <v>1</v>
      </c>
      <c r="N72" s="1" t="s">
        <v>155</v>
      </c>
      <c r="O72" s="1"/>
      <c r="P72" s="1"/>
      <c r="Q72" s="1" t="s">
        <v>26</v>
      </c>
      <c r="R72" s="5" t="s">
        <v>87</v>
      </c>
      <c r="S72" s="5" t="s">
        <v>87</v>
      </c>
      <c r="T72" s="5" t="s">
        <v>87</v>
      </c>
    </row>
    <row r="73" customFormat="false" ht="15" hidden="false" customHeight="true" outlineLevel="0" collapsed="false">
      <c r="A73" s="1" t="s">
        <v>160</v>
      </c>
      <c r="B73" s="1" t="n">
        <v>1750</v>
      </c>
      <c r="C73" s="1" t="n">
        <v>1</v>
      </c>
      <c r="D73" s="1" t="s">
        <v>29</v>
      </c>
      <c r="E73" s="1" t="s">
        <v>30</v>
      </c>
      <c r="F73" s="1" t="n">
        <v>111</v>
      </c>
      <c r="G73" s="1" t="n">
        <v>12</v>
      </c>
      <c r="H73" s="2" t="n">
        <v>182500</v>
      </c>
      <c r="I73" s="2" t="n">
        <f aca="false">(((H73 / 800) / IF(ISBLANK(R73), 1000000, IF(ISNA(VLOOKUP(R73, Mileages!$A$2:$C$34, 2, 0)), R73, VLOOKUP(R73, Mileages!$A$2:$C$34, 2, 0)))) + (F73 * IF(ISBLANK(P73), 1, P73) * IF(ISBLANK(T73), 0, IF(ISNA(VLOOKUP(T73, 'Fuel Costs'!$A$2:$C$42, 2, 0)), T73, VLOOKUP(T73, 'Fuel Costs'!$A$2:$C$42, 2, 0))) / IF(ISBLANK(O73), 1, O73))) * 100</f>
        <v>0.028515625</v>
      </c>
      <c r="J73" s="2" t="n">
        <f aca="false">((H73 / 800) / (IF(ISBLANK(S73), 100, IF(ISNA(VLOOKUP(S73, Lives!$A$2:$C$35, 2, 0)), S73, VLOOKUP(S73, Lives!$A$2:$C$35, 2, 0))) * 12) + (IF(ISBLANK(Q73), 0, IF(ISNA(VLOOKUP(Q73, Wages!$A$2:$C$17, 2, 0)), Q73, VLOOKUP(Q73, Wages!$A$2:$C$17, 2, 0))) * IF(ISBLANK(N73), 0, IF(ISNA(VLOOKUP(N73, Crews!$A$2:$C$28, 2, 0)), N73, VLOOKUP(N73, Crews!$A$2:$C$28, 2, 0))))) * 400</f>
        <v>16126.73611</v>
      </c>
      <c r="K73" s="6" t="s">
        <v>161</v>
      </c>
      <c r="L73" s="1" t="s">
        <v>162</v>
      </c>
      <c r="M73" s="1" t="n">
        <v>0</v>
      </c>
      <c r="N73" s="1" t="s">
        <v>33</v>
      </c>
      <c r="O73" s="1"/>
      <c r="P73" s="1"/>
      <c r="Q73" s="1" t="s">
        <v>34</v>
      </c>
      <c r="R73" s="4" t="s">
        <v>35</v>
      </c>
      <c r="S73" s="1" t="s">
        <v>35</v>
      </c>
      <c r="T73" s="1" t="s">
        <v>36</v>
      </c>
    </row>
    <row r="74" customFormat="false" ht="15" hidden="false" customHeight="true" outlineLevel="0" collapsed="false">
      <c r="A74" s="1" t="s">
        <v>163</v>
      </c>
      <c r="B74" s="1" t="n">
        <v>1750</v>
      </c>
      <c r="C74" s="1" t="n">
        <v>1</v>
      </c>
      <c r="D74" s="1" t="s">
        <v>29</v>
      </c>
      <c r="E74" s="1" t="s">
        <v>30</v>
      </c>
      <c r="F74" s="1" t="n">
        <v>111</v>
      </c>
      <c r="G74" s="1" t="n">
        <v>12</v>
      </c>
      <c r="H74" s="2" t="n">
        <v>182500</v>
      </c>
      <c r="I74" s="2" t="n">
        <f aca="false">(((H74 / 800) / IF(ISBLANK(R74), 1000000, IF(ISNA(VLOOKUP(R74, Mileages!$A$2:$C$34, 2, 0)), R74, VLOOKUP(R74, Mileages!$A$2:$C$34, 2, 0)))) + (F74 * IF(ISBLANK(P74), 1, P74) * IF(ISBLANK(T74), 0, IF(ISNA(VLOOKUP(T74, 'Fuel Costs'!$A$2:$C$42, 2, 0)), T74, VLOOKUP(T74, 'Fuel Costs'!$A$2:$C$42, 2, 0))) / IF(ISBLANK(O74), 1, O74))) * 100</f>
        <v>0.028515625</v>
      </c>
      <c r="J74" s="2" t="n">
        <f aca="false">((H74 / 800) / (IF(ISBLANK(S74), 100, IF(ISNA(VLOOKUP(S74, Lives!$A$2:$C$35, 2, 0)), S74, VLOOKUP(S74, Lives!$A$2:$C$35, 2, 0))) * 12) + (IF(ISBLANK(Q74), 0, IF(ISNA(VLOOKUP(Q74, Wages!$A$2:$C$17, 2, 0)), Q74, VLOOKUP(Q74, Wages!$A$2:$C$17, 2, 0))) * IF(ISBLANK(N74), 0, IF(ISNA(VLOOKUP(N74, Crews!$A$2:$C$28, 2, 0)), N74, VLOOKUP(N74, Crews!$A$2:$C$28, 2, 0))))) * 400</f>
        <v>16126.73611</v>
      </c>
      <c r="K74" s="1" t="s">
        <v>96</v>
      </c>
      <c r="L74" s="1" t="s">
        <v>162</v>
      </c>
      <c r="M74" s="1" t="n">
        <v>1</v>
      </c>
      <c r="N74" s="1" t="s">
        <v>33</v>
      </c>
      <c r="O74" s="1"/>
      <c r="P74" s="1"/>
      <c r="Q74" s="1" t="s">
        <v>34</v>
      </c>
      <c r="R74" s="4" t="s">
        <v>35</v>
      </c>
      <c r="S74" s="1" t="s">
        <v>35</v>
      </c>
      <c r="T74" s="1" t="s">
        <v>36</v>
      </c>
    </row>
    <row r="75" customFormat="false" ht="15" hidden="false" customHeight="true" outlineLevel="0" collapsed="false">
      <c r="A75" s="1" t="s">
        <v>164</v>
      </c>
      <c r="B75" s="1" t="n">
        <v>1750</v>
      </c>
      <c r="C75" s="1" t="n">
        <v>1</v>
      </c>
      <c r="D75" s="1" t="s">
        <v>29</v>
      </c>
      <c r="E75" s="1" t="s">
        <v>30</v>
      </c>
      <c r="F75" s="1" t="n">
        <v>111</v>
      </c>
      <c r="G75" s="1" t="n">
        <v>12</v>
      </c>
      <c r="H75" s="2" t="n">
        <v>182500</v>
      </c>
      <c r="I75" s="2" t="n">
        <f aca="false">(((H75 / 800) / IF(ISBLANK(R75), 1000000, IF(ISNA(VLOOKUP(R75, Mileages!$A$2:$C$34, 2, 0)), R75, VLOOKUP(R75, Mileages!$A$2:$C$34, 2, 0)))) + (F75 * IF(ISBLANK(P75), 1, P75) * IF(ISBLANK(T75), 0, IF(ISNA(VLOOKUP(T75, 'Fuel Costs'!$A$2:$C$42, 2, 0)), T75, VLOOKUP(T75, 'Fuel Costs'!$A$2:$C$42, 2, 0))) / IF(ISBLANK(O75), 1, O75))) * 100</f>
        <v>0.028515625</v>
      </c>
      <c r="J75" s="2" t="n">
        <f aca="false">((H75 / 800) / (IF(ISBLANK(S75), 100, IF(ISNA(VLOOKUP(S75, Lives!$A$2:$C$35, 2, 0)), S75, VLOOKUP(S75, Lives!$A$2:$C$35, 2, 0))) * 12) + (IF(ISBLANK(Q75), 0, IF(ISNA(VLOOKUP(Q75, Wages!$A$2:$C$17, 2, 0)), Q75, VLOOKUP(Q75, Wages!$A$2:$C$17, 2, 0))) * IF(ISBLANK(N75), 0, IF(ISNA(VLOOKUP(N75, Crews!$A$2:$C$28, 2, 0)), N75, VLOOKUP(N75, Crews!$A$2:$C$28, 2, 0))))) * 400</f>
        <v>16126.73611</v>
      </c>
      <c r="K75" s="1" t="s">
        <v>96</v>
      </c>
      <c r="L75" s="1" t="s">
        <v>162</v>
      </c>
      <c r="M75" s="1" t="n">
        <v>2</v>
      </c>
      <c r="N75" s="1" t="s">
        <v>33</v>
      </c>
      <c r="O75" s="1"/>
      <c r="P75" s="1"/>
      <c r="Q75" s="1" t="s">
        <v>34</v>
      </c>
      <c r="R75" s="4" t="s">
        <v>35</v>
      </c>
      <c r="S75" s="1" t="s">
        <v>35</v>
      </c>
      <c r="T75" s="1" t="s">
        <v>36</v>
      </c>
    </row>
    <row r="76" customFormat="false" ht="15" hidden="false" customHeight="true" outlineLevel="0" collapsed="false">
      <c r="A76" s="1" t="s">
        <v>165</v>
      </c>
      <c r="B76" s="1" t="n">
        <v>1750</v>
      </c>
      <c r="C76" s="1" t="n">
        <v>1</v>
      </c>
      <c r="D76" s="1" t="s">
        <v>29</v>
      </c>
      <c r="E76" s="1" t="s">
        <v>30</v>
      </c>
      <c r="F76" s="1" t="n">
        <v>111</v>
      </c>
      <c r="G76" s="1" t="n">
        <v>12</v>
      </c>
      <c r="H76" s="2" t="n">
        <v>182500</v>
      </c>
      <c r="I76" s="2" t="n">
        <f aca="false">(((H76 / 800) / IF(ISBLANK(R76), 1000000, IF(ISNA(VLOOKUP(R76, Mileages!$A$2:$C$34, 2, 0)), R76, VLOOKUP(R76, Mileages!$A$2:$C$34, 2, 0)))) + (F76 * IF(ISBLANK(P76), 1, P76) * IF(ISBLANK(T76), 0, IF(ISNA(VLOOKUP(T76, 'Fuel Costs'!$A$2:$C$42, 2, 0)), T76, VLOOKUP(T76, 'Fuel Costs'!$A$2:$C$42, 2, 0))) / IF(ISBLANK(O76), 1, O76))) * 100</f>
        <v>0.028515625</v>
      </c>
      <c r="J76" s="2" t="n">
        <f aca="false">((H76 / 800) / (IF(ISBLANK(S76), 100, IF(ISNA(VLOOKUP(S76, Lives!$A$2:$C$35, 2, 0)), S76, VLOOKUP(S76, Lives!$A$2:$C$35, 2, 0))) * 12) + (IF(ISBLANK(Q76), 0, IF(ISNA(VLOOKUP(Q76, Wages!$A$2:$C$17, 2, 0)), Q76, VLOOKUP(Q76, Wages!$A$2:$C$17, 2, 0))) * IF(ISBLANK(N76), 0, IF(ISNA(VLOOKUP(N76, Crews!$A$2:$C$28, 2, 0)), N76, VLOOKUP(N76, Crews!$A$2:$C$28, 2, 0))))) * 400</f>
        <v>16126.73611</v>
      </c>
      <c r="K76" s="1" t="s">
        <v>96</v>
      </c>
      <c r="L76" s="1" t="s">
        <v>162</v>
      </c>
      <c r="M76" s="1" t="n">
        <v>3</v>
      </c>
      <c r="N76" s="1" t="s">
        <v>33</v>
      </c>
      <c r="O76" s="1"/>
      <c r="P76" s="1"/>
      <c r="Q76" s="1" t="s">
        <v>34</v>
      </c>
      <c r="R76" s="4" t="s">
        <v>35</v>
      </c>
      <c r="S76" s="1" t="s">
        <v>35</v>
      </c>
      <c r="T76" s="1" t="s">
        <v>36</v>
      </c>
    </row>
    <row r="77" customFormat="false" ht="15" hidden="false" customHeight="true" outlineLevel="0" collapsed="false">
      <c r="A77" s="1" t="s">
        <v>166</v>
      </c>
      <c r="B77" s="1" t="n">
        <v>1750</v>
      </c>
      <c r="C77" s="1" t="n">
        <v>1</v>
      </c>
      <c r="D77" s="1" t="s">
        <v>29</v>
      </c>
      <c r="E77" s="1" t="s">
        <v>30</v>
      </c>
      <c r="F77" s="1" t="n">
        <v>111</v>
      </c>
      <c r="G77" s="1" t="n">
        <v>12</v>
      </c>
      <c r="H77" s="2" t="n">
        <v>182500</v>
      </c>
      <c r="I77" s="2" t="n">
        <f aca="false">(((H77 / 800) / IF(ISBLANK(R77), 1000000, IF(ISNA(VLOOKUP(R77, Mileages!$A$2:$C$34, 2, 0)), R77, VLOOKUP(R77, Mileages!$A$2:$C$34, 2, 0)))) + (F77 * IF(ISBLANK(P77), 1, P77) * IF(ISBLANK(T77), 0, IF(ISNA(VLOOKUP(T77, 'Fuel Costs'!$A$2:$C$42, 2, 0)), T77, VLOOKUP(T77, 'Fuel Costs'!$A$2:$C$42, 2, 0))) / IF(ISBLANK(O77), 1, O77))) * 100</f>
        <v>0.028515625</v>
      </c>
      <c r="J77" s="2" t="n">
        <f aca="false">((H77 / 800) / (IF(ISBLANK(S77), 100, IF(ISNA(VLOOKUP(S77, Lives!$A$2:$C$35, 2, 0)), S77, VLOOKUP(S77, Lives!$A$2:$C$35, 2, 0))) * 12) + (IF(ISBLANK(Q77), 0, IF(ISNA(VLOOKUP(Q77, Wages!$A$2:$C$17, 2, 0)), Q77, VLOOKUP(Q77, Wages!$A$2:$C$17, 2, 0))) * IF(ISBLANK(N77), 0, IF(ISNA(VLOOKUP(N77, Crews!$A$2:$C$28, 2, 0)), N77, VLOOKUP(N77, Crews!$A$2:$C$28, 2, 0))))) * 400</f>
        <v>16126.73611</v>
      </c>
      <c r="K77" s="1" t="s">
        <v>96</v>
      </c>
      <c r="L77" s="1" t="s">
        <v>162</v>
      </c>
      <c r="M77" s="1" t="n">
        <v>4</v>
      </c>
      <c r="N77" s="1" t="s">
        <v>33</v>
      </c>
      <c r="O77" s="1"/>
      <c r="P77" s="1"/>
      <c r="Q77" s="1" t="s">
        <v>34</v>
      </c>
      <c r="R77" s="4" t="s">
        <v>35</v>
      </c>
      <c r="S77" s="1" t="s">
        <v>35</v>
      </c>
      <c r="T77" s="1" t="s">
        <v>36</v>
      </c>
    </row>
    <row r="78" customFormat="false" ht="15" hidden="false" customHeight="true" outlineLevel="0" collapsed="false">
      <c r="A78" s="1" t="s">
        <v>167</v>
      </c>
      <c r="B78" s="1" t="n">
        <v>1750</v>
      </c>
      <c r="C78" s="1" t="n">
        <v>1</v>
      </c>
      <c r="D78" s="1" t="s">
        <v>29</v>
      </c>
      <c r="E78" s="1" t="s">
        <v>30</v>
      </c>
      <c r="F78" s="1" t="n">
        <v>111</v>
      </c>
      <c r="G78" s="1" t="n">
        <v>12</v>
      </c>
      <c r="H78" s="2" t="n">
        <v>182500</v>
      </c>
      <c r="I78" s="2" t="n">
        <f aca="false">(((H78 / 800) / IF(ISBLANK(R78), 1000000, IF(ISNA(VLOOKUP(R78, Mileages!$A$2:$C$34, 2, 0)), R78, VLOOKUP(R78, Mileages!$A$2:$C$34, 2, 0)))) + (F78 * IF(ISBLANK(P78), 1, P78) * IF(ISBLANK(T78), 0, IF(ISNA(VLOOKUP(T78, 'Fuel Costs'!$A$2:$C$42, 2, 0)), T78, VLOOKUP(T78, 'Fuel Costs'!$A$2:$C$42, 2, 0))) / IF(ISBLANK(O78), 1, O78))) * 100</f>
        <v>0.028515625</v>
      </c>
      <c r="J78" s="2" t="n">
        <f aca="false">((H78 / 800) / (IF(ISBLANK(S78), 100, IF(ISNA(VLOOKUP(S78, Lives!$A$2:$C$35, 2, 0)), S78, VLOOKUP(S78, Lives!$A$2:$C$35, 2, 0))) * 12) + (IF(ISBLANK(Q78), 0, IF(ISNA(VLOOKUP(Q78, Wages!$A$2:$C$17, 2, 0)), Q78, VLOOKUP(Q78, Wages!$A$2:$C$17, 2, 0))) * IF(ISBLANK(N78), 0, IF(ISNA(VLOOKUP(N78, Crews!$A$2:$C$28, 2, 0)), N78, VLOOKUP(N78, Crews!$A$2:$C$28, 2, 0))))) * 400</f>
        <v>16126.73611</v>
      </c>
      <c r="K78" s="1" t="s">
        <v>102</v>
      </c>
      <c r="L78" s="1" t="s">
        <v>162</v>
      </c>
      <c r="M78" s="1" t="n">
        <v>5</v>
      </c>
      <c r="N78" s="1" t="s">
        <v>33</v>
      </c>
      <c r="O78" s="1"/>
      <c r="P78" s="1"/>
      <c r="Q78" s="1" t="s">
        <v>34</v>
      </c>
      <c r="R78" s="4" t="s">
        <v>35</v>
      </c>
      <c r="S78" s="1" t="s">
        <v>35</v>
      </c>
      <c r="T78" s="1" t="s">
        <v>36</v>
      </c>
    </row>
    <row r="79" customFormat="false" ht="15" hidden="false" customHeight="true" outlineLevel="0" collapsed="false">
      <c r="A79" s="1" t="s">
        <v>168</v>
      </c>
      <c r="B79" s="1" t="n">
        <v>1750</v>
      </c>
      <c r="C79" s="1" t="n">
        <v>1</v>
      </c>
      <c r="D79" s="1" t="s">
        <v>21</v>
      </c>
      <c r="E79" s="1" t="s">
        <v>22</v>
      </c>
      <c r="F79" s="1" t="n">
        <v>1</v>
      </c>
      <c r="G79" s="1" t="n">
        <v>7</v>
      </c>
      <c r="H79" s="2" t="n">
        <v>20000</v>
      </c>
      <c r="I79" s="2" t="n">
        <f aca="false">(((H79 / 800) / IF(ISBLANK(R79), 1000000, IF(ISNA(VLOOKUP(R79, Mileages!$A$2:$C$34, 2, 0)), R79, VLOOKUP(R79, Mileages!$A$2:$C$34, 2, 0)))) + (F79 * IF(ISBLANK(P79), 1, P79) * IF(ISBLANK(T79), 0, IF(ISNA(VLOOKUP(T79, 'Fuel Costs'!$A$2:$C$42, 2, 0)), T79, VLOOKUP(T79, 'Fuel Costs'!$A$2:$C$42, 2, 0))) / IF(ISBLANK(O79), 1, O79))) * 100</f>
        <v>2.500000003</v>
      </c>
      <c r="J79" s="2" t="n">
        <f aca="false">((H79 / 800) / (IF(ISBLANK(S79), 100, IF(ISNA(VLOOKUP(S79, Lives!$A$2:$C$35, 2, 0)), S79, VLOOKUP(S79, Lives!$A$2:$C$35, 2, 0))) * 12) + (IF(ISBLANK(Q79), 0, IF(ISNA(VLOOKUP(Q79, Wages!$A$2:$C$17, 2, 0)), Q79, VLOOKUP(Q79, Wages!$A$2:$C$17, 2, 0))) * IF(ISBLANK(N79), 0, IF(ISNA(VLOOKUP(N79, Crews!$A$2:$C$28, 2, 0)), N79, VLOOKUP(N79, Crews!$A$2:$C$28, 2, 0))))) * 400</f>
        <v>41.66666667</v>
      </c>
      <c r="K79" s="1" t="s">
        <v>151</v>
      </c>
      <c r="L79" s="1" t="s">
        <v>169</v>
      </c>
      <c r="M79" s="1" t="n">
        <v>0</v>
      </c>
      <c r="N79" s="1"/>
      <c r="O79" s="1"/>
      <c r="P79" s="1"/>
      <c r="Q79" s="1"/>
      <c r="R79" s="5" t="s">
        <v>87</v>
      </c>
      <c r="S79" s="5" t="s">
        <v>87</v>
      </c>
      <c r="T79" s="5" t="s">
        <v>87</v>
      </c>
    </row>
    <row r="80" customFormat="false" ht="15" hidden="false" customHeight="true" outlineLevel="0" collapsed="false">
      <c r="A80" s="1" t="s">
        <v>170</v>
      </c>
      <c r="B80" s="1" t="n">
        <v>1750</v>
      </c>
      <c r="C80" s="1" t="n">
        <v>1</v>
      </c>
      <c r="D80" s="1" t="s">
        <v>21</v>
      </c>
      <c r="E80" s="1" t="s">
        <v>22</v>
      </c>
      <c r="F80" s="1" t="n">
        <v>2</v>
      </c>
      <c r="G80" s="1" t="n">
        <v>7</v>
      </c>
      <c r="H80" s="2" t="n">
        <v>40000</v>
      </c>
      <c r="I80" s="2" t="n">
        <f aca="false">(((H80 / 800) / IF(ISBLANK(R80), 1000000, IF(ISNA(VLOOKUP(R80, Mileages!$A$2:$C$34, 2, 0)), R80, VLOOKUP(R80, Mileages!$A$2:$C$34, 2, 0)))) + (F80 * IF(ISBLANK(P80), 1, P80) * IF(ISBLANK(T80), 0, IF(ISNA(VLOOKUP(T80, 'Fuel Costs'!$A$2:$C$42, 2, 0)), T80, VLOOKUP(T80, 'Fuel Costs'!$A$2:$C$42, 2, 0))) / IF(ISBLANK(O80), 1, O80))) * 100</f>
        <v>5.000000005</v>
      </c>
      <c r="J80" s="2" t="n">
        <f aca="false">((H80 / 800) / (IF(ISBLANK(S80), 100, IF(ISNA(VLOOKUP(S80, Lives!$A$2:$C$35, 2, 0)), S80, VLOOKUP(S80, Lives!$A$2:$C$35, 2, 0))) * 12) + (IF(ISBLANK(Q80), 0, IF(ISNA(VLOOKUP(Q80, Wages!$A$2:$C$17, 2, 0)), Q80, VLOOKUP(Q80, Wages!$A$2:$C$17, 2, 0))) * IF(ISBLANK(N80), 0, IF(ISNA(VLOOKUP(N80, Crews!$A$2:$C$28, 2, 0)), N80, VLOOKUP(N80, Crews!$A$2:$C$28, 2, 0))))) * 400</f>
        <v>83.33333333</v>
      </c>
      <c r="K80" s="1"/>
      <c r="L80" s="1" t="s">
        <v>169</v>
      </c>
      <c r="M80" s="1" t="n">
        <v>1</v>
      </c>
      <c r="N80" s="1"/>
      <c r="O80" s="1"/>
      <c r="P80" s="1"/>
      <c r="Q80" s="1"/>
      <c r="R80" s="5" t="s">
        <v>87</v>
      </c>
      <c r="S80" s="5" t="s">
        <v>87</v>
      </c>
      <c r="T80" s="5" t="s">
        <v>87</v>
      </c>
    </row>
    <row r="81" customFormat="false" ht="15" hidden="false" customHeight="true" outlineLevel="0" collapsed="false">
      <c r="A81" s="1" t="s">
        <v>171</v>
      </c>
      <c r="B81" s="1" t="n">
        <v>1750</v>
      </c>
      <c r="C81" s="1" t="n">
        <v>1</v>
      </c>
      <c r="D81" s="1" t="s">
        <v>21</v>
      </c>
      <c r="E81" s="1" t="s">
        <v>22</v>
      </c>
      <c r="F81" s="1" t="n">
        <v>1</v>
      </c>
      <c r="G81" s="1" t="n">
        <v>10</v>
      </c>
      <c r="H81" s="2" t="n">
        <v>45000</v>
      </c>
      <c r="I81" s="2" t="n">
        <f aca="false">(((H81 / 800) / IF(ISBLANK(R81), 1000000, IF(ISNA(VLOOKUP(R81, Mileages!$A$2:$C$34, 2, 0)), R81, VLOOKUP(R81, Mileages!$A$2:$C$34, 2, 0)))) + (F81 * IF(ISBLANK(P81), 1, P81) * IF(ISBLANK(T81), 0, IF(ISNA(VLOOKUP(T81, 'Fuel Costs'!$A$2:$C$42, 2, 0)), T81, VLOOKUP(T81, 'Fuel Costs'!$A$2:$C$42, 2, 0))) / IF(ISBLANK(O81), 1, O81))) * 100</f>
        <v>2.500000006</v>
      </c>
      <c r="J81" s="2" t="n">
        <f aca="false">((H81 / 800) / (IF(ISBLANK(S81), 100, IF(ISNA(VLOOKUP(S81, Lives!$A$2:$C$35, 2, 0)), S81, VLOOKUP(S81, Lives!$A$2:$C$35, 2, 0))) * 12) + (IF(ISBLANK(Q81), 0, IF(ISNA(VLOOKUP(Q81, Wages!$A$2:$C$17, 2, 0)), Q81, VLOOKUP(Q81, Wages!$A$2:$C$17, 2, 0))) * IF(ISBLANK(N81), 0, IF(ISNA(VLOOKUP(N81, Crews!$A$2:$C$28, 2, 0)), N81, VLOOKUP(N81, Crews!$A$2:$C$28, 2, 0))))) * 400</f>
        <v>93.75</v>
      </c>
      <c r="K81" s="1" t="s">
        <v>151</v>
      </c>
      <c r="L81" s="1" t="s">
        <v>172</v>
      </c>
      <c r="M81" s="1" t="n">
        <v>0</v>
      </c>
      <c r="N81" s="1"/>
      <c r="O81" s="1"/>
      <c r="P81" s="1"/>
      <c r="Q81" s="1"/>
      <c r="R81" s="5" t="s">
        <v>87</v>
      </c>
      <c r="S81" s="5" t="s">
        <v>87</v>
      </c>
      <c r="T81" s="5" t="s">
        <v>87</v>
      </c>
    </row>
    <row r="82" customFormat="false" ht="15" hidden="false" customHeight="true" outlineLevel="0" collapsed="false">
      <c r="A82" s="1" t="s">
        <v>173</v>
      </c>
      <c r="B82" s="1" t="n">
        <v>1750</v>
      </c>
      <c r="C82" s="1" t="n">
        <v>1</v>
      </c>
      <c r="D82" s="1" t="s">
        <v>21</v>
      </c>
      <c r="E82" s="1" t="s">
        <v>22</v>
      </c>
      <c r="F82" s="1" t="n">
        <v>2</v>
      </c>
      <c r="G82" s="1" t="n">
        <v>10</v>
      </c>
      <c r="H82" s="2" t="n">
        <v>90000</v>
      </c>
      <c r="I82" s="2" t="n">
        <f aca="false">(((H82 / 800) / IF(ISBLANK(R82), 1000000, IF(ISNA(VLOOKUP(R82, Mileages!$A$2:$C$34, 2, 0)), R82, VLOOKUP(R82, Mileages!$A$2:$C$34, 2, 0)))) + (F82 * IF(ISBLANK(P82), 1, P82) * IF(ISBLANK(T82), 0, IF(ISNA(VLOOKUP(T82, 'Fuel Costs'!$A$2:$C$42, 2, 0)), T82, VLOOKUP(T82, 'Fuel Costs'!$A$2:$C$42, 2, 0))) / IF(ISBLANK(O82), 1, O82))) * 100</f>
        <v>5.000000011</v>
      </c>
      <c r="J82" s="2" t="n">
        <f aca="false">((H82 / 800) / (IF(ISBLANK(S82), 100, IF(ISNA(VLOOKUP(S82, Lives!$A$2:$C$35, 2, 0)), S82, VLOOKUP(S82, Lives!$A$2:$C$35, 2, 0))) * 12) + (IF(ISBLANK(Q82), 0, IF(ISNA(VLOOKUP(Q82, Wages!$A$2:$C$17, 2, 0)), Q82, VLOOKUP(Q82, Wages!$A$2:$C$17, 2, 0))) * IF(ISBLANK(N82), 0, IF(ISNA(VLOOKUP(N82, Crews!$A$2:$C$28, 2, 0)), N82, VLOOKUP(N82, Crews!$A$2:$C$28, 2, 0))))) * 400</f>
        <v>187.5</v>
      </c>
      <c r="K82" s="1"/>
      <c r="L82" s="1" t="s">
        <v>172</v>
      </c>
      <c r="M82" s="1" t="n">
        <v>1</v>
      </c>
      <c r="N82" s="1"/>
      <c r="O82" s="1"/>
      <c r="P82" s="1"/>
      <c r="Q82" s="1"/>
      <c r="R82" s="5" t="s">
        <v>87</v>
      </c>
      <c r="S82" s="5" t="s">
        <v>87</v>
      </c>
      <c r="T82" s="5" t="s">
        <v>87</v>
      </c>
    </row>
    <row r="83" customFormat="false" ht="15" hidden="false" customHeight="true" outlineLevel="0" collapsed="false">
      <c r="A83" s="1" t="s">
        <v>174</v>
      </c>
      <c r="B83" s="1" t="n">
        <v>1750</v>
      </c>
      <c r="C83" s="1" t="n">
        <v>1</v>
      </c>
      <c r="D83" s="1" t="s">
        <v>21</v>
      </c>
      <c r="E83" s="1" t="s">
        <v>22</v>
      </c>
      <c r="F83" s="1" t="n">
        <v>2</v>
      </c>
      <c r="G83" s="1" t="n">
        <v>7</v>
      </c>
      <c r="H83" s="2" t="n">
        <v>110000</v>
      </c>
      <c r="I83" s="2" t="n">
        <f aca="false">(((H83 / 800) / IF(ISBLANK(R83), 1000000, IF(ISNA(VLOOKUP(R83, Mileages!$A$2:$C$34, 2, 0)), R83, VLOOKUP(R83, Mileages!$A$2:$C$34, 2, 0)))) + (F83 * IF(ISBLANK(P83), 1, P83) * IF(ISBLANK(T83), 0, IF(ISNA(VLOOKUP(T83, 'Fuel Costs'!$A$2:$C$42, 2, 0)), T83, VLOOKUP(T83, 'Fuel Costs'!$A$2:$C$42, 2, 0))) / IF(ISBLANK(O83), 1, O83))) * 100</f>
        <v>5.000000014</v>
      </c>
      <c r="J83" s="2" t="n">
        <f aca="false">((H83 / 800) / (IF(ISBLANK(S83), 100, IF(ISNA(VLOOKUP(S83, Lives!$A$2:$C$35, 2, 0)), S83, VLOOKUP(S83, Lives!$A$2:$C$35, 2, 0))) * 12) + (IF(ISBLANK(Q83), 0, IF(ISNA(VLOOKUP(Q83, Wages!$A$2:$C$17, 2, 0)), Q83, VLOOKUP(Q83, Wages!$A$2:$C$17, 2, 0))) * IF(ISBLANK(N83), 0, IF(ISNA(VLOOKUP(N83, Crews!$A$2:$C$28, 2, 0)), N83, VLOOKUP(N83, Crews!$A$2:$C$28, 2, 0))))) * 400</f>
        <v>1729.166667</v>
      </c>
      <c r="K83" s="1"/>
      <c r="L83" s="1" t="s">
        <v>175</v>
      </c>
      <c r="M83" s="1" t="n">
        <v>0</v>
      </c>
      <c r="N83" s="4" t="s">
        <v>153</v>
      </c>
      <c r="O83" s="1"/>
      <c r="P83" s="1"/>
      <c r="Q83" s="1" t="s">
        <v>26</v>
      </c>
      <c r="R83" s="5" t="s">
        <v>87</v>
      </c>
      <c r="S83" s="5" t="s">
        <v>87</v>
      </c>
      <c r="T83" s="5" t="s">
        <v>87</v>
      </c>
    </row>
    <row r="84" customFormat="false" ht="15" hidden="false" customHeight="true" outlineLevel="0" collapsed="false">
      <c r="A84" s="1" t="s">
        <v>176</v>
      </c>
      <c r="B84" s="1" t="n">
        <v>1750</v>
      </c>
      <c r="C84" s="1" t="n">
        <v>1</v>
      </c>
      <c r="D84" s="1" t="s">
        <v>21</v>
      </c>
      <c r="E84" s="1" t="s">
        <v>22</v>
      </c>
      <c r="F84" s="1" t="n">
        <v>2</v>
      </c>
      <c r="G84" s="1" t="n">
        <v>7</v>
      </c>
      <c r="H84" s="2" t="n">
        <v>110000</v>
      </c>
      <c r="I84" s="2" t="n">
        <f aca="false">(((H84 / 800) / IF(ISBLANK(R84), 1000000, IF(ISNA(VLOOKUP(R84, Mileages!$A$2:$C$34, 2, 0)), R84, VLOOKUP(R84, Mileages!$A$2:$C$34, 2, 0)))) + (F84 * IF(ISBLANK(P84), 1, P84) * IF(ISBLANK(T84), 0, IF(ISNA(VLOOKUP(T84, 'Fuel Costs'!$A$2:$C$42, 2, 0)), T84, VLOOKUP(T84, 'Fuel Costs'!$A$2:$C$42, 2, 0))) / IF(ISBLANK(O84), 1, O84))) * 100</f>
        <v>5.000000014</v>
      </c>
      <c r="J84" s="2" t="n">
        <f aca="false">((H84 / 800) / (IF(ISBLANK(S84), 100, IF(ISNA(VLOOKUP(S84, Lives!$A$2:$C$35, 2, 0)), S84, VLOOKUP(S84, Lives!$A$2:$C$35, 2, 0))) * 12) + (IF(ISBLANK(Q84), 0, IF(ISNA(VLOOKUP(Q84, Wages!$A$2:$C$17, 2, 0)), Q84, VLOOKUP(Q84, Wages!$A$2:$C$17, 2, 0))) * IF(ISBLANK(N84), 0, IF(ISNA(VLOOKUP(N84, Crews!$A$2:$C$28, 2, 0)), N84, VLOOKUP(N84, Crews!$A$2:$C$28, 2, 0))))) * 400</f>
        <v>1729.166667</v>
      </c>
      <c r="K84" s="1"/>
      <c r="L84" s="1" t="s">
        <v>175</v>
      </c>
      <c r="M84" s="1" t="n">
        <v>1</v>
      </c>
      <c r="N84" s="4" t="s">
        <v>153</v>
      </c>
      <c r="O84" s="1"/>
      <c r="P84" s="1"/>
      <c r="Q84" s="1" t="s">
        <v>26</v>
      </c>
      <c r="R84" s="5" t="s">
        <v>87</v>
      </c>
      <c r="S84" s="5" t="s">
        <v>87</v>
      </c>
      <c r="T84" s="5" t="s">
        <v>87</v>
      </c>
    </row>
    <row r="85" customFormat="false" ht="15" hidden="false" customHeight="true" outlineLevel="0" collapsed="false">
      <c r="A85" s="1" t="s">
        <v>177</v>
      </c>
      <c r="B85" s="1" t="n">
        <v>1750</v>
      </c>
      <c r="C85" s="1" t="n">
        <v>1</v>
      </c>
      <c r="D85" s="1" t="s">
        <v>21</v>
      </c>
      <c r="E85" s="1" t="s">
        <v>22</v>
      </c>
      <c r="F85" s="1" t="n">
        <v>2</v>
      </c>
      <c r="G85" s="1" t="n">
        <v>7</v>
      </c>
      <c r="H85" s="2" t="n">
        <v>110000</v>
      </c>
      <c r="I85" s="2" t="n">
        <f aca="false">(((H85 / 800) / IF(ISBLANK(R85), 1000000, IF(ISNA(VLOOKUP(R85, Mileages!$A$2:$C$34, 2, 0)), R85, VLOOKUP(R85, Mileages!$A$2:$C$34, 2, 0)))) + (F85 * IF(ISBLANK(P85), 1, P85) * IF(ISBLANK(T85), 0, IF(ISNA(VLOOKUP(T85, 'Fuel Costs'!$A$2:$C$42, 2, 0)), T85, VLOOKUP(T85, 'Fuel Costs'!$A$2:$C$42, 2, 0))) / IF(ISBLANK(O85), 1, O85))) * 100</f>
        <v>5.000000014</v>
      </c>
      <c r="J85" s="2" t="n">
        <f aca="false">((H85 / 800) / (IF(ISBLANK(S85), 100, IF(ISNA(VLOOKUP(S85, Lives!$A$2:$C$35, 2, 0)), S85, VLOOKUP(S85, Lives!$A$2:$C$35, 2, 0))) * 12) + (IF(ISBLANK(Q85), 0, IF(ISNA(VLOOKUP(Q85, Wages!$A$2:$C$17, 2, 0)), Q85, VLOOKUP(Q85, Wages!$A$2:$C$17, 2, 0))) * IF(ISBLANK(N85), 0, IF(ISNA(VLOOKUP(N85, Crews!$A$2:$C$28, 2, 0)), N85, VLOOKUP(N85, Crews!$A$2:$C$28, 2, 0))))) * 400</f>
        <v>1729.166667</v>
      </c>
      <c r="K85" s="1"/>
      <c r="L85" s="1" t="s">
        <v>175</v>
      </c>
      <c r="M85" s="1" t="n">
        <v>2</v>
      </c>
      <c r="N85" s="4" t="s">
        <v>153</v>
      </c>
      <c r="O85" s="1"/>
      <c r="P85" s="1"/>
      <c r="Q85" s="1" t="s">
        <v>26</v>
      </c>
      <c r="R85" s="5" t="s">
        <v>87</v>
      </c>
      <c r="S85" s="5" t="s">
        <v>87</v>
      </c>
      <c r="T85" s="5" t="s">
        <v>87</v>
      </c>
    </row>
    <row r="86" customFormat="false" ht="15" hidden="false" customHeight="true" outlineLevel="0" collapsed="false">
      <c r="A86" s="1" t="s">
        <v>178</v>
      </c>
      <c r="B86" s="1" t="n">
        <v>1750</v>
      </c>
      <c r="C86" s="1" t="n">
        <v>1</v>
      </c>
      <c r="D86" s="1" t="s">
        <v>21</v>
      </c>
      <c r="E86" s="1" t="s">
        <v>22</v>
      </c>
      <c r="F86" s="1" t="n">
        <v>2</v>
      </c>
      <c r="G86" s="1" t="n">
        <v>7</v>
      </c>
      <c r="H86" s="2" t="n">
        <v>110000</v>
      </c>
      <c r="I86" s="2" t="n">
        <f aca="false">(((H86 / 800) / IF(ISBLANK(R86), 1000000, IF(ISNA(VLOOKUP(R86, Mileages!$A$2:$C$34, 2, 0)), R86, VLOOKUP(R86, Mileages!$A$2:$C$34, 2, 0)))) + (F86 * IF(ISBLANK(P86), 1, P86) * IF(ISBLANK(T86), 0, IF(ISNA(VLOOKUP(T86, 'Fuel Costs'!$A$2:$C$42, 2, 0)), T86, VLOOKUP(T86, 'Fuel Costs'!$A$2:$C$42, 2, 0))) / IF(ISBLANK(O86), 1, O86))) * 100</f>
        <v>5.000000014</v>
      </c>
      <c r="J86" s="2" t="n">
        <f aca="false">((H86 / 800) / (IF(ISBLANK(S86), 100, IF(ISNA(VLOOKUP(S86, Lives!$A$2:$C$35, 2, 0)), S86, VLOOKUP(S86, Lives!$A$2:$C$35, 2, 0))) * 12) + (IF(ISBLANK(Q86), 0, IF(ISNA(VLOOKUP(Q86, Wages!$A$2:$C$17, 2, 0)), Q86, VLOOKUP(Q86, Wages!$A$2:$C$17, 2, 0))) * IF(ISBLANK(N86), 0, IF(ISNA(VLOOKUP(N86, Crews!$A$2:$C$28, 2, 0)), N86, VLOOKUP(N86, Crews!$A$2:$C$28, 2, 0))))) * 400</f>
        <v>1729.166667</v>
      </c>
      <c r="K86" s="1"/>
      <c r="L86" s="1" t="s">
        <v>175</v>
      </c>
      <c r="M86" s="1" t="n">
        <v>3</v>
      </c>
      <c r="N86" s="4" t="s">
        <v>153</v>
      </c>
      <c r="O86" s="1"/>
      <c r="P86" s="1"/>
      <c r="Q86" s="1" t="s">
        <v>26</v>
      </c>
      <c r="R86" s="5" t="s">
        <v>87</v>
      </c>
      <c r="S86" s="5" t="s">
        <v>87</v>
      </c>
      <c r="T86" s="5" t="s">
        <v>87</v>
      </c>
    </row>
    <row r="87" customFormat="false" ht="15" hidden="false" customHeight="true" outlineLevel="0" collapsed="false">
      <c r="A87" s="1" t="s">
        <v>179</v>
      </c>
      <c r="B87" s="1" t="n">
        <v>1750</v>
      </c>
      <c r="C87" s="1" t="n">
        <v>1</v>
      </c>
      <c r="D87" s="1" t="s">
        <v>21</v>
      </c>
      <c r="E87" s="1" t="s">
        <v>22</v>
      </c>
      <c r="F87" s="1" t="n">
        <v>2</v>
      </c>
      <c r="G87" s="1" t="n">
        <v>7</v>
      </c>
      <c r="H87" s="2" t="n">
        <v>110000</v>
      </c>
      <c r="I87" s="2" t="n">
        <f aca="false">(((H87 / 800) / IF(ISBLANK(R87), 1000000, IF(ISNA(VLOOKUP(R87, Mileages!$A$2:$C$34, 2, 0)), R87, VLOOKUP(R87, Mileages!$A$2:$C$34, 2, 0)))) + (F87 * IF(ISBLANK(P87), 1, P87) * IF(ISBLANK(T87), 0, IF(ISNA(VLOOKUP(T87, 'Fuel Costs'!$A$2:$C$42, 2, 0)), T87, VLOOKUP(T87, 'Fuel Costs'!$A$2:$C$42, 2, 0))) / IF(ISBLANK(O87), 1, O87))) * 100</f>
        <v>5.000000014</v>
      </c>
      <c r="J87" s="2" t="n">
        <f aca="false">((H87 / 800) / (IF(ISBLANK(S87), 100, IF(ISNA(VLOOKUP(S87, Lives!$A$2:$C$35, 2, 0)), S87, VLOOKUP(S87, Lives!$A$2:$C$35, 2, 0))) * 12) + (IF(ISBLANK(Q87), 0, IF(ISNA(VLOOKUP(Q87, Wages!$A$2:$C$17, 2, 0)), Q87, VLOOKUP(Q87, Wages!$A$2:$C$17, 2, 0))) * IF(ISBLANK(N87), 0, IF(ISNA(VLOOKUP(N87, Crews!$A$2:$C$28, 2, 0)), N87, VLOOKUP(N87, Crews!$A$2:$C$28, 2, 0))))) * 400</f>
        <v>1729.166667</v>
      </c>
      <c r="K87" s="1"/>
      <c r="L87" s="1" t="s">
        <v>175</v>
      </c>
      <c r="M87" s="1" t="n">
        <v>4</v>
      </c>
      <c r="N87" s="4" t="s">
        <v>153</v>
      </c>
      <c r="O87" s="1"/>
      <c r="P87" s="1"/>
      <c r="Q87" s="1" t="s">
        <v>26</v>
      </c>
      <c r="R87" s="5" t="s">
        <v>87</v>
      </c>
      <c r="S87" s="5" t="s">
        <v>87</v>
      </c>
      <c r="T87" s="5" t="s">
        <v>87</v>
      </c>
    </row>
    <row r="88" customFormat="false" ht="15" hidden="false" customHeight="true" outlineLevel="0" collapsed="false">
      <c r="A88" s="1" t="s">
        <v>180</v>
      </c>
      <c r="B88" s="1" t="n">
        <v>1750</v>
      </c>
      <c r="C88" s="1" t="n">
        <v>1</v>
      </c>
      <c r="D88" s="1" t="s">
        <v>21</v>
      </c>
      <c r="E88" s="1" t="s">
        <v>22</v>
      </c>
      <c r="F88" s="1" t="n">
        <v>2</v>
      </c>
      <c r="G88" s="1" t="n">
        <v>12</v>
      </c>
      <c r="H88" s="2" t="n">
        <v>100000</v>
      </c>
      <c r="I88" s="2" t="n">
        <f aca="false">(((H88 / 800) / IF(ISBLANK(R88), 1000000, IF(ISNA(VLOOKUP(R88, Mileages!$A$2:$C$34, 2, 0)), R88, VLOOKUP(R88, Mileages!$A$2:$C$34, 2, 0)))) + (F88 * IF(ISBLANK(P88), 1, P88) * IF(ISBLANK(T88), 0, IF(ISNA(VLOOKUP(T88, 'Fuel Costs'!$A$2:$C$42, 2, 0)), T88, VLOOKUP(T88, 'Fuel Costs'!$A$2:$C$42, 2, 0))) / IF(ISBLANK(O88), 1, O88))) * 100</f>
        <v>5.000000013</v>
      </c>
      <c r="J88" s="2" t="n">
        <f aca="false">((H88 / 800) / (IF(ISBLANK(S88), 100, IF(ISNA(VLOOKUP(S88, Lives!$A$2:$C$35, 2, 0)), S88, VLOOKUP(S88, Lives!$A$2:$C$35, 2, 0))) * 12) + (IF(ISBLANK(Q88), 0, IF(ISNA(VLOOKUP(Q88, Wages!$A$2:$C$17, 2, 0)), Q88, VLOOKUP(Q88, Wages!$A$2:$C$17, 2, 0))) * IF(ISBLANK(N88), 0, IF(ISNA(VLOOKUP(N88, Crews!$A$2:$C$28, 2, 0)), N88, VLOOKUP(N88, Crews!$A$2:$C$28, 2, 0))))) * 400</f>
        <v>208.3333333</v>
      </c>
      <c r="K88" s="3" t="s">
        <v>93</v>
      </c>
      <c r="L88" s="1" t="s">
        <v>181</v>
      </c>
      <c r="M88" s="1" t="n">
        <v>0</v>
      </c>
      <c r="N88" s="1"/>
      <c r="O88" s="1"/>
      <c r="P88" s="1"/>
      <c r="Q88" s="1"/>
      <c r="R88" s="5" t="s">
        <v>87</v>
      </c>
      <c r="S88" s="5" t="s">
        <v>87</v>
      </c>
      <c r="T88" s="5" t="s">
        <v>87</v>
      </c>
    </row>
    <row r="89" customFormat="false" ht="15" hidden="false" customHeight="true" outlineLevel="0" collapsed="false">
      <c r="A89" s="1" t="s">
        <v>182</v>
      </c>
      <c r="B89" s="1" t="n">
        <v>1750</v>
      </c>
      <c r="C89" s="1" t="n">
        <v>1</v>
      </c>
      <c r="D89" s="1" t="s">
        <v>21</v>
      </c>
      <c r="E89" s="1" t="s">
        <v>22</v>
      </c>
      <c r="F89" s="1" t="n">
        <v>1</v>
      </c>
      <c r="G89" s="1" t="n">
        <v>13</v>
      </c>
      <c r="H89" s="2" t="n">
        <v>60000</v>
      </c>
      <c r="I89" s="2" t="n">
        <f aca="false">(((H89 / 800) / IF(ISBLANK(R89), 1000000, IF(ISNA(VLOOKUP(R89, Mileages!$A$2:$C$34, 2, 0)), R89, VLOOKUP(R89, Mileages!$A$2:$C$34, 2, 0)))) + (F89 * IF(ISBLANK(P89), 1, P89) * IF(ISBLANK(T89), 0, IF(ISNA(VLOOKUP(T89, 'Fuel Costs'!$A$2:$C$42, 2, 0)), T89, VLOOKUP(T89, 'Fuel Costs'!$A$2:$C$42, 2, 0))) / IF(ISBLANK(O89), 1, O89))) * 100</f>
        <v>2.500000008</v>
      </c>
      <c r="J89" s="2" t="n">
        <f aca="false">((H89 / 800) / (IF(ISBLANK(S89), 100, IF(ISNA(VLOOKUP(S89, Lives!$A$2:$C$35, 2, 0)), S89, VLOOKUP(S89, Lives!$A$2:$C$35, 2, 0))) * 12) + (IF(ISBLANK(Q89), 0, IF(ISNA(VLOOKUP(Q89, Wages!$A$2:$C$17, 2, 0)), Q89, VLOOKUP(Q89, Wages!$A$2:$C$17, 2, 0))) * IF(ISBLANK(N89), 0, IF(ISNA(VLOOKUP(N89, Crews!$A$2:$C$28, 2, 0)), N89, VLOOKUP(N89, Crews!$A$2:$C$28, 2, 0))))) * 400</f>
        <v>125</v>
      </c>
      <c r="K89" s="3" t="s">
        <v>183</v>
      </c>
      <c r="L89" s="1" t="s">
        <v>184</v>
      </c>
      <c r="M89" s="1" t="n">
        <v>0</v>
      </c>
      <c r="N89" s="1"/>
      <c r="O89" s="1"/>
      <c r="P89" s="1"/>
      <c r="Q89" s="1"/>
      <c r="R89" s="5" t="s">
        <v>87</v>
      </c>
      <c r="S89" s="5" t="s">
        <v>87</v>
      </c>
      <c r="T89" s="5" t="s">
        <v>87</v>
      </c>
    </row>
    <row r="90" customFormat="false" ht="15" hidden="false" customHeight="true" outlineLevel="0" collapsed="false">
      <c r="A90" s="1" t="s">
        <v>185</v>
      </c>
      <c r="B90" s="1" t="n">
        <v>1750</v>
      </c>
      <c r="C90" s="1" t="n">
        <v>1</v>
      </c>
      <c r="D90" s="1" t="s">
        <v>21</v>
      </c>
      <c r="E90" s="1" t="s">
        <v>22</v>
      </c>
      <c r="F90" s="1" t="n">
        <v>2</v>
      </c>
      <c r="G90" s="1" t="n">
        <v>13</v>
      </c>
      <c r="H90" s="2" t="n">
        <v>120000</v>
      </c>
      <c r="I90" s="2" t="n">
        <f aca="false">(((H90 / 800) / IF(ISBLANK(R90), 1000000, IF(ISNA(VLOOKUP(R90, Mileages!$A$2:$C$34, 2, 0)), R90, VLOOKUP(R90, Mileages!$A$2:$C$34, 2, 0)))) + (F90 * IF(ISBLANK(P90), 1, P90) * IF(ISBLANK(T90), 0, IF(ISNA(VLOOKUP(T90, 'Fuel Costs'!$A$2:$C$42, 2, 0)), T90, VLOOKUP(T90, 'Fuel Costs'!$A$2:$C$42, 2, 0))) / IF(ISBLANK(O90), 1, O90))) * 100</f>
        <v>5.000000015</v>
      </c>
      <c r="J90" s="2" t="n">
        <f aca="false">((H90 / 800) / (IF(ISBLANK(S90), 100, IF(ISNA(VLOOKUP(S90, Lives!$A$2:$C$35, 2, 0)), S90, VLOOKUP(S90, Lives!$A$2:$C$35, 2, 0))) * 12) + (IF(ISBLANK(Q90), 0, IF(ISNA(VLOOKUP(Q90, Wages!$A$2:$C$17, 2, 0)), Q90, VLOOKUP(Q90, Wages!$A$2:$C$17, 2, 0))) * IF(ISBLANK(N90), 0, IF(ISNA(VLOOKUP(N90, Crews!$A$2:$C$28, 2, 0)), N90, VLOOKUP(N90, Crews!$A$2:$C$28, 2, 0))))) * 400</f>
        <v>250</v>
      </c>
      <c r="K90" s="1"/>
      <c r="L90" s="1" t="s">
        <v>184</v>
      </c>
      <c r="M90" s="1" t="n">
        <v>1</v>
      </c>
      <c r="N90" s="1"/>
      <c r="O90" s="1"/>
      <c r="P90" s="1"/>
      <c r="Q90" s="1"/>
      <c r="R90" s="5" t="s">
        <v>87</v>
      </c>
      <c r="S90" s="5" t="s">
        <v>87</v>
      </c>
      <c r="T90" s="5" t="s">
        <v>87</v>
      </c>
    </row>
    <row r="91" customFormat="false" ht="15" hidden="false" customHeight="true" outlineLevel="0" collapsed="false">
      <c r="A91" s="1" t="s">
        <v>186</v>
      </c>
      <c r="B91" s="1" t="n">
        <v>1755</v>
      </c>
      <c r="C91" s="1" t="n">
        <v>1</v>
      </c>
      <c r="D91" s="1" t="s">
        <v>21</v>
      </c>
      <c r="E91" s="1" t="s">
        <v>22</v>
      </c>
      <c r="F91" s="1" t="n">
        <v>1</v>
      </c>
      <c r="G91" s="1" t="n">
        <v>10</v>
      </c>
      <c r="H91" s="2" t="n">
        <v>80000</v>
      </c>
      <c r="I91" s="2" t="n">
        <f aca="false">(((H91 / 800) / IF(ISBLANK(R91), 1000000, IF(ISNA(VLOOKUP(R91, Mileages!$A$2:$C$34, 2, 0)), R91, VLOOKUP(R91, Mileages!$A$2:$C$34, 2, 0)))) + (F91 * IF(ISBLANK(P91), 1, P91) * IF(ISBLANK(T91), 0, IF(ISNA(VLOOKUP(T91, 'Fuel Costs'!$A$2:$C$42, 2, 0)), T91, VLOOKUP(T91, 'Fuel Costs'!$A$2:$C$42, 2, 0))) / IF(ISBLANK(O91), 1, O91))) * 100</f>
        <v>2.50000001</v>
      </c>
      <c r="J91" s="2" t="n">
        <f aca="false">((H91 / 800) / (IF(ISBLANK(S91), 100, IF(ISNA(VLOOKUP(S91, Lives!$A$2:$C$35, 2, 0)), S91, VLOOKUP(S91, Lives!$A$2:$C$35, 2, 0))) * 12) + (IF(ISBLANK(Q91), 0, IF(ISNA(VLOOKUP(Q91, Wages!$A$2:$C$17, 2, 0)), Q91, VLOOKUP(Q91, Wages!$A$2:$C$17, 2, 0))) * IF(ISBLANK(N91), 0, IF(ISNA(VLOOKUP(N91, Crews!$A$2:$C$28, 2, 0)), N91, VLOOKUP(N91, Crews!$A$2:$C$28, 2, 0))))) * 400</f>
        <v>166.6666667</v>
      </c>
      <c r="K91" s="3" t="s">
        <v>187</v>
      </c>
      <c r="L91" s="1" t="s">
        <v>188</v>
      </c>
      <c r="M91" s="1" t="n">
        <v>0</v>
      </c>
      <c r="N91" s="1"/>
      <c r="O91" s="1"/>
      <c r="P91" s="1"/>
      <c r="Q91" s="1"/>
      <c r="R91" s="5" t="s">
        <v>87</v>
      </c>
      <c r="S91" s="5" t="s">
        <v>87</v>
      </c>
      <c r="T91" s="5" t="s">
        <v>87</v>
      </c>
    </row>
    <row r="92" customFormat="false" ht="15" hidden="false" customHeight="true" outlineLevel="0" collapsed="false">
      <c r="A92" s="1" t="s">
        <v>189</v>
      </c>
      <c r="B92" s="1" t="n">
        <v>1755</v>
      </c>
      <c r="C92" s="1" t="n">
        <v>1</v>
      </c>
      <c r="D92" s="1" t="s">
        <v>21</v>
      </c>
      <c r="E92" s="1" t="s">
        <v>22</v>
      </c>
      <c r="F92" s="1" t="n">
        <v>2</v>
      </c>
      <c r="G92" s="1" t="n">
        <v>10</v>
      </c>
      <c r="H92" s="2" t="n">
        <v>160000</v>
      </c>
      <c r="I92" s="2" t="n">
        <f aca="false">(((H92 / 800) / IF(ISBLANK(R92), 1000000, IF(ISNA(VLOOKUP(R92, Mileages!$A$2:$C$34, 2, 0)), R92, VLOOKUP(R92, Mileages!$A$2:$C$34, 2, 0)))) + (F92 * IF(ISBLANK(P92), 1, P92) * IF(ISBLANK(T92), 0, IF(ISNA(VLOOKUP(T92, 'Fuel Costs'!$A$2:$C$42, 2, 0)), T92, VLOOKUP(T92, 'Fuel Costs'!$A$2:$C$42, 2, 0))) / IF(ISBLANK(O92), 1, O92))) * 100</f>
        <v>5.00000002</v>
      </c>
      <c r="J92" s="2" t="n">
        <f aca="false">((H92 / 800) / (IF(ISBLANK(S92), 100, IF(ISNA(VLOOKUP(S92, Lives!$A$2:$C$35, 2, 0)), S92, VLOOKUP(S92, Lives!$A$2:$C$35, 2, 0))) * 12) + (IF(ISBLANK(Q92), 0, IF(ISNA(VLOOKUP(Q92, Wages!$A$2:$C$17, 2, 0)), Q92, VLOOKUP(Q92, Wages!$A$2:$C$17, 2, 0))) * IF(ISBLANK(N92), 0, IF(ISNA(VLOOKUP(N92, Crews!$A$2:$C$28, 2, 0)), N92, VLOOKUP(N92, Crews!$A$2:$C$28, 2, 0))))) * 400</f>
        <v>333.3333333</v>
      </c>
      <c r="K92" s="1"/>
      <c r="L92" s="1" t="s">
        <v>188</v>
      </c>
      <c r="M92" s="1" t="n">
        <v>1</v>
      </c>
      <c r="N92" s="1"/>
      <c r="O92" s="1"/>
      <c r="P92" s="1"/>
      <c r="Q92" s="1"/>
      <c r="R92" s="5" t="s">
        <v>87</v>
      </c>
      <c r="S92" s="5" t="s">
        <v>87</v>
      </c>
      <c r="T92" s="5" t="s">
        <v>87</v>
      </c>
    </row>
    <row r="93" customFormat="false" ht="15" hidden="false" customHeight="true" outlineLevel="0" collapsed="false">
      <c r="A93" s="1" t="s">
        <v>190</v>
      </c>
      <c r="B93" s="1" t="n">
        <v>1755</v>
      </c>
      <c r="C93" s="1" t="n">
        <v>1</v>
      </c>
      <c r="D93" s="1" t="s">
        <v>38</v>
      </c>
      <c r="E93" s="1" t="s">
        <v>22</v>
      </c>
      <c r="F93" s="1" t="n">
        <v>1</v>
      </c>
      <c r="G93" s="1" t="n">
        <v>10</v>
      </c>
      <c r="H93" s="2" t="n">
        <v>80000</v>
      </c>
      <c r="I93" s="2" t="n">
        <f aca="false">(((H93 / 800) / IF(ISBLANK(R93), 1000000, IF(ISNA(VLOOKUP(R93, Mileages!$A$2:$C$34, 2, 0)), R93, VLOOKUP(R93, Mileages!$A$2:$C$34, 2, 0)))) + (F93 * IF(ISBLANK(P93), 1, P93) * IF(ISBLANK(T93), 0, IF(ISNA(VLOOKUP(T93, 'Fuel Costs'!$A$2:$C$42, 2, 0)), T93, VLOOKUP(T93, 'Fuel Costs'!$A$2:$C$42, 2, 0))) / IF(ISBLANK(O93), 1, O93))) * 100</f>
        <v>2.50000001</v>
      </c>
      <c r="J93" s="2" t="n">
        <f aca="false">((H93 / 800) / (IF(ISBLANK(S93), 100, IF(ISNA(VLOOKUP(S93, Lives!$A$2:$C$35, 2, 0)), S93, VLOOKUP(S93, Lives!$A$2:$C$35, 2, 0))) * 12) + (IF(ISBLANK(Q93), 0, IF(ISNA(VLOOKUP(Q93, Wages!$A$2:$C$17, 2, 0)), Q93, VLOOKUP(Q93, Wages!$A$2:$C$17, 2, 0))) * IF(ISBLANK(N93), 0, IF(ISNA(VLOOKUP(N93, Crews!$A$2:$C$28, 2, 0)), N93, VLOOKUP(N93, Crews!$A$2:$C$28, 2, 0))))) * 400</f>
        <v>1666.666667</v>
      </c>
      <c r="K93" s="3" t="s">
        <v>191</v>
      </c>
      <c r="L93" s="1" t="s">
        <v>192</v>
      </c>
      <c r="M93" s="1" t="n">
        <v>0</v>
      </c>
      <c r="N93" s="4" t="s">
        <v>153</v>
      </c>
      <c r="O93" s="1"/>
      <c r="P93" s="1"/>
      <c r="Q93" s="1" t="s">
        <v>26</v>
      </c>
      <c r="R93" s="5" t="s">
        <v>87</v>
      </c>
      <c r="S93" s="5" t="s">
        <v>87</v>
      </c>
      <c r="T93" s="5" t="s">
        <v>87</v>
      </c>
    </row>
    <row r="94" customFormat="false" ht="15" hidden="false" customHeight="true" outlineLevel="0" collapsed="false">
      <c r="A94" s="1" t="s">
        <v>193</v>
      </c>
      <c r="B94" s="1" t="n">
        <v>1755</v>
      </c>
      <c r="C94" s="1" t="n">
        <v>1</v>
      </c>
      <c r="D94" s="1" t="s">
        <v>38</v>
      </c>
      <c r="E94" s="1" t="s">
        <v>22</v>
      </c>
      <c r="F94" s="1" t="n">
        <v>2</v>
      </c>
      <c r="G94" s="1" t="n">
        <v>10</v>
      </c>
      <c r="H94" s="2" t="n">
        <v>160000</v>
      </c>
      <c r="I94" s="2" t="n">
        <f aca="false">(((H94 / 800) / IF(ISBLANK(R94), 1000000, IF(ISNA(VLOOKUP(R94, Mileages!$A$2:$C$34, 2, 0)), R94, VLOOKUP(R94, Mileages!$A$2:$C$34, 2, 0)))) + (F94 * IF(ISBLANK(P94), 1, P94) * IF(ISBLANK(T94), 0, IF(ISNA(VLOOKUP(T94, 'Fuel Costs'!$A$2:$C$42, 2, 0)), T94, VLOOKUP(T94, 'Fuel Costs'!$A$2:$C$42, 2, 0))) / IF(ISBLANK(O94), 1, O94))) * 100</f>
        <v>5.00000002</v>
      </c>
      <c r="J94" s="2" t="n">
        <f aca="false">((H94 / 800) / (IF(ISBLANK(S94), 100, IF(ISNA(VLOOKUP(S94, Lives!$A$2:$C$35, 2, 0)), S94, VLOOKUP(S94, Lives!$A$2:$C$35, 2, 0))) * 12) + (IF(ISBLANK(Q94), 0, IF(ISNA(VLOOKUP(Q94, Wages!$A$2:$C$17, 2, 0)), Q94, VLOOKUP(Q94, Wages!$A$2:$C$17, 2, 0))) * IF(ISBLANK(N94), 0, IF(ISNA(VLOOKUP(N94, Crews!$A$2:$C$28, 2, 0)), N94, VLOOKUP(N94, Crews!$A$2:$C$28, 2, 0))))) * 400</f>
        <v>3333.333333</v>
      </c>
      <c r="K94" s="1"/>
      <c r="L94" s="1" t="s">
        <v>192</v>
      </c>
      <c r="M94" s="1" t="n">
        <v>1</v>
      </c>
      <c r="N94" s="1" t="s">
        <v>155</v>
      </c>
      <c r="O94" s="1"/>
      <c r="P94" s="1"/>
      <c r="Q94" s="1" t="s">
        <v>26</v>
      </c>
      <c r="R94" s="5" t="s">
        <v>87</v>
      </c>
      <c r="S94" s="5" t="s">
        <v>87</v>
      </c>
      <c r="T94" s="5" t="s">
        <v>87</v>
      </c>
    </row>
    <row r="95" customFormat="false" ht="15" hidden="false" customHeight="true" outlineLevel="0" collapsed="false">
      <c r="A95" s="1" t="s">
        <v>194</v>
      </c>
      <c r="B95" s="1" t="n">
        <v>1761</v>
      </c>
      <c r="C95" s="1" t="n">
        <v>1</v>
      </c>
      <c r="D95" s="1" t="s">
        <v>29</v>
      </c>
      <c r="E95" s="1"/>
      <c r="F95" s="1"/>
      <c r="G95" s="1" t="n">
        <v>8</v>
      </c>
      <c r="H95" s="2" t="n">
        <v>20000</v>
      </c>
      <c r="I95" s="2" t="n">
        <f aca="false">(((H95 / 800) / IF(ISBLANK(R95), 1000000, IF(ISNA(VLOOKUP(R95, Mileages!$A$2:$C$34, 2, 0)), R95, VLOOKUP(R95, Mileages!$A$2:$C$34, 2, 0)))) + (F95 * IF(ISBLANK(P95), 1, P95) * IF(ISBLANK(T95), 0, IF(ISNA(VLOOKUP(T95, 'Fuel Costs'!$A$2:$C$42, 2, 0)), T95, VLOOKUP(T95, 'Fuel Costs'!$A$2:$C$42, 2, 0))) / IF(ISBLANK(O95), 1, O95))) * 100</f>
        <v>0.003125</v>
      </c>
      <c r="J95" s="2" t="n">
        <f aca="false">((H95 / 800) / (IF(ISBLANK(S95), 100, IF(ISNA(VLOOKUP(S95, Lives!$A$2:$C$35, 2, 0)), S95, VLOOKUP(S95, Lives!$A$2:$C$35, 2, 0))) * 12) + (IF(ISBLANK(Q95), 0, IF(ISNA(VLOOKUP(Q95, Wages!$A$2:$C$17, 2, 0)), Q95, VLOOKUP(Q95, Wages!$A$2:$C$17, 2, 0))) * IF(ISBLANK(N95), 0, IF(ISNA(VLOOKUP(N95, Crews!$A$2:$C$28, 2, 0)), N95, VLOOKUP(N95, Crews!$A$2:$C$28, 2, 0))))) * 400</f>
        <v>13.88888889</v>
      </c>
      <c r="K95" s="1" t="s">
        <v>96</v>
      </c>
      <c r="L95" s="1" t="s">
        <v>195</v>
      </c>
      <c r="M95" s="1" t="n">
        <v>0</v>
      </c>
      <c r="N95" s="1"/>
      <c r="O95" s="1"/>
      <c r="P95" s="1"/>
      <c r="Q95" s="1"/>
      <c r="R95" s="4" t="s">
        <v>35</v>
      </c>
      <c r="S95" s="1" t="s">
        <v>35</v>
      </c>
      <c r="T95" s="1"/>
    </row>
    <row r="96" customFormat="false" ht="15" hidden="false" customHeight="true" outlineLevel="0" collapsed="false">
      <c r="A96" s="1" t="s">
        <v>196</v>
      </c>
      <c r="B96" s="1" t="n">
        <v>1761</v>
      </c>
      <c r="C96" s="1" t="n">
        <v>1</v>
      </c>
      <c r="D96" s="1" t="s">
        <v>29</v>
      </c>
      <c r="E96" s="1"/>
      <c r="F96" s="1"/>
      <c r="G96" s="1" t="n">
        <v>8</v>
      </c>
      <c r="H96" s="2" t="n">
        <v>20000</v>
      </c>
      <c r="I96" s="2" t="n">
        <f aca="false">(((H96 / 800) / IF(ISBLANK(R96), 1000000, IF(ISNA(VLOOKUP(R96, Mileages!$A$2:$C$34, 2, 0)), R96, VLOOKUP(R96, Mileages!$A$2:$C$34, 2, 0)))) + (F96 * IF(ISBLANK(P96), 1, P96) * IF(ISBLANK(T96), 0, IF(ISNA(VLOOKUP(T96, 'Fuel Costs'!$A$2:$C$42, 2, 0)), T96, VLOOKUP(T96, 'Fuel Costs'!$A$2:$C$42, 2, 0))) / IF(ISBLANK(O96), 1, O96))) * 100</f>
        <v>0.003125</v>
      </c>
      <c r="J96" s="2" t="n">
        <f aca="false">((H96 / 800) / (IF(ISBLANK(S96), 100, IF(ISNA(VLOOKUP(S96, Lives!$A$2:$C$35, 2, 0)), S96, VLOOKUP(S96, Lives!$A$2:$C$35, 2, 0))) * 12) + (IF(ISBLANK(Q96), 0, IF(ISNA(VLOOKUP(Q96, Wages!$A$2:$C$17, 2, 0)), Q96, VLOOKUP(Q96, Wages!$A$2:$C$17, 2, 0))) * IF(ISBLANK(N96), 0, IF(ISNA(VLOOKUP(N96, Crews!$A$2:$C$28, 2, 0)), N96, VLOOKUP(N96, Crews!$A$2:$C$28, 2, 0))))) * 400</f>
        <v>13.88888889</v>
      </c>
      <c r="K96" s="1" t="s">
        <v>96</v>
      </c>
      <c r="L96" s="1" t="s">
        <v>195</v>
      </c>
      <c r="M96" s="1" t="n">
        <v>1</v>
      </c>
      <c r="N96" s="1"/>
      <c r="O96" s="1"/>
      <c r="P96" s="1"/>
      <c r="Q96" s="1"/>
      <c r="R96" s="4" t="s">
        <v>35</v>
      </c>
      <c r="S96" s="1" t="s">
        <v>35</v>
      </c>
      <c r="T96" s="1"/>
    </row>
    <row r="97" customFormat="false" ht="15" hidden="false" customHeight="true" outlineLevel="0" collapsed="false">
      <c r="A97" s="1" t="s">
        <v>197</v>
      </c>
      <c r="B97" s="1" t="n">
        <v>1761</v>
      </c>
      <c r="C97" s="1" t="n">
        <v>1</v>
      </c>
      <c r="D97" s="1" t="s">
        <v>29</v>
      </c>
      <c r="E97" s="1"/>
      <c r="F97" s="1"/>
      <c r="G97" s="1" t="n">
        <v>8</v>
      </c>
      <c r="H97" s="2" t="n">
        <v>20000</v>
      </c>
      <c r="I97" s="2" t="n">
        <f aca="false">(((H97 / 800) / IF(ISBLANK(R97), 1000000, IF(ISNA(VLOOKUP(R97, Mileages!$A$2:$C$34, 2, 0)), R97, VLOOKUP(R97, Mileages!$A$2:$C$34, 2, 0)))) + (F97 * IF(ISBLANK(P97), 1, P97) * IF(ISBLANK(T97), 0, IF(ISNA(VLOOKUP(T97, 'Fuel Costs'!$A$2:$C$42, 2, 0)), T97, VLOOKUP(T97, 'Fuel Costs'!$A$2:$C$42, 2, 0))) / IF(ISBLANK(O97), 1, O97))) * 100</f>
        <v>0.003125</v>
      </c>
      <c r="J97" s="2" t="n">
        <f aca="false">((H97 / 800) / (IF(ISBLANK(S97), 100, IF(ISNA(VLOOKUP(S97, Lives!$A$2:$C$35, 2, 0)), S97, VLOOKUP(S97, Lives!$A$2:$C$35, 2, 0))) * 12) + (IF(ISBLANK(Q97), 0, IF(ISNA(VLOOKUP(Q97, Wages!$A$2:$C$17, 2, 0)), Q97, VLOOKUP(Q97, Wages!$A$2:$C$17, 2, 0))) * IF(ISBLANK(N97), 0, IF(ISNA(VLOOKUP(N97, Crews!$A$2:$C$28, 2, 0)), N97, VLOOKUP(N97, Crews!$A$2:$C$28, 2, 0))))) * 400</f>
        <v>13.88888889</v>
      </c>
      <c r="K97" s="1" t="s">
        <v>96</v>
      </c>
      <c r="L97" s="1" t="s">
        <v>195</v>
      </c>
      <c r="M97" s="1" t="n">
        <v>2</v>
      </c>
      <c r="N97" s="1"/>
      <c r="O97" s="1"/>
      <c r="P97" s="1"/>
      <c r="Q97" s="1"/>
      <c r="R97" s="4" t="s">
        <v>35</v>
      </c>
      <c r="S97" s="1" t="s">
        <v>35</v>
      </c>
      <c r="T97" s="1"/>
    </row>
    <row r="98" customFormat="false" ht="15" hidden="false" customHeight="true" outlineLevel="0" collapsed="false">
      <c r="A98" s="1" t="s">
        <v>198</v>
      </c>
      <c r="B98" s="1" t="n">
        <v>1761</v>
      </c>
      <c r="C98" s="1" t="n">
        <v>1</v>
      </c>
      <c r="D98" s="1" t="s">
        <v>29</v>
      </c>
      <c r="E98" s="1"/>
      <c r="F98" s="1"/>
      <c r="G98" s="1" t="n">
        <v>8</v>
      </c>
      <c r="H98" s="2" t="n">
        <v>20000</v>
      </c>
      <c r="I98" s="2" t="n">
        <f aca="false">(((H98 / 800) / IF(ISBLANK(R98), 1000000, IF(ISNA(VLOOKUP(R98, Mileages!$A$2:$C$34, 2, 0)), R98, VLOOKUP(R98, Mileages!$A$2:$C$34, 2, 0)))) + (F98 * IF(ISBLANK(P98), 1, P98) * IF(ISBLANK(T98), 0, IF(ISNA(VLOOKUP(T98, 'Fuel Costs'!$A$2:$C$42, 2, 0)), T98, VLOOKUP(T98, 'Fuel Costs'!$A$2:$C$42, 2, 0))) / IF(ISBLANK(O98), 1, O98))) * 100</f>
        <v>0.003125</v>
      </c>
      <c r="J98" s="2" t="n">
        <f aca="false">((H98 / 800) / (IF(ISBLANK(S98), 100, IF(ISNA(VLOOKUP(S98, Lives!$A$2:$C$35, 2, 0)), S98, VLOOKUP(S98, Lives!$A$2:$C$35, 2, 0))) * 12) + (IF(ISBLANK(Q98), 0, IF(ISNA(VLOOKUP(Q98, Wages!$A$2:$C$17, 2, 0)), Q98, VLOOKUP(Q98, Wages!$A$2:$C$17, 2, 0))) * IF(ISBLANK(N98), 0, IF(ISNA(VLOOKUP(N98, Crews!$A$2:$C$28, 2, 0)), N98, VLOOKUP(N98, Crews!$A$2:$C$28, 2, 0))))) * 400</f>
        <v>13.88888889</v>
      </c>
      <c r="K98" s="1" t="s">
        <v>96</v>
      </c>
      <c r="L98" s="1" t="s">
        <v>195</v>
      </c>
      <c r="M98" s="1" t="n">
        <v>3</v>
      </c>
      <c r="N98" s="1"/>
      <c r="O98" s="1"/>
      <c r="P98" s="1"/>
      <c r="Q98" s="1"/>
      <c r="R98" s="4" t="s">
        <v>35</v>
      </c>
      <c r="S98" s="1" t="s">
        <v>35</v>
      </c>
      <c r="T98" s="1"/>
    </row>
    <row r="99" customFormat="false" ht="15" hidden="false" customHeight="true" outlineLevel="0" collapsed="false">
      <c r="A99" s="1" t="s">
        <v>199</v>
      </c>
      <c r="B99" s="1" t="n">
        <v>1761</v>
      </c>
      <c r="C99" s="1" t="n">
        <v>1</v>
      </c>
      <c r="D99" s="1" t="s">
        <v>29</v>
      </c>
      <c r="E99" s="1"/>
      <c r="F99" s="1"/>
      <c r="G99" s="1" t="n">
        <v>8</v>
      </c>
      <c r="H99" s="2" t="n">
        <v>20000</v>
      </c>
      <c r="I99" s="2" t="n">
        <f aca="false">(((H99 / 800) / IF(ISBLANK(R99), 1000000, IF(ISNA(VLOOKUP(R99, Mileages!$A$2:$C$34, 2, 0)), R99, VLOOKUP(R99, Mileages!$A$2:$C$34, 2, 0)))) + (F99 * IF(ISBLANK(P99), 1, P99) * IF(ISBLANK(T99), 0, IF(ISNA(VLOOKUP(T99, 'Fuel Costs'!$A$2:$C$42, 2, 0)), T99, VLOOKUP(T99, 'Fuel Costs'!$A$2:$C$42, 2, 0))) / IF(ISBLANK(O99), 1, O99))) * 100</f>
        <v>0.003125</v>
      </c>
      <c r="J99" s="2" t="n">
        <f aca="false">((H99 / 800) / (IF(ISBLANK(S99), 100, IF(ISNA(VLOOKUP(S99, Lives!$A$2:$C$35, 2, 0)), S99, VLOOKUP(S99, Lives!$A$2:$C$35, 2, 0))) * 12) + (IF(ISBLANK(Q99), 0, IF(ISNA(VLOOKUP(Q99, Wages!$A$2:$C$17, 2, 0)), Q99, VLOOKUP(Q99, Wages!$A$2:$C$17, 2, 0))) * IF(ISBLANK(N99), 0, IF(ISNA(VLOOKUP(N99, Crews!$A$2:$C$28, 2, 0)), N99, VLOOKUP(N99, Crews!$A$2:$C$28, 2, 0))))) * 400</f>
        <v>13.88888889</v>
      </c>
      <c r="K99" s="1" t="s">
        <v>96</v>
      </c>
      <c r="L99" s="1" t="s">
        <v>195</v>
      </c>
      <c r="M99" s="1" t="n">
        <v>4</v>
      </c>
      <c r="N99" s="1"/>
      <c r="O99" s="1"/>
      <c r="P99" s="1"/>
      <c r="Q99" s="1"/>
      <c r="R99" s="4" t="s">
        <v>35</v>
      </c>
      <c r="S99" s="1" t="s">
        <v>35</v>
      </c>
      <c r="T99" s="1"/>
    </row>
    <row r="100" customFormat="false" ht="15" hidden="false" customHeight="true" outlineLevel="0" collapsed="false">
      <c r="A100" s="1" t="s">
        <v>200</v>
      </c>
      <c r="B100" s="1" t="n">
        <v>1761</v>
      </c>
      <c r="C100" s="1" t="n">
        <v>1</v>
      </c>
      <c r="D100" s="1" t="s">
        <v>29</v>
      </c>
      <c r="E100" s="1"/>
      <c r="F100" s="1"/>
      <c r="G100" s="1" t="n">
        <v>8</v>
      </c>
      <c r="H100" s="2" t="n">
        <v>20000</v>
      </c>
      <c r="I100" s="2" t="n">
        <f aca="false">(((H100 / 800) / IF(ISBLANK(R100), 1000000, IF(ISNA(VLOOKUP(R100, Mileages!$A$2:$C$34, 2, 0)), R100, VLOOKUP(R100, Mileages!$A$2:$C$34, 2, 0)))) + (F100 * IF(ISBLANK(P100), 1, P100) * IF(ISBLANK(T100), 0, IF(ISNA(VLOOKUP(T100, 'Fuel Costs'!$A$2:$C$42, 2, 0)), T100, VLOOKUP(T100, 'Fuel Costs'!$A$2:$C$42, 2, 0))) / IF(ISBLANK(O100), 1, O100))) * 100</f>
        <v>0.003125</v>
      </c>
      <c r="J100" s="2" t="n">
        <f aca="false">((H100 / 800) / (IF(ISBLANK(S100), 100, IF(ISNA(VLOOKUP(S100, Lives!$A$2:$C$35, 2, 0)), S100, VLOOKUP(S100, Lives!$A$2:$C$35, 2, 0))) * 12) + (IF(ISBLANK(Q100), 0, IF(ISNA(VLOOKUP(Q100, Wages!$A$2:$C$17, 2, 0)), Q100, VLOOKUP(Q100, Wages!$A$2:$C$17, 2, 0))) * IF(ISBLANK(N100), 0, IF(ISNA(VLOOKUP(N100, Crews!$A$2:$C$28, 2, 0)), N100, VLOOKUP(N100, Crews!$A$2:$C$28, 2, 0))))) * 400</f>
        <v>13.88888889</v>
      </c>
      <c r="K100" s="1" t="s">
        <v>96</v>
      </c>
      <c r="L100" s="1" t="s">
        <v>195</v>
      </c>
      <c r="M100" s="1" t="n">
        <v>5</v>
      </c>
      <c r="N100" s="1"/>
      <c r="O100" s="1"/>
      <c r="P100" s="1"/>
      <c r="Q100" s="1"/>
      <c r="R100" s="4" t="s">
        <v>35</v>
      </c>
      <c r="S100" s="1" t="s">
        <v>35</v>
      </c>
      <c r="T100" s="1"/>
    </row>
    <row r="101" customFormat="false" ht="15" hidden="false" customHeight="true" outlineLevel="0" collapsed="false">
      <c r="A101" s="1" t="s">
        <v>201</v>
      </c>
      <c r="B101" s="1" t="n">
        <v>1761</v>
      </c>
      <c r="C101" s="1" t="n">
        <v>1</v>
      </c>
      <c r="D101" s="1" t="s">
        <v>29</v>
      </c>
      <c r="E101" s="1"/>
      <c r="F101" s="1"/>
      <c r="G101" s="1" t="n">
        <v>7</v>
      </c>
      <c r="H101" s="2"/>
      <c r="I101" s="2"/>
      <c r="J101" s="2"/>
      <c r="K101" s="1"/>
      <c r="L101" s="1" t="s">
        <v>202</v>
      </c>
      <c r="M101" s="1" t="n">
        <v>0</v>
      </c>
      <c r="N101" s="1"/>
      <c r="O101" s="1"/>
      <c r="P101" s="1"/>
      <c r="Q101" s="1"/>
      <c r="R101" s="1"/>
      <c r="S101" s="1"/>
      <c r="T101" s="1"/>
    </row>
    <row r="102" customFormat="false" ht="15" hidden="false" customHeight="true" outlineLevel="0" collapsed="false">
      <c r="A102" s="1" t="s">
        <v>203</v>
      </c>
      <c r="B102" s="1" t="n">
        <v>1761</v>
      </c>
      <c r="C102" s="1" t="n">
        <v>1</v>
      </c>
      <c r="D102" s="1" t="s">
        <v>29</v>
      </c>
      <c r="E102" s="1"/>
      <c r="F102" s="1"/>
      <c r="G102" s="1" t="n">
        <v>7</v>
      </c>
      <c r="H102" s="2" t="n">
        <v>20000</v>
      </c>
      <c r="I102" s="2" t="n">
        <f aca="false">(((H102 / 800) / IF(ISBLANK(R102), 1000000, IF(ISNA(VLOOKUP(R102, Mileages!$A$2:$C$34, 2, 0)), R102, VLOOKUP(R102, Mileages!$A$2:$C$34, 2, 0)))) + (F102 * IF(ISBLANK(P102), 1, P102) * IF(ISBLANK(T102), 0, IF(ISNA(VLOOKUP(T102, 'Fuel Costs'!$A$2:$C$42, 2, 0)), T102, VLOOKUP(T102, 'Fuel Costs'!$A$2:$C$42, 2, 0))) / IF(ISBLANK(O102), 1, O102))) * 100</f>
        <v>0.003125</v>
      </c>
      <c r="J102" s="2" t="n">
        <f aca="false">((H102 / 800) / (IF(ISBLANK(S102), 100, IF(ISNA(VLOOKUP(S102, Lives!$A$2:$C$35, 2, 0)), S102, VLOOKUP(S102, Lives!$A$2:$C$35, 2, 0))) * 12) + (IF(ISBLANK(Q102), 0, IF(ISNA(VLOOKUP(Q102, Wages!$A$2:$C$17, 2, 0)), Q102, VLOOKUP(Q102, Wages!$A$2:$C$17, 2, 0))) * IF(ISBLANK(N102), 0, IF(ISNA(VLOOKUP(N102, Crews!$A$2:$C$28, 2, 0)), N102, VLOOKUP(N102, Crews!$A$2:$C$28, 2, 0))))) * 400</f>
        <v>13.88888889</v>
      </c>
      <c r="K102" s="1" t="s">
        <v>104</v>
      </c>
      <c r="L102" s="1" t="s">
        <v>204</v>
      </c>
      <c r="M102" s="1" t="n">
        <v>0</v>
      </c>
      <c r="N102" s="1"/>
      <c r="O102" s="1"/>
      <c r="P102" s="1"/>
      <c r="Q102" s="1"/>
      <c r="R102" s="4" t="s">
        <v>35</v>
      </c>
      <c r="S102" s="1" t="s">
        <v>35</v>
      </c>
      <c r="T102" s="1"/>
    </row>
    <row r="103" customFormat="false" ht="15" hidden="false" customHeight="true" outlineLevel="0" collapsed="false">
      <c r="A103" s="1" t="s">
        <v>205</v>
      </c>
      <c r="B103" s="1" t="n">
        <v>1761</v>
      </c>
      <c r="C103" s="1" t="n">
        <v>1</v>
      </c>
      <c r="D103" s="1" t="s">
        <v>29</v>
      </c>
      <c r="E103" s="1"/>
      <c r="F103" s="1"/>
      <c r="G103" s="1" t="n">
        <v>7</v>
      </c>
      <c r="H103" s="2"/>
      <c r="I103" s="2"/>
      <c r="J103" s="2"/>
      <c r="K103" s="1" t="s">
        <v>102</v>
      </c>
      <c r="L103" s="1" t="s">
        <v>206</v>
      </c>
      <c r="M103" s="1" t="n">
        <v>0</v>
      </c>
      <c r="N103" s="1"/>
      <c r="O103" s="1"/>
      <c r="P103" s="1"/>
      <c r="Q103" s="1"/>
      <c r="R103" s="1"/>
      <c r="S103" s="1"/>
      <c r="T103" s="1"/>
    </row>
    <row r="104" customFormat="false" ht="15" hidden="false" customHeight="true" outlineLevel="0" collapsed="false">
      <c r="A104" s="1" t="s">
        <v>207</v>
      </c>
      <c r="B104" s="1" t="n">
        <v>1761</v>
      </c>
      <c r="C104" s="1" t="n">
        <v>1</v>
      </c>
      <c r="D104" s="1" t="s">
        <v>29</v>
      </c>
      <c r="E104" s="1"/>
      <c r="F104" s="1"/>
      <c r="G104" s="1" t="n">
        <v>7</v>
      </c>
      <c r="H104" s="2" t="n">
        <v>20000</v>
      </c>
      <c r="I104" s="2" t="n">
        <f aca="false">(((H104 / 800) / IF(ISBLANK(R104), 1000000, IF(ISNA(VLOOKUP(R104, Mileages!$A$2:$C$34, 2, 0)), R104, VLOOKUP(R104, Mileages!$A$2:$C$34, 2, 0)))) + (F104 * IF(ISBLANK(P104), 1, P104) * IF(ISBLANK(T104), 0, IF(ISNA(VLOOKUP(T104, 'Fuel Costs'!$A$2:$C$42, 2, 0)), T104, VLOOKUP(T104, 'Fuel Costs'!$A$2:$C$42, 2, 0))) / IF(ISBLANK(O104), 1, O104))) * 100</f>
        <v>0.003125</v>
      </c>
      <c r="J104" s="2" t="n">
        <f aca="false">((H104 / 800) / (IF(ISBLANK(S104), 100, IF(ISNA(VLOOKUP(S104, Lives!$A$2:$C$35, 2, 0)), S104, VLOOKUP(S104, Lives!$A$2:$C$35, 2, 0))) * 12) + (IF(ISBLANK(Q104), 0, IF(ISNA(VLOOKUP(Q104, Wages!$A$2:$C$17, 2, 0)), Q104, VLOOKUP(Q104, Wages!$A$2:$C$17, 2, 0))) * IF(ISBLANK(N104), 0, IF(ISNA(VLOOKUP(N104, Crews!$A$2:$C$28, 2, 0)), N104, VLOOKUP(N104, Crews!$A$2:$C$28, 2, 0))))) * 400</f>
        <v>13.8888888888889</v>
      </c>
      <c r="K104" s="3" t="s">
        <v>208</v>
      </c>
      <c r="L104" s="1" t="s">
        <v>209</v>
      </c>
      <c r="M104" s="1" t="n">
        <v>0</v>
      </c>
      <c r="N104" s="1"/>
      <c r="O104" s="1"/>
      <c r="P104" s="1"/>
      <c r="Q104" s="1"/>
      <c r="R104" s="4" t="s">
        <v>35</v>
      </c>
      <c r="S104" s="1" t="s">
        <v>35</v>
      </c>
      <c r="T104" s="1"/>
    </row>
    <row r="105" customFormat="false" ht="15" hidden="false" customHeight="true" outlineLevel="0" collapsed="false">
      <c r="A105" s="1" t="s">
        <v>210</v>
      </c>
      <c r="B105" s="1" t="n">
        <v>1761</v>
      </c>
      <c r="C105" s="1" t="n">
        <v>1</v>
      </c>
      <c r="D105" s="1" t="s">
        <v>29</v>
      </c>
      <c r="E105" s="1"/>
      <c r="F105" s="1"/>
      <c r="G105" s="1" t="n">
        <v>7</v>
      </c>
      <c r="H105" s="2" t="n">
        <v>20000</v>
      </c>
      <c r="I105" s="2" t="n">
        <f aca="false">(((H105 / 800) / IF(ISBLANK(R105), 1000000, IF(ISNA(VLOOKUP(R105, Mileages!$A$2:$C$34, 2, 0)), R105, VLOOKUP(R105, Mileages!$A$2:$C$34, 2, 0)))) + (F105 * IF(ISBLANK(P105), 1, P105) * IF(ISBLANK(T105), 0, IF(ISNA(VLOOKUP(T105, 'Fuel Costs'!$A$2:$C$42, 2, 0)), T105, VLOOKUP(T105, 'Fuel Costs'!$A$2:$C$42, 2, 0))) / IF(ISBLANK(O105), 1, O105))) * 100</f>
        <v>0.003125</v>
      </c>
      <c r="J105" s="2" t="n">
        <f aca="false">((H105 / 800) / (IF(ISBLANK(S105), 100, IF(ISNA(VLOOKUP(S105, Lives!$A$2:$C$35, 2, 0)), S105, VLOOKUP(S105, Lives!$A$2:$C$35, 2, 0))) * 12) + (IF(ISBLANK(Q105), 0, IF(ISNA(VLOOKUP(Q105, Wages!$A$2:$C$17, 2, 0)), Q105, VLOOKUP(Q105, Wages!$A$2:$C$17, 2, 0))) * IF(ISBLANK(N105), 0, IF(ISNA(VLOOKUP(N105, Crews!$A$2:$C$28, 2, 0)), N105, VLOOKUP(N105, Crews!$A$2:$C$28, 2, 0))))) * 400</f>
        <v>13.8888888888889</v>
      </c>
      <c r="K105" s="1" t="s">
        <v>145</v>
      </c>
      <c r="L105" s="1" t="s">
        <v>209</v>
      </c>
      <c r="M105" s="1" t="n">
        <v>1</v>
      </c>
      <c r="N105" s="1"/>
      <c r="O105" s="1"/>
      <c r="P105" s="1"/>
      <c r="Q105" s="1"/>
      <c r="R105" s="4" t="s">
        <v>35</v>
      </c>
      <c r="S105" s="1" t="s">
        <v>35</v>
      </c>
      <c r="T105" s="1"/>
    </row>
    <row r="106" customFormat="false" ht="15" hidden="false" customHeight="true" outlineLevel="0" collapsed="false">
      <c r="A106" s="1" t="s">
        <v>211</v>
      </c>
      <c r="B106" s="1" t="n">
        <v>1761</v>
      </c>
      <c r="C106" s="1" t="n">
        <v>1</v>
      </c>
      <c r="D106" s="1" t="s">
        <v>29</v>
      </c>
      <c r="E106" s="1"/>
      <c r="F106" s="1"/>
      <c r="G106" s="1" t="n">
        <v>7</v>
      </c>
      <c r="H106" s="2" t="n">
        <v>20000</v>
      </c>
      <c r="I106" s="2" t="n">
        <f aca="false">(((H106 / 800) / IF(ISBLANK(R106), 1000000, IF(ISNA(VLOOKUP(R106, Mileages!$A$2:$C$34, 2, 0)), R106, VLOOKUP(R106, Mileages!$A$2:$C$34, 2, 0)))) + (F106 * IF(ISBLANK(P106), 1, P106) * IF(ISBLANK(T106), 0, IF(ISNA(VLOOKUP(T106, 'Fuel Costs'!$A$2:$C$42, 2, 0)), T106, VLOOKUP(T106, 'Fuel Costs'!$A$2:$C$42, 2, 0))) / IF(ISBLANK(O106), 1, O106))) * 100</f>
        <v>0.003125</v>
      </c>
      <c r="J106" s="2" t="n">
        <f aca="false">((H106 / 800) / (IF(ISBLANK(S106), 100, IF(ISNA(VLOOKUP(S106, Lives!$A$2:$C$35, 2, 0)), S106, VLOOKUP(S106, Lives!$A$2:$C$35, 2, 0))) * 12) + (IF(ISBLANK(Q106), 0, IF(ISNA(VLOOKUP(Q106, Wages!$A$2:$C$17, 2, 0)), Q106, VLOOKUP(Q106, Wages!$A$2:$C$17, 2, 0))) * IF(ISBLANK(N106), 0, IF(ISNA(VLOOKUP(N106, Crews!$A$2:$C$28, 2, 0)), N106, VLOOKUP(N106, Crews!$A$2:$C$28, 2, 0))))) * 400</f>
        <v>13.8888888888889</v>
      </c>
      <c r="K106" s="1" t="s">
        <v>145</v>
      </c>
      <c r="L106" s="1" t="s">
        <v>209</v>
      </c>
      <c r="M106" s="1" t="n">
        <v>2</v>
      </c>
      <c r="N106" s="1"/>
      <c r="O106" s="1"/>
      <c r="P106" s="1"/>
      <c r="Q106" s="1"/>
      <c r="R106" s="4" t="s">
        <v>35</v>
      </c>
      <c r="S106" s="1" t="s">
        <v>35</v>
      </c>
      <c r="T106" s="1"/>
    </row>
    <row r="107" customFormat="false" ht="15" hidden="false" customHeight="true" outlineLevel="0" collapsed="false">
      <c r="A107" s="1" t="s">
        <v>212</v>
      </c>
      <c r="B107" s="1" t="n">
        <v>1761</v>
      </c>
      <c r="C107" s="1" t="n">
        <v>1</v>
      </c>
      <c r="D107" s="1" t="s">
        <v>29</v>
      </c>
      <c r="E107" s="1"/>
      <c r="F107" s="1"/>
      <c r="G107" s="1" t="n">
        <v>7</v>
      </c>
      <c r="H107" s="2" t="n">
        <v>20000</v>
      </c>
      <c r="I107" s="2" t="n">
        <f aca="false">(((H107 / 800) / IF(ISBLANK(R107), 1000000, IF(ISNA(VLOOKUP(R107, Mileages!$A$2:$C$34, 2, 0)), R107, VLOOKUP(R107, Mileages!$A$2:$C$34, 2, 0)))) + (F107 * IF(ISBLANK(P107), 1, P107) * IF(ISBLANK(T107), 0, IF(ISNA(VLOOKUP(T107, 'Fuel Costs'!$A$2:$C$42, 2, 0)), T107, VLOOKUP(T107, 'Fuel Costs'!$A$2:$C$42, 2, 0))) / IF(ISBLANK(O107), 1, O107))) * 100</f>
        <v>0.003125</v>
      </c>
      <c r="J107" s="2" t="n">
        <f aca="false">((H107 / 800) / (IF(ISBLANK(S107), 100, IF(ISNA(VLOOKUP(S107, Lives!$A$2:$C$35, 2, 0)), S107, VLOOKUP(S107, Lives!$A$2:$C$35, 2, 0))) * 12) + (IF(ISBLANK(Q107), 0, IF(ISNA(VLOOKUP(Q107, Wages!$A$2:$C$17, 2, 0)), Q107, VLOOKUP(Q107, Wages!$A$2:$C$17, 2, 0))) * IF(ISBLANK(N107), 0, IF(ISNA(VLOOKUP(N107, Crews!$A$2:$C$28, 2, 0)), N107, VLOOKUP(N107, Crews!$A$2:$C$28, 2, 0))))) * 400</f>
        <v>13.8888888888889</v>
      </c>
      <c r="K107" s="1" t="s">
        <v>145</v>
      </c>
      <c r="L107" s="1" t="s">
        <v>209</v>
      </c>
      <c r="M107" s="1" t="n">
        <v>3</v>
      </c>
      <c r="N107" s="1"/>
      <c r="O107" s="1"/>
      <c r="P107" s="1"/>
      <c r="Q107" s="1"/>
      <c r="R107" s="4" t="s">
        <v>35</v>
      </c>
      <c r="S107" s="1" t="s">
        <v>35</v>
      </c>
      <c r="T107" s="1"/>
    </row>
    <row r="108" customFormat="false" ht="15" hidden="false" customHeight="true" outlineLevel="0" collapsed="false">
      <c r="A108" s="1" t="s">
        <v>213</v>
      </c>
      <c r="B108" s="1" t="n">
        <v>1761</v>
      </c>
      <c r="C108" s="1" t="n">
        <v>1</v>
      </c>
      <c r="D108" s="1" t="s">
        <v>29</v>
      </c>
      <c r="E108" s="1"/>
      <c r="F108" s="1"/>
      <c r="G108" s="1" t="n">
        <v>7</v>
      </c>
      <c r="H108" s="2" t="n">
        <v>20000</v>
      </c>
      <c r="I108" s="2" t="n">
        <f aca="false">(((H108 / 800) / IF(ISBLANK(R108), 1000000, IF(ISNA(VLOOKUP(R108, Mileages!$A$2:$C$34, 2, 0)), R108, VLOOKUP(R108, Mileages!$A$2:$C$34, 2, 0)))) + (F108 * IF(ISBLANK(P108), 1, P108) * IF(ISBLANK(T108), 0, IF(ISNA(VLOOKUP(T108, 'Fuel Costs'!$A$2:$C$42, 2, 0)), T108, VLOOKUP(T108, 'Fuel Costs'!$A$2:$C$42, 2, 0))) / IF(ISBLANK(O108), 1, O108))) * 100</f>
        <v>0.003125</v>
      </c>
      <c r="J108" s="2" t="n">
        <f aca="false">((H108 / 800) / (IF(ISBLANK(S108), 100, IF(ISNA(VLOOKUP(S108, Lives!$A$2:$C$35, 2, 0)), S108, VLOOKUP(S108, Lives!$A$2:$C$35, 2, 0))) * 12) + (IF(ISBLANK(Q108), 0, IF(ISNA(VLOOKUP(Q108, Wages!$A$2:$C$17, 2, 0)), Q108, VLOOKUP(Q108, Wages!$A$2:$C$17, 2, 0))) * IF(ISBLANK(N108), 0, IF(ISNA(VLOOKUP(N108, Crews!$A$2:$C$28, 2, 0)), N108, VLOOKUP(N108, Crews!$A$2:$C$28, 2, 0))))) * 400</f>
        <v>4813.888889</v>
      </c>
      <c r="K108" s="1" t="s">
        <v>104</v>
      </c>
      <c r="L108" s="1" t="s">
        <v>214</v>
      </c>
      <c r="M108" s="1" t="n">
        <v>0</v>
      </c>
      <c r="N108" s="1" t="s">
        <v>25</v>
      </c>
      <c r="O108" s="1"/>
      <c r="P108" s="1"/>
      <c r="Q108" s="1" t="s">
        <v>41</v>
      </c>
      <c r="R108" s="4" t="s">
        <v>35</v>
      </c>
      <c r="S108" s="1" t="s">
        <v>35</v>
      </c>
      <c r="T108" s="1"/>
    </row>
    <row r="109" customFormat="false" ht="15" hidden="false" customHeight="true" outlineLevel="0" collapsed="false">
      <c r="A109" s="1" t="s">
        <v>215</v>
      </c>
      <c r="B109" s="1" t="n">
        <v>1763</v>
      </c>
      <c r="C109" s="1" t="n">
        <v>1</v>
      </c>
      <c r="D109" s="1" t="s">
        <v>38</v>
      </c>
      <c r="E109" s="1"/>
      <c r="F109" s="1"/>
      <c r="G109" s="1" t="n">
        <v>25</v>
      </c>
      <c r="H109" s="2" t="n">
        <v>46000</v>
      </c>
      <c r="I109" s="2" t="n">
        <f aca="false">(((H109 / 800) / IF(ISBLANK(R109), 1000000, IF(ISNA(VLOOKUP(R109, Mileages!$A$2:$C$34, 2, 0)), R109, VLOOKUP(R109, Mileages!$A$2:$C$34, 2, 0)))) + (F109 * IF(ISBLANK(P109), 1, P109) * IF(ISBLANK(T109), 0, IF(ISNA(VLOOKUP(T109, 'Fuel Costs'!$A$2:$C$42, 2, 0)), T109, VLOOKUP(T109, 'Fuel Costs'!$A$2:$C$42, 2, 0))) / IF(ISBLANK(O109), 1, O109))) * 100</f>
        <v>0.02875</v>
      </c>
      <c r="J109" s="2" t="n">
        <f aca="false">((H109 / 800) / (IF(ISBLANK(S109), 100, IF(ISNA(VLOOKUP(S109, Lives!$A$2:$C$35, 2, 0)), S109, VLOOKUP(S109, Lives!$A$2:$C$35, 2, 0))) * 12) + (IF(ISBLANK(Q109), 0, IF(ISNA(VLOOKUP(Q109, Wages!$A$2:$C$17, 2, 0)), Q109, VLOOKUP(Q109, Wages!$A$2:$C$17, 2, 0))) * IF(ISBLANK(N109), 0, IF(ISNA(VLOOKUP(N109, Crews!$A$2:$C$28, 2, 0)), N109, VLOOKUP(N109, Crews!$A$2:$C$28, 2, 0))))) * 400</f>
        <v>19.16666667</v>
      </c>
      <c r="K109" s="1"/>
      <c r="L109" s="1" t="s">
        <v>216</v>
      </c>
      <c r="M109" s="1" t="n">
        <v>0</v>
      </c>
      <c r="N109" s="1"/>
      <c r="O109" s="1"/>
      <c r="P109" s="1"/>
      <c r="Q109" s="1"/>
      <c r="R109" s="1" t="s">
        <v>42</v>
      </c>
      <c r="S109" s="1" t="s">
        <v>43</v>
      </c>
      <c r="T109" s="1"/>
    </row>
    <row r="110" customFormat="false" ht="15" hidden="false" customHeight="true" outlineLevel="0" collapsed="false">
      <c r="A110" s="1" t="s">
        <v>217</v>
      </c>
      <c r="B110" s="1" t="n">
        <v>1763</v>
      </c>
      <c r="C110" s="1" t="n">
        <v>1</v>
      </c>
      <c r="D110" s="1" t="s">
        <v>38</v>
      </c>
      <c r="E110" s="1"/>
      <c r="F110" s="1"/>
      <c r="G110" s="1" t="n">
        <v>25</v>
      </c>
      <c r="H110" s="2" t="n">
        <v>46000</v>
      </c>
      <c r="I110" s="2" t="n">
        <f aca="false">(((H110 / 800) / IF(ISBLANK(R110), 1000000, IF(ISNA(VLOOKUP(R110, Mileages!$A$2:$C$34, 2, 0)), R110, VLOOKUP(R110, Mileages!$A$2:$C$34, 2, 0)))) + (F110 * IF(ISBLANK(P110), 1, P110) * IF(ISBLANK(T110), 0, IF(ISNA(VLOOKUP(T110, 'Fuel Costs'!$A$2:$C$42, 2, 0)), T110, VLOOKUP(T110, 'Fuel Costs'!$A$2:$C$42, 2, 0))) / IF(ISBLANK(O110), 1, O110))) * 100</f>
        <v>0.02875</v>
      </c>
      <c r="J110" s="2" t="n">
        <f aca="false">((H110 / 800) / (IF(ISBLANK(S110), 100, IF(ISNA(VLOOKUP(S110, Lives!$A$2:$C$35, 2, 0)), S110, VLOOKUP(S110, Lives!$A$2:$C$35, 2, 0))) * 12) + (IF(ISBLANK(Q110), 0, IF(ISNA(VLOOKUP(Q110, Wages!$A$2:$C$17, 2, 0)), Q110, VLOOKUP(Q110, Wages!$A$2:$C$17, 2, 0))) * IF(ISBLANK(N110), 0, IF(ISNA(VLOOKUP(N110, Crews!$A$2:$C$28, 2, 0)), N110, VLOOKUP(N110, Crews!$A$2:$C$28, 2, 0))))) * 400</f>
        <v>19.16666667</v>
      </c>
      <c r="K110" s="1" t="s">
        <v>218</v>
      </c>
      <c r="L110" s="1" t="s">
        <v>219</v>
      </c>
      <c r="M110" s="1" t="n">
        <v>0</v>
      </c>
      <c r="N110" s="1"/>
      <c r="O110" s="1"/>
      <c r="P110" s="1"/>
      <c r="Q110" s="1"/>
      <c r="R110" s="1" t="s">
        <v>42</v>
      </c>
      <c r="S110" s="1" t="s">
        <v>43</v>
      </c>
      <c r="T110" s="1"/>
    </row>
    <row r="111" customFormat="false" ht="15" hidden="false" customHeight="true" outlineLevel="0" collapsed="false">
      <c r="A111" s="1" t="s">
        <v>220</v>
      </c>
      <c r="B111" s="1" t="n">
        <v>1763</v>
      </c>
      <c r="C111" s="1" t="n">
        <v>1</v>
      </c>
      <c r="D111" s="1" t="s">
        <v>38</v>
      </c>
      <c r="E111" s="1"/>
      <c r="F111" s="1"/>
      <c r="G111" s="1" t="n">
        <v>25</v>
      </c>
      <c r="H111" s="2" t="n">
        <v>46000</v>
      </c>
      <c r="I111" s="2" t="n">
        <f aca="false">(((H111 / 800) / IF(ISBLANK(R111), 1000000, IF(ISNA(VLOOKUP(R111, Mileages!$A$2:$C$34, 2, 0)), R111, VLOOKUP(R111, Mileages!$A$2:$C$34, 2, 0)))) + (F111 * IF(ISBLANK(P111), 1, P111) * IF(ISBLANK(T111), 0, IF(ISNA(VLOOKUP(T111, 'Fuel Costs'!$A$2:$C$42, 2, 0)), T111, VLOOKUP(T111, 'Fuel Costs'!$A$2:$C$42, 2, 0))) / IF(ISBLANK(O111), 1, O111))) * 100</f>
        <v>0.02875</v>
      </c>
      <c r="J111" s="2" t="n">
        <f aca="false">((H111 / 800) / (IF(ISBLANK(S111), 100, IF(ISNA(VLOOKUP(S111, Lives!$A$2:$C$35, 2, 0)), S111, VLOOKUP(S111, Lives!$A$2:$C$35, 2, 0))) * 12) + (IF(ISBLANK(Q111), 0, IF(ISNA(VLOOKUP(Q111, Wages!$A$2:$C$17, 2, 0)), Q111, VLOOKUP(Q111, Wages!$A$2:$C$17, 2, 0))) * IF(ISBLANK(N111), 0, IF(ISNA(VLOOKUP(N111, Crews!$A$2:$C$28, 2, 0)), N111, VLOOKUP(N111, Crews!$A$2:$C$28, 2, 0))))) * 400</f>
        <v>19.16666667</v>
      </c>
      <c r="K111" s="1"/>
      <c r="L111" s="1" t="s">
        <v>221</v>
      </c>
      <c r="M111" s="1" t="n">
        <v>0</v>
      </c>
      <c r="N111" s="1"/>
      <c r="O111" s="1"/>
      <c r="P111" s="1"/>
      <c r="Q111" s="1"/>
      <c r="R111" s="1" t="s">
        <v>42</v>
      </c>
      <c r="S111" s="1" t="s">
        <v>43</v>
      </c>
      <c r="T111" s="1"/>
    </row>
    <row r="112" customFormat="false" ht="15" hidden="false" customHeight="true" outlineLevel="0" collapsed="false">
      <c r="A112" s="1" t="s">
        <v>222</v>
      </c>
      <c r="B112" s="1" t="n">
        <v>1763</v>
      </c>
      <c r="C112" s="1" t="n">
        <v>1</v>
      </c>
      <c r="D112" s="1" t="s">
        <v>38</v>
      </c>
      <c r="E112" s="1"/>
      <c r="F112" s="1"/>
      <c r="G112" s="1" t="n">
        <v>25</v>
      </c>
      <c r="H112" s="2" t="n">
        <v>46000</v>
      </c>
      <c r="I112" s="2" t="n">
        <f aca="false">(((H112 / 800) / IF(ISBLANK(R112), 1000000, IF(ISNA(VLOOKUP(R112, Mileages!$A$2:$C$34, 2, 0)), R112, VLOOKUP(R112, Mileages!$A$2:$C$34, 2, 0)))) + (F112 * IF(ISBLANK(P112), 1, P112) * IF(ISBLANK(T112), 0, IF(ISNA(VLOOKUP(T112, 'Fuel Costs'!$A$2:$C$42, 2, 0)), T112, VLOOKUP(T112, 'Fuel Costs'!$A$2:$C$42, 2, 0))) / IF(ISBLANK(O112), 1, O112))) * 100</f>
        <v>0.02875</v>
      </c>
      <c r="J112" s="2" t="n">
        <f aca="false">((H112 / 800) / (IF(ISBLANK(S112), 100, IF(ISNA(VLOOKUP(S112, Lives!$A$2:$C$35, 2, 0)), S112, VLOOKUP(S112, Lives!$A$2:$C$35, 2, 0))) * 12) + (IF(ISBLANK(Q112), 0, IF(ISNA(VLOOKUP(Q112, Wages!$A$2:$C$17, 2, 0)), Q112, VLOOKUP(Q112, Wages!$A$2:$C$17, 2, 0))) * IF(ISBLANK(N112), 0, IF(ISNA(VLOOKUP(N112, Crews!$A$2:$C$28, 2, 0)), N112, VLOOKUP(N112, Crews!$A$2:$C$28, 2, 0))))) * 400</f>
        <v>19.16666667</v>
      </c>
      <c r="K112" s="3" t="s">
        <v>223</v>
      </c>
      <c r="L112" s="1" t="s">
        <v>224</v>
      </c>
      <c r="M112" s="1" t="n">
        <v>0</v>
      </c>
      <c r="N112" s="1"/>
      <c r="O112" s="1"/>
      <c r="P112" s="1"/>
      <c r="Q112" s="1"/>
      <c r="R112" s="1" t="s">
        <v>42</v>
      </c>
      <c r="S112" s="1" t="s">
        <v>43</v>
      </c>
      <c r="T112" s="1"/>
    </row>
    <row r="113" customFormat="false" ht="15" hidden="false" customHeight="true" outlineLevel="0" collapsed="false">
      <c r="A113" s="1" t="s">
        <v>225</v>
      </c>
      <c r="B113" s="1" t="n">
        <v>1763</v>
      </c>
      <c r="C113" s="1" t="n">
        <v>1</v>
      </c>
      <c r="D113" s="1" t="s">
        <v>38</v>
      </c>
      <c r="E113" s="1"/>
      <c r="F113" s="1"/>
      <c r="G113" s="1" t="n">
        <v>25</v>
      </c>
      <c r="H113" s="2" t="n">
        <v>46000</v>
      </c>
      <c r="I113" s="2" t="n">
        <f aca="false">(((H113 / 800) / IF(ISBLANK(R113), 1000000, IF(ISNA(VLOOKUP(R113, Mileages!$A$2:$C$34, 2, 0)), R113, VLOOKUP(R113, Mileages!$A$2:$C$34, 2, 0)))) + (F113 * IF(ISBLANK(P113), 1, P113) * IF(ISBLANK(T113), 0, IF(ISNA(VLOOKUP(T113, 'Fuel Costs'!$A$2:$C$42, 2, 0)), T113, VLOOKUP(T113, 'Fuel Costs'!$A$2:$C$42, 2, 0))) / IF(ISBLANK(O113), 1, O113))) * 100</f>
        <v>0.02875</v>
      </c>
      <c r="J113" s="2" t="n">
        <f aca="false">((H113 / 800) / (IF(ISBLANK(S113), 100, IF(ISNA(VLOOKUP(S113, Lives!$A$2:$C$35, 2, 0)), S113, VLOOKUP(S113, Lives!$A$2:$C$35, 2, 0))) * 12) + (IF(ISBLANK(Q113), 0, IF(ISNA(VLOOKUP(Q113, Wages!$A$2:$C$17, 2, 0)), Q113, VLOOKUP(Q113, Wages!$A$2:$C$17, 2, 0))) * IF(ISBLANK(N113), 0, IF(ISNA(VLOOKUP(N113, Crews!$A$2:$C$28, 2, 0)), N113, VLOOKUP(N113, Crews!$A$2:$C$28, 2, 0))))) * 400</f>
        <v>19.16666667</v>
      </c>
      <c r="K113" s="1"/>
      <c r="L113" s="1" t="s">
        <v>226</v>
      </c>
      <c r="M113" s="1" t="n">
        <v>0</v>
      </c>
      <c r="N113" s="1"/>
      <c r="O113" s="1"/>
      <c r="P113" s="1"/>
      <c r="Q113" s="1"/>
      <c r="R113" s="1" t="s">
        <v>42</v>
      </c>
      <c r="S113" s="1" t="s">
        <v>43</v>
      </c>
      <c r="T113" s="1"/>
    </row>
    <row r="114" customFormat="false" ht="15" hidden="false" customHeight="true" outlineLevel="0" collapsed="false">
      <c r="A114" s="1" t="s">
        <v>227</v>
      </c>
      <c r="B114" s="1" t="n">
        <v>1770</v>
      </c>
      <c r="C114" s="1" t="n">
        <v>4</v>
      </c>
      <c r="D114" s="1" t="s">
        <v>21</v>
      </c>
      <c r="E114" s="1"/>
      <c r="F114" s="1"/>
      <c r="G114" s="1" t="n">
        <v>15</v>
      </c>
      <c r="H114" s="2" t="n">
        <v>65000</v>
      </c>
      <c r="I114" s="2" t="n">
        <f aca="false">(((H114 / 800) / IF(ISBLANK(R114), 1000000, IF(ISNA(VLOOKUP(R114, Mileages!$A$2:$C$34, 2, 0)), R114, VLOOKUP(R114, Mileages!$A$2:$C$34, 2, 0)))) + (F114 * IF(ISBLANK(P114), 1, P114) * IF(ISBLANK(T114), 0, IF(ISNA(VLOOKUP(T114, 'Fuel Costs'!$A$2:$C$42, 2, 0)), T114, VLOOKUP(T114, 'Fuel Costs'!$A$2:$C$42, 2, 0))) / IF(ISBLANK(O114), 1, O114))) * 100</f>
        <v>0.040625</v>
      </c>
      <c r="J114" s="2" t="n">
        <f aca="false">((H114 / 800) / (IF(ISBLANK(S114), 100, IF(ISNA(VLOOKUP(S114, Lives!$A$2:$C$35, 2, 0)), S114, VLOOKUP(S114, Lives!$A$2:$C$35, 2, 0))) * 12) + (IF(ISBLANK(Q114), 0, IF(ISNA(VLOOKUP(Q114, Wages!$A$2:$C$17, 2, 0)), Q114, VLOOKUP(Q114, Wages!$A$2:$C$17, 2, 0))) * IF(ISBLANK(N114), 0, IF(ISNA(VLOOKUP(N114, Crews!$A$2:$C$28, 2, 0)), N114, VLOOKUP(N114, Crews!$A$2:$C$28, 2, 0))))) * 400</f>
        <v>4827.083333</v>
      </c>
      <c r="K114" s="3" t="s">
        <v>228</v>
      </c>
      <c r="L114" s="1" t="s">
        <v>229</v>
      </c>
      <c r="M114" s="1" t="n">
        <v>0</v>
      </c>
      <c r="N114" s="1" t="s">
        <v>25</v>
      </c>
      <c r="O114" s="1"/>
      <c r="P114" s="1"/>
      <c r="Q114" s="1" t="s">
        <v>41</v>
      </c>
      <c r="R114" s="1" t="s">
        <v>42</v>
      </c>
      <c r="S114" s="1" t="s">
        <v>43</v>
      </c>
      <c r="T114" s="1"/>
    </row>
    <row r="115" customFormat="false" ht="15" hidden="false" customHeight="true" outlineLevel="0" collapsed="false">
      <c r="A115" s="1" t="s">
        <v>230</v>
      </c>
      <c r="B115" s="1" t="n">
        <v>1775</v>
      </c>
      <c r="C115" s="1" t="n">
        <v>12</v>
      </c>
      <c r="D115" s="1" t="s">
        <v>21</v>
      </c>
      <c r="E115" s="1"/>
      <c r="F115" s="1"/>
      <c r="G115" s="1" t="n">
        <v>12</v>
      </c>
      <c r="H115" s="2" t="n">
        <v>42500</v>
      </c>
      <c r="I115" s="2" t="n">
        <f aca="false">(((H115 / 800) / IF(ISBLANK(R115), 1000000, IF(ISNA(VLOOKUP(R115, Mileages!$A$2:$C$34, 2, 0)), R115, VLOOKUP(R115, Mileages!$A$2:$C$34, 2, 0)))) + (F115 * IF(ISBLANK(P115), 1, P115) * IF(ISBLANK(T115), 0, IF(ISNA(VLOOKUP(T115, 'Fuel Costs'!$A$2:$C$42, 2, 0)), T115, VLOOKUP(T115, 'Fuel Costs'!$A$2:$C$42, 2, 0))) / IF(ISBLANK(O115), 1, O115))) * 100</f>
        <v>0.0265625</v>
      </c>
      <c r="J115" s="2" t="n">
        <f aca="false">((H115 / 800) / (IF(ISBLANK(S115), 100, IF(ISNA(VLOOKUP(S115, Lives!$A$2:$C$35, 2, 0)), S115, VLOOKUP(S115, Lives!$A$2:$C$35, 2, 0))) * 12) + (IF(ISBLANK(Q115), 0, IF(ISNA(VLOOKUP(Q115, Wages!$A$2:$C$17, 2, 0)), Q115, VLOOKUP(Q115, Wages!$A$2:$C$17, 2, 0))) * IF(ISBLANK(N115), 0, IF(ISNA(VLOOKUP(N115, Crews!$A$2:$C$28, 2, 0)), N115, VLOOKUP(N115, Crews!$A$2:$C$28, 2, 0))))) * 400</f>
        <v>4817.708333</v>
      </c>
      <c r="K115" s="6" t="s">
        <v>231</v>
      </c>
      <c r="L115" s="1" t="s">
        <v>232</v>
      </c>
      <c r="M115" s="1" t="n">
        <v>0</v>
      </c>
      <c r="N115" s="1" t="s">
        <v>25</v>
      </c>
      <c r="O115" s="1"/>
      <c r="P115" s="1"/>
      <c r="Q115" s="1" t="s">
        <v>41</v>
      </c>
      <c r="R115" s="1" t="s">
        <v>42</v>
      </c>
      <c r="S115" s="1" t="s">
        <v>43</v>
      </c>
      <c r="T115" s="1"/>
    </row>
    <row r="116" customFormat="false" ht="15" hidden="false" customHeight="true" outlineLevel="0" collapsed="false">
      <c r="A116" s="1" t="s">
        <v>233</v>
      </c>
      <c r="B116" s="1" t="n">
        <v>1785</v>
      </c>
      <c r="C116" s="1" t="n">
        <v>1</v>
      </c>
      <c r="D116" s="1" t="s">
        <v>38</v>
      </c>
      <c r="E116" s="1" t="s">
        <v>22</v>
      </c>
      <c r="F116" s="1" t="n">
        <v>1</v>
      </c>
      <c r="G116" s="1" t="n">
        <v>14</v>
      </c>
      <c r="H116" s="2" t="n">
        <v>75000</v>
      </c>
      <c r="I116" s="2" t="n">
        <f aca="false">(((H116 / 800) / IF(ISBLANK(R116), 1000000, IF(ISNA(VLOOKUP(R116, Mileages!$A$2:$C$34, 2, 0)), R116, VLOOKUP(R116, Mileages!$A$2:$C$34, 2, 0)))) + (F116 * IF(ISBLANK(P116), 1, P116) * IF(ISBLANK(T116), 0, IF(ISNA(VLOOKUP(T116, 'Fuel Costs'!$A$2:$C$42, 2, 0)), T116, VLOOKUP(T116, 'Fuel Costs'!$A$2:$C$42, 2, 0))) / IF(ISBLANK(O116), 1, O116))) * 100</f>
        <v>2.500000009</v>
      </c>
      <c r="J116" s="2" t="n">
        <f aca="false">((H116 / 800) / (IF(ISBLANK(S116), 100, IF(ISNA(VLOOKUP(S116, Lives!$A$2:$C$35, 2, 0)), S116, VLOOKUP(S116, Lives!$A$2:$C$35, 2, 0))) * 12) + (IF(ISBLANK(Q116), 0, IF(ISNA(VLOOKUP(Q116, Wages!$A$2:$C$17, 2, 0)), Q116, VLOOKUP(Q116, Wages!$A$2:$C$17, 2, 0))) * IF(ISBLANK(N116), 0, IF(ISNA(VLOOKUP(N116, Crews!$A$2:$C$28, 2, 0)), N116, VLOOKUP(N116, Crews!$A$2:$C$28, 2, 0))))) * 400</f>
        <v>1656.25</v>
      </c>
      <c r="K116" s="1" t="s">
        <v>234</v>
      </c>
      <c r="L116" s="1" t="s">
        <v>235</v>
      </c>
      <c r="M116" s="1" t="n">
        <v>0</v>
      </c>
      <c r="N116" s="4" t="s">
        <v>153</v>
      </c>
      <c r="O116" s="1"/>
      <c r="P116" s="1"/>
      <c r="Q116" s="1" t="s">
        <v>26</v>
      </c>
      <c r="R116" s="5" t="s">
        <v>87</v>
      </c>
      <c r="S116" s="5" t="s">
        <v>87</v>
      </c>
      <c r="T116" s="5" t="s">
        <v>87</v>
      </c>
    </row>
    <row r="117" customFormat="false" ht="15" hidden="false" customHeight="true" outlineLevel="0" collapsed="false">
      <c r="A117" s="1" t="s">
        <v>236</v>
      </c>
      <c r="B117" s="1" t="n">
        <v>1785</v>
      </c>
      <c r="C117" s="1" t="n">
        <v>1</v>
      </c>
      <c r="D117" s="1" t="s">
        <v>21</v>
      </c>
      <c r="E117" s="1" t="s">
        <v>22</v>
      </c>
      <c r="F117" s="1" t="n">
        <v>2</v>
      </c>
      <c r="G117" s="1" t="n">
        <v>14</v>
      </c>
      <c r="H117" s="2" t="n">
        <v>150000</v>
      </c>
      <c r="I117" s="2" t="n">
        <f aca="false">(((H117 / 800) / IF(ISBLANK(R117), 1000000, IF(ISNA(VLOOKUP(R117, Mileages!$A$2:$C$34, 2, 0)), R117, VLOOKUP(R117, Mileages!$A$2:$C$34, 2, 0)))) + (F117 * IF(ISBLANK(P117), 1, P117) * IF(ISBLANK(T117), 0, IF(ISNA(VLOOKUP(T117, 'Fuel Costs'!$A$2:$C$42, 2, 0)), T117, VLOOKUP(T117, 'Fuel Costs'!$A$2:$C$42, 2, 0))) / IF(ISBLANK(O117), 1, O117))) * 100</f>
        <v>5.000000019</v>
      </c>
      <c r="J117" s="2" t="n">
        <f aca="false">((H117 / 800) / (IF(ISBLANK(S117), 100, IF(ISNA(VLOOKUP(S117, Lives!$A$2:$C$35, 2, 0)), S117, VLOOKUP(S117, Lives!$A$2:$C$35, 2, 0))) * 12) + (IF(ISBLANK(Q117), 0, IF(ISNA(VLOOKUP(Q117, Wages!$A$2:$C$17, 2, 0)), Q117, VLOOKUP(Q117, Wages!$A$2:$C$17, 2, 0))) * IF(ISBLANK(N117), 0, IF(ISNA(VLOOKUP(N117, Crews!$A$2:$C$28, 2, 0)), N117, VLOOKUP(N117, Crews!$A$2:$C$28, 2, 0))))) * 400</f>
        <v>312.5</v>
      </c>
      <c r="K117" s="1" t="s">
        <v>234</v>
      </c>
      <c r="L117" s="1" t="s">
        <v>237</v>
      </c>
      <c r="M117" s="1" t="n">
        <v>0</v>
      </c>
      <c r="N117" s="4"/>
      <c r="O117" s="1"/>
      <c r="P117" s="1"/>
      <c r="Q117" s="1"/>
      <c r="R117" s="5" t="s">
        <v>87</v>
      </c>
      <c r="S117" s="5" t="s">
        <v>87</v>
      </c>
      <c r="T117" s="5" t="s">
        <v>87</v>
      </c>
    </row>
    <row r="118" customFormat="false" ht="15" hidden="false" customHeight="true" outlineLevel="0" collapsed="false">
      <c r="A118" s="1" t="s">
        <v>238</v>
      </c>
      <c r="B118" s="1" t="n">
        <v>1787</v>
      </c>
      <c r="C118" s="1" t="n">
        <v>4</v>
      </c>
      <c r="D118" s="1" t="s">
        <v>21</v>
      </c>
      <c r="E118" s="1"/>
      <c r="F118" s="1"/>
      <c r="G118" s="1" t="n">
        <v>16</v>
      </c>
      <c r="H118" s="2" t="n">
        <v>87500</v>
      </c>
      <c r="I118" s="2" t="n">
        <f aca="false">(((H118 / 800) / IF(ISBLANK(R118), 1000000, IF(ISNA(VLOOKUP(R118, Mileages!$A$2:$C$34, 2, 0)), R118, VLOOKUP(R118, Mileages!$A$2:$C$34, 2, 0)))) + (F118 * IF(ISBLANK(P118), 1, P118) * IF(ISBLANK(T118), 0, IF(ISNA(VLOOKUP(T118, 'Fuel Costs'!$A$2:$C$42, 2, 0)), T118, VLOOKUP(T118, 'Fuel Costs'!$A$2:$C$42, 2, 0))) / IF(ISBLANK(O118), 1, O118))) * 100</f>
        <v>0.0546875</v>
      </c>
      <c r="J118" s="2" t="n">
        <f aca="false">((H118 / 800) / (IF(ISBLANK(S118), 100, IF(ISNA(VLOOKUP(S118, Lives!$A$2:$C$35, 2, 0)), S118, VLOOKUP(S118, Lives!$A$2:$C$35, 2, 0))) * 12) + (IF(ISBLANK(Q118), 0, IF(ISNA(VLOOKUP(Q118, Wages!$A$2:$C$17, 2, 0)), Q118, VLOOKUP(Q118, Wages!$A$2:$C$17, 2, 0))) * IF(ISBLANK(N118), 0, IF(ISNA(VLOOKUP(N118, Crews!$A$2:$C$28, 2, 0)), N118, VLOOKUP(N118, Crews!$A$2:$C$28, 2, 0))))) * 400</f>
        <v>4836.458333</v>
      </c>
      <c r="K118" s="3" t="s">
        <v>239</v>
      </c>
      <c r="L118" s="1" t="s">
        <v>240</v>
      </c>
      <c r="M118" s="1" t="n">
        <v>0</v>
      </c>
      <c r="N118" s="1" t="s">
        <v>25</v>
      </c>
      <c r="O118" s="1"/>
      <c r="P118" s="1"/>
      <c r="Q118" s="1" t="s">
        <v>41</v>
      </c>
      <c r="R118" s="1" t="s">
        <v>42</v>
      </c>
      <c r="S118" s="1" t="s">
        <v>43</v>
      </c>
      <c r="T118" s="1"/>
    </row>
    <row r="119" customFormat="false" ht="15" hidden="false" customHeight="true" outlineLevel="0" collapsed="false">
      <c r="A119" s="1" t="s">
        <v>241</v>
      </c>
      <c r="B119" s="1" t="n">
        <v>1787</v>
      </c>
      <c r="C119" s="1" t="n">
        <v>4</v>
      </c>
      <c r="D119" s="1" t="s">
        <v>21</v>
      </c>
      <c r="E119" s="1"/>
      <c r="F119" s="1"/>
      <c r="G119" s="1" t="n">
        <v>16</v>
      </c>
      <c r="H119" s="2" t="n">
        <v>87500</v>
      </c>
      <c r="I119" s="2" t="n">
        <f aca="false">(((H119 / 800) / IF(ISBLANK(R119), 1000000, IF(ISNA(VLOOKUP(R119, Mileages!$A$2:$C$34, 2, 0)), R119, VLOOKUP(R119, Mileages!$A$2:$C$34, 2, 0)))) + (F119 * IF(ISBLANK(P119), 1, P119) * IF(ISBLANK(T119), 0, IF(ISNA(VLOOKUP(T119, 'Fuel Costs'!$A$2:$C$42, 2, 0)), T119, VLOOKUP(T119, 'Fuel Costs'!$A$2:$C$42, 2, 0))) / IF(ISBLANK(O119), 1, O119))) * 100</f>
        <v>0.0546875</v>
      </c>
      <c r="J119" s="2" t="n">
        <f aca="false">((H119 / 800) / (IF(ISBLANK(S119), 100, IF(ISNA(VLOOKUP(S119, Lives!$A$2:$C$35, 2, 0)), S119, VLOOKUP(S119, Lives!$A$2:$C$35, 2, 0))) * 12) + (IF(ISBLANK(Q119), 0, IF(ISNA(VLOOKUP(Q119, Wages!$A$2:$C$17, 2, 0)), Q119, VLOOKUP(Q119, Wages!$A$2:$C$17, 2, 0))) * IF(ISBLANK(N119), 0, IF(ISNA(VLOOKUP(N119, Crews!$A$2:$C$28, 2, 0)), N119, VLOOKUP(N119, Crews!$A$2:$C$28, 2, 0))))) * 400</f>
        <v>4836.458333</v>
      </c>
      <c r="K119" s="3" t="s">
        <v>242</v>
      </c>
      <c r="L119" s="1" t="s">
        <v>243</v>
      </c>
      <c r="M119" s="1" t="n">
        <v>0</v>
      </c>
      <c r="N119" s="1" t="s">
        <v>25</v>
      </c>
      <c r="O119" s="1"/>
      <c r="P119" s="1"/>
      <c r="Q119" s="1" t="s">
        <v>41</v>
      </c>
      <c r="R119" s="1" t="s">
        <v>42</v>
      </c>
      <c r="S119" s="1" t="s">
        <v>43</v>
      </c>
      <c r="T119" s="1"/>
    </row>
    <row r="120" customFormat="false" ht="15" hidden="false" customHeight="true" outlineLevel="0" collapsed="false">
      <c r="A120" s="1" t="s">
        <v>244</v>
      </c>
      <c r="B120" s="1" t="n">
        <v>1787</v>
      </c>
      <c r="C120" s="1" t="n">
        <v>4</v>
      </c>
      <c r="D120" s="1" t="s">
        <v>21</v>
      </c>
      <c r="E120" s="1"/>
      <c r="F120" s="1"/>
      <c r="G120" s="1" t="n">
        <v>18</v>
      </c>
      <c r="H120" s="2"/>
      <c r="I120" s="2" t="n">
        <f aca="false">(((H120 / 800) / IF(ISBLANK(R120), 1000000, IF(ISNA(VLOOKUP(R120, Mileages!$A$2:$C$34, 2, 0)), R120, VLOOKUP(R120, Mileages!$A$2:$C$34, 2, 0)))) + (F120 * IF(ISBLANK(P120), 1, P120) * IF(ISBLANK(T120), 0, IF(ISNA(VLOOKUP(T120, 'Fuel Costs'!$A$2:$C$42, 2, 0)), T120, VLOOKUP(T120, 'Fuel Costs'!$A$2:$C$42, 2, 0))) / IF(ISBLANK(O120), 1, O120))) * 100</f>
        <v>0</v>
      </c>
      <c r="J120" s="2" t="n">
        <f aca="false">((H120 / 800) / (IF(ISBLANK(S120), 100, IF(ISNA(VLOOKUP(S120, Lives!$A$2:$C$35, 2, 0)), S120, VLOOKUP(S120, Lives!$A$2:$C$35, 2, 0))) * 12) + (IF(ISBLANK(Q120), 0, IF(ISNA(VLOOKUP(Q120, Wages!$A$2:$C$17, 2, 0)), Q120, VLOOKUP(Q120, Wages!$A$2:$C$17, 2, 0))) * IF(ISBLANK(N120), 0, IF(ISNA(VLOOKUP(N120, Crews!$A$2:$C$28, 2, 0)), N120, VLOOKUP(N120, Crews!$A$2:$C$28, 2, 0))))) * 400</f>
        <v>0</v>
      </c>
      <c r="K120" s="3" t="s">
        <v>245</v>
      </c>
      <c r="L120" s="1" t="s">
        <v>246</v>
      </c>
      <c r="M120" s="1" t="n">
        <v>0</v>
      </c>
      <c r="N120" s="1"/>
      <c r="O120" s="1"/>
      <c r="P120" s="1"/>
      <c r="Q120" s="1"/>
      <c r="R120" s="1"/>
      <c r="S120" s="1"/>
      <c r="T120" s="1"/>
    </row>
    <row r="121" customFormat="false" ht="15" hidden="false" customHeight="true" outlineLevel="0" collapsed="false">
      <c r="A121" s="1" t="s">
        <v>247</v>
      </c>
      <c r="B121" s="1" t="n">
        <v>1795</v>
      </c>
      <c r="C121" s="1" t="n">
        <v>12</v>
      </c>
      <c r="D121" s="1" t="s">
        <v>21</v>
      </c>
      <c r="E121" s="1"/>
      <c r="F121" s="1"/>
      <c r="G121" s="1" t="n">
        <v>18</v>
      </c>
      <c r="H121" s="2" t="n">
        <v>101000</v>
      </c>
      <c r="I121" s="2" t="n">
        <f aca="false">(((H121 / 800) / IF(ISBLANK(R121), 1000000, IF(ISNA(VLOOKUP(R121, Mileages!$A$2:$C$34, 2, 0)), R121, VLOOKUP(R121, Mileages!$A$2:$C$34, 2, 0)))) + (F121 * IF(ISBLANK(P121), 1, P121) * IF(ISBLANK(T121), 0, IF(ISNA(VLOOKUP(T121, 'Fuel Costs'!$A$2:$C$42, 2, 0)), T121, VLOOKUP(T121, 'Fuel Costs'!$A$2:$C$42, 2, 0))) / IF(ISBLANK(O121), 1, O121))) * 100</f>
        <v>0.063125</v>
      </c>
      <c r="J121" s="2" t="n">
        <f aca="false">((H121 / 800) / (IF(ISBLANK(S121), 100, IF(ISNA(VLOOKUP(S121, Lives!$A$2:$C$35, 2, 0)), S121, VLOOKUP(S121, Lives!$A$2:$C$35, 2, 0))) * 12) + (IF(ISBLANK(Q121), 0, IF(ISNA(VLOOKUP(Q121, Wages!$A$2:$C$17, 2, 0)), Q121, VLOOKUP(Q121, Wages!$A$2:$C$17, 2, 0))) * IF(ISBLANK(N121), 0, IF(ISNA(VLOOKUP(N121, Crews!$A$2:$C$28, 2, 0)), N121, VLOOKUP(N121, Crews!$A$2:$C$28, 2, 0))))) * 400</f>
        <v>4842.083333</v>
      </c>
      <c r="K121" s="3" t="s">
        <v>248</v>
      </c>
      <c r="L121" s="1" t="s">
        <v>249</v>
      </c>
      <c r="M121" s="1" t="n">
        <v>0</v>
      </c>
      <c r="N121" s="1" t="s">
        <v>25</v>
      </c>
      <c r="O121" s="1"/>
      <c r="P121" s="1"/>
      <c r="Q121" s="1" t="s">
        <v>41</v>
      </c>
      <c r="R121" s="1" t="s">
        <v>42</v>
      </c>
      <c r="S121" s="1" t="s">
        <v>43</v>
      </c>
      <c r="T121" s="1"/>
    </row>
    <row r="122" customFormat="false" ht="15" hidden="false" customHeight="true" outlineLevel="0" collapsed="false">
      <c r="A122" s="1" t="s">
        <v>250</v>
      </c>
      <c r="B122" s="1" t="n">
        <v>1795</v>
      </c>
      <c r="C122" s="1" t="n">
        <v>12</v>
      </c>
      <c r="D122" s="1" t="s">
        <v>21</v>
      </c>
      <c r="E122" s="1"/>
      <c r="F122" s="1"/>
      <c r="G122" s="1" t="n">
        <v>18</v>
      </c>
      <c r="H122" s="2" t="n">
        <v>101000</v>
      </c>
      <c r="I122" s="2" t="n">
        <f aca="false">(((H122 / 800) / IF(ISBLANK(R122), 1000000, IF(ISNA(VLOOKUP(R122, Mileages!$A$2:$C$34, 2, 0)), R122, VLOOKUP(R122, Mileages!$A$2:$C$34, 2, 0)))) + (F122 * IF(ISBLANK(P122), 1, P122) * IF(ISBLANK(T122), 0, IF(ISNA(VLOOKUP(T122, 'Fuel Costs'!$A$2:$C$42, 2, 0)), T122, VLOOKUP(T122, 'Fuel Costs'!$A$2:$C$42, 2, 0))) / IF(ISBLANK(O122), 1, O122))) * 100</f>
        <v>0.063125</v>
      </c>
      <c r="J122" s="2" t="n">
        <f aca="false">((H122 / 800) / (IF(ISBLANK(S122), 100, IF(ISNA(VLOOKUP(S122, Lives!$A$2:$C$35, 2, 0)), S122, VLOOKUP(S122, Lives!$A$2:$C$35, 2, 0))) * 12) + (IF(ISBLANK(Q122), 0, IF(ISNA(VLOOKUP(Q122, Wages!$A$2:$C$17, 2, 0)), Q122, VLOOKUP(Q122, Wages!$A$2:$C$17, 2, 0))) * IF(ISBLANK(N122), 0, IF(ISNA(VLOOKUP(N122, Crews!$A$2:$C$28, 2, 0)), N122, VLOOKUP(N122, Crews!$A$2:$C$28, 2, 0))))) * 400</f>
        <v>4842.083333</v>
      </c>
      <c r="K122" s="3" t="s">
        <v>251</v>
      </c>
      <c r="L122" s="1" t="s">
        <v>252</v>
      </c>
      <c r="M122" s="1" t="n">
        <v>0</v>
      </c>
      <c r="N122" s="1" t="s">
        <v>25</v>
      </c>
      <c r="O122" s="1"/>
      <c r="P122" s="1"/>
      <c r="Q122" s="1" t="s">
        <v>41</v>
      </c>
      <c r="R122" s="1" t="s">
        <v>42</v>
      </c>
      <c r="S122" s="1" t="s">
        <v>43</v>
      </c>
      <c r="T122" s="1"/>
    </row>
    <row r="123" customFormat="false" ht="15" hidden="false" customHeight="true" outlineLevel="0" collapsed="false">
      <c r="A123" s="1" t="s">
        <v>253</v>
      </c>
      <c r="B123" s="1" t="n">
        <v>1802</v>
      </c>
      <c r="C123" s="1" t="n">
        <v>1</v>
      </c>
      <c r="D123" s="1" t="s">
        <v>29</v>
      </c>
      <c r="E123" s="1"/>
      <c r="F123" s="1"/>
      <c r="G123" s="1" t="n">
        <v>17</v>
      </c>
      <c r="H123" s="2"/>
      <c r="I123" s="2"/>
      <c r="J123" s="2"/>
      <c r="K123" s="1" t="s">
        <v>102</v>
      </c>
      <c r="L123" s="1" t="s">
        <v>254</v>
      </c>
      <c r="M123" s="1" t="n">
        <v>0</v>
      </c>
      <c r="N123" s="1"/>
      <c r="O123" s="1"/>
      <c r="P123" s="1"/>
      <c r="Q123" s="1"/>
      <c r="R123" s="1"/>
      <c r="S123" s="1"/>
      <c r="T123" s="1"/>
    </row>
    <row r="124" customFormat="false" ht="15" hidden="false" customHeight="true" outlineLevel="0" collapsed="false">
      <c r="A124" s="1" t="s">
        <v>255</v>
      </c>
      <c r="B124" s="1" t="n">
        <v>1802</v>
      </c>
      <c r="C124" s="1" t="n">
        <v>1</v>
      </c>
      <c r="D124" s="1" t="s">
        <v>29</v>
      </c>
      <c r="E124" s="1"/>
      <c r="F124" s="1"/>
      <c r="G124" s="1" t="n">
        <v>17</v>
      </c>
      <c r="H124" s="2" t="n">
        <v>20000</v>
      </c>
      <c r="I124" s="2" t="n">
        <f aca="false">(((H124 / 800) / IF(ISBLANK(R124), 1000000, IF(ISNA(VLOOKUP(R124, Mileages!$A$2:$C$34, 2, 0)), R124, VLOOKUP(R124, Mileages!$A$2:$C$34, 2, 0)))) + (F124 * IF(ISBLANK(P124), 1, P124) * IF(ISBLANK(T124), 0, IF(ISNA(VLOOKUP(T124, 'Fuel Costs'!$A$2:$C$42, 2, 0)), T124, VLOOKUP(T124, 'Fuel Costs'!$A$2:$C$42, 2, 0))) / IF(ISBLANK(O124), 1, O124))) * 100</f>
        <v>0.003125</v>
      </c>
      <c r="J124" s="2" t="n">
        <f aca="false">((H124 / 800) / (IF(ISBLANK(S124), 100, IF(ISNA(VLOOKUP(S124, Lives!$A$2:$C$35, 2, 0)), S124, VLOOKUP(S124, Lives!$A$2:$C$35, 2, 0))) * 12) + (IF(ISBLANK(Q124), 0, IF(ISNA(VLOOKUP(Q124, Wages!$A$2:$C$17, 2, 0)), Q124, VLOOKUP(Q124, Wages!$A$2:$C$17, 2, 0))) * IF(ISBLANK(N124), 0, IF(ISNA(VLOOKUP(N124, Crews!$A$2:$C$28, 2, 0)), N124, VLOOKUP(N124, Crews!$A$2:$C$28, 2, 0))))) * 400</f>
        <v>4813.888889</v>
      </c>
      <c r="K124" s="3" t="s">
        <v>256</v>
      </c>
      <c r="L124" s="1" t="s">
        <v>257</v>
      </c>
      <c r="M124" s="1" t="n">
        <v>0</v>
      </c>
      <c r="N124" s="1" t="s">
        <v>25</v>
      </c>
      <c r="O124" s="1"/>
      <c r="P124" s="1"/>
      <c r="Q124" s="1" t="s">
        <v>41</v>
      </c>
      <c r="R124" s="4" t="s">
        <v>35</v>
      </c>
      <c r="S124" s="1" t="s">
        <v>35</v>
      </c>
      <c r="T124" s="1"/>
    </row>
    <row r="125" customFormat="false" ht="15" hidden="false" customHeight="true" outlineLevel="0" collapsed="false">
      <c r="A125" s="1" t="s">
        <v>258</v>
      </c>
      <c r="B125" s="1" t="n">
        <v>1805</v>
      </c>
      <c r="C125" s="1" t="n">
        <v>1</v>
      </c>
      <c r="D125" s="1" t="s">
        <v>38</v>
      </c>
      <c r="E125" s="1" t="s">
        <v>22</v>
      </c>
      <c r="F125" s="1" t="n">
        <v>1</v>
      </c>
      <c r="G125" s="1" t="n">
        <v>18</v>
      </c>
      <c r="H125" s="2" t="n">
        <v>250000</v>
      </c>
      <c r="I125" s="2" t="n">
        <f aca="false">(((H125 / 800) / IF(ISBLANK(R125), 1000000, IF(ISNA(VLOOKUP(R125, Mileages!$A$2:$C$34, 2, 0)), R125, VLOOKUP(R125, Mileages!$A$2:$C$34, 2, 0)))) + (F125 * IF(ISBLANK(P125), 1, P125) * IF(ISBLANK(T125), 0, IF(ISNA(VLOOKUP(T125, 'Fuel Costs'!$A$2:$C$42, 2, 0)), T125, VLOOKUP(T125, 'Fuel Costs'!$A$2:$C$42, 2, 0))) / IF(ISBLANK(O125), 1, O125))) * 100</f>
        <v>2.500000031</v>
      </c>
      <c r="J125" s="2" t="n">
        <f aca="false">((H125 / 800) / (IF(ISBLANK(S125), 100, IF(ISNA(VLOOKUP(S125, Lives!$A$2:$C$35, 2, 0)), S125, VLOOKUP(S125, Lives!$A$2:$C$35, 2, 0))) * 12) + (IF(ISBLANK(Q125), 0, IF(ISNA(VLOOKUP(Q125, Wages!$A$2:$C$17, 2, 0)), Q125, VLOOKUP(Q125, Wages!$A$2:$C$17, 2, 0))) * IF(ISBLANK(N125), 0, IF(ISNA(VLOOKUP(N125, Crews!$A$2:$C$28, 2, 0)), N125, VLOOKUP(N125, Crews!$A$2:$C$28, 2, 0))))) * 400</f>
        <v>2020.833333</v>
      </c>
      <c r="K125" s="3" t="s">
        <v>259</v>
      </c>
      <c r="L125" s="1" t="s">
        <v>260</v>
      </c>
      <c r="M125" s="1" t="n">
        <v>0</v>
      </c>
      <c r="N125" s="4" t="s">
        <v>153</v>
      </c>
      <c r="O125" s="1"/>
      <c r="P125" s="1"/>
      <c r="Q125" s="1" t="s">
        <v>26</v>
      </c>
      <c r="R125" s="5" t="s">
        <v>87</v>
      </c>
      <c r="S125" s="5" t="s">
        <v>87</v>
      </c>
      <c r="T125" s="5" t="s">
        <v>87</v>
      </c>
    </row>
    <row r="126" customFormat="false" ht="15" hidden="false" customHeight="true" outlineLevel="0" collapsed="false">
      <c r="A126" s="1" t="s">
        <v>261</v>
      </c>
      <c r="B126" s="1" t="n">
        <v>1805</v>
      </c>
      <c r="C126" s="1" t="n">
        <v>1</v>
      </c>
      <c r="D126" s="1" t="s">
        <v>21</v>
      </c>
      <c r="E126" s="1" t="s">
        <v>22</v>
      </c>
      <c r="F126" s="1" t="n">
        <v>2</v>
      </c>
      <c r="G126" s="1" t="n">
        <v>18</v>
      </c>
      <c r="H126" s="2" t="n">
        <v>500000</v>
      </c>
      <c r="I126" s="2" t="n">
        <f aca="false">(((H126 / 800) / IF(ISBLANK(R126), 1000000, IF(ISNA(VLOOKUP(R126, Mileages!$A$2:$C$34, 2, 0)), R126, VLOOKUP(R126, Mileages!$A$2:$C$34, 2, 0)))) + (F126 * IF(ISBLANK(P126), 1, P126) * IF(ISBLANK(T126), 0, IF(ISNA(VLOOKUP(T126, 'Fuel Costs'!$A$2:$C$42, 2, 0)), T126, VLOOKUP(T126, 'Fuel Costs'!$A$2:$C$42, 2, 0))) / IF(ISBLANK(O126), 1, O126))) * 100</f>
        <v>5.000000063</v>
      </c>
      <c r="J126" s="2" t="n">
        <f aca="false">((H126 / 800) / (IF(ISBLANK(S126), 100, IF(ISNA(VLOOKUP(S126, Lives!$A$2:$C$35, 2, 0)), S126, VLOOKUP(S126, Lives!$A$2:$C$35, 2, 0))) * 12) + (IF(ISBLANK(Q126), 0, IF(ISNA(VLOOKUP(Q126, Wages!$A$2:$C$17, 2, 0)), Q126, VLOOKUP(Q126, Wages!$A$2:$C$17, 2, 0))) * IF(ISBLANK(N126), 0, IF(ISNA(VLOOKUP(N126, Crews!$A$2:$C$28, 2, 0)), N126, VLOOKUP(N126, Crews!$A$2:$C$28, 2, 0))))) * 400</f>
        <v>1041.666667</v>
      </c>
      <c r="K126" s="3" t="s">
        <v>259</v>
      </c>
      <c r="L126" s="1" t="s">
        <v>262</v>
      </c>
      <c r="M126" s="1" t="n">
        <v>0</v>
      </c>
      <c r="N126" s="4"/>
      <c r="O126" s="1"/>
      <c r="P126" s="1"/>
      <c r="Q126" s="1"/>
      <c r="R126" s="5" t="s">
        <v>87</v>
      </c>
      <c r="S126" s="5" t="s">
        <v>87</v>
      </c>
      <c r="T126" s="5" t="s">
        <v>87</v>
      </c>
    </row>
    <row r="127" customFormat="false" ht="15" hidden="false" customHeight="true" outlineLevel="0" collapsed="false">
      <c r="A127" s="1" t="s">
        <v>263</v>
      </c>
      <c r="B127" s="1" t="n">
        <v>1807</v>
      </c>
      <c r="C127" s="1" t="n">
        <v>3</v>
      </c>
      <c r="D127" s="1" t="s">
        <v>38</v>
      </c>
      <c r="E127" s="1"/>
      <c r="F127" s="1"/>
      <c r="G127" s="1" t="n">
        <v>20</v>
      </c>
      <c r="H127" s="2" t="n">
        <v>46000</v>
      </c>
      <c r="I127" s="2" t="n">
        <f aca="false">(((H127 / 800) / IF(ISBLANK(R127), 1000000, IF(ISNA(VLOOKUP(R127, Mileages!$A$2:$C$34, 2, 0)), R127, VLOOKUP(R127, Mileages!$A$2:$C$34, 2, 0)))) + (F127 * IF(ISBLANK(P127), 1, P127) * IF(ISBLANK(T127), 0, IF(ISNA(VLOOKUP(T127, 'Fuel Costs'!$A$2:$C$42, 2, 0)), T127, VLOOKUP(T127, 'Fuel Costs'!$A$2:$C$42, 2, 0))) / IF(ISBLANK(O127), 1, O127))) * 100</f>
        <v>0.02875</v>
      </c>
      <c r="J127" s="2" t="n">
        <f aca="false">((H127 / 800) / (IF(ISBLANK(S127), 100, IF(ISNA(VLOOKUP(S127, Lives!$A$2:$C$35, 2, 0)), S127, VLOOKUP(S127, Lives!$A$2:$C$35, 2, 0))) * 12) + (IF(ISBLANK(Q127), 0, IF(ISNA(VLOOKUP(Q127, Wages!$A$2:$C$17, 2, 0)), Q127, VLOOKUP(Q127, Wages!$A$2:$C$17, 2, 0))) * IF(ISBLANK(N127), 0, IF(ISNA(VLOOKUP(N127, Crews!$A$2:$C$28, 2, 0)), N127, VLOOKUP(N127, Crews!$A$2:$C$28, 2, 0))))) * 400</f>
        <v>19.16666667</v>
      </c>
      <c r="K127" s="3" t="s">
        <v>264</v>
      </c>
      <c r="L127" s="1" t="s">
        <v>265</v>
      </c>
      <c r="M127" s="1" t="n">
        <v>0</v>
      </c>
      <c r="N127" s="1"/>
      <c r="O127" s="1"/>
      <c r="P127" s="1"/>
      <c r="Q127" s="1"/>
      <c r="R127" s="1" t="s">
        <v>42</v>
      </c>
      <c r="S127" s="1" t="s">
        <v>43</v>
      </c>
      <c r="T127" s="1"/>
    </row>
    <row r="128" customFormat="false" ht="15" hidden="false" customHeight="true" outlineLevel="0" collapsed="false">
      <c r="A128" s="1" t="s">
        <v>266</v>
      </c>
      <c r="B128" s="1" t="n">
        <v>1810</v>
      </c>
      <c r="C128" s="1" t="n">
        <v>1</v>
      </c>
      <c r="D128" s="1" t="s">
        <v>29</v>
      </c>
      <c r="E128" s="1" t="s">
        <v>30</v>
      </c>
      <c r="F128" s="1" t="n">
        <v>175</v>
      </c>
      <c r="G128" s="1" t="n">
        <v>15</v>
      </c>
      <c r="H128" s="2" t="n">
        <v>215000</v>
      </c>
      <c r="I128" s="2" t="n">
        <f aca="false">(((H128 / 800) / IF(ISBLANK(R128), 1000000, IF(ISNA(VLOOKUP(R128, Mileages!$A$2:$C$34, 2, 0)), R128, VLOOKUP(R128, Mileages!$A$2:$C$34, 2, 0)))) + (F128 * IF(ISBLANK(P128), 1, P128) * IF(ISBLANK(T128), 0, IF(ISNA(VLOOKUP(T128, 'Fuel Costs'!$A$2:$C$42, 2, 0)), T128, VLOOKUP(T128, 'Fuel Costs'!$A$2:$C$42, 2, 0))) / IF(ISBLANK(O128), 1, O128))) * 100</f>
        <v>0.03359375</v>
      </c>
      <c r="J128" s="2" t="n">
        <f aca="false">((H128 / 800) / (IF(ISBLANK(S128), 100, IF(ISNA(VLOOKUP(S128, Lives!$A$2:$C$35, 2, 0)), S128, VLOOKUP(S128, Lives!$A$2:$C$35, 2, 0))) * 12) + (IF(ISBLANK(Q128), 0, IF(ISNA(VLOOKUP(Q128, Wages!$A$2:$C$17, 2, 0)), Q128, VLOOKUP(Q128, Wages!$A$2:$C$17, 2, 0))) * IF(ISBLANK(N128), 0, IF(ISNA(VLOOKUP(N128, Crews!$A$2:$C$28, 2, 0)), N128, VLOOKUP(N128, Crews!$A$2:$C$28, 2, 0))))) * 400</f>
        <v>16149.30556</v>
      </c>
      <c r="K128" s="3" t="s">
        <v>267</v>
      </c>
      <c r="L128" s="1" t="s">
        <v>268</v>
      </c>
      <c r="M128" s="1" t="n">
        <v>0</v>
      </c>
      <c r="N128" s="1" t="s">
        <v>33</v>
      </c>
      <c r="O128" s="1"/>
      <c r="P128" s="1"/>
      <c r="Q128" s="1" t="s">
        <v>34</v>
      </c>
      <c r="R128" s="4" t="s">
        <v>35</v>
      </c>
      <c r="S128" s="1" t="s">
        <v>35</v>
      </c>
      <c r="T128" s="1" t="s">
        <v>36</v>
      </c>
    </row>
    <row r="129" customFormat="false" ht="15" hidden="false" customHeight="true" outlineLevel="0" collapsed="false">
      <c r="A129" s="1" t="s">
        <v>269</v>
      </c>
      <c r="B129" s="1" t="n">
        <v>1810</v>
      </c>
      <c r="C129" s="1" t="n">
        <v>1</v>
      </c>
      <c r="D129" s="1" t="s">
        <v>29</v>
      </c>
      <c r="E129" s="1" t="s">
        <v>30</v>
      </c>
      <c r="F129" s="1" t="n">
        <v>175</v>
      </c>
      <c r="G129" s="1" t="n">
        <v>15</v>
      </c>
      <c r="H129" s="2" t="n">
        <v>215000</v>
      </c>
      <c r="I129" s="2" t="n">
        <f aca="false">(((H129 / 800) / IF(ISBLANK(R129), 1000000, IF(ISNA(VLOOKUP(R129, Mileages!$A$2:$C$34, 2, 0)), R129, VLOOKUP(R129, Mileages!$A$2:$C$34, 2, 0)))) + (F129 * IF(ISBLANK(P129), 1, P129) * IF(ISBLANK(T129), 0, IF(ISNA(VLOOKUP(T129, 'Fuel Costs'!$A$2:$C$42, 2, 0)), T129, VLOOKUP(T129, 'Fuel Costs'!$A$2:$C$42, 2, 0))) / IF(ISBLANK(O129), 1, O129))) * 100</f>
        <v>0.03359375</v>
      </c>
      <c r="J129" s="2" t="n">
        <f aca="false">((H129 / 800) / (IF(ISBLANK(S129), 100, IF(ISNA(VLOOKUP(S129, Lives!$A$2:$C$35, 2, 0)), S129, VLOOKUP(S129, Lives!$A$2:$C$35, 2, 0))) * 12) + (IF(ISBLANK(Q129), 0, IF(ISNA(VLOOKUP(Q129, Wages!$A$2:$C$17, 2, 0)), Q129, VLOOKUP(Q129, Wages!$A$2:$C$17, 2, 0))) * IF(ISBLANK(N129), 0, IF(ISNA(VLOOKUP(N129, Crews!$A$2:$C$28, 2, 0)), N129, VLOOKUP(N129, Crews!$A$2:$C$28, 2, 0))))) * 400</f>
        <v>16149.30556</v>
      </c>
      <c r="K129" s="1" t="s">
        <v>96</v>
      </c>
      <c r="L129" s="1" t="s">
        <v>268</v>
      </c>
      <c r="M129" s="1" t="n">
        <v>1</v>
      </c>
      <c r="N129" s="1" t="s">
        <v>33</v>
      </c>
      <c r="O129" s="1"/>
      <c r="P129" s="1"/>
      <c r="Q129" s="1" t="s">
        <v>34</v>
      </c>
      <c r="R129" s="4" t="s">
        <v>35</v>
      </c>
      <c r="S129" s="1" t="s">
        <v>35</v>
      </c>
      <c r="T129" s="1" t="s">
        <v>36</v>
      </c>
    </row>
    <row r="130" customFormat="false" ht="15" hidden="false" customHeight="true" outlineLevel="0" collapsed="false">
      <c r="A130" s="1" t="s">
        <v>270</v>
      </c>
      <c r="B130" s="1" t="n">
        <v>1810</v>
      </c>
      <c r="C130" s="1" t="n">
        <v>1</v>
      </c>
      <c r="D130" s="1" t="s">
        <v>29</v>
      </c>
      <c r="E130" s="1" t="s">
        <v>30</v>
      </c>
      <c r="F130" s="1" t="n">
        <v>175</v>
      </c>
      <c r="G130" s="1" t="n">
        <v>15</v>
      </c>
      <c r="H130" s="2" t="n">
        <v>215000</v>
      </c>
      <c r="I130" s="2" t="n">
        <f aca="false">(((H130 / 800) / IF(ISBLANK(R130), 1000000, IF(ISNA(VLOOKUP(R130, Mileages!$A$2:$C$34, 2, 0)), R130, VLOOKUP(R130, Mileages!$A$2:$C$34, 2, 0)))) + (F130 * IF(ISBLANK(P130), 1, P130) * IF(ISBLANK(T130), 0, IF(ISNA(VLOOKUP(T130, 'Fuel Costs'!$A$2:$C$42, 2, 0)), T130, VLOOKUP(T130, 'Fuel Costs'!$A$2:$C$42, 2, 0))) / IF(ISBLANK(O130), 1, O130))) * 100</f>
        <v>0.03359375</v>
      </c>
      <c r="J130" s="2" t="n">
        <f aca="false">((H130 / 800) / (IF(ISBLANK(S130), 100, IF(ISNA(VLOOKUP(S130, Lives!$A$2:$C$35, 2, 0)), S130, VLOOKUP(S130, Lives!$A$2:$C$35, 2, 0))) * 12) + (IF(ISBLANK(Q130), 0, IF(ISNA(VLOOKUP(Q130, Wages!$A$2:$C$17, 2, 0)), Q130, VLOOKUP(Q130, Wages!$A$2:$C$17, 2, 0))) * IF(ISBLANK(N130), 0, IF(ISNA(VLOOKUP(N130, Crews!$A$2:$C$28, 2, 0)), N130, VLOOKUP(N130, Crews!$A$2:$C$28, 2, 0))))) * 400</f>
        <v>16149.30556</v>
      </c>
      <c r="K130" s="1" t="s">
        <v>96</v>
      </c>
      <c r="L130" s="1" t="s">
        <v>268</v>
      </c>
      <c r="M130" s="1" t="n">
        <v>2</v>
      </c>
      <c r="N130" s="1" t="s">
        <v>33</v>
      </c>
      <c r="O130" s="1"/>
      <c r="P130" s="1"/>
      <c r="Q130" s="1" t="s">
        <v>34</v>
      </c>
      <c r="R130" s="4" t="s">
        <v>35</v>
      </c>
      <c r="S130" s="1" t="s">
        <v>35</v>
      </c>
      <c r="T130" s="1" t="s">
        <v>36</v>
      </c>
    </row>
    <row r="131" customFormat="false" ht="15" hidden="false" customHeight="true" outlineLevel="0" collapsed="false">
      <c r="A131" s="1" t="s">
        <v>271</v>
      </c>
      <c r="B131" s="1" t="n">
        <v>1810</v>
      </c>
      <c r="C131" s="1" t="n">
        <v>1</v>
      </c>
      <c r="D131" s="1" t="s">
        <v>29</v>
      </c>
      <c r="E131" s="1" t="s">
        <v>30</v>
      </c>
      <c r="F131" s="1" t="n">
        <v>175</v>
      </c>
      <c r="G131" s="1" t="n">
        <v>15</v>
      </c>
      <c r="H131" s="2" t="n">
        <v>215000</v>
      </c>
      <c r="I131" s="2" t="n">
        <f aca="false">(((H131 / 800) / IF(ISBLANK(R131), 1000000, IF(ISNA(VLOOKUP(R131, Mileages!$A$2:$C$34, 2, 0)), R131, VLOOKUP(R131, Mileages!$A$2:$C$34, 2, 0)))) + (F131 * IF(ISBLANK(P131), 1, P131) * IF(ISBLANK(T131), 0, IF(ISNA(VLOOKUP(T131, 'Fuel Costs'!$A$2:$C$42, 2, 0)), T131, VLOOKUP(T131, 'Fuel Costs'!$A$2:$C$42, 2, 0))) / IF(ISBLANK(O131), 1, O131))) * 100</f>
        <v>0.03359375</v>
      </c>
      <c r="J131" s="2" t="n">
        <f aca="false">((H131 / 800) / (IF(ISBLANK(S131), 100, IF(ISNA(VLOOKUP(S131, Lives!$A$2:$C$35, 2, 0)), S131, VLOOKUP(S131, Lives!$A$2:$C$35, 2, 0))) * 12) + (IF(ISBLANK(Q131), 0, IF(ISNA(VLOOKUP(Q131, Wages!$A$2:$C$17, 2, 0)), Q131, VLOOKUP(Q131, Wages!$A$2:$C$17, 2, 0))) * IF(ISBLANK(N131), 0, IF(ISNA(VLOOKUP(N131, Crews!$A$2:$C$28, 2, 0)), N131, VLOOKUP(N131, Crews!$A$2:$C$28, 2, 0))))) * 400</f>
        <v>16149.30556</v>
      </c>
      <c r="K131" s="1" t="s">
        <v>96</v>
      </c>
      <c r="L131" s="1" t="s">
        <v>268</v>
      </c>
      <c r="M131" s="1" t="n">
        <v>3</v>
      </c>
      <c r="N131" s="1" t="s">
        <v>33</v>
      </c>
      <c r="O131" s="1"/>
      <c r="P131" s="1"/>
      <c r="Q131" s="1" t="s">
        <v>34</v>
      </c>
      <c r="R131" s="4" t="s">
        <v>35</v>
      </c>
      <c r="S131" s="1" t="s">
        <v>35</v>
      </c>
      <c r="T131" s="1" t="s">
        <v>36</v>
      </c>
    </row>
    <row r="132" customFormat="false" ht="15" hidden="false" customHeight="true" outlineLevel="0" collapsed="false">
      <c r="A132" s="1" t="s">
        <v>272</v>
      </c>
      <c r="B132" s="1" t="n">
        <v>1810</v>
      </c>
      <c r="C132" s="1" t="n">
        <v>1</v>
      </c>
      <c r="D132" s="1" t="s">
        <v>29</v>
      </c>
      <c r="E132" s="1" t="s">
        <v>30</v>
      </c>
      <c r="F132" s="1" t="n">
        <v>175</v>
      </c>
      <c r="G132" s="1" t="n">
        <v>15</v>
      </c>
      <c r="H132" s="2" t="n">
        <v>215000</v>
      </c>
      <c r="I132" s="2" t="n">
        <f aca="false">(((H132 / 800) / IF(ISBLANK(R132), 1000000, IF(ISNA(VLOOKUP(R132, Mileages!$A$2:$C$34, 2, 0)), R132, VLOOKUP(R132, Mileages!$A$2:$C$34, 2, 0)))) + (F132 * IF(ISBLANK(P132), 1, P132) * IF(ISBLANK(T132), 0, IF(ISNA(VLOOKUP(T132, 'Fuel Costs'!$A$2:$C$42, 2, 0)), T132, VLOOKUP(T132, 'Fuel Costs'!$A$2:$C$42, 2, 0))) / IF(ISBLANK(O132), 1, O132))) * 100</f>
        <v>0.03359375</v>
      </c>
      <c r="J132" s="2" t="n">
        <f aca="false">((H132 / 800) / (IF(ISBLANK(S132), 100, IF(ISNA(VLOOKUP(S132, Lives!$A$2:$C$35, 2, 0)), S132, VLOOKUP(S132, Lives!$A$2:$C$35, 2, 0))) * 12) + (IF(ISBLANK(Q132), 0, IF(ISNA(VLOOKUP(Q132, Wages!$A$2:$C$17, 2, 0)), Q132, VLOOKUP(Q132, Wages!$A$2:$C$17, 2, 0))) * IF(ISBLANK(N132), 0, IF(ISNA(VLOOKUP(N132, Crews!$A$2:$C$28, 2, 0)), N132, VLOOKUP(N132, Crews!$A$2:$C$28, 2, 0))))) * 400</f>
        <v>16149.30556</v>
      </c>
      <c r="K132" s="1" t="s">
        <v>96</v>
      </c>
      <c r="L132" s="1" t="s">
        <v>268</v>
      </c>
      <c r="M132" s="1" t="n">
        <v>4</v>
      </c>
      <c r="N132" s="1" t="s">
        <v>33</v>
      </c>
      <c r="O132" s="1"/>
      <c r="P132" s="1"/>
      <c r="Q132" s="1" t="s">
        <v>34</v>
      </c>
      <c r="R132" s="4" t="s">
        <v>35</v>
      </c>
      <c r="S132" s="1" t="s">
        <v>35</v>
      </c>
      <c r="T132" s="1" t="s">
        <v>36</v>
      </c>
    </row>
    <row r="133" customFormat="false" ht="15" hidden="false" customHeight="true" outlineLevel="0" collapsed="false">
      <c r="A133" s="1" t="s">
        <v>273</v>
      </c>
      <c r="B133" s="1" t="n">
        <v>1812</v>
      </c>
      <c r="C133" s="1" t="n">
        <v>5</v>
      </c>
      <c r="D133" s="1" t="s">
        <v>29</v>
      </c>
      <c r="E133" s="1" t="s">
        <v>274</v>
      </c>
      <c r="F133" s="1" t="n">
        <v>55</v>
      </c>
      <c r="G133" s="1" t="n">
        <v>15</v>
      </c>
      <c r="H133" s="2" t="n">
        <v>8709120</v>
      </c>
      <c r="I133" s="2" t="n">
        <f aca="false">(((H133 / 800) / IF(ISBLANK(R133), 1000000, IF(ISNA(VLOOKUP(R133, Mileages!$A$2:$C$34, 2, 0)), R133, VLOOKUP(R133, Mileages!$A$2:$C$34, 2, 0)))) + (F133 * IF(ISBLANK(P133), 1, P133) * IF(ISBLANK(T133), 0, IF(ISNA(VLOOKUP(T133, 'Fuel Costs'!$A$2:$C$42, 2, 0)), T133, VLOOKUP(T133, 'Fuel Costs'!$A$2:$C$42, 2, 0))) / IF(ISBLANK(O133), 1, O133))) * 100</f>
        <v>16.02746667</v>
      </c>
      <c r="J133" s="2" t="n">
        <f aca="false">((H133 / 800) / (IF(ISBLANK(S133), 100, IF(ISNA(VLOOKUP(S133, Lives!$A$2:$C$35, 2, 0)), S133, VLOOKUP(S133, Lives!$A$2:$C$35, 2, 0))) * 12) + (IF(ISBLANK(Q133), 0, IF(ISNA(VLOOKUP(Q133, Wages!$A$2:$C$17, 2, 0)), Q133, VLOOKUP(Q133, Wages!$A$2:$C$17, 2, 0))) * IF(ISBLANK(N133), 0, IF(ISNA(VLOOKUP(N133, Crews!$A$2:$C$28, 2, 0)), N133, VLOOKUP(N133, Crews!$A$2:$C$28, 2, 0))))) * 400</f>
        <v>22048</v>
      </c>
      <c r="K133" s="1" t="s">
        <v>275</v>
      </c>
      <c r="L133" s="1" t="s">
        <v>276</v>
      </c>
      <c r="M133" s="1" t="n">
        <v>0</v>
      </c>
      <c r="N133" s="1" t="s">
        <v>33</v>
      </c>
      <c r="O133" s="1" t="n">
        <v>0.75</v>
      </c>
      <c r="P133" s="1" t="n">
        <v>0.2</v>
      </c>
      <c r="Q133" s="1" t="s">
        <v>34</v>
      </c>
      <c r="R133" s="4" t="s">
        <v>35</v>
      </c>
      <c r="S133" s="1" t="s">
        <v>35</v>
      </c>
      <c r="T133" s="1" t="s">
        <v>277</v>
      </c>
    </row>
    <row r="134" customFormat="false" ht="15" hidden="false" customHeight="true" outlineLevel="0" collapsed="false">
      <c r="A134" s="1" t="s">
        <v>278</v>
      </c>
      <c r="B134" s="1" t="n">
        <v>1812</v>
      </c>
      <c r="C134" s="1" t="n">
        <v>5</v>
      </c>
      <c r="D134" s="1" t="s">
        <v>29</v>
      </c>
      <c r="E134" s="1"/>
      <c r="F134" s="1"/>
      <c r="G134" s="1" t="n">
        <v>15</v>
      </c>
      <c r="H134" s="2" t="n">
        <v>0</v>
      </c>
      <c r="I134" s="2" t="n">
        <v>0</v>
      </c>
      <c r="J134" s="2"/>
      <c r="K134" s="1"/>
      <c r="L134" s="1" t="s">
        <v>279</v>
      </c>
      <c r="M134" s="1" t="n">
        <v>8</v>
      </c>
      <c r="N134" s="1"/>
      <c r="O134" s="1"/>
      <c r="P134" s="1"/>
      <c r="Q134" s="1"/>
      <c r="R134" s="1"/>
      <c r="S134" s="1"/>
      <c r="T134" s="1"/>
    </row>
    <row r="135" customFormat="false" ht="15" hidden="false" customHeight="true" outlineLevel="0" collapsed="false">
      <c r="A135" s="1" t="s">
        <v>280</v>
      </c>
      <c r="B135" s="1" t="n">
        <v>1813</v>
      </c>
      <c r="C135" s="1" t="n">
        <v>10</v>
      </c>
      <c r="D135" s="1" t="s">
        <v>38</v>
      </c>
      <c r="E135" s="1" t="s">
        <v>274</v>
      </c>
      <c r="F135" s="1" t="n">
        <v>8</v>
      </c>
      <c r="G135" s="1" t="n">
        <v>10</v>
      </c>
      <c r="H135" s="2" t="n">
        <v>924000</v>
      </c>
      <c r="I135" s="2" t="n">
        <f aca="false">(((H135 / 800) / IF(ISBLANK(R135), 1000000, IF(ISNA(VLOOKUP(R135, Mileages!$A$2:$C$34, 2, 0)), R135, VLOOKUP(R135, Mileages!$A$2:$C$34, 2, 0)))) + (F135 * IF(ISBLANK(P135), 1, P135) * IF(ISBLANK(T135), 0, IF(ISNA(VLOOKUP(T135, 'Fuel Costs'!$A$2:$C$42, 2, 0)), T135, VLOOKUP(T135, 'Fuel Costs'!$A$2:$C$42, 2, 0))) / IF(ISBLANK(O135), 1, O135))) * 100</f>
        <v>40.28875</v>
      </c>
      <c r="J135" s="2" t="n">
        <f aca="false">((H135 / 800) / (IF(ISBLANK(S135), 100, IF(ISNA(VLOOKUP(S135, Lives!$A$2:$C$35, 2, 0)), S135, VLOOKUP(S135, Lives!$A$2:$C$35, 2, 0))) * 12) + (IF(ISBLANK(Q135), 0, IF(ISNA(VLOOKUP(Q135, Wages!$A$2:$C$17, 2, 0)), Q135, VLOOKUP(Q135, Wages!$A$2:$C$17, 2, 0))) * IF(ISBLANK(N135), 0, IF(ISNA(VLOOKUP(N135, Crews!$A$2:$C$28, 2, 0)), N135, VLOOKUP(N135, Crews!$A$2:$C$28, 2, 0))))) * 400</f>
        <v>17283.33333</v>
      </c>
      <c r="K135" s="3" t="s">
        <v>281</v>
      </c>
      <c r="L135" s="1" t="s">
        <v>282</v>
      </c>
      <c r="M135" s="1" t="n">
        <v>0</v>
      </c>
      <c r="N135" s="1" t="s">
        <v>283</v>
      </c>
      <c r="O135" s="1" t="n">
        <v>0.2</v>
      </c>
      <c r="P135" s="1"/>
      <c r="Q135" s="5" t="s">
        <v>284</v>
      </c>
      <c r="R135" s="4" t="s">
        <v>285</v>
      </c>
      <c r="S135" s="4" t="s">
        <v>285</v>
      </c>
      <c r="T135" s="1" t="s">
        <v>277</v>
      </c>
    </row>
    <row r="136" customFormat="false" ht="15" hidden="false" customHeight="true" outlineLevel="0" collapsed="false">
      <c r="A136" s="1" t="s">
        <v>286</v>
      </c>
      <c r="B136" s="1" t="n">
        <v>1813</v>
      </c>
      <c r="C136" s="1" t="n">
        <v>10</v>
      </c>
      <c r="D136" s="1" t="s">
        <v>38</v>
      </c>
      <c r="E136" s="1" t="s">
        <v>274</v>
      </c>
      <c r="F136" s="1"/>
      <c r="G136" s="1" t="n">
        <v>10</v>
      </c>
      <c r="H136" s="2" t="n">
        <v>0</v>
      </c>
      <c r="I136" s="2" t="n">
        <f aca="false">(((H136 / 800) / IF(ISBLANK(R136), 1000000, IF(ISNA(VLOOKUP(R136, Mileages!$A$2:$C$34, 2, 0)), R136, VLOOKUP(R136, Mileages!$A$2:$C$34, 2, 0)))) + (F136 * IF(ISBLANK(P136), 1, P136) * IF(ISBLANK(T136), 0, IF(ISNA(VLOOKUP(T136, 'Fuel Costs'!$A$2:$C$42, 2, 0)), T136, VLOOKUP(T136, 'Fuel Costs'!$A$2:$C$42, 2, 0))) / IF(ISBLANK(O136), 1, O136))) * 100</f>
        <v>0</v>
      </c>
      <c r="J136" s="2" t="n">
        <f aca="false">((H136 / 800) / (IF(ISBLANK(S136), 100, IF(ISNA(VLOOKUP(S136, Lives!$A$2:$C$35, 2, 0)), S136, VLOOKUP(S136, Lives!$A$2:$C$35, 2, 0))) * 12) + (IF(ISBLANK(Q136), 0, IF(ISNA(VLOOKUP(Q136, Wages!$A$2:$C$17, 2, 0)), Q136, VLOOKUP(Q136, Wages!$A$2:$C$17, 2, 0))) * IF(ISBLANK(N136), 0, IF(ISNA(VLOOKUP(N136, Crews!$A$2:$C$28, 2, 0)), N136, VLOOKUP(N136, Crews!$A$2:$C$28, 2, 0))))) * 400</f>
        <v>0</v>
      </c>
      <c r="K136" s="1"/>
      <c r="L136" s="1" t="s">
        <v>287</v>
      </c>
      <c r="M136" s="1" t="n">
        <v>0</v>
      </c>
      <c r="N136" s="1"/>
      <c r="O136" s="1"/>
      <c r="P136" s="1"/>
      <c r="Q136" s="1"/>
      <c r="R136" s="1"/>
      <c r="S136" s="1"/>
      <c r="T136" s="1"/>
    </row>
    <row r="137" customFormat="false" ht="15" hidden="false" customHeight="true" outlineLevel="0" collapsed="false">
      <c r="A137" s="1" t="s">
        <v>288</v>
      </c>
      <c r="B137" s="1" t="n">
        <v>1814</v>
      </c>
      <c r="C137" s="1" t="n">
        <v>2</v>
      </c>
      <c r="D137" s="1" t="s">
        <v>29</v>
      </c>
      <c r="E137" s="1" t="s">
        <v>274</v>
      </c>
      <c r="F137" s="1" t="n">
        <v>200</v>
      </c>
      <c r="G137" s="1" t="n">
        <v>15</v>
      </c>
      <c r="H137" s="2" t="n">
        <v>8909120</v>
      </c>
      <c r="I137" s="2" t="n">
        <f aca="false">(((H137 / 800) / IF(ISBLANK(R137), 1000000, IF(ISNA(VLOOKUP(R137, Mileages!$A$2:$C$34, 2, 0)), R137, VLOOKUP(R137, Mileages!$A$2:$C$34, 2, 0)))) + (F137 * IF(ISBLANK(P137), 1, P137) * IF(ISBLANK(T137), 0, IF(ISNA(VLOOKUP(T137, 'Fuel Costs'!$A$2:$C$42, 2, 0)), T137, VLOOKUP(T137, 'Fuel Costs'!$A$2:$C$42, 2, 0))) / IF(ISBLANK(O137), 1, O137))) * 100</f>
        <v>54.72538333</v>
      </c>
      <c r="J137" s="2" t="n">
        <f aca="false">((H137 / 800) / (IF(ISBLANK(S137), 100, IF(ISNA(VLOOKUP(S137, Lives!$A$2:$C$35, 2, 0)), S137, VLOOKUP(S137, Lives!$A$2:$C$35, 2, 0))) * 12) + (IF(ISBLANK(Q137), 0, IF(ISNA(VLOOKUP(Q137, Wages!$A$2:$C$17, 2, 0)), Q137, VLOOKUP(Q137, Wages!$A$2:$C$17, 2, 0))) * IF(ISBLANK(N137), 0, IF(ISNA(VLOOKUP(N137, Crews!$A$2:$C$28, 2, 0)), N137, VLOOKUP(N137, Crews!$A$2:$C$28, 2, 0))))) * 400</f>
        <v>22186.88889</v>
      </c>
      <c r="K137" s="1" t="s">
        <v>289</v>
      </c>
      <c r="L137" s="1" t="s">
        <v>290</v>
      </c>
      <c r="M137" s="1" t="n">
        <v>0</v>
      </c>
      <c r="N137" s="1" t="s">
        <v>33</v>
      </c>
      <c r="O137" s="1" t="n">
        <v>0.75</v>
      </c>
      <c r="P137" s="1" t="n">
        <v>0.2</v>
      </c>
      <c r="Q137" s="1" t="s">
        <v>34</v>
      </c>
      <c r="R137" s="4" t="s">
        <v>35</v>
      </c>
      <c r="S137" s="1" t="s">
        <v>35</v>
      </c>
      <c r="T137" s="1" t="s">
        <v>277</v>
      </c>
    </row>
    <row r="138" customFormat="false" ht="15" hidden="false" customHeight="true" outlineLevel="0" collapsed="false">
      <c r="A138" s="1" t="s">
        <v>291</v>
      </c>
      <c r="B138" s="1" t="n">
        <v>1814</v>
      </c>
      <c r="C138" s="1" t="n">
        <v>2</v>
      </c>
      <c r="D138" s="1" t="s">
        <v>29</v>
      </c>
      <c r="E138" s="1" t="s">
        <v>274</v>
      </c>
      <c r="F138" s="1" t="n">
        <v>200</v>
      </c>
      <c r="G138" s="1" t="n">
        <v>15</v>
      </c>
      <c r="H138" s="2" t="n">
        <v>8909120</v>
      </c>
      <c r="I138" s="2" t="n">
        <f aca="false">(((H138 / 800) / IF(ISBLANK(R138), 1000000, IF(ISNA(VLOOKUP(R138, Mileages!$A$2:$C$34, 2, 0)), R138, VLOOKUP(R138, Mileages!$A$2:$C$34, 2, 0)))) + (F138 * IF(ISBLANK(P138), 1, P138) * IF(ISBLANK(T138), 0, IF(ISNA(VLOOKUP(T138, 'Fuel Costs'!$A$2:$C$42, 2, 0)), T138, VLOOKUP(T138, 'Fuel Costs'!$A$2:$C$42, 2, 0))) / IF(ISBLANK(O138), 1, O138))) * 100</f>
        <v>54.72538333</v>
      </c>
      <c r="J138" s="2" t="n">
        <f aca="false">((H138 / 800) / (IF(ISBLANK(S138), 100, IF(ISNA(VLOOKUP(S138, Lives!$A$2:$C$35, 2, 0)), S138, VLOOKUP(S138, Lives!$A$2:$C$35, 2, 0))) * 12) + (IF(ISBLANK(Q138), 0, IF(ISNA(VLOOKUP(Q138, Wages!$A$2:$C$17, 2, 0)), Q138, VLOOKUP(Q138, Wages!$A$2:$C$17, 2, 0))) * IF(ISBLANK(N138), 0, IF(ISNA(VLOOKUP(N138, Crews!$A$2:$C$28, 2, 0)), N138, VLOOKUP(N138, Crews!$A$2:$C$28, 2, 0))))) * 400</f>
        <v>22186.88889</v>
      </c>
      <c r="K138" s="1" t="s">
        <v>289</v>
      </c>
      <c r="L138" s="1" t="s">
        <v>290</v>
      </c>
      <c r="M138" s="1" t="n">
        <v>1</v>
      </c>
      <c r="N138" s="1" t="s">
        <v>33</v>
      </c>
      <c r="O138" s="1" t="n">
        <v>0.75</v>
      </c>
      <c r="P138" s="1" t="n">
        <v>0.2</v>
      </c>
      <c r="Q138" s="1" t="s">
        <v>34</v>
      </c>
      <c r="R138" s="4" t="s">
        <v>35</v>
      </c>
      <c r="S138" s="1" t="s">
        <v>35</v>
      </c>
      <c r="T138" s="1" t="s">
        <v>277</v>
      </c>
    </row>
    <row r="139" customFormat="false" ht="15" hidden="false" customHeight="true" outlineLevel="0" collapsed="false">
      <c r="A139" s="1" t="s">
        <v>292</v>
      </c>
      <c r="B139" s="1" t="n">
        <v>1814</v>
      </c>
      <c r="C139" s="1" t="n">
        <v>2</v>
      </c>
      <c r="D139" s="1" t="s">
        <v>29</v>
      </c>
      <c r="E139" s="1" t="s">
        <v>274</v>
      </c>
      <c r="F139" s="1" t="n">
        <v>200</v>
      </c>
      <c r="G139" s="1" t="n">
        <v>15</v>
      </c>
      <c r="H139" s="2" t="n">
        <v>8909120</v>
      </c>
      <c r="I139" s="2" t="n">
        <f aca="false">(((H139 / 800) / IF(ISBLANK(R139), 1000000, IF(ISNA(VLOOKUP(R139, Mileages!$A$2:$C$34, 2, 0)), R139, VLOOKUP(R139, Mileages!$A$2:$C$34, 2, 0)))) + (F139 * IF(ISBLANK(P139), 1, P139) * IF(ISBLANK(T139), 0, IF(ISNA(VLOOKUP(T139, 'Fuel Costs'!$A$2:$C$42, 2, 0)), T139, VLOOKUP(T139, 'Fuel Costs'!$A$2:$C$42, 2, 0))) / IF(ISBLANK(O139), 1, O139))) * 100</f>
        <v>54.72538333</v>
      </c>
      <c r="J139" s="2" t="n">
        <f aca="false">((H139 / 800) / (IF(ISBLANK(S139), 100, IF(ISNA(VLOOKUP(S139, Lives!$A$2:$C$35, 2, 0)), S139, VLOOKUP(S139, Lives!$A$2:$C$35, 2, 0))) * 12) + (IF(ISBLANK(Q139), 0, IF(ISNA(VLOOKUP(Q139, Wages!$A$2:$C$17, 2, 0)), Q139, VLOOKUP(Q139, Wages!$A$2:$C$17, 2, 0))) * IF(ISBLANK(N139), 0, IF(ISNA(VLOOKUP(N139, Crews!$A$2:$C$28, 2, 0)), N139, VLOOKUP(N139, Crews!$A$2:$C$28, 2, 0))))) * 400</f>
        <v>22186.88889</v>
      </c>
      <c r="K139" s="1" t="s">
        <v>289</v>
      </c>
      <c r="L139" s="1" t="s">
        <v>290</v>
      </c>
      <c r="M139" s="1" t="n">
        <v>2</v>
      </c>
      <c r="N139" s="1" t="s">
        <v>33</v>
      </c>
      <c r="O139" s="1" t="n">
        <v>0.75</v>
      </c>
      <c r="P139" s="1" t="n">
        <v>0.2</v>
      </c>
      <c r="Q139" s="1" t="s">
        <v>34</v>
      </c>
      <c r="R139" s="4" t="s">
        <v>35</v>
      </c>
      <c r="S139" s="1" t="s">
        <v>35</v>
      </c>
      <c r="T139" s="1" t="s">
        <v>277</v>
      </c>
    </row>
    <row r="140" customFormat="false" ht="15" hidden="false" customHeight="true" outlineLevel="0" collapsed="false">
      <c r="A140" s="1" t="s">
        <v>293</v>
      </c>
      <c r="B140" s="1" t="n">
        <v>1815</v>
      </c>
      <c r="C140" s="1" t="n">
        <v>2</v>
      </c>
      <c r="D140" s="1" t="s">
        <v>38</v>
      </c>
      <c r="E140" s="1" t="s">
        <v>274</v>
      </c>
      <c r="F140" s="1" t="n">
        <v>7</v>
      </c>
      <c r="G140" s="1" t="n">
        <v>8</v>
      </c>
      <c r="H140" s="2" t="n">
        <v>1400000</v>
      </c>
      <c r="I140" s="2" t="n">
        <f aca="false">(((H140 / 800) / IF(ISBLANK(R140), 1000000, IF(ISNA(VLOOKUP(R140, Mileages!$A$2:$C$34, 2, 0)), R140, VLOOKUP(R140, Mileages!$A$2:$C$34, 2, 0)))) + (F140 * IF(ISBLANK(P140), 1, P140) * IF(ISBLANK(T140), 0, IF(ISNA(VLOOKUP(T140, 'Fuel Costs'!$A$2:$C$42, 2, 0)), T140, VLOOKUP(T140, 'Fuel Costs'!$A$2:$C$42, 2, 0))) / IF(ISBLANK(O140), 1, O140))) * 100</f>
        <v>28.4375</v>
      </c>
      <c r="J140" s="2" t="n">
        <f aca="false">((H140 / 800) / (IF(ISBLANK(S140), 100, IF(ISNA(VLOOKUP(S140, Lives!$A$2:$C$35, 2, 0)), S140, VLOOKUP(S140, Lives!$A$2:$C$35, 2, 0))) * 12) + (IF(ISBLANK(Q140), 0, IF(ISNA(VLOOKUP(Q140, Wages!$A$2:$C$17, 2, 0)), Q140, VLOOKUP(Q140, Wages!$A$2:$C$17, 2, 0))) * IF(ISBLANK(N140), 0, IF(ISNA(VLOOKUP(N140, Crews!$A$2:$C$28, 2, 0)), N140, VLOOKUP(N140, Crews!$A$2:$C$28, 2, 0))))) * 400</f>
        <v>17944.44444</v>
      </c>
      <c r="K140" s="3" t="s">
        <v>294</v>
      </c>
      <c r="L140" s="1" t="s">
        <v>295</v>
      </c>
      <c r="M140" s="1" t="n">
        <v>0</v>
      </c>
      <c r="N140" s="1" t="s">
        <v>283</v>
      </c>
      <c r="O140" s="1" t="n">
        <v>0.25</v>
      </c>
      <c r="P140" s="1"/>
      <c r="Q140" s="5" t="s">
        <v>284</v>
      </c>
      <c r="R140" s="4" t="s">
        <v>285</v>
      </c>
      <c r="S140" s="4" t="s">
        <v>285</v>
      </c>
      <c r="T140" s="1" t="s">
        <v>277</v>
      </c>
    </row>
    <row r="141" customFormat="false" ht="15" hidden="false" customHeight="true" outlineLevel="0" collapsed="false">
      <c r="A141" s="1" t="s">
        <v>296</v>
      </c>
      <c r="B141" s="1" t="n">
        <v>1815</v>
      </c>
      <c r="C141" s="1" t="n">
        <v>2</v>
      </c>
      <c r="D141" s="1" t="s">
        <v>38</v>
      </c>
      <c r="E141" s="1" t="s">
        <v>274</v>
      </c>
      <c r="F141" s="1"/>
      <c r="G141" s="1" t="n">
        <v>8</v>
      </c>
      <c r="H141" s="2" t="n">
        <v>0</v>
      </c>
      <c r="I141" s="2" t="n">
        <f aca="false">(((H141 / 800) / IF(ISBLANK(R141), 1000000, IF(ISNA(VLOOKUP(R141, Mileages!$A$2:$C$34, 2, 0)), R141, VLOOKUP(R141, Mileages!$A$2:$C$34, 2, 0)))) + (F141 * IF(ISBLANK(P141), 1, P141) * IF(ISBLANK(T141), 0, IF(ISNA(VLOOKUP(T141, 'Fuel Costs'!$A$2:$C$42, 2, 0)), T141, VLOOKUP(T141, 'Fuel Costs'!$A$2:$C$42, 2, 0))) / IF(ISBLANK(O141), 1, O141))) * 100</f>
        <v>0</v>
      </c>
      <c r="J141" s="2" t="n">
        <f aca="false">((H141 / 800) / (IF(ISBLANK(S141), 100, IF(ISNA(VLOOKUP(S141, Lives!$A$2:$C$35, 2, 0)), S141, VLOOKUP(S141, Lives!$A$2:$C$35, 2, 0))) * 12) + (IF(ISBLANK(Q141), 0, IF(ISNA(VLOOKUP(Q141, Wages!$A$2:$C$17, 2, 0)), Q141, VLOOKUP(Q141, Wages!$A$2:$C$17, 2, 0))) * IF(ISBLANK(N141), 0, IF(ISNA(VLOOKUP(N141, Crews!$A$2:$C$28, 2, 0)), N141, VLOOKUP(N141, Crews!$A$2:$C$28, 2, 0))))) * 400</f>
        <v>0</v>
      </c>
      <c r="K141" s="1"/>
      <c r="L141" s="1" t="s">
        <v>295</v>
      </c>
      <c r="M141" s="1" t="n">
        <v>1</v>
      </c>
      <c r="N141" s="1"/>
      <c r="O141" s="1"/>
      <c r="P141" s="1"/>
      <c r="Q141" s="5"/>
      <c r="R141" s="5"/>
      <c r="S141" s="5"/>
      <c r="T141" s="1"/>
    </row>
    <row r="142" customFormat="false" ht="15" hidden="false" customHeight="true" outlineLevel="0" collapsed="false">
      <c r="A142" s="1" t="s">
        <v>297</v>
      </c>
      <c r="B142" s="1" t="n">
        <v>1816</v>
      </c>
      <c r="C142" s="1" t="n">
        <v>1</v>
      </c>
      <c r="D142" s="1" t="s">
        <v>29</v>
      </c>
      <c r="E142" s="1"/>
      <c r="F142" s="1"/>
      <c r="G142" s="1" t="n">
        <v>20</v>
      </c>
      <c r="H142" s="2" t="n">
        <v>250000</v>
      </c>
      <c r="I142" s="2" t="n">
        <f aca="false">(((H142 / 800) / IF(ISBLANK(R142), 1000000, IF(ISNA(VLOOKUP(R142, Mileages!$A$2:$C$34, 2, 0)), R142, VLOOKUP(R142, Mileages!$A$2:$C$34, 2, 0)))) + (F142 * IF(ISBLANK(P142), 1, P142) * IF(ISBLANK(T142), 0, IF(ISNA(VLOOKUP(T142, 'Fuel Costs'!$A$2:$C$42, 2, 0)), T142, VLOOKUP(T142, 'Fuel Costs'!$A$2:$C$42, 2, 0))) / IF(ISBLANK(O142), 1, O142))) * 100</f>
        <v>0.0390625</v>
      </c>
      <c r="J142" s="2" t="n">
        <f aca="false">((H142 / 800) / (IF(ISBLANK(S142), 100, IF(ISNA(VLOOKUP(S142, Lives!$A$2:$C$35, 2, 0)), S142, VLOOKUP(S142, Lives!$A$2:$C$35, 2, 0))) * 12) + (IF(ISBLANK(Q142), 0, IF(ISNA(VLOOKUP(Q142, Wages!$A$2:$C$17, 2, 0)), Q142, VLOOKUP(Q142, Wages!$A$2:$C$17, 2, 0))) * IF(ISBLANK(N142), 0, IF(ISNA(VLOOKUP(N142, Crews!$A$2:$C$28, 2, 0)), N142, VLOOKUP(N142, Crews!$A$2:$C$28, 2, 0))))) * 400</f>
        <v>173.6111111</v>
      </c>
      <c r="K142" s="1" t="s">
        <v>96</v>
      </c>
      <c r="L142" s="1" t="s">
        <v>298</v>
      </c>
      <c r="M142" s="1" t="n">
        <v>3</v>
      </c>
      <c r="N142" s="1"/>
      <c r="O142" s="1"/>
      <c r="P142" s="1"/>
      <c r="Q142" s="1"/>
      <c r="R142" s="4" t="s">
        <v>35</v>
      </c>
      <c r="S142" s="1" t="s">
        <v>35</v>
      </c>
      <c r="T142" s="1"/>
    </row>
    <row r="143" customFormat="false" ht="15" hidden="false" customHeight="true" outlineLevel="0" collapsed="false">
      <c r="A143" s="1" t="s">
        <v>299</v>
      </c>
      <c r="B143" s="1" t="n">
        <v>1816</v>
      </c>
      <c r="C143" s="1" t="n">
        <v>9</v>
      </c>
      <c r="D143" s="1" t="s">
        <v>29</v>
      </c>
      <c r="E143" s="1" t="s">
        <v>274</v>
      </c>
      <c r="F143" s="1" t="n">
        <v>100</v>
      </c>
      <c r="G143" s="1" t="n">
        <v>15</v>
      </c>
      <c r="H143" s="2" t="n">
        <f aca="false">150000*20</f>
        <v>3000000</v>
      </c>
      <c r="I143" s="2" t="n">
        <f aca="false">(((H143 / 800) / IF(ISBLANK(R143), 1000000, IF(ISNA(VLOOKUP(R143, Mileages!$A$2:$C$34, 2, 0)), R143, VLOOKUP(R143, Mileages!$A$2:$C$34, 2, 0)))) + (F143 * IF(ISBLANK(P143), 1, P143) * IF(ISBLANK(T143), 0, IF(ISNA(VLOOKUP(T143, 'Fuel Costs'!$A$2:$C$42, 2, 0)), T143, VLOOKUP(T143, 'Fuel Costs'!$A$2:$C$42, 2, 0))) / IF(ISBLANK(O143), 1, O143))) * 100</f>
        <v>27.13541667</v>
      </c>
      <c r="J143" s="2" t="n">
        <f aca="false">((H143 / 800) / (IF(ISBLANK(S143), 100, IF(ISNA(VLOOKUP(S143, Lives!$A$2:$C$35, 2, 0)), S143, VLOOKUP(S143, Lives!$A$2:$C$35, 2, 0))) * 12) + (IF(ISBLANK(Q143), 0, IF(ISNA(VLOOKUP(Q143, Wages!$A$2:$C$17, 2, 0)), Q143, VLOOKUP(Q143, Wages!$A$2:$C$17, 2, 0))) * IF(ISBLANK(N143), 0, IF(ISNA(VLOOKUP(N143, Crews!$A$2:$C$28, 2, 0)), N143, VLOOKUP(N143, Crews!$A$2:$C$28, 2, 0))))) * 400</f>
        <v>18083.33333</v>
      </c>
      <c r="K143" s="1"/>
      <c r="L143" s="1" t="s">
        <v>298</v>
      </c>
      <c r="M143" s="1" t="n">
        <v>0</v>
      </c>
      <c r="N143" s="1" t="s">
        <v>33</v>
      </c>
      <c r="O143" s="1" t="n">
        <v>0.75</v>
      </c>
      <c r="P143" s="1" t="n">
        <v>0.2</v>
      </c>
      <c r="Q143" s="1" t="s">
        <v>34</v>
      </c>
      <c r="R143" s="4" t="s">
        <v>35</v>
      </c>
      <c r="S143" s="1" t="s">
        <v>35</v>
      </c>
      <c r="T143" s="1" t="s">
        <v>277</v>
      </c>
    </row>
    <row r="144" customFormat="false" ht="15" hidden="false" customHeight="true" outlineLevel="0" collapsed="false">
      <c r="A144" s="1" t="s">
        <v>300</v>
      </c>
      <c r="B144" s="1" t="n">
        <v>1816</v>
      </c>
      <c r="C144" s="1" t="n">
        <v>9</v>
      </c>
      <c r="D144" s="1" t="s">
        <v>29</v>
      </c>
      <c r="E144" s="1"/>
      <c r="F144" s="1"/>
      <c r="G144" s="1" t="n">
        <v>20</v>
      </c>
      <c r="H144" s="2" t="n">
        <f aca="false">25000*10</f>
        <v>250000</v>
      </c>
      <c r="I144" s="2" t="n">
        <f aca="false">(((H144 / 800) / IF(ISBLANK(R144), 1000000, IF(ISNA(VLOOKUP(R144, Mileages!$A$2:$C$34, 2, 0)), R144, VLOOKUP(R144, Mileages!$A$2:$C$34, 2, 0)))) + (F144 * IF(ISBLANK(P144), 1, P144) * IF(ISBLANK(T144), 0, IF(ISNA(VLOOKUP(T144, 'Fuel Costs'!$A$2:$C$42, 2, 0)), T144, VLOOKUP(T144, 'Fuel Costs'!$A$2:$C$42, 2, 0))) / IF(ISBLANK(O144), 1, O144))) * 100</f>
        <v>0.0390625</v>
      </c>
      <c r="J144" s="2" t="n">
        <f aca="false">((H144 / 800) / (IF(ISBLANK(S144), 100, IF(ISNA(VLOOKUP(S144, Lives!$A$2:$C$35, 2, 0)), S144, VLOOKUP(S144, Lives!$A$2:$C$35, 2, 0))) * 12) + (IF(ISBLANK(Q144), 0, IF(ISNA(VLOOKUP(Q144, Wages!$A$2:$C$17, 2, 0)), Q144, VLOOKUP(Q144, Wages!$A$2:$C$17, 2, 0))) * IF(ISBLANK(N144), 0, IF(ISNA(VLOOKUP(N144, Crews!$A$2:$C$28, 2, 0)), N144, VLOOKUP(N144, Crews!$A$2:$C$28, 2, 0))))) * 400</f>
        <v>173.6111111</v>
      </c>
      <c r="K144" s="1" t="s">
        <v>96</v>
      </c>
      <c r="L144" s="1" t="s">
        <v>298</v>
      </c>
      <c r="M144" s="1" t="n">
        <v>4</v>
      </c>
      <c r="N144" s="1"/>
      <c r="O144" s="1"/>
      <c r="P144" s="1"/>
      <c r="Q144" s="1"/>
      <c r="R144" s="4" t="s">
        <v>35</v>
      </c>
      <c r="S144" s="1" t="s">
        <v>35</v>
      </c>
      <c r="T144" s="1"/>
    </row>
    <row r="145" customFormat="false" ht="15" hidden="false" customHeight="true" outlineLevel="0" collapsed="false">
      <c r="A145" s="1" t="s">
        <v>301</v>
      </c>
      <c r="B145" s="1" t="n">
        <v>1816</v>
      </c>
      <c r="C145" s="1" t="n">
        <v>9</v>
      </c>
      <c r="D145" s="1" t="s">
        <v>29</v>
      </c>
      <c r="E145" s="1"/>
      <c r="F145" s="1"/>
      <c r="G145" s="1" t="n">
        <v>20</v>
      </c>
      <c r="H145" s="2" t="n">
        <f aca="false">25000*10</f>
        <v>250000</v>
      </c>
      <c r="I145" s="2" t="n">
        <f aca="false">(((H145 / 800) / IF(ISBLANK(R145), 1000000, IF(ISNA(VLOOKUP(R145, Mileages!$A$2:$C$34, 2, 0)), R145, VLOOKUP(R145, Mileages!$A$2:$C$34, 2, 0)))) + (F145 * IF(ISBLANK(P145), 1, P145) * IF(ISBLANK(T145), 0, IF(ISNA(VLOOKUP(T145, 'Fuel Costs'!$A$2:$C$42, 2, 0)), T145, VLOOKUP(T145, 'Fuel Costs'!$A$2:$C$42, 2, 0))) / IF(ISBLANK(O145), 1, O145))) * 100</f>
        <v>0.0390625</v>
      </c>
      <c r="J145" s="2" t="n">
        <f aca="false">((H145 / 800) / (IF(ISBLANK(S145), 100, IF(ISNA(VLOOKUP(S145, Lives!$A$2:$C$35, 2, 0)), S145, VLOOKUP(S145, Lives!$A$2:$C$35, 2, 0))) * 12) + (IF(ISBLANK(Q145), 0, IF(ISNA(VLOOKUP(Q145, Wages!$A$2:$C$17, 2, 0)), Q145, VLOOKUP(Q145, Wages!$A$2:$C$17, 2, 0))) * IF(ISBLANK(N145), 0, IF(ISNA(VLOOKUP(N145, Crews!$A$2:$C$28, 2, 0)), N145, VLOOKUP(N145, Crews!$A$2:$C$28, 2, 0))))) * 400</f>
        <v>173.6111111</v>
      </c>
      <c r="K145" s="1" t="s">
        <v>96</v>
      </c>
      <c r="L145" s="1" t="s">
        <v>298</v>
      </c>
      <c r="M145" s="1" t="n">
        <v>5</v>
      </c>
      <c r="N145" s="1"/>
      <c r="O145" s="1"/>
      <c r="P145" s="1"/>
      <c r="Q145" s="1"/>
      <c r="R145" s="4" t="s">
        <v>35</v>
      </c>
      <c r="S145" s="1" t="s">
        <v>35</v>
      </c>
      <c r="T145" s="1"/>
    </row>
    <row r="146" customFormat="false" ht="15" hidden="false" customHeight="true" outlineLevel="0" collapsed="false">
      <c r="A146" s="1" t="s">
        <v>302</v>
      </c>
      <c r="B146" s="1" t="n">
        <v>1816</v>
      </c>
      <c r="C146" s="1" t="n">
        <v>9</v>
      </c>
      <c r="D146" s="1" t="s">
        <v>29</v>
      </c>
      <c r="E146" s="1"/>
      <c r="F146" s="1"/>
      <c r="G146" s="1" t="n">
        <v>20</v>
      </c>
      <c r="H146" s="2" t="n">
        <f aca="false">25000*10</f>
        <v>250000</v>
      </c>
      <c r="I146" s="2" t="n">
        <f aca="false">(((H146 / 800) / IF(ISBLANK(R146), 1000000, IF(ISNA(VLOOKUP(R146, Mileages!$A$2:$C$34, 2, 0)), R146, VLOOKUP(R146, Mileages!$A$2:$C$34, 2, 0)))) + (F146 * IF(ISBLANK(P146), 1, P146) * IF(ISBLANK(T146), 0, IF(ISNA(VLOOKUP(T146, 'Fuel Costs'!$A$2:$C$42, 2, 0)), T146, VLOOKUP(T146, 'Fuel Costs'!$A$2:$C$42, 2, 0))) / IF(ISBLANK(O146), 1, O146))) * 100</f>
        <v>0.0390625</v>
      </c>
      <c r="J146" s="2" t="n">
        <f aca="false">((H146 / 800) / (IF(ISBLANK(S146), 100, IF(ISNA(VLOOKUP(S146, Lives!$A$2:$C$35, 2, 0)), S146, VLOOKUP(S146, Lives!$A$2:$C$35, 2, 0))) * 12) + (IF(ISBLANK(Q146), 0, IF(ISNA(VLOOKUP(Q146, Wages!$A$2:$C$17, 2, 0)), Q146, VLOOKUP(Q146, Wages!$A$2:$C$17, 2, 0))) * IF(ISBLANK(N146), 0, IF(ISNA(VLOOKUP(N146, Crews!$A$2:$C$28, 2, 0)), N146, VLOOKUP(N146, Crews!$A$2:$C$28, 2, 0))))) * 400</f>
        <v>173.6111111</v>
      </c>
      <c r="K146" s="1" t="s">
        <v>96</v>
      </c>
      <c r="L146" s="1" t="s">
        <v>298</v>
      </c>
      <c r="M146" s="1" t="n">
        <v>6</v>
      </c>
      <c r="N146" s="1"/>
      <c r="O146" s="1"/>
      <c r="P146" s="1"/>
      <c r="Q146" s="1"/>
      <c r="R146" s="4" t="s">
        <v>35</v>
      </c>
      <c r="S146" s="1" t="s">
        <v>35</v>
      </c>
      <c r="T146" s="1"/>
    </row>
    <row r="147" customFormat="false" ht="15" hidden="false" customHeight="true" outlineLevel="0" collapsed="false">
      <c r="A147" s="1" t="s">
        <v>303</v>
      </c>
      <c r="B147" s="1" t="n">
        <v>1816</v>
      </c>
      <c r="C147" s="1" t="n">
        <v>9</v>
      </c>
      <c r="D147" s="1" t="s">
        <v>29</v>
      </c>
      <c r="E147" s="1"/>
      <c r="F147" s="1"/>
      <c r="G147" s="1" t="n">
        <v>20</v>
      </c>
      <c r="H147" s="2" t="n">
        <f aca="false">25000*10</f>
        <v>250000</v>
      </c>
      <c r="I147" s="2" t="n">
        <f aca="false">(((H147 / 800) / IF(ISBLANK(R147), 1000000, IF(ISNA(VLOOKUP(R147, Mileages!$A$2:$C$34, 2, 0)), R147, VLOOKUP(R147, Mileages!$A$2:$C$34, 2, 0)))) + (F147 * IF(ISBLANK(P147), 1, P147) * IF(ISBLANK(T147), 0, IF(ISNA(VLOOKUP(T147, 'Fuel Costs'!$A$2:$C$42, 2, 0)), T147, VLOOKUP(T147, 'Fuel Costs'!$A$2:$C$42, 2, 0))) / IF(ISBLANK(O147), 1, O147))) * 100</f>
        <v>0.0390625</v>
      </c>
      <c r="J147" s="2" t="n">
        <f aca="false">((H147 / 800) / (IF(ISBLANK(S147), 100, IF(ISNA(VLOOKUP(S147, Lives!$A$2:$C$35, 2, 0)), S147, VLOOKUP(S147, Lives!$A$2:$C$35, 2, 0))) * 12) + (IF(ISBLANK(Q147), 0, IF(ISNA(VLOOKUP(Q147, Wages!$A$2:$C$17, 2, 0)), Q147, VLOOKUP(Q147, Wages!$A$2:$C$17, 2, 0))) * IF(ISBLANK(N147), 0, IF(ISNA(VLOOKUP(N147, Crews!$A$2:$C$28, 2, 0)), N147, VLOOKUP(N147, Crews!$A$2:$C$28, 2, 0))))) * 400</f>
        <v>173.6111111</v>
      </c>
      <c r="K147" s="1" t="s">
        <v>96</v>
      </c>
      <c r="L147" s="1" t="s">
        <v>298</v>
      </c>
      <c r="M147" s="1" t="n">
        <v>7</v>
      </c>
      <c r="N147" s="1"/>
      <c r="O147" s="1"/>
      <c r="P147" s="1"/>
      <c r="Q147" s="1"/>
      <c r="R147" s="4" t="s">
        <v>35</v>
      </c>
      <c r="S147" s="1" t="s">
        <v>35</v>
      </c>
      <c r="T147" s="1"/>
    </row>
    <row r="148" customFormat="false" ht="15" hidden="false" customHeight="true" outlineLevel="0" collapsed="false">
      <c r="A148" s="1" t="s">
        <v>304</v>
      </c>
      <c r="B148" s="1" t="n">
        <v>1816</v>
      </c>
      <c r="C148" s="1" t="n">
        <v>9</v>
      </c>
      <c r="D148" s="1" t="s">
        <v>29</v>
      </c>
      <c r="E148" s="1"/>
      <c r="F148" s="1"/>
      <c r="G148" s="1" t="n">
        <v>20</v>
      </c>
      <c r="H148" s="2" t="n">
        <f aca="false">25000*10</f>
        <v>250000</v>
      </c>
      <c r="I148" s="2" t="n">
        <f aca="false">(((H148 / 800) / IF(ISBLANK(R148), 1000000, IF(ISNA(VLOOKUP(R148, Mileages!$A$2:$C$34, 2, 0)), R148, VLOOKUP(R148, Mileages!$A$2:$C$34, 2, 0)))) + (F148 * IF(ISBLANK(P148), 1, P148) * IF(ISBLANK(T148), 0, IF(ISNA(VLOOKUP(T148, 'Fuel Costs'!$A$2:$C$42, 2, 0)), T148, VLOOKUP(T148, 'Fuel Costs'!$A$2:$C$42, 2, 0))) / IF(ISBLANK(O148), 1, O148))) * 100</f>
        <v>0.0390625</v>
      </c>
      <c r="J148" s="2" t="n">
        <f aca="false">((H148 / 800) / (IF(ISBLANK(S148), 100, IF(ISNA(VLOOKUP(S148, Lives!$A$2:$C$35, 2, 0)), S148, VLOOKUP(S148, Lives!$A$2:$C$35, 2, 0))) * 12) + (IF(ISBLANK(Q148), 0, IF(ISNA(VLOOKUP(Q148, Wages!$A$2:$C$17, 2, 0)), Q148, VLOOKUP(Q148, Wages!$A$2:$C$17, 2, 0))) * IF(ISBLANK(N148), 0, IF(ISNA(VLOOKUP(N148, Crews!$A$2:$C$28, 2, 0)), N148, VLOOKUP(N148, Crews!$A$2:$C$28, 2, 0))))) * 400</f>
        <v>173.6111111</v>
      </c>
      <c r="K148" s="1" t="s">
        <v>96</v>
      </c>
      <c r="L148" s="1" t="s">
        <v>298</v>
      </c>
      <c r="M148" s="1" t="n">
        <v>8</v>
      </c>
      <c r="N148" s="1"/>
      <c r="O148" s="1"/>
      <c r="P148" s="1"/>
      <c r="Q148" s="1"/>
      <c r="R148" s="4" t="s">
        <v>35</v>
      </c>
      <c r="S148" s="1" t="s">
        <v>35</v>
      </c>
      <c r="T148" s="1"/>
    </row>
    <row r="149" customFormat="false" ht="15" hidden="false" customHeight="true" outlineLevel="0" collapsed="false">
      <c r="A149" s="1" t="s">
        <v>305</v>
      </c>
      <c r="B149" s="1" t="n">
        <v>1816</v>
      </c>
      <c r="C149" s="1" t="n">
        <v>10</v>
      </c>
      <c r="D149" s="1" t="s">
        <v>38</v>
      </c>
      <c r="E149" s="1" t="s">
        <v>274</v>
      </c>
      <c r="F149" s="1" t="n">
        <v>7</v>
      </c>
      <c r="G149" s="1" t="n">
        <v>12</v>
      </c>
      <c r="H149" s="2" t="n">
        <v>1420000</v>
      </c>
      <c r="I149" s="2" t="n">
        <f aca="false">(((H149 / 800) / IF(ISBLANK(R149), 1000000, IF(ISNA(VLOOKUP(R149, Mileages!$A$2:$C$34, 2, 0)), R149, VLOOKUP(R149, Mileages!$A$2:$C$34, 2, 0)))) + (F149 * IF(ISBLANK(P149), 1, P149) * IF(ISBLANK(T149), 0, IF(ISNA(VLOOKUP(T149, 'Fuel Costs'!$A$2:$C$42, 2, 0)), T149, VLOOKUP(T149, 'Fuel Costs'!$A$2:$C$42, 2, 0))) / IF(ISBLANK(O149), 1, O149))) * 100</f>
        <v>28.44375</v>
      </c>
      <c r="J149" s="2" t="n">
        <f aca="false">((H149 / 800) / (IF(ISBLANK(S149), 100, IF(ISNA(VLOOKUP(S149, Lives!$A$2:$C$35, 2, 0)), S149, VLOOKUP(S149, Lives!$A$2:$C$35, 2, 0))) * 12) + (IF(ISBLANK(Q149), 0, IF(ISNA(VLOOKUP(Q149, Wages!$A$2:$C$17, 2, 0)), Q149, VLOOKUP(Q149, Wages!$A$2:$C$17, 2, 0))) * IF(ISBLANK(N149), 0, IF(ISNA(VLOOKUP(N149, Crews!$A$2:$C$28, 2, 0)), N149, VLOOKUP(N149, Crews!$A$2:$C$28, 2, 0))))) * 400</f>
        <v>17972.22222</v>
      </c>
      <c r="K149" s="3" t="s">
        <v>306</v>
      </c>
      <c r="L149" s="1" t="s">
        <v>307</v>
      </c>
      <c r="M149" s="1" t="n">
        <v>0</v>
      </c>
      <c r="N149" s="1" t="s">
        <v>283</v>
      </c>
      <c r="O149" s="1" t="n">
        <v>0.25</v>
      </c>
      <c r="P149" s="1"/>
      <c r="Q149" s="5" t="s">
        <v>284</v>
      </c>
      <c r="R149" s="4" t="s">
        <v>285</v>
      </c>
      <c r="S149" s="4" t="s">
        <v>285</v>
      </c>
      <c r="T149" s="1" t="s">
        <v>277</v>
      </c>
    </row>
    <row r="150" customFormat="false" ht="15" hidden="false" customHeight="true" outlineLevel="0" collapsed="false">
      <c r="A150" s="1" t="s">
        <v>308</v>
      </c>
      <c r="B150" s="1" t="n">
        <v>1816</v>
      </c>
      <c r="C150" s="1" t="n">
        <v>10</v>
      </c>
      <c r="D150" s="1" t="s">
        <v>38</v>
      </c>
      <c r="E150" s="1" t="s">
        <v>274</v>
      </c>
      <c r="F150" s="1"/>
      <c r="G150" s="1" t="n">
        <v>12</v>
      </c>
      <c r="H150" s="2" t="n">
        <v>0</v>
      </c>
      <c r="I150" s="2" t="n">
        <f aca="false">(((H150 / 800) / IF(ISBLANK(R150), 1000000, IF(ISNA(VLOOKUP(R150, Mileages!$A$2:$C$34, 2, 0)), R150, VLOOKUP(R150, Mileages!$A$2:$C$34, 2, 0)))) + (F150 * IF(ISBLANK(P150), 1, P150) * IF(ISBLANK(T150), 0, IF(ISNA(VLOOKUP(T150, 'Fuel Costs'!$A$2:$C$42, 2, 0)), T150, VLOOKUP(T150, 'Fuel Costs'!$A$2:$C$42, 2, 0))) / IF(ISBLANK(O150), 1, O150))) * 100</f>
        <v>0</v>
      </c>
      <c r="J150" s="2" t="n">
        <f aca="false">((H150 / 800) / (IF(ISBLANK(S150), 100, IF(ISNA(VLOOKUP(S150, Lives!$A$2:$C$35, 2, 0)), S150, VLOOKUP(S150, Lives!$A$2:$C$35, 2, 0))) * 12) + (IF(ISBLANK(Q150), 0, IF(ISNA(VLOOKUP(Q150, Wages!$A$2:$C$17, 2, 0)), Q150, VLOOKUP(Q150, Wages!$A$2:$C$17, 2, 0))) * IF(ISBLANK(N150), 0, IF(ISNA(VLOOKUP(N150, Crews!$A$2:$C$28, 2, 0)), N150, VLOOKUP(N150, Crews!$A$2:$C$28, 2, 0))))) * 400</f>
        <v>0</v>
      </c>
      <c r="K150" s="1"/>
      <c r="L150" s="1" t="s">
        <v>307</v>
      </c>
      <c r="M150" s="1" t="n">
        <v>1</v>
      </c>
      <c r="N150" s="1"/>
      <c r="O150" s="1"/>
      <c r="P150" s="1"/>
      <c r="Q150" s="1"/>
      <c r="R150" s="1"/>
      <c r="S150" s="1"/>
      <c r="T150" s="1"/>
    </row>
    <row r="151" customFormat="false" ht="15" hidden="false" customHeight="true" outlineLevel="0" collapsed="false">
      <c r="A151" s="1" t="s">
        <v>309</v>
      </c>
      <c r="B151" s="1" t="n">
        <v>1820</v>
      </c>
      <c r="C151" s="1" t="n">
        <v>1</v>
      </c>
      <c r="D151" s="1" t="s">
        <v>29</v>
      </c>
      <c r="E151" s="1" t="s">
        <v>30</v>
      </c>
      <c r="F151" s="1"/>
      <c r="G151" s="1" t="n">
        <v>18</v>
      </c>
      <c r="H151" s="2"/>
      <c r="I151" s="2"/>
      <c r="J151" s="2"/>
      <c r="K151" s="3" t="s">
        <v>310</v>
      </c>
      <c r="L151" s="1" t="s">
        <v>311</v>
      </c>
      <c r="M151" s="1" t="n">
        <v>0</v>
      </c>
      <c r="N151" s="1"/>
      <c r="O151" s="1"/>
      <c r="P151" s="1"/>
      <c r="Q151" s="1"/>
      <c r="R151" s="1"/>
      <c r="S151" s="1"/>
      <c r="T151" s="1"/>
    </row>
    <row r="152" customFormat="false" ht="15" hidden="false" customHeight="true" outlineLevel="0" collapsed="false">
      <c r="A152" s="1" t="s">
        <v>312</v>
      </c>
      <c r="B152" s="1" t="n">
        <v>1820</v>
      </c>
      <c r="C152" s="1" t="n">
        <v>1</v>
      </c>
      <c r="D152" s="1" t="s">
        <v>29</v>
      </c>
      <c r="E152" s="1" t="s">
        <v>30</v>
      </c>
      <c r="F152" s="1"/>
      <c r="G152" s="1" t="n">
        <v>18</v>
      </c>
      <c r="H152" s="2"/>
      <c r="I152" s="2"/>
      <c r="J152" s="2"/>
      <c r="K152" s="1" t="s">
        <v>31</v>
      </c>
      <c r="L152" s="1" t="s">
        <v>311</v>
      </c>
      <c r="M152" s="1" t="n">
        <v>1</v>
      </c>
      <c r="N152" s="1"/>
      <c r="O152" s="1"/>
      <c r="P152" s="1"/>
      <c r="Q152" s="1"/>
      <c r="R152" s="1"/>
      <c r="S152" s="1"/>
      <c r="T152" s="1"/>
    </row>
    <row r="153" customFormat="false" ht="15" hidden="false" customHeight="true" outlineLevel="0" collapsed="false">
      <c r="A153" s="1" t="s">
        <v>313</v>
      </c>
      <c r="B153" s="1" t="n">
        <v>1820</v>
      </c>
      <c r="C153" s="1" t="n">
        <v>1</v>
      </c>
      <c r="D153" s="1" t="s">
        <v>29</v>
      </c>
      <c r="E153" s="1" t="s">
        <v>30</v>
      </c>
      <c r="F153" s="1"/>
      <c r="G153" s="1" t="n">
        <v>18</v>
      </c>
      <c r="H153" s="2"/>
      <c r="I153" s="2"/>
      <c r="J153" s="2"/>
      <c r="K153" s="1" t="s">
        <v>31</v>
      </c>
      <c r="L153" s="1" t="s">
        <v>311</v>
      </c>
      <c r="M153" s="1" t="n">
        <v>2</v>
      </c>
      <c r="N153" s="1"/>
      <c r="O153" s="1"/>
      <c r="P153" s="1"/>
      <c r="Q153" s="1"/>
      <c r="R153" s="1"/>
      <c r="S153" s="1"/>
      <c r="T153" s="1"/>
    </row>
    <row r="154" customFormat="false" ht="15" hidden="false" customHeight="true" outlineLevel="0" collapsed="false">
      <c r="A154" s="1" t="s">
        <v>314</v>
      </c>
      <c r="B154" s="1" t="n">
        <v>1820</v>
      </c>
      <c r="C154" s="1" t="n">
        <v>1</v>
      </c>
      <c r="D154" s="1" t="s">
        <v>29</v>
      </c>
      <c r="E154" s="1" t="s">
        <v>30</v>
      </c>
      <c r="F154" s="1"/>
      <c r="G154" s="1" t="n">
        <v>18</v>
      </c>
      <c r="H154" s="2"/>
      <c r="I154" s="2"/>
      <c r="J154" s="2"/>
      <c r="K154" s="1" t="s">
        <v>31</v>
      </c>
      <c r="L154" s="1" t="s">
        <v>311</v>
      </c>
      <c r="M154" s="1" t="n">
        <v>3</v>
      </c>
      <c r="N154" s="1"/>
      <c r="O154" s="1"/>
      <c r="P154" s="1"/>
      <c r="Q154" s="1"/>
      <c r="R154" s="1"/>
      <c r="S154" s="1"/>
      <c r="T154" s="1"/>
    </row>
    <row r="155" customFormat="false" ht="15" hidden="false" customHeight="true" outlineLevel="0" collapsed="false">
      <c r="A155" s="1" t="s">
        <v>315</v>
      </c>
      <c r="B155" s="1" t="n">
        <v>1820</v>
      </c>
      <c r="C155" s="1" t="n">
        <v>1</v>
      </c>
      <c r="D155" s="1" t="s">
        <v>29</v>
      </c>
      <c r="E155" s="1" t="s">
        <v>30</v>
      </c>
      <c r="F155" s="1"/>
      <c r="G155" s="1" t="n">
        <v>18</v>
      </c>
      <c r="H155" s="2"/>
      <c r="I155" s="2"/>
      <c r="J155" s="2"/>
      <c r="K155" s="1" t="s">
        <v>31</v>
      </c>
      <c r="L155" s="1" t="s">
        <v>311</v>
      </c>
      <c r="M155" s="1" t="n">
        <v>4</v>
      </c>
      <c r="N155" s="1"/>
      <c r="O155" s="1"/>
      <c r="P155" s="1"/>
      <c r="Q155" s="1"/>
      <c r="R155" s="1"/>
      <c r="S155" s="1"/>
      <c r="T155" s="1"/>
    </row>
    <row r="156" customFormat="false" ht="15" hidden="false" customHeight="true" outlineLevel="0" collapsed="false">
      <c r="A156" s="1" t="s">
        <v>316</v>
      </c>
      <c r="B156" s="1" t="n">
        <v>1820</v>
      </c>
      <c r="C156" s="1" t="n">
        <v>1</v>
      </c>
      <c r="D156" s="1" t="s">
        <v>29</v>
      </c>
      <c r="E156" s="1" t="s">
        <v>30</v>
      </c>
      <c r="F156" s="1"/>
      <c r="G156" s="1" t="n">
        <v>18</v>
      </c>
      <c r="H156" s="2"/>
      <c r="I156" s="2"/>
      <c r="J156" s="2"/>
      <c r="K156" s="1" t="s">
        <v>31</v>
      </c>
      <c r="L156" s="1" t="s">
        <v>311</v>
      </c>
      <c r="M156" s="1" t="n">
        <v>5</v>
      </c>
      <c r="N156" s="1"/>
      <c r="O156" s="1"/>
      <c r="P156" s="1"/>
      <c r="Q156" s="1"/>
      <c r="R156" s="1"/>
      <c r="S156" s="1"/>
      <c r="T156" s="1"/>
    </row>
    <row r="157" customFormat="false" ht="15" hidden="false" customHeight="true" outlineLevel="0" collapsed="false">
      <c r="A157" s="1" t="s">
        <v>317</v>
      </c>
      <c r="B157" s="1" t="n">
        <v>1820</v>
      </c>
      <c r="C157" s="1" t="n">
        <v>1</v>
      </c>
      <c r="D157" s="1" t="s">
        <v>29</v>
      </c>
      <c r="E157" s="1" t="s">
        <v>30</v>
      </c>
      <c r="F157" s="1"/>
      <c r="G157" s="1" t="n">
        <v>18</v>
      </c>
      <c r="H157" s="2"/>
      <c r="I157" s="2"/>
      <c r="J157" s="2"/>
      <c r="K157" s="1" t="s">
        <v>31</v>
      </c>
      <c r="L157" s="1" t="s">
        <v>311</v>
      </c>
      <c r="M157" s="1" t="n">
        <v>6</v>
      </c>
      <c r="N157" s="1"/>
      <c r="O157" s="1"/>
      <c r="P157" s="1"/>
      <c r="Q157" s="1"/>
      <c r="R157" s="1"/>
      <c r="S157" s="1"/>
      <c r="T157" s="1"/>
    </row>
    <row r="158" customFormat="false" ht="15" hidden="false" customHeight="true" outlineLevel="0" collapsed="false">
      <c r="A158" s="1" t="s">
        <v>318</v>
      </c>
      <c r="B158" s="1" t="n">
        <v>1820</v>
      </c>
      <c r="C158" s="1" t="n">
        <v>1</v>
      </c>
      <c r="D158" s="1" t="s">
        <v>29</v>
      </c>
      <c r="E158" s="1" t="s">
        <v>30</v>
      </c>
      <c r="F158" s="1" t="n">
        <v>500</v>
      </c>
      <c r="G158" s="1" t="n">
        <v>18</v>
      </c>
      <c r="H158" s="2" t="n">
        <f aca="false">750000*10</f>
        <v>7500000</v>
      </c>
      <c r="I158" s="2" t="n">
        <f aca="false">(((H158 / 800) / IF(ISBLANK(R158), 1000000, IF(ISNA(VLOOKUP(R158, Mileages!$A$2:$C$34, 2, 0)), R158, VLOOKUP(R158, Mileages!$A$2:$C$34, 2, 0)))) + (F158 * IF(ISBLANK(P158), 1, P158) * IF(ISBLANK(T158), 0, IF(ISNA(VLOOKUP(T158, 'Fuel Costs'!$A$2:$C$42, 2, 0)), T158, VLOOKUP(T158, 'Fuel Costs'!$A$2:$C$42, 2, 0))) / IF(ISBLANK(O158), 1, O158))) * 100</f>
        <v>1.171875</v>
      </c>
      <c r="J158" s="2" t="n">
        <f aca="false">((H158 / 800) / (IF(ISBLANK(S158), 100, IF(ISNA(VLOOKUP(S158, Lives!$A$2:$C$35, 2, 0)), S158, VLOOKUP(S158, Lives!$A$2:$C$35, 2, 0))) * 12) + (IF(ISBLANK(Q158), 0, IF(ISNA(VLOOKUP(Q158, Wages!$A$2:$C$17, 2, 0)), Q158, VLOOKUP(Q158, Wages!$A$2:$C$17, 2, 0))) * IF(ISBLANK(N158), 0, IF(ISNA(VLOOKUP(N158, Crews!$A$2:$C$28, 2, 0)), N158, VLOOKUP(N158, Crews!$A$2:$C$28, 2, 0))))) * 400</f>
        <v>85208.33333</v>
      </c>
      <c r="K158" s="1" t="s">
        <v>63</v>
      </c>
      <c r="L158" s="1" t="s">
        <v>319</v>
      </c>
      <c r="M158" s="1" t="n">
        <v>0</v>
      </c>
      <c r="N158" s="1" t="s">
        <v>65</v>
      </c>
      <c r="O158" s="1"/>
      <c r="P158" s="1"/>
      <c r="Q158" s="1" t="s">
        <v>34</v>
      </c>
      <c r="R158" s="4" t="s">
        <v>35</v>
      </c>
      <c r="S158" s="1" t="s">
        <v>35</v>
      </c>
      <c r="T158" s="1" t="s">
        <v>36</v>
      </c>
    </row>
    <row r="159" customFormat="false" ht="15" hidden="false" customHeight="true" outlineLevel="0" collapsed="false">
      <c r="A159" s="1" t="s">
        <v>320</v>
      </c>
      <c r="B159" s="1" t="n">
        <v>1820</v>
      </c>
      <c r="C159" s="1" t="n">
        <v>5</v>
      </c>
      <c r="D159" s="1" t="s">
        <v>29</v>
      </c>
      <c r="E159" s="1" t="s">
        <v>274</v>
      </c>
      <c r="F159" s="1" t="n">
        <v>90</v>
      </c>
      <c r="G159" s="1" t="n">
        <v>15</v>
      </c>
      <c r="H159" s="2" t="n">
        <v>13063680</v>
      </c>
      <c r="I159" s="2" t="n">
        <f aca="false">(((H159 / 800) / IF(ISBLANK(R159), 1000000, IF(ISNA(VLOOKUP(R159, Mileages!$A$2:$C$34, 2, 0)), R159, VLOOKUP(R159, Mileages!$A$2:$C$34, 2, 0)))) + (F159 * IF(ISBLANK(P159), 1, P159) * IF(ISBLANK(T159), 0, IF(ISNA(VLOOKUP(T159, 'Fuel Costs'!$A$2:$C$42, 2, 0)), T159, VLOOKUP(T159, 'Fuel Costs'!$A$2:$C$42, 2, 0))) / IF(ISBLANK(O159), 1, O159))) * 100</f>
        <v>26.0412</v>
      </c>
      <c r="J159" s="2" t="n">
        <f aca="false">((H159 / 800) / (IF(ISBLANK(S159), 100, IF(ISNA(VLOOKUP(S159, Lives!$A$2:$C$35, 2, 0)), S159, VLOOKUP(S159, Lives!$A$2:$C$35, 2, 0))) * 12) + (IF(ISBLANK(Q159), 0, IF(ISNA(VLOOKUP(Q159, Wages!$A$2:$C$17, 2, 0)), Q159, VLOOKUP(Q159, Wages!$A$2:$C$17, 2, 0))) * IF(ISBLANK(N159), 0, IF(ISNA(VLOOKUP(N159, Crews!$A$2:$C$28, 2, 0)), N159, VLOOKUP(N159, Crews!$A$2:$C$28, 2, 0))))) * 400</f>
        <v>209072</v>
      </c>
      <c r="K159" s="1" t="s">
        <v>321</v>
      </c>
      <c r="L159" s="1" t="s">
        <v>322</v>
      </c>
      <c r="M159" s="1" t="n">
        <v>0</v>
      </c>
      <c r="N159" s="1" t="s">
        <v>323</v>
      </c>
      <c r="O159" s="1" t="n">
        <v>0.75</v>
      </c>
      <c r="P159" s="1" t="n">
        <v>0.2</v>
      </c>
      <c r="Q159" s="1" t="s">
        <v>34</v>
      </c>
      <c r="R159" s="4" t="s">
        <v>35</v>
      </c>
      <c r="S159" s="1" t="s">
        <v>35</v>
      </c>
      <c r="T159" s="1" t="s">
        <v>277</v>
      </c>
    </row>
    <row r="160" customFormat="false" ht="15" hidden="false" customHeight="true" outlineLevel="0" collapsed="false">
      <c r="A160" s="1" t="s">
        <v>324</v>
      </c>
      <c r="B160" s="1" t="n">
        <v>1820</v>
      </c>
      <c r="C160" s="1" t="n">
        <v>5</v>
      </c>
      <c r="D160" s="1" t="s">
        <v>29</v>
      </c>
      <c r="E160" s="1"/>
      <c r="F160" s="1"/>
      <c r="G160" s="1" t="n">
        <v>18</v>
      </c>
      <c r="H160" s="2"/>
      <c r="I160" s="2"/>
      <c r="J160" s="2"/>
      <c r="K160" s="1"/>
      <c r="L160" s="1" t="s">
        <v>279</v>
      </c>
      <c r="M160" s="1" t="n">
        <v>1</v>
      </c>
      <c r="N160" s="1"/>
      <c r="O160" s="1"/>
      <c r="P160" s="1"/>
      <c r="Q160" s="1"/>
      <c r="R160" s="1"/>
      <c r="S160" s="1"/>
      <c r="T160" s="1"/>
    </row>
    <row r="161" customFormat="false" ht="15" hidden="false" customHeight="true" outlineLevel="0" collapsed="false">
      <c r="A161" s="1" t="s">
        <v>325</v>
      </c>
      <c r="B161" s="1" t="n">
        <v>1825</v>
      </c>
      <c r="C161" s="1" t="n">
        <v>6</v>
      </c>
      <c r="D161" s="1" t="s">
        <v>21</v>
      </c>
      <c r="E161" s="1"/>
      <c r="F161" s="1"/>
      <c r="G161" s="1" t="n">
        <v>12</v>
      </c>
      <c r="H161" s="2" t="n">
        <v>8750</v>
      </c>
      <c r="I161" s="2" t="n">
        <f aca="false">(((H161 / 800) / IF(ISBLANK(R161), 1000000, IF(ISNA(VLOOKUP(R161, Mileages!$A$2:$C$34, 2, 0)), R161, VLOOKUP(R161, Mileages!$A$2:$C$34, 2, 0)))) + (F161 * IF(ISBLANK(P161), 1, P161) * IF(ISBLANK(T161), 0, IF(ISNA(VLOOKUP(T161, 'Fuel Costs'!$A$2:$C$42, 2, 0)), T161, VLOOKUP(T161, 'Fuel Costs'!$A$2:$C$42, 2, 0))) / IF(ISBLANK(O161), 1, O161))) * 100</f>
        <v>0.0021875</v>
      </c>
      <c r="J161" s="2" t="n">
        <f aca="false">((H161 / 800) / (IF(ISBLANK(S161), 100, IF(ISNA(VLOOKUP(S161, Lives!$A$2:$C$35, 2, 0)), S161, VLOOKUP(S161, Lives!$A$2:$C$35, 2, 0))) * 12) + (IF(ISBLANK(Q161), 0, IF(ISNA(VLOOKUP(Q161, Wages!$A$2:$C$17, 2, 0)), Q161, VLOOKUP(Q161, Wages!$A$2:$C$17, 2, 0))) * IF(ISBLANK(N161), 0, IF(ISNA(VLOOKUP(N161, Crews!$A$2:$C$28, 2, 0)), N161, VLOOKUP(N161, Crews!$A$2:$C$28, 2, 0))))) * 400</f>
        <v>4803.645833</v>
      </c>
      <c r="K161" s="3" t="s">
        <v>326</v>
      </c>
      <c r="L161" s="1" t="s">
        <v>83</v>
      </c>
      <c r="M161" s="1" t="n">
        <v>5</v>
      </c>
      <c r="N161" s="1" t="s">
        <v>25</v>
      </c>
      <c r="O161" s="1"/>
      <c r="P161" s="1"/>
      <c r="Q161" s="1" t="s">
        <v>41</v>
      </c>
      <c r="R161" s="5" t="s">
        <v>327</v>
      </c>
      <c r="S161" s="1" t="s">
        <v>43</v>
      </c>
      <c r="T161" s="1"/>
    </row>
    <row r="162" customFormat="false" ht="15" hidden="false" customHeight="true" outlineLevel="0" collapsed="false">
      <c r="A162" s="1" t="s">
        <v>328</v>
      </c>
      <c r="B162" s="1" t="n">
        <v>1825</v>
      </c>
      <c r="C162" s="1" t="n">
        <v>9</v>
      </c>
      <c r="D162" s="1" t="s">
        <v>38</v>
      </c>
      <c r="E162" s="1" t="s">
        <v>274</v>
      </c>
      <c r="F162" s="1" t="n">
        <v>10</v>
      </c>
      <c r="G162" s="1" t="n">
        <v>24</v>
      </c>
      <c r="H162" s="2" t="n">
        <v>1663200</v>
      </c>
      <c r="I162" s="2" t="n">
        <f aca="false">(((H162 / 800) / IF(ISBLANK(R162), 1000000, IF(ISNA(VLOOKUP(R162, Mileages!$A$2:$C$34, 2, 0)), R162, VLOOKUP(R162, Mileages!$A$2:$C$34, 2, 0)))) + (F162 * IF(ISBLANK(P162), 1, P162) * IF(ISBLANK(T162), 0, IF(ISNA(VLOOKUP(T162, 'Fuel Costs'!$A$2:$C$42, 2, 0)), T162, VLOOKUP(T162, 'Fuel Costs'!$A$2:$C$42, 2, 0))) / IF(ISBLANK(O162), 1, O162))) * 100</f>
        <v>40.51975</v>
      </c>
      <c r="J162" s="2" t="n">
        <f aca="false">((H162 / 800) / (IF(ISBLANK(S162), 100, IF(ISNA(VLOOKUP(S162, Lives!$A$2:$C$35, 2, 0)), S162, VLOOKUP(S162, Lives!$A$2:$C$35, 2, 0))) * 12) + (IF(ISBLANK(Q162), 0, IF(ISNA(VLOOKUP(Q162, Wages!$A$2:$C$17, 2, 0)), Q162, VLOOKUP(Q162, Wages!$A$2:$C$17, 2, 0))) * IF(ISBLANK(N162), 0, IF(ISNA(VLOOKUP(N162, Crews!$A$2:$C$28, 2, 0)), N162, VLOOKUP(N162, Crews!$A$2:$C$28, 2, 0))))) * 400</f>
        <v>18310</v>
      </c>
      <c r="K162" s="3" t="s">
        <v>329</v>
      </c>
      <c r="L162" s="1" t="s">
        <v>330</v>
      </c>
      <c r="M162" s="1" t="n">
        <v>0</v>
      </c>
      <c r="N162" s="1" t="s">
        <v>283</v>
      </c>
      <c r="O162" s="1" t="n">
        <v>0.25</v>
      </c>
      <c r="P162" s="1"/>
      <c r="Q162" s="5" t="s">
        <v>284</v>
      </c>
      <c r="R162" s="4" t="s">
        <v>285</v>
      </c>
      <c r="S162" s="4" t="s">
        <v>285</v>
      </c>
      <c r="T162" s="1" t="s">
        <v>277</v>
      </c>
    </row>
    <row r="163" customFormat="false" ht="15" hidden="false" customHeight="true" outlineLevel="0" collapsed="false">
      <c r="A163" s="1" t="s">
        <v>331</v>
      </c>
      <c r="B163" s="1" t="n">
        <v>1825</v>
      </c>
      <c r="C163" s="1" t="n">
        <v>9</v>
      </c>
      <c r="D163" s="1" t="s">
        <v>38</v>
      </c>
      <c r="E163" s="1" t="s">
        <v>274</v>
      </c>
      <c r="F163" s="1"/>
      <c r="G163" s="1" t="n">
        <v>24</v>
      </c>
      <c r="H163" s="2" t="n">
        <v>0</v>
      </c>
      <c r="I163" s="2" t="n">
        <f aca="false">(((H163 / 800) / IF(ISBLANK(R163), 1000000, IF(ISNA(VLOOKUP(R163, Mileages!$A$2:$C$34, 2, 0)), R163, VLOOKUP(R163, Mileages!$A$2:$C$34, 2, 0)))) + (F163 * IF(ISBLANK(P163), 1, P163) * IF(ISBLANK(T163), 0, IF(ISNA(VLOOKUP(T163, 'Fuel Costs'!$A$2:$C$42, 2, 0)), T163, VLOOKUP(T163, 'Fuel Costs'!$A$2:$C$42, 2, 0))) / IF(ISBLANK(O163), 1, O163))) * 100</f>
        <v>0</v>
      </c>
      <c r="J163" s="2" t="n">
        <f aca="false">((H163 / 800) / (IF(ISBLANK(S163), 100, IF(ISNA(VLOOKUP(S163, Lives!$A$2:$C$35, 2, 0)), S163, VLOOKUP(S163, Lives!$A$2:$C$35, 2, 0))) * 12) + (IF(ISBLANK(Q163), 0, IF(ISNA(VLOOKUP(Q163, Wages!$A$2:$C$17, 2, 0)), Q163, VLOOKUP(Q163, Wages!$A$2:$C$17, 2, 0))) * IF(ISBLANK(N163), 0, IF(ISNA(VLOOKUP(N163, Crews!$A$2:$C$28, 2, 0)), N163, VLOOKUP(N163, Crews!$A$2:$C$28, 2, 0))))) * 400</f>
        <v>0</v>
      </c>
      <c r="K163" s="1" t="s">
        <v>332</v>
      </c>
      <c r="L163" s="1" t="s">
        <v>333</v>
      </c>
      <c r="M163" s="1" t="n">
        <v>0</v>
      </c>
      <c r="N163" s="1"/>
      <c r="O163" s="1"/>
      <c r="P163" s="1"/>
      <c r="Q163" s="1"/>
      <c r="R163" s="1"/>
      <c r="S163" s="1"/>
      <c r="T163" s="1"/>
    </row>
    <row r="164" customFormat="false" ht="15" hidden="false" customHeight="true" outlineLevel="0" collapsed="false">
      <c r="A164" s="1" t="s">
        <v>334</v>
      </c>
      <c r="B164" s="1" t="n">
        <v>1826</v>
      </c>
      <c r="C164" s="1" t="n">
        <v>1</v>
      </c>
      <c r="D164" s="1" t="s">
        <v>21</v>
      </c>
      <c r="E164" s="1" t="s">
        <v>22</v>
      </c>
      <c r="F164" s="1" t="n">
        <v>1</v>
      </c>
      <c r="G164" s="1" t="n">
        <v>11</v>
      </c>
      <c r="H164" s="2" t="n">
        <v>60000</v>
      </c>
      <c r="I164" s="2" t="n">
        <f aca="false">(((H164 / 800) / IF(ISBLANK(R164), 1000000, IF(ISNA(VLOOKUP(R164, Mileages!$A$2:$C$34, 2, 0)), R164, VLOOKUP(R164, Mileages!$A$2:$C$34, 2, 0)))) + (F164 * IF(ISBLANK(P164), 1, P164) * IF(ISBLANK(T164), 0, IF(ISNA(VLOOKUP(T164, 'Fuel Costs'!$A$2:$C$42, 2, 0)), T164, VLOOKUP(T164, 'Fuel Costs'!$A$2:$C$42, 2, 0))) / IF(ISBLANK(O164), 1, O164))) * 100</f>
        <v>2.500000008</v>
      </c>
      <c r="J164" s="2" t="n">
        <f aca="false">((H164 / 800) / (IF(ISBLANK(S164), 100, IF(ISNA(VLOOKUP(S164, Lives!$A$2:$C$35, 2, 0)), S164, VLOOKUP(S164, Lives!$A$2:$C$35, 2, 0))) * 12) + (IF(ISBLANK(Q164), 0, IF(ISNA(VLOOKUP(Q164, Wages!$A$2:$C$17, 2, 0)), Q164, VLOOKUP(Q164, Wages!$A$2:$C$17, 2, 0))) * IF(ISBLANK(N164), 0, IF(ISNA(VLOOKUP(N164, Crews!$A$2:$C$28, 2, 0)), N164, VLOOKUP(N164, Crews!$A$2:$C$28, 2, 0))))) * 400</f>
        <v>125</v>
      </c>
      <c r="K164" s="1" t="s">
        <v>335</v>
      </c>
      <c r="L164" s="1" t="s">
        <v>336</v>
      </c>
      <c r="M164" s="1" t="n">
        <v>0</v>
      </c>
      <c r="N164" s="4"/>
      <c r="O164" s="1"/>
      <c r="P164" s="1"/>
      <c r="Q164" s="1"/>
      <c r="R164" s="5" t="s">
        <v>87</v>
      </c>
      <c r="S164" s="5" t="s">
        <v>87</v>
      </c>
      <c r="T164" s="5" t="s">
        <v>87</v>
      </c>
    </row>
    <row r="165" customFormat="false" ht="15" hidden="false" customHeight="true" outlineLevel="0" collapsed="false">
      <c r="A165" s="1" t="s">
        <v>337</v>
      </c>
      <c r="B165" s="1" t="n">
        <v>1826</v>
      </c>
      <c r="C165" s="1" t="n">
        <v>1</v>
      </c>
      <c r="D165" s="1" t="s">
        <v>21</v>
      </c>
      <c r="E165" s="1" t="s">
        <v>22</v>
      </c>
      <c r="F165" s="1" t="n">
        <v>2</v>
      </c>
      <c r="G165" s="1" t="n">
        <v>11</v>
      </c>
      <c r="H165" s="2" t="n">
        <v>120000</v>
      </c>
      <c r="I165" s="2" t="n">
        <f aca="false">(((H165 / 800) / IF(ISBLANK(R165), 1000000, IF(ISNA(VLOOKUP(R165, Mileages!$A$2:$C$34, 2, 0)), R165, VLOOKUP(R165, Mileages!$A$2:$C$34, 2, 0)))) + (F165 * IF(ISBLANK(P165), 1, P165) * IF(ISBLANK(T165), 0, IF(ISNA(VLOOKUP(T165, 'Fuel Costs'!$A$2:$C$42, 2, 0)), T165, VLOOKUP(T165, 'Fuel Costs'!$A$2:$C$42, 2, 0))) / IF(ISBLANK(O165), 1, O165))) * 100</f>
        <v>5.000000015</v>
      </c>
      <c r="J165" s="2" t="n">
        <f aca="false">((H165 / 800) / (IF(ISBLANK(S165), 100, IF(ISNA(VLOOKUP(S165, Lives!$A$2:$C$35, 2, 0)), S165, VLOOKUP(S165, Lives!$A$2:$C$35, 2, 0))) * 12) + (IF(ISBLANK(Q165), 0, IF(ISNA(VLOOKUP(Q165, Wages!$A$2:$C$17, 2, 0)), Q165, VLOOKUP(Q165, Wages!$A$2:$C$17, 2, 0))) * IF(ISBLANK(N165), 0, IF(ISNA(VLOOKUP(N165, Crews!$A$2:$C$28, 2, 0)), N165, VLOOKUP(N165, Crews!$A$2:$C$28, 2, 0))))) * 400</f>
        <v>250</v>
      </c>
      <c r="K165" s="1"/>
      <c r="L165" s="1" t="s">
        <v>336</v>
      </c>
      <c r="M165" s="1" t="n">
        <v>1</v>
      </c>
      <c r="N165" s="4"/>
      <c r="O165" s="1"/>
      <c r="P165" s="1"/>
      <c r="Q165" s="1"/>
      <c r="R165" s="5" t="s">
        <v>87</v>
      </c>
      <c r="S165" s="5" t="s">
        <v>87</v>
      </c>
      <c r="T165" s="5" t="s">
        <v>87</v>
      </c>
    </row>
    <row r="166" customFormat="false" ht="15" hidden="false" customHeight="true" outlineLevel="0" collapsed="false">
      <c r="A166" s="1" t="s">
        <v>338</v>
      </c>
      <c r="B166" s="1" t="n">
        <v>1826</v>
      </c>
      <c r="C166" s="1" t="n">
        <v>1</v>
      </c>
      <c r="D166" s="1" t="s">
        <v>38</v>
      </c>
      <c r="E166" s="1" t="s">
        <v>22</v>
      </c>
      <c r="F166" s="1" t="n">
        <v>1</v>
      </c>
      <c r="G166" s="1" t="n">
        <v>11</v>
      </c>
      <c r="H166" s="2" t="n">
        <v>60000</v>
      </c>
      <c r="I166" s="2" t="n">
        <f aca="false">(((H166 / 800) / IF(ISBLANK(R166), 1000000, IF(ISNA(VLOOKUP(R166, Mileages!$A$2:$C$34, 2, 0)), R166, VLOOKUP(R166, Mileages!$A$2:$C$34, 2, 0)))) + (F166 * IF(ISBLANK(P166), 1, P166) * IF(ISBLANK(T166), 0, IF(ISNA(VLOOKUP(T166, 'Fuel Costs'!$A$2:$C$42, 2, 0)), T166, VLOOKUP(T166, 'Fuel Costs'!$A$2:$C$42, 2, 0))) / IF(ISBLANK(O166), 1, O166))) * 100</f>
        <v>2.500000008</v>
      </c>
      <c r="J166" s="2" t="n">
        <f aca="false">((H166 / 800) / (IF(ISBLANK(S166), 100, IF(ISNA(VLOOKUP(S166, Lives!$A$2:$C$35, 2, 0)), S166, VLOOKUP(S166, Lives!$A$2:$C$35, 2, 0))) * 12) + (IF(ISBLANK(Q166), 0, IF(ISNA(VLOOKUP(Q166, Wages!$A$2:$C$17, 2, 0)), Q166, VLOOKUP(Q166, Wages!$A$2:$C$17, 2, 0))) * IF(ISBLANK(N166), 0, IF(ISNA(VLOOKUP(N166, Crews!$A$2:$C$28, 2, 0)), N166, VLOOKUP(N166, Crews!$A$2:$C$28, 2, 0))))) * 400</f>
        <v>1625</v>
      </c>
      <c r="K166" s="1" t="s">
        <v>335</v>
      </c>
      <c r="L166" s="1" t="s">
        <v>339</v>
      </c>
      <c r="M166" s="1" t="n">
        <v>0</v>
      </c>
      <c r="N166" s="4" t="s">
        <v>153</v>
      </c>
      <c r="O166" s="1"/>
      <c r="P166" s="1"/>
      <c r="Q166" s="1" t="s">
        <v>26</v>
      </c>
      <c r="R166" s="5" t="s">
        <v>87</v>
      </c>
      <c r="S166" s="5" t="s">
        <v>87</v>
      </c>
      <c r="T166" s="5" t="s">
        <v>87</v>
      </c>
    </row>
    <row r="167" customFormat="false" ht="15" hidden="false" customHeight="true" outlineLevel="0" collapsed="false">
      <c r="A167" s="1" t="s">
        <v>340</v>
      </c>
      <c r="B167" s="1" t="n">
        <v>1826</v>
      </c>
      <c r="C167" s="1" t="n">
        <v>1</v>
      </c>
      <c r="D167" s="1" t="s">
        <v>38</v>
      </c>
      <c r="E167" s="1" t="s">
        <v>22</v>
      </c>
      <c r="F167" s="1" t="n">
        <v>2</v>
      </c>
      <c r="G167" s="1" t="n">
        <v>11</v>
      </c>
      <c r="H167" s="2" t="n">
        <v>120000</v>
      </c>
      <c r="I167" s="2" t="n">
        <f aca="false">(((H167 / 800) / IF(ISBLANK(R167), 1000000, IF(ISNA(VLOOKUP(R167, Mileages!$A$2:$C$34, 2, 0)), R167, VLOOKUP(R167, Mileages!$A$2:$C$34, 2, 0)))) + (F167 * IF(ISBLANK(P167), 1, P167) * IF(ISBLANK(T167), 0, IF(ISNA(VLOOKUP(T167, 'Fuel Costs'!$A$2:$C$42, 2, 0)), T167, VLOOKUP(T167, 'Fuel Costs'!$A$2:$C$42, 2, 0))) / IF(ISBLANK(O167), 1, O167))) * 100</f>
        <v>5.000000015</v>
      </c>
      <c r="J167" s="2" t="n">
        <f aca="false">((H167 / 800) / (IF(ISBLANK(S167), 100, IF(ISNA(VLOOKUP(S167, Lives!$A$2:$C$35, 2, 0)), S167, VLOOKUP(S167, Lives!$A$2:$C$35, 2, 0))) * 12) + (IF(ISBLANK(Q167), 0, IF(ISNA(VLOOKUP(Q167, Wages!$A$2:$C$17, 2, 0)), Q167, VLOOKUP(Q167, Wages!$A$2:$C$17, 2, 0))) * IF(ISBLANK(N167), 0, IF(ISNA(VLOOKUP(N167, Crews!$A$2:$C$28, 2, 0)), N167, VLOOKUP(N167, Crews!$A$2:$C$28, 2, 0))))) * 400</f>
        <v>3250</v>
      </c>
      <c r="K167" s="1"/>
      <c r="L167" s="1" t="s">
        <v>339</v>
      </c>
      <c r="M167" s="1" t="n">
        <v>1</v>
      </c>
      <c r="N167" s="4" t="s">
        <v>155</v>
      </c>
      <c r="O167" s="1"/>
      <c r="P167" s="1"/>
      <c r="Q167" s="1" t="s">
        <v>26</v>
      </c>
      <c r="R167" s="5" t="s">
        <v>87</v>
      </c>
      <c r="S167" s="5" t="s">
        <v>87</v>
      </c>
      <c r="T167" s="5" t="s">
        <v>87</v>
      </c>
    </row>
    <row r="168" customFormat="false" ht="15" hidden="false" customHeight="true" outlineLevel="0" collapsed="false">
      <c r="A168" s="1" t="s">
        <v>341</v>
      </c>
      <c r="B168" s="1" t="n">
        <v>1826</v>
      </c>
      <c r="C168" s="1" t="n">
        <v>3</v>
      </c>
      <c r="D168" s="1" t="s">
        <v>38</v>
      </c>
      <c r="E168" s="1"/>
      <c r="F168" s="1"/>
      <c r="G168" s="1" t="n">
        <v>20</v>
      </c>
      <c r="H168" s="2" t="n">
        <v>101000</v>
      </c>
      <c r="I168" s="2" t="n">
        <f aca="false">(((H168 / 800) / IF(ISBLANK(R168), 1000000, IF(ISNA(VLOOKUP(R168, Mileages!$A$2:$C$34, 2, 0)), R168, VLOOKUP(R168, Mileages!$A$2:$C$34, 2, 0)))) + (F168 * IF(ISBLANK(P168), 1, P168) * IF(ISBLANK(T168), 0, IF(ISNA(VLOOKUP(T168, 'Fuel Costs'!$A$2:$C$42, 2, 0)), T168, VLOOKUP(T168, 'Fuel Costs'!$A$2:$C$42, 2, 0))) / IF(ISBLANK(O168), 1, O168))) * 100</f>
        <v>0.02525</v>
      </c>
      <c r="J168" s="2" t="n">
        <f aca="false">((H168 / 800) / (IF(ISBLANK(S168), 100, IF(ISNA(VLOOKUP(S168, Lives!$A$2:$C$35, 2, 0)), S168, VLOOKUP(S168, Lives!$A$2:$C$35, 2, 0))) * 12) + (IF(ISBLANK(Q168), 0, IF(ISNA(VLOOKUP(Q168, Wages!$A$2:$C$17, 2, 0)), Q168, VLOOKUP(Q168, Wages!$A$2:$C$17, 2, 0))) * IF(ISBLANK(N168), 0, IF(ISNA(VLOOKUP(N168, Crews!$A$2:$C$28, 2, 0)), N168, VLOOKUP(N168, Crews!$A$2:$C$28, 2, 0))))) * 400</f>
        <v>4842.083333</v>
      </c>
      <c r="K168" s="3" t="s">
        <v>342</v>
      </c>
      <c r="L168" s="1" t="s">
        <v>343</v>
      </c>
      <c r="M168" s="1" t="n">
        <v>0</v>
      </c>
      <c r="N168" s="1" t="s">
        <v>25</v>
      </c>
      <c r="O168" s="1"/>
      <c r="P168" s="1"/>
      <c r="Q168" s="1" t="s">
        <v>41</v>
      </c>
      <c r="R168" s="5" t="s">
        <v>327</v>
      </c>
      <c r="S168" s="1" t="s">
        <v>43</v>
      </c>
      <c r="T168" s="1"/>
    </row>
    <row r="169" customFormat="false" ht="15" hidden="false" customHeight="true" outlineLevel="0" collapsed="false">
      <c r="A169" s="1" t="s">
        <v>344</v>
      </c>
      <c r="B169" s="1" t="n">
        <v>1827</v>
      </c>
      <c r="C169" s="1" t="n">
        <v>9</v>
      </c>
      <c r="D169" s="1" t="s">
        <v>38</v>
      </c>
      <c r="E169" s="1" t="s">
        <v>274</v>
      </c>
      <c r="F169" s="1" t="n">
        <v>11</v>
      </c>
      <c r="G169" s="1" t="n">
        <v>20</v>
      </c>
      <c r="H169" s="2" t="n">
        <v>6200000</v>
      </c>
      <c r="I169" s="2" t="n">
        <f aca="false">(((H169 / 800) / IF(ISBLANK(R169), 1000000, IF(ISNA(VLOOKUP(R169, Mileages!$A$2:$C$34, 2, 0)), R169, VLOOKUP(R169, Mileages!$A$2:$C$34, 2, 0)))) + (F169 * IF(ISBLANK(P169), 1, P169) * IF(ISBLANK(T169), 0, IF(ISNA(VLOOKUP(T169, 'Fuel Costs'!$A$2:$C$42, 2, 0)), T169, VLOOKUP(T169, 'Fuel Costs'!$A$2:$C$42, 2, 0))) / IF(ISBLANK(O169), 1, O169))) * 100</f>
        <v>45.9375</v>
      </c>
      <c r="J169" s="2" t="n">
        <f aca="false">((H169 / 800) / (IF(ISBLANK(S169), 100, IF(ISNA(VLOOKUP(S169, Lives!$A$2:$C$35, 2, 0)), S169, VLOOKUP(S169, Lives!$A$2:$C$35, 2, 0))) * 12) + (IF(ISBLANK(Q169), 0, IF(ISNA(VLOOKUP(Q169, Wages!$A$2:$C$17, 2, 0)), Q169, VLOOKUP(Q169, Wages!$A$2:$C$17, 2, 0))) * IF(ISBLANK(N169), 0, IF(ISNA(VLOOKUP(N169, Crews!$A$2:$C$28, 2, 0)), N169, VLOOKUP(N169, Crews!$A$2:$C$28, 2, 0))))) * 400</f>
        <v>24611.11111</v>
      </c>
      <c r="K169" s="3" t="s">
        <v>345</v>
      </c>
      <c r="L169" s="1" t="s">
        <v>346</v>
      </c>
      <c r="M169" s="1" t="n">
        <v>0</v>
      </c>
      <c r="N169" s="1" t="s">
        <v>283</v>
      </c>
      <c r="O169" s="1" t="n">
        <v>0.25</v>
      </c>
      <c r="P169" s="1"/>
      <c r="Q169" s="5" t="s">
        <v>284</v>
      </c>
      <c r="R169" s="4" t="s">
        <v>285</v>
      </c>
      <c r="S169" s="4" t="s">
        <v>285</v>
      </c>
      <c r="T169" s="1" t="s">
        <v>277</v>
      </c>
    </row>
    <row r="170" customFormat="false" ht="15" hidden="false" customHeight="true" outlineLevel="0" collapsed="false">
      <c r="A170" s="1" t="s">
        <v>347</v>
      </c>
      <c r="B170" s="1" t="n">
        <v>1827</v>
      </c>
      <c r="C170" s="1" t="n">
        <v>9</v>
      </c>
      <c r="D170" s="1" t="s">
        <v>38</v>
      </c>
      <c r="E170" s="1" t="s">
        <v>274</v>
      </c>
      <c r="F170" s="1"/>
      <c r="G170" s="1" t="n">
        <v>20</v>
      </c>
      <c r="H170" s="2" t="n">
        <v>0</v>
      </c>
      <c r="I170" s="2" t="n">
        <f aca="false">(((H170 / 800) / IF(ISBLANK(R170), 1000000, IF(ISNA(VLOOKUP(R170, Mileages!$A$2:$C$34, 2, 0)), R170, VLOOKUP(R170, Mileages!$A$2:$C$34, 2, 0)))) + (F170 * IF(ISBLANK(P170), 1, P170) * IF(ISBLANK(T170), 0, IF(ISNA(VLOOKUP(T170, 'Fuel Costs'!$A$2:$C$42, 2, 0)), T170, VLOOKUP(T170, 'Fuel Costs'!$A$2:$C$42, 2, 0))) / IF(ISBLANK(O170), 1, O170))) * 100</f>
        <v>0</v>
      </c>
      <c r="J170" s="2" t="n">
        <f aca="false">((H170 / 800) / (IF(ISBLANK(S170), 100, IF(ISNA(VLOOKUP(S170, Lives!$A$2:$C$35, 2, 0)), S170, VLOOKUP(S170, Lives!$A$2:$C$35, 2, 0))) * 12) + (IF(ISBLANK(Q170), 0, IF(ISNA(VLOOKUP(Q170, Wages!$A$2:$C$17, 2, 0)), Q170, VLOOKUP(Q170, Wages!$A$2:$C$17, 2, 0))) * IF(ISBLANK(N170), 0, IF(ISNA(VLOOKUP(N170, Crews!$A$2:$C$28, 2, 0)), N170, VLOOKUP(N170, Crews!$A$2:$C$28, 2, 0))))) * 400</f>
        <v>0</v>
      </c>
      <c r="K170" s="1"/>
      <c r="L170" s="1" t="s">
        <v>346</v>
      </c>
      <c r="M170" s="1" t="n">
        <v>1</v>
      </c>
      <c r="N170" s="1"/>
      <c r="O170" s="1"/>
      <c r="P170" s="1"/>
      <c r="Q170" s="1"/>
      <c r="R170" s="1"/>
      <c r="S170" s="1"/>
      <c r="T170" s="1"/>
    </row>
    <row r="171" customFormat="false" ht="15" hidden="false" customHeight="true" outlineLevel="0" collapsed="false">
      <c r="A171" s="1" t="s">
        <v>348</v>
      </c>
      <c r="B171" s="1" t="n">
        <v>1828</v>
      </c>
      <c r="C171" s="1" t="n">
        <v>6</v>
      </c>
      <c r="D171" s="1" t="s">
        <v>38</v>
      </c>
      <c r="E171" s="1" t="s">
        <v>274</v>
      </c>
      <c r="F171" s="1" t="n">
        <v>20</v>
      </c>
      <c r="G171" s="1" t="n">
        <v>25</v>
      </c>
      <c r="H171" s="2" t="n">
        <v>1000000</v>
      </c>
      <c r="I171" s="2" t="n">
        <f aca="false">(((H171 / 800) / IF(ISBLANK(R171), 1000000, IF(ISNA(VLOOKUP(R171, Mileages!$A$2:$C$34, 2, 0)), R171, VLOOKUP(R171, Mileages!$A$2:$C$34, 2, 0)))) + (F171 * IF(ISBLANK(P171), 1, P171) * IF(ISBLANK(T171), 0, IF(ISNA(VLOOKUP(T171, 'Fuel Costs'!$A$2:$C$42, 2, 0)), T171, VLOOKUP(T171, 'Fuel Costs'!$A$2:$C$42, 2, 0))) / IF(ISBLANK(O171), 1, O171))) * 100</f>
        <v>80.3125</v>
      </c>
      <c r="J171" s="2" t="n">
        <f aca="false">((H171 / 800) / (IF(ISBLANK(S171), 100, IF(ISNA(VLOOKUP(S171, Lives!$A$2:$C$35, 2, 0)), S171, VLOOKUP(S171, Lives!$A$2:$C$35, 2, 0))) * 12) + (IF(ISBLANK(Q171), 0, IF(ISNA(VLOOKUP(Q171, Wages!$A$2:$C$17, 2, 0)), Q171, VLOOKUP(Q171, Wages!$A$2:$C$17, 2, 0))) * IF(ISBLANK(N171), 0, IF(ISNA(VLOOKUP(N171, Crews!$A$2:$C$28, 2, 0)), N171, VLOOKUP(N171, Crews!$A$2:$C$28, 2, 0))))) * 400</f>
        <v>17388.88889</v>
      </c>
      <c r="K171" s="3" t="s">
        <v>349</v>
      </c>
      <c r="L171" s="1" t="s">
        <v>350</v>
      </c>
      <c r="M171" s="1" t="n">
        <v>0</v>
      </c>
      <c r="N171" s="1" t="s">
        <v>283</v>
      </c>
      <c r="O171" s="1" t="n">
        <v>0.25</v>
      </c>
      <c r="P171" s="1"/>
      <c r="Q171" s="5" t="s">
        <v>284</v>
      </c>
      <c r="R171" s="4" t="s">
        <v>285</v>
      </c>
      <c r="S171" s="4" t="s">
        <v>285</v>
      </c>
      <c r="T171" s="1" t="s">
        <v>277</v>
      </c>
    </row>
    <row r="172" customFormat="false" ht="15" hidden="false" customHeight="true" outlineLevel="0" collapsed="false">
      <c r="A172" s="1" t="s">
        <v>351</v>
      </c>
      <c r="B172" s="1" t="n">
        <v>1828</v>
      </c>
      <c r="C172" s="1" t="n">
        <v>6</v>
      </c>
      <c r="D172" s="1" t="s">
        <v>38</v>
      </c>
      <c r="E172" s="1" t="s">
        <v>274</v>
      </c>
      <c r="F172" s="1"/>
      <c r="G172" s="1" t="n">
        <v>25</v>
      </c>
      <c r="H172" s="2" t="n">
        <v>0</v>
      </c>
      <c r="I172" s="2" t="n">
        <f aca="false">(((H172 / 800) / IF(ISBLANK(R172), 1000000, IF(ISNA(VLOOKUP(R172, Mileages!$A$2:$C$34, 2, 0)), R172, VLOOKUP(R172, Mileages!$A$2:$C$34, 2, 0)))) + (F172 * IF(ISBLANK(P172), 1, P172) * IF(ISBLANK(T172), 0, IF(ISNA(VLOOKUP(T172, 'Fuel Costs'!$A$2:$C$42, 2, 0)), T172, VLOOKUP(T172, 'Fuel Costs'!$A$2:$C$42, 2, 0))) / IF(ISBLANK(O172), 1, O172))) * 100</f>
        <v>0</v>
      </c>
      <c r="J172" s="2" t="n">
        <f aca="false">((H172 / 800) / (IF(ISBLANK(S172), 100, IF(ISNA(VLOOKUP(S172, Lives!$A$2:$C$35, 2, 0)), S172, VLOOKUP(S172, Lives!$A$2:$C$35, 2, 0))) * 12) + (IF(ISBLANK(Q172), 0, IF(ISNA(VLOOKUP(Q172, Wages!$A$2:$C$17, 2, 0)), Q172, VLOOKUP(Q172, Wages!$A$2:$C$17, 2, 0))) * IF(ISBLANK(N172), 0, IF(ISNA(VLOOKUP(N172, Crews!$A$2:$C$28, 2, 0)), N172, VLOOKUP(N172, Crews!$A$2:$C$28, 2, 0))))) * 400</f>
        <v>0</v>
      </c>
      <c r="K172" s="1"/>
      <c r="L172" s="1" t="s">
        <v>350</v>
      </c>
      <c r="M172" s="1" t="n">
        <v>1</v>
      </c>
      <c r="N172" s="1"/>
      <c r="O172" s="1"/>
      <c r="P172" s="1"/>
      <c r="Q172" s="1"/>
      <c r="R172" s="1"/>
      <c r="S172" s="1"/>
      <c r="T172" s="1"/>
    </row>
    <row r="173" customFormat="false" ht="15" hidden="false" customHeight="true" outlineLevel="0" collapsed="false">
      <c r="A173" s="1" t="s">
        <v>352</v>
      </c>
      <c r="B173" s="1" t="n">
        <v>1828</v>
      </c>
      <c r="C173" s="1" t="n">
        <v>12</v>
      </c>
      <c r="D173" s="1" t="s">
        <v>38</v>
      </c>
      <c r="E173" s="1"/>
      <c r="F173" s="1"/>
      <c r="G173" s="1" t="n">
        <v>40</v>
      </c>
      <c r="H173" s="2" t="n">
        <v>77000</v>
      </c>
      <c r="I173" s="2" t="n">
        <f aca="false">(((H173 / 800) / IF(ISBLANK(R173), 1000000, IF(ISNA(VLOOKUP(R173, Mileages!$A$2:$C$34, 2, 0)), R173, VLOOKUP(R173, Mileages!$A$2:$C$34, 2, 0)))) + (F173 * IF(ISBLANK(P173), 1, P173) * IF(ISBLANK(T173), 0, IF(ISNA(VLOOKUP(T173, 'Fuel Costs'!$A$2:$C$42, 2, 0)), T173, VLOOKUP(T173, 'Fuel Costs'!$A$2:$C$42, 2, 0))) / IF(ISBLANK(O173), 1, O173))) * 100</f>
        <v>0.048125</v>
      </c>
      <c r="J173" s="2" t="n">
        <f aca="false">((H173 / 800) / (IF(ISBLANK(S173), 100, IF(ISNA(VLOOKUP(S173, Lives!$A$2:$C$35, 2, 0)), S173, VLOOKUP(S173, Lives!$A$2:$C$35, 2, 0))) * 12) + (IF(ISBLANK(Q173), 0, IF(ISNA(VLOOKUP(Q173, Wages!$A$2:$C$17, 2, 0)), Q173, VLOOKUP(Q173, Wages!$A$2:$C$17, 2, 0))) * IF(ISBLANK(N173), 0, IF(ISNA(VLOOKUP(N173, Crews!$A$2:$C$28, 2, 0)), N173, VLOOKUP(N173, Crews!$A$2:$C$28, 2, 0))))) * 400</f>
        <v>128.3333333</v>
      </c>
      <c r="K173" s="3" t="s">
        <v>353</v>
      </c>
      <c r="L173" s="1" t="s">
        <v>354</v>
      </c>
      <c r="M173" s="1" t="n">
        <v>0</v>
      </c>
      <c r="N173" s="1"/>
      <c r="O173" s="1"/>
      <c r="P173" s="1"/>
      <c r="Q173" s="1"/>
      <c r="R173" s="1" t="s">
        <v>42</v>
      </c>
      <c r="S173" s="5" t="s">
        <v>355</v>
      </c>
      <c r="T173" s="1"/>
    </row>
    <row r="174" customFormat="false" ht="15" hidden="false" customHeight="true" outlineLevel="0" collapsed="false">
      <c r="A174" s="1" t="s">
        <v>356</v>
      </c>
      <c r="B174" s="1" t="n">
        <v>1828</v>
      </c>
      <c r="C174" s="1" t="n">
        <v>12</v>
      </c>
      <c r="D174" s="1" t="s">
        <v>38</v>
      </c>
      <c r="E174" s="1"/>
      <c r="F174" s="1"/>
      <c r="G174" s="1" t="n">
        <v>40</v>
      </c>
      <c r="H174" s="2" t="n">
        <v>77000</v>
      </c>
      <c r="I174" s="2" t="n">
        <f aca="false">(((H174 / 800) / IF(ISBLANK(R174), 1000000, IF(ISNA(VLOOKUP(R174, Mileages!$A$2:$C$34, 2, 0)), R174, VLOOKUP(R174, Mileages!$A$2:$C$34, 2, 0)))) + (F174 * IF(ISBLANK(P174), 1, P174) * IF(ISBLANK(T174), 0, IF(ISNA(VLOOKUP(T174, 'Fuel Costs'!$A$2:$C$42, 2, 0)), T174, VLOOKUP(T174, 'Fuel Costs'!$A$2:$C$42, 2, 0))) / IF(ISBLANK(O174), 1, O174))) * 100</f>
        <v>0.048125</v>
      </c>
      <c r="J174" s="2" t="n">
        <f aca="false">((H174 / 800) / (IF(ISBLANK(S174), 100, IF(ISNA(VLOOKUP(S174, Lives!$A$2:$C$35, 2, 0)), S174, VLOOKUP(S174, Lives!$A$2:$C$35, 2, 0))) * 12) + (IF(ISBLANK(Q174), 0, IF(ISNA(VLOOKUP(Q174, Wages!$A$2:$C$17, 2, 0)), Q174, VLOOKUP(Q174, Wages!$A$2:$C$17, 2, 0))) * IF(ISBLANK(N174), 0, IF(ISNA(VLOOKUP(N174, Crews!$A$2:$C$28, 2, 0)), N174, VLOOKUP(N174, Crews!$A$2:$C$28, 2, 0))))) * 400</f>
        <v>128.3333333</v>
      </c>
      <c r="K174" s="1" t="s">
        <v>357</v>
      </c>
      <c r="L174" s="1" t="s">
        <v>358</v>
      </c>
      <c r="M174" s="1" t="n">
        <v>0</v>
      </c>
      <c r="N174" s="1"/>
      <c r="O174" s="1"/>
      <c r="P174" s="1"/>
      <c r="Q174" s="1"/>
      <c r="R174" s="1" t="s">
        <v>42</v>
      </c>
      <c r="S174" s="5" t="s">
        <v>355</v>
      </c>
      <c r="T174" s="1"/>
    </row>
    <row r="175" customFormat="false" ht="15" hidden="false" customHeight="true" outlineLevel="0" collapsed="false">
      <c r="A175" s="1" t="s">
        <v>359</v>
      </c>
      <c r="B175" s="1" t="n">
        <v>1828</v>
      </c>
      <c r="C175" s="1" t="n">
        <v>12</v>
      </c>
      <c r="D175" s="1" t="s">
        <v>38</v>
      </c>
      <c r="E175" s="1"/>
      <c r="F175" s="1"/>
      <c r="G175" s="1" t="n">
        <v>40</v>
      </c>
      <c r="H175" s="2" t="n">
        <v>77000</v>
      </c>
      <c r="I175" s="2" t="n">
        <f aca="false">(((H175 / 800) / IF(ISBLANK(R175), 1000000, IF(ISNA(VLOOKUP(R175, Mileages!$A$2:$C$34, 2, 0)), R175, VLOOKUP(R175, Mileages!$A$2:$C$34, 2, 0)))) + (F175 * IF(ISBLANK(P175), 1, P175) * IF(ISBLANK(T175), 0, IF(ISNA(VLOOKUP(T175, 'Fuel Costs'!$A$2:$C$42, 2, 0)), T175, VLOOKUP(T175, 'Fuel Costs'!$A$2:$C$42, 2, 0))) / IF(ISBLANK(O175), 1, O175))) * 100</f>
        <v>0.048125</v>
      </c>
      <c r="J175" s="2" t="n">
        <f aca="false">((H175 / 800) / (IF(ISBLANK(S175), 100, IF(ISNA(VLOOKUP(S175, Lives!$A$2:$C$35, 2, 0)), S175, VLOOKUP(S175, Lives!$A$2:$C$35, 2, 0))) * 12) + (IF(ISBLANK(Q175), 0, IF(ISNA(VLOOKUP(Q175, Wages!$A$2:$C$17, 2, 0)), Q175, VLOOKUP(Q175, Wages!$A$2:$C$17, 2, 0))) * IF(ISBLANK(N175), 0, IF(ISNA(VLOOKUP(N175, Crews!$A$2:$C$28, 2, 0)), N175, VLOOKUP(N175, Crews!$A$2:$C$28, 2, 0))))) * 400</f>
        <v>128.3333333</v>
      </c>
      <c r="K175" s="1" t="s">
        <v>357</v>
      </c>
      <c r="L175" s="1" t="s">
        <v>360</v>
      </c>
      <c r="M175" s="1" t="n">
        <v>0</v>
      </c>
      <c r="N175" s="1"/>
      <c r="O175" s="1"/>
      <c r="P175" s="1"/>
      <c r="Q175" s="1"/>
      <c r="R175" s="1" t="s">
        <v>42</v>
      </c>
      <c r="S175" s="5" t="s">
        <v>355</v>
      </c>
      <c r="T175" s="1"/>
    </row>
    <row r="176" customFormat="false" ht="15" hidden="false" customHeight="true" outlineLevel="0" collapsed="false">
      <c r="A176" s="1" t="s">
        <v>361</v>
      </c>
      <c r="B176" s="1" t="n">
        <v>1828</v>
      </c>
      <c r="C176" s="1" t="n">
        <v>12</v>
      </c>
      <c r="D176" s="1" t="s">
        <v>38</v>
      </c>
      <c r="E176" s="1"/>
      <c r="F176" s="1"/>
      <c r="G176" s="1" t="n">
        <v>40</v>
      </c>
      <c r="H176" s="2" t="n">
        <v>77000</v>
      </c>
      <c r="I176" s="2" t="n">
        <f aca="false">(((H176 / 800) / IF(ISBLANK(R176), 1000000, IF(ISNA(VLOOKUP(R176, Mileages!$A$2:$C$34, 2, 0)), R176, VLOOKUP(R176, Mileages!$A$2:$C$34, 2, 0)))) + (F176 * IF(ISBLANK(P176), 1, P176) * IF(ISBLANK(T176), 0, IF(ISNA(VLOOKUP(T176, 'Fuel Costs'!$A$2:$C$42, 2, 0)), T176, VLOOKUP(T176, 'Fuel Costs'!$A$2:$C$42, 2, 0))) / IF(ISBLANK(O176), 1, O176))) * 100</f>
        <v>0.048125</v>
      </c>
      <c r="J176" s="2" t="n">
        <f aca="false">((H176 / 800) / (IF(ISBLANK(S176), 100, IF(ISNA(VLOOKUP(S176, Lives!$A$2:$C$35, 2, 0)), S176, VLOOKUP(S176, Lives!$A$2:$C$35, 2, 0))) * 12) + (IF(ISBLANK(Q176), 0, IF(ISNA(VLOOKUP(Q176, Wages!$A$2:$C$17, 2, 0)), Q176, VLOOKUP(Q176, Wages!$A$2:$C$17, 2, 0))) * IF(ISBLANK(N176), 0, IF(ISNA(VLOOKUP(N176, Crews!$A$2:$C$28, 2, 0)), N176, VLOOKUP(N176, Crews!$A$2:$C$28, 2, 0))))) * 400</f>
        <v>128.3333333</v>
      </c>
      <c r="K176" s="1" t="s">
        <v>357</v>
      </c>
      <c r="L176" s="1" t="s">
        <v>362</v>
      </c>
      <c r="M176" s="1" t="n">
        <v>0</v>
      </c>
      <c r="N176" s="1"/>
      <c r="O176" s="1"/>
      <c r="P176" s="1"/>
      <c r="Q176" s="1"/>
      <c r="R176" s="1" t="s">
        <v>42</v>
      </c>
      <c r="S176" s="5" t="s">
        <v>355</v>
      </c>
      <c r="T176" s="1"/>
    </row>
    <row r="177" customFormat="false" ht="15" hidden="false" customHeight="true" outlineLevel="0" collapsed="false">
      <c r="A177" s="1" t="s">
        <v>363</v>
      </c>
      <c r="B177" s="1" t="n">
        <v>1828</v>
      </c>
      <c r="C177" s="1" t="n">
        <v>12</v>
      </c>
      <c r="D177" s="1" t="s">
        <v>38</v>
      </c>
      <c r="E177" s="1"/>
      <c r="F177" s="1"/>
      <c r="G177" s="1" t="n">
        <v>40</v>
      </c>
      <c r="H177" s="2" t="n">
        <v>77000</v>
      </c>
      <c r="I177" s="2" t="n">
        <f aca="false">(((H177 / 800) / IF(ISBLANK(R177), 1000000, IF(ISNA(VLOOKUP(R177, Mileages!$A$2:$C$34, 2, 0)), R177, VLOOKUP(R177, Mileages!$A$2:$C$34, 2, 0)))) + (F177 * IF(ISBLANK(P177), 1, P177) * IF(ISBLANK(T177), 0, IF(ISNA(VLOOKUP(T177, 'Fuel Costs'!$A$2:$C$42, 2, 0)), T177, VLOOKUP(T177, 'Fuel Costs'!$A$2:$C$42, 2, 0))) / IF(ISBLANK(O177), 1, O177))) * 100</f>
        <v>0.048125</v>
      </c>
      <c r="J177" s="2" t="n">
        <f aca="false">((H177 / 800) / (IF(ISBLANK(S177), 100, IF(ISNA(VLOOKUP(S177, Lives!$A$2:$C$35, 2, 0)), S177, VLOOKUP(S177, Lives!$A$2:$C$35, 2, 0))) * 12) + (IF(ISBLANK(Q177), 0, IF(ISNA(VLOOKUP(Q177, Wages!$A$2:$C$17, 2, 0)), Q177, VLOOKUP(Q177, Wages!$A$2:$C$17, 2, 0))) * IF(ISBLANK(N177), 0, IF(ISNA(VLOOKUP(N177, Crews!$A$2:$C$28, 2, 0)), N177, VLOOKUP(N177, Crews!$A$2:$C$28, 2, 0))))) * 400</f>
        <v>128.3333333</v>
      </c>
      <c r="K177" s="1" t="s">
        <v>357</v>
      </c>
      <c r="L177" s="1" t="s">
        <v>364</v>
      </c>
      <c r="M177" s="1" t="n">
        <v>0</v>
      </c>
      <c r="N177" s="1"/>
      <c r="O177" s="1"/>
      <c r="P177" s="1"/>
      <c r="Q177" s="1"/>
      <c r="R177" s="1" t="s">
        <v>42</v>
      </c>
      <c r="S177" s="5" t="s">
        <v>355</v>
      </c>
      <c r="T177" s="1"/>
    </row>
    <row r="178" customFormat="false" ht="15" hidden="false" customHeight="true" outlineLevel="0" collapsed="false">
      <c r="A178" s="1" t="s">
        <v>365</v>
      </c>
      <c r="B178" s="1" t="n">
        <v>1829</v>
      </c>
      <c r="C178" s="1" t="n">
        <v>3</v>
      </c>
      <c r="D178" s="1" t="s">
        <v>21</v>
      </c>
      <c r="E178" s="1"/>
      <c r="F178" s="1"/>
      <c r="G178" s="1" t="n">
        <v>8</v>
      </c>
      <c r="H178" s="2" t="n">
        <v>70000</v>
      </c>
      <c r="I178" s="2" t="n">
        <f aca="false">(((H178 / 800) / IF(ISBLANK(R178), 1000000, IF(ISNA(VLOOKUP(R178, Mileages!$A$2:$C$34, 2, 0)), R178, VLOOKUP(R178, Mileages!$A$2:$C$34, 2, 0)))) + (F178 * IF(ISBLANK(P178), 1, P178) * IF(ISBLANK(T178), 0, IF(ISNA(VLOOKUP(T178, 'Fuel Costs'!$A$2:$C$42, 2, 0)), T178, VLOOKUP(T178, 'Fuel Costs'!$A$2:$C$42, 2, 0))) / IF(ISBLANK(O178), 1, O178))) * 100</f>
        <v>0.04375</v>
      </c>
      <c r="J178" s="2" t="n">
        <f aca="false">((H178 / 800) / (IF(ISBLANK(S178), 100, IF(ISNA(VLOOKUP(S178, Lives!$A$2:$C$35, 2, 0)), S178, VLOOKUP(S178, Lives!$A$2:$C$35, 2, 0))) * 12) + (IF(ISBLANK(Q178), 0, IF(ISNA(VLOOKUP(Q178, Wages!$A$2:$C$17, 2, 0)), Q178, VLOOKUP(Q178, Wages!$A$2:$C$17, 2, 0))) * IF(ISBLANK(N178), 0, IF(ISNA(VLOOKUP(N178, Crews!$A$2:$C$28, 2, 0)), N178, VLOOKUP(N178, Crews!$A$2:$C$28, 2, 0))))) * 400</f>
        <v>4829.166667</v>
      </c>
      <c r="K178" s="3" t="s">
        <v>366</v>
      </c>
      <c r="L178" s="1" t="s">
        <v>367</v>
      </c>
      <c r="M178" s="1" t="n">
        <v>0</v>
      </c>
      <c r="N178" s="1" t="s">
        <v>25</v>
      </c>
      <c r="O178" s="1"/>
      <c r="P178" s="1"/>
      <c r="Q178" s="1" t="s">
        <v>41</v>
      </c>
      <c r="R178" s="1" t="s">
        <v>42</v>
      </c>
      <c r="S178" s="1" t="s">
        <v>43</v>
      </c>
      <c r="T178" s="1"/>
    </row>
    <row r="179" customFormat="false" ht="15" hidden="false" customHeight="true" outlineLevel="0" collapsed="false">
      <c r="A179" s="1" t="s">
        <v>368</v>
      </c>
      <c r="B179" s="1" t="n">
        <v>1829</v>
      </c>
      <c r="C179" s="1" t="n">
        <v>8</v>
      </c>
      <c r="D179" s="1" t="s">
        <v>38</v>
      </c>
      <c r="E179" s="1" t="s">
        <v>274</v>
      </c>
      <c r="F179" s="1"/>
      <c r="G179" s="1" t="n">
        <v>48</v>
      </c>
      <c r="H179" s="2" t="n">
        <v>0</v>
      </c>
      <c r="I179" s="2" t="n">
        <f aca="false">(((H179 / 800) / IF(ISBLANK(R179), 1000000, IF(ISNA(VLOOKUP(R179, Mileages!$A$2:$C$34, 2, 0)), R179, VLOOKUP(R179, Mileages!$A$2:$C$34, 2, 0)))) + (F179 * IF(ISBLANK(P179), 1, P179) * IF(ISBLANK(T179), 0, IF(ISNA(VLOOKUP(T179, 'Fuel Costs'!$A$2:$C$42, 2, 0)), T179, VLOOKUP(T179, 'Fuel Costs'!$A$2:$C$42, 2, 0))) / IF(ISBLANK(O179), 1, O179))) * 100</f>
        <v>0</v>
      </c>
      <c r="J179" s="2" t="n">
        <f aca="false">((H179 / 800) / (IF(ISBLANK(S179), 100, IF(ISNA(VLOOKUP(S179, Lives!$A$2:$C$35, 2, 0)), S179, VLOOKUP(S179, Lives!$A$2:$C$35, 2, 0))) * 12) + (IF(ISBLANK(Q179), 0, IF(ISNA(VLOOKUP(Q179, Wages!$A$2:$C$17, 2, 0)), Q179, VLOOKUP(Q179, Wages!$A$2:$C$17, 2, 0))) * IF(ISBLANK(N179), 0, IF(ISNA(VLOOKUP(N179, Crews!$A$2:$C$28, 2, 0)), N179, VLOOKUP(N179, Crews!$A$2:$C$28, 2, 0))))) * 400</f>
        <v>0</v>
      </c>
      <c r="K179" s="1" t="s">
        <v>369</v>
      </c>
      <c r="L179" s="1" t="s">
        <v>370</v>
      </c>
      <c r="M179" s="1" t="n">
        <v>0</v>
      </c>
      <c r="N179" s="1"/>
      <c r="O179" s="1"/>
      <c r="P179" s="1"/>
      <c r="Q179" s="1"/>
      <c r="R179" s="1"/>
      <c r="S179" s="1"/>
      <c r="T179" s="1"/>
    </row>
    <row r="180" customFormat="false" ht="15" hidden="false" customHeight="true" outlineLevel="0" collapsed="false">
      <c r="A180" s="1" t="s">
        <v>371</v>
      </c>
      <c r="B180" s="1" t="n">
        <v>1829</v>
      </c>
      <c r="C180" s="1" t="n">
        <v>8</v>
      </c>
      <c r="D180" s="1" t="s">
        <v>38</v>
      </c>
      <c r="E180" s="1"/>
      <c r="F180" s="1"/>
      <c r="G180" s="1" t="n">
        <v>75</v>
      </c>
      <c r="H180" s="2" t="n">
        <v>140000</v>
      </c>
      <c r="I180" s="2" t="n">
        <f aca="false">(((H180 / 800) / IF(ISBLANK(R180), 1000000, IF(ISNA(VLOOKUP(R180, Mileages!$A$2:$C$34, 2, 0)), R180, VLOOKUP(R180, Mileages!$A$2:$C$34, 2, 0)))) + (F180 * IF(ISBLANK(P180), 1, P180) * IF(ISBLANK(T180), 0, IF(ISNA(VLOOKUP(T180, 'Fuel Costs'!$A$2:$C$42, 2, 0)), T180, VLOOKUP(T180, 'Fuel Costs'!$A$2:$C$42, 2, 0))) / IF(ISBLANK(O180), 1, O180))) * 100</f>
        <v>0.02916666667</v>
      </c>
      <c r="J180" s="2" t="n">
        <f aca="false">((H180 / 800) / (IF(ISBLANK(S180), 100, IF(ISNA(VLOOKUP(S180, Lives!$A$2:$C$35, 2, 0)), S180, VLOOKUP(S180, Lives!$A$2:$C$35, 2, 0))) * 12) + (IF(ISBLANK(Q180), 0, IF(ISNA(VLOOKUP(Q180, Wages!$A$2:$C$17, 2, 0)), Q180, VLOOKUP(Q180, Wages!$A$2:$C$17, 2, 0))) * IF(ISBLANK(N180), 0, IF(ISNA(VLOOKUP(N180, Crews!$A$2:$C$28, 2, 0)), N180, VLOOKUP(N180, Crews!$A$2:$C$28, 2, 0))))) * 400</f>
        <v>116.6666667</v>
      </c>
      <c r="K180" s="3" t="s">
        <v>372</v>
      </c>
      <c r="L180" s="1" t="s">
        <v>373</v>
      </c>
      <c r="M180" s="1" t="n">
        <v>0</v>
      </c>
      <c r="N180" s="1"/>
      <c r="O180" s="1"/>
      <c r="P180" s="1"/>
      <c r="Q180" s="1"/>
      <c r="R180" s="5" t="s">
        <v>374</v>
      </c>
      <c r="S180" s="5" t="s">
        <v>375</v>
      </c>
      <c r="T180" s="1"/>
    </row>
    <row r="181" customFormat="false" ht="15" hidden="false" customHeight="true" outlineLevel="0" collapsed="false">
      <c r="A181" s="1" t="s">
        <v>376</v>
      </c>
      <c r="B181" s="1" t="n">
        <v>1829</v>
      </c>
      <c r="C181" s="1" t="n">
        <v>8</v>
      </c>
      <c r="D181" s="1" t="s">
        <v>38</v>
      </c>
      <c r="E181" s="1"/>
      <c r="F181" s="1"/>
      <c r="G181" s="1" t="n">
        <v>75</v>
      </c>
      <c r="H181" s="2" t="n">
        <v>146000</v>
      </c>
      <c r="I181" s="2" t="n">
        <f aca="false">(((H181 / 800) / IF(ISBLANK(R181), 1000000, IF(ISNA(VLOOKUP(R181, Mileages!$A$2:$C$34, 2, 0)), R181, VLOOKUP(R181, Mileages!$A$2:$C$34, 2, 0)))) + (F181 * IF(ISBLANK(P181), 1, P181) * IF(ISBLANK(T181), 0, IF(ISNA(VLOOKUP(T181, 'Fuel Costs'!$A$2:$C$42, 2, 0)), T181, VLOOKUP(T181, 'Fuel Costs'!$A$2:$C$42, 2, 0))) / IF(ISBLANK(O181), 1, O181))) * 100</f>
        <v>0.03041666667</v>
      </c>
      <c r="J181" s="2" t="n">
        <f aca="false">((H181 / 800) / (IF(ISBLANK(S181), 100, IF(ISNA(VLOOKUP(S181, Lives!$A$2:$C$35, 2, 0)), S181, VLOOKUP(S181, Lives!$A$2:$C$35, 2, 0))) * 12) + (IF(ISBLANK(Q181), 0, IF(ISNA(VLOOKUP(Q181, Wages!$A$2:$C$17, 2, 0)), Q181, VLOOKUP(Q181, Wages!$A$2:$C$17, 2, 0))) * IF(ISBLANK(N181), 0, IF(ISNA(VLOOKUP(N181, Crews!$A$2:$C$28, 2, 0)), N181, VLOOKUP(N181, Crews!$A$2:$C$28, 2, 0))))) * 400</f>
        <v>4921.666667</v>
      </c>
      <c r="K181" s="3" t="s">
        <v>377</v>
      </c>
      <c r="L181" s="1" t="s">
        <v>373</v>
      </c>
      <c r="M181" s="1" t="n">
        <v>1</v>
      </c>
      <c r="N181" s="1" t="s">
        <v>25</v>
      </c>
      <c r="O181" s="1"/>
      <c r="P181" s="1"/>
      <c r="Q181" s="1" t="s">
        <v>378</v>
      </c>
      <c r="R181" s="5" t="s">
        <v>374</v>
      </c>
      <c r="S181" s="5" t="s">
        <v>375</v>
      </c>
      <c r="T181" s="1"/>
    </row>
    <row r="182" customFormat="false" ht="15" hidden="false" customHeight="true" outlineLevel="0" collapsed="false">
      <c r="A182" s="1" t="s">
        <v>379</v>
      </c>
      <c r="B182" s="1" t="n">
        <v>1829</v>
      </c>
      <c r="C182" s="1" t="n">
        <v>8</v>
      </c>
      <c r="D182" s="1" t="s">
        <v>38</v>
      </c>
      <c r="E182" s="1"/>
      <c r="F182" s="1"/>
      <c r="G182" s="1" t="n">
        <v>75</v>
      </c>
      <c r="H182" s="2" t="n">
        <v>146000</v>
      </c>
      <c r="I182" s="2" t="n">
        <f aca="false">(((H182 / 800) / IF(ISBLANK(R182), 1000000, IF(ISNA(VLOOKUP(R182, Mileages!$A$2:$C$34, 2, 0)), R182, VLOOKUP(R182, Mileages!$A$2:$C$34, 2, 0)))) + (F182 * IF(ISBLANK(P182), 1, P182) * IF(ISBLANK(T182), 0, IF(ISNA(VLOOKUP(T182, 'Fuel Costs'!$A$2:$C$42, 2, 0)), T182, VLOOKUP(T182, 'Fuel Costs'!$A$2:$C$42, 2, 0))) / IF(ISBLANK(O182), 1, O182))) * 100</f>
        <v>0.03041666667</v>
      </c>
      <c r="J182" s="2" t="n">
        <f aca="false">((H182 / 800) / (IF(ISBLANK(S182), 100, IF(ISNA(VLOOKUP(S182, Lives!$A$2:$C$35, 2, 0)), S182, VLOOKUP(S182, Lives!$A$2:$C$35, 2, 0))) * 12) + (IF(ISBLANK(Q182), 0, IF(ISNA(VLOOKUP(Q182, Wages!$A$2:$C$17, 2, 0)), Q182, VLOOKUP(Q182, Wages!$A$2:$C$17, 2, 0))) * IF(ISBLANK(N182), 0, IF(ISNA(VLOOKUP(N182, Crews!$A$2:$C$28, 2, 0)), N182, VLOOKUP(N182, Crews!$A$2:$C$28, 2, 0))))) * 400</f>
        <v>4921.666667</v>
      </c>
      <c r="K182" s="3" t="s">
        <v>377</v>
      </c>
      <c r="L182" s="1" t="s">
        <v>373</v>
      </c>
      <c r="M182" s="1" t="n">
        <v>2</v>
      </c>
      <c r="N182" s="1" t="s">
        <v>25</v>
      </c>
      <c r="O182" s="1"/>
      <c r="P182" s="1"/>
      <c r="Q182" s="1" t="s">
        <v>378</v>
      </c>
      <c r="R182" s="5" t="s">
        <v>374</v>
      </c>
      <c r="S182" s="5" t="s">
        <v>375</v>
      </c>
      <c r="T182" s="1"/>
    </row>
    <row r="183" customFormat="false" ht="15" hidden="false" customHeight="true" outlineLevel="0" collapsed="false">
      <c r="A183" s="1" t="s">
        <v>380</v>
      </c>
      <c r="B183" s="1" t="n">
        <v>1829</v>
      </c>
      <c r="C183" s="1" t="n">
        <v>8</v>
      </c>
      <c r="D183" s="1" t="s">
        <v>38</v>
      </c>
      <c r="E183" s="1" t="s">
        <v>274</v>
      </c>
      <c r="F183" s="1" t="n">
        <v>12</v>
      </c>
      <c r="G183" s="1" t="n">
        <v>48</v>
      </c>
      <c r="H183" s="2" t="n">
        <v>5544000</v>
      </c>
      <c r="I183" s="2" t="n">
        <f aca="false">(((H183 / 800) / IF(ISBLANK(R183), 1000000, IF(ISNA(VLOOKUP(R183, Mileages!$A$2:$C$34, 2, 0)), R183, VLOOKUP(R183, Mileages!$A$2:$C$34, 2, 0)))) + (F183 * IF(ISBLANK(P183), 1, P183) * IF(ISBLANK(T183), 0, IF(ISNA(VLOOKUP(T183, 'Fuel Costs'!$A$2:$C$42, 2, 0)), T183, VLOOKUP(T183, 'Fuel Costs'!$A$2:$C$42, 2, 0))) / IF(ISBLANK(O183), 1, O183))) * 100</f>
        <v>41.7325</v>
      </c>
      <c r="J183" s="2" t="n">
        <f aca="false">((H183 / 800) / (IF(ISBLANK(S183), 100, IF(ISNA(VLOOKUP(S183, Lives!$A$2:$C$35, 2, 0)), S183, VLOOKUP(S183, Lives!$A$2:$C$35, 2, 0))) * 12) + (IF(ISBLANK(Q183), 0, IF(ISNA(VLOOKUP(Q183, Wages!$A$2:$C$17, 2, 0)), Q183, VLOOKUP(Q183, Wages!$A$2:$C$17, 2, 0))) * IF(ISBLANK(N183), 0, IF(ISNA(VLOOKUP(N183, Crews!$A$2:$C$28, 2, 0)), N183, VLOOKUP(N183, Crews!$A$2:$C$28, 2, 0))))) * 400</f>
        <v>23700</v>
      </c>
      <c r="K183" s="3" t="s">
        <v>381</v>
      </c>
      <c r="L183" s="1" t="s">
        <v>382</v>
      </c>
      <c r="M183" s="1" t="n">
        <v>0</v>
      </c>
      <c r="N183" s="1" t="s">
        <v>283</v>
      </c>
      <c r="O183" s="1" t="n">
        <v>0.3</v>
      </c>
      <c r="P183" s="1"/>
      <c r="Q183" s="5" t="s">
        <v>284</v>
      </c>
      <c r="R183" s="4" t="s">
        <v>285</v>
      </c>
      <c r="S183" s="4" t="s">
        <v>285</v>
      </c>
      <c r="T183" s="1" t="s">
        <v>277</v>
      </c>
    </row>
    <row r="184" customFormat="false" ht="15" hidden="false" customHeight="true" outlineLevel="0" collapsed="false">
      <c r="A184" s="1" t="s">
        <v>383</v>
      </c>
      <c r="B184" s="1" t="n">
        <v>1829</v>
      </c>
      <c r="C184" s="1" t="n">
        <v>8</v>
      </c>
      <c r="D184" s="1" t="s">
        <v>38</v>
      </c>
      <c r="E184" s="1"/>
      <c r="F184" s="1"/>
      <c r="G184" s="1" t="n">
        <v>75</v>
      </c>
      <c r="H184" s="2" t="n">
        <v>65000</v>
      </c>
      <c r="I184" s="2" t="n">
        <f aca="false">(((H184 / 800) / IF(ISBLANK(R184), 1000000, IF(ISNA(VLOOKUP(R184, Mileages!$A$2:$C$34, 2, 0)), R184, VLOOKUP(R184, Mileages!$A$2:$C$34, 2, 0)))) + (F184 * IF(ISBLANK(P184), 1, P184) * IF(ISBLANK(T184), 0, IF(ISNA(VLOOKUP(T184, 'Fuel Costs'!$A$2:$C$42, 2, 0)), T184, VLOOKUP(T184, 'Fuel Costs'!$A$2:$C$42, 2, 0))) / IF(ISBLANK(O184), 1, O184))) * 100</f>
        <v>0.01354166667</v>
      </c>
      <c r="J184" s="2" t="n">
        <f aca="false">((H184 / 800) / (IF(ISBLANK(S184), 100, IF(ISNA(VLOOKUP(S184, Lives!$A$2:$C$35, 2, 0)), S184, VLOOKUP(S184, Lives!$A$2:$C$35, 2, 0))) * 12) + (IF(ISBLANK(Q184), 0, IF(ISNA(VLOOKUP(Q184, Wages!$A$2:$C$17, 2, 0)), Q184, VLOOKUP(Q184, Wages!$A$2:$C$17, 2, 0))) * IF(ISBLANK(N184), 0, IF(ISNA(VLOOKUP(N184, Crews!$A$2:$C$28, 2, 0)), N184, VLOOKUP(N184, Crews!$A$2:$C$28, 2, 0))))) * 400</f>
        <v>54.16666667</v>
      </c>
      <c r="K184" s="3" t="s">
        <v>384</v>
      </c>
      <c r="L184" s="1" t="s">
        <v>385</v>
      </c>
      <c r="M184" s="1" t="n">
        <v>0</v>
      </c>
      <c r="N184" s="1"/>
      <c r="O184" s="1"/>
      <c r="P184" s="1"/>
      <c r="Q184" s="1"/>
      <c r="R184" s="5" t="s">
        <v>374</v>
      </c>
      <c r="S184" s="5" t="s">
        <v>375</v>
      </c>
      <c r="T184" s="1"/>
    </row>
    <row r="185" customFormat="false" ht="15" hidden="false" customHeight="true" outlineLevel="0" collapsed="false">
      <c r="A185" s="1" t="s">
        <v>386</v>
      </c>
      <c r="B185" s="1" t="n">
        <v>1829</v>
      </c>
      <c r="C185" s="1" t="n">
        <v>8</v>
      </c>
      <c r="D185" s="1" t="s">
        <v>38</v>
      </c>
      <c r="E185" s="1"/>
      <c r="F185" s="1"/>
      <c r="G185" s="1" t="n">
        <v>75</v>
      </c>
      <c r="H185" s="2" t="n">
        <v>144000</v>
      </c>
      <c r="I185" s="2" t="n">
        <f aca="false">(((H185 / 800) / IF(ISBLANK(R185), 1000000, IF(ISNA(VLOOKUP(R185, Mileages!$A$2:$C$34, 2, 0)), R185, VLOOKUP(R185, Mileages!$A$2:$C$34, 2, 0)))) + (F185 * IF(ISBLANK(P185), 1, P185) * IF(ISBLANK(T185), 0, IF(ISNA(VLOOKUP(T185, 'Fuel Costs'!$A$2:$C$42, 2, 0)), T185, VLOOKUP(T185, 'Fuel Costs'!$A$2:$C$42, 2, 0))) / IF(ISBLANK(O185), 1, O185))) * 100</f>
        <v>0.03</v>
      </c>
      <c r="J185" s="2" t="n">
        <f aca="false">((H185 / 800) / (IF(ISBLANK(S185), 100, IF(ISNA(VLOOKUP(S185, Lives!$A$2:$C$35, 2, 0)), S185, VLOOKUP(S185, Lives!$A$2:$C$35, 2, 0))) * 12) + (IF(ISBLANK(Q185), 0, IF(ISNA(VLOOKUP(Q185, Wages!$A$2:$C$17, 2, 0)), Q185, VLOOKUP(Q185, Wages!$A$2:$C$17, 2, 0))) * IF(ISBLANK(N185), 0, IF(ISNA(VLOOKUP(N185, Crews!$A$2:$C$28, 2, 0)), N185, VLOOKUP(N185, Crews!$A$2:$C$28, 2, 0))))) * 400</f>
        <v>60</v>
      </c>
      <c r="K185" s="3" t="s">
        <v>387</v>
      </c>
      <c r="L185" s="1" t="s">
        <v>388</v>
      </c>
      <c r="M185" s="1" t="n">
        <v>0</v>
      </c>
      <c r="N185" s="1"/>
      <c r="O185" s="1"/>
      <c r="P185" s="1"/>
      <c r="Q185" s="1"/>
      <c r="R185" s="5" t="s">
        <v>374</v>
      </c>
      <c r="S185" s="5" t="s">
        <v>389</v>
      </c>
      <c r="T185" s="1"/>
    </row>
    <row r="186" customFormat="false" ht="15" hidden="false" customHeight="true" outlineLevel="0" collapsed="false">
      <c r="A186" s="1" t="s">
        <v>390</v>
      </c>
      <c r="B186" s="1" t="n">
        <v>1829</v>
      </c>
      <c r="C186" s="1" t="n">
        <v>8</v>
      </c>
      <c r="D186" s="1" t="s">
        <v>38</v>
      </c>
      <c r="E186" s="1"/>
      <c r="F186" s="1"/>
      <c r="G186" s="1" t="n">
        <v>75</v>
      </c>
      <c r="H186" s="2" t="n">
        <v>150000</v>
      </c>
      <c r="I186" s="2" t="n">
        <f aca="false">(((H186 / 800) / IF(ISBLANK(R186), 1000000, IF(ISNA(VLOOKUP(R186, Mileages!$A$2:$C$34, 2, 0)), R186, VLOOKUP(R186, Mileages!$A$2:$C$34, 2, 0)))) + (F186 * IF(ISBLANK(P186), 1, P186) * IF(ISBLANK(T186), 0, IF(ISNA(VLOOKUP(T186, 'Fuel Costs'!$A$2:$C$42, 2, 0)), T186, VLOOKUP(T186, 'Fuel Costs'!$A$2:$C$42, 2, 0))) / IF(ISBLANK(O186), 1, O186))) * 100</f>
        <v>0.03125</v>
      </c>
      <c r="J186" s="2" t="n">
        <f aca="false">((H186 / 800) / (IF(ISBLANK(S186), 100, IF(ISNA(VLOOKUP(S186, Lives!$A$2:$C$35, 2, 0)), S186, VLOOKUP(S186, Lives!$A$2:$C$35, 2, 0))) * 12) + (IF(ISBLANK(Q186), 0, IF(ISNA(VLOOKUP(Q186, Wages!$A$2:$C$17, 2, 0)), Q186, VLOOKUP(Q186, Wages!$A$2:$C$17, 2, 0))) * IF(ISBLANK(N186), 0, IF(ISNA(VLOOKUP(N186, Crews!$A$2:$C$28, 2, 0)), N186, VLOOKUP(N186, Crews!$A$2:$C$28, 2, 0))))) * 400</f>
        <v>4862.5</v>
      </c>
      <c r="K186" s="3" t="s">
        <v>391</v>
      </c>
      <c r="L186" s="1" t="s">
        <v>388</v>
      </c>
      <c r="M186" s="1" t="n">
        <v>1</v>
      </c>
      <c r="N186" s="1" t="s">
        <v>25</v>
      </c>
      <c r="O186" s="1"/>
      <c r="P186" s="1"/>
      <c r="Q186" s="1" t="s">
        <v>378</v>
      </c>
      <c r="R186" s="5" t="s">
        <v>374</v>
      </c>
      <c r="S186" s="5" t="s">
        <v>389</v>
      </c>
      <c r="T186" s="1"/>
    </row>
    <row r="187" customFormat="false" ht="15" hidden="false" customHeight="true" outlineLevel="0" collapsed="false">
      <c r="A187" s="1" t="s">
        <v>392</v>
      </c>
      <c r="B187" s="1" t="n">
        <v>1829</v>
      </c>
      <c r="C187" s="1" t="n">
        <v>8</v>
      </c>
      <c r="D187" s="1" t="s">
        <v>38</v>
      </c>
      <c r="E187" s="1"/>
      <c r="F187" s="1"/>
      <c r="G187" s="1" t="n">
        <v>75</v>
      </c>
      <c r="H187" s="2" t="n">
        <v>150000</v>
      </c>
      <c r="I187" s="2" t="n">
        <f aca="false">(((H187 / 800) / IF(ISBLANK(R187), 1000000, IF(ISNA(VLOOKUP(R187, Mileages!$A$2:$C$34, 2, 0)), R187, VLOOKUP(R187, Mileages!$A$2:$C$34, 2, 0)))) + (F187 * IF(ISBLANK(P187), 1, P187) * IF(ISBLANK(T187), 0, IF(ISNA(VLOOKUP(T187, 'Fuel Costs'!$A$2:$C$42, 2, 0)), T187, VLOOKUP(T187, 'Fuel Costs'!$A$2:$C$42, 2, 0))) / IF(ISBLANK(O187), 1, O187))) * 100</f>
        <v>0.03125</v>
      </c>
      <c r="J187" s="2" t="n">
        <f aca="false">((H187 / 800) / (IF(ISBLANK(S187), 100, IF(ISNA(VLOOKUP(S187, Lives!$A$2:$C$35, 2, 0)), S187, VLOOKUP(S187, Lives!$A$2:$C$35, 2, 0))) * 12) + (IF(ISBLANK(Q187), 0, IF(ISNA(VLOOKUP(Q187, Wages!$A$2:$C$17, 2, 0)), Q187, VLOOKUP(Q187, Wages!$A$2:$C$17, 2, 0))) * IF(ISBLANK(N187), 0, IF(ISNA(VLOOKUP(N187, Crews!$A$2:$C$28, 2, 0)), N187, VLOOKUP(N187, Crews!$A$2:$C$28, 2, 0))))) * 400</f>
        <v>4862.5</v>
      </c>
      <c r="K187" s="3" t="s">
        <v>391</v>
      </c>
      <c r="L187" s="1" t="s">
        <v>388</v>
      </c>
      <c r="M187" s="1" t="n">
        <v>2</v>
      </c>
      <c r="N187" s="1" t="s">
        <v>25</v>
      </c>
      <c r="O187" s="1"/>
      <c r="P187" s="1"/>
      <c r="Q187" s="1" t="s">
        <v>378</v>
      </c>
      <c r="R187" s="5" t="s">
        <v>374</v>
      </c>
      <c r="S187" s="5" t="s">
        <v>389</v>
      </c>
      <c r="T187" s="1"/>
    </row>
    <row r="188" customFormat="false" ht="15" hidden="false" customHeight="true" outlineLevel="0" collapsed="false">
      <c r="A188" s="1" t="s">
        <v>393</v>
      </c>
      <c r="B188" s="1" t="n">
        <v>1829</v>
      </c>
      <c r="C188" s="1" t="n">
        <v>8</v>
      </c>
      <c r="D188" s="1" t="s">
        <v>38</v>
      </c>
      <c r="E188" s="1"/>
      <c r="F188" s="1"/>
      <c r="G188" s="1" t="n">
        <v>125</v>
      </c>
      <c r="H188" s="2"/>
      <c r="I188" s="2" t="n">
        <f aca="false">(((H188 / 800) / IF(ISBLANK(R188), 1000000, IF(ISNA(VLOOKUP(R188, Mileages!$A$2:$C$34, 2, 0)), R188, VLOOKUP(R188, Mileages!$A$2:$C$34, 2, 0)))) + (F188 * IF(ISBLANK(P188), 1, P188) * IF(ISBLANK(T188), 0, IF(ISNA(VLOOKUP(T188, 'Fuel Costs'!$A$2:$C$42, 2, 0)), T188, VLOOKUP(T188, 'Fuel Costs'!$A$2:$C$42, 2, 0))) / IF(ISBLANK(O188), 1, O188))) * 100</f>
        <v>0</v>
      </c>
      <c r="J188" s="2" t="n">
        <f aca="false">((H188 / 800) / (IF(ISBLANK(S188), 100, IF(ISNA(VLOOKUP(S188, Lives!$A$2:$C$35, 2, 0)), S188, VLOOKUP(S188, Lives!$A$2:$C$35, 2, 0))) * 12) + (IF(ISBLANK(Q188), 0, IF(ISNA(VLOOKUP(Q188, Wages!$A$2:$C$17, 2, 0)), Q188, VLOOKUP(Q188, Wages!$A$2:$C$17, 2, 0))) * IF(ISBLANK(N188), 0, IF(ISNA(VLOOKUP(N188, Crews!$A$2:$C$28, 2, 0)), N188, VLOOKUP(N188, Crews!$A$2:$C$28, 2, 0))))) * 400</f>
        <v>0</v>
      </c>
      <c r="K188" s="3" t="s">
        <v>394</v>
      </c>
      <c r="L188" s="1" t="s">
        <v>395</v>
      </c>
      <c r="M188" s="1" t="n">
        <v>0</v>
      </c>
      <c r="N188" s="1"/>
      <c r="O188" s="1"/>
      <c r="P188" s="1"/>
      <c r="Q188" s="1"/>
      <c r="R188" s="1"/>
      <c r="S188" s="1"/>
      <c r="T188" s="1"/>
    </row>
    <row r="189" customFormat="false" ht="15" hidden="false" customHeight="true" outlineLevel="0" collapsed="false">
      <c r="A189" s="1" t="s">
        <v>396</v>
      </c>
      <c r="B189" s="1" t="n">
        <v>1829</v>
      </c>
      <c r="C189" s="1" t="n">
        <v>8</v>
      </c>
      <c r="D189" s="1" t="s">
        <v>38</v>
      </c>
      <c r="E189" s="1"/>
      <c r="F189" s="1"/>
      <c r="G189" s="1" t="n">
        <v>125</v>
      </c>
      <c r="H189" s="2"/>
      <c r="I189" s="2" t="n">
        <f aca="false">(((H189 / 800) / IF(ISBLANK(R189), 1000000, IF(ISNA(VLOOKUP(R189, Mileages!$A$2:$C$34, 2, 0)), R189, VLOOKUP(R189, Mileages!$A$2:$C$34, 2, 0)))) + (F189 * IF(ISBLANK(P189), 1, P189) * IF(ISBLANK(T189), 0, IF(ISNA(VLOOKUP(T189, 'Fuel Costs'!$A$2:$C$42, 2, 0)), T189, VLOOKUP(T189, 'Fuel Costs'!$A$2:$C$42, 2, 0))) / IF(ISBLANK(O189), 1, O189))) * 100</f>
        <v>0</v>
      </c>
      <c r="J189" s="2" t="n">
        <f aca="false">((H189 / 800) / (IF(ISBLANK(S189), 100, IF(ISNA(VLOOKUP(S189, Lives!$A$2:$C$35, 2, 0)), S189, VLOOKUP(S189, Lives!$A$2:$C$35, 2, 0))) * 12) + (IF(ISBLANK(Q189), 0, IF(ISNA(VLOOKUP(Q189, Wages!$A$2:$C$17, 2, 0)), Q189, VLOOKUP(Q189, Wages!$A$2:$C$17, 2, 0))) * IF(ISBLANK(N189), 0, IF(ISNA(VLOOKUP(N189, Crews!$A$2:$C$28, 2, 0)), N189, VLOOKUP(N189, Crews!$A$2:$C$28, 2, 0))))) * 400</f>
        <v>0</v>
      </c>
      <c r="K189" s="1"/>
      <c r="L189" s="1" t="s">
        <v>395</v>
      </c>
      <c r="M189" s="1" t="n">
        <v>1</v>
      </c>
      <c r="N189" s="1"/>
      <c r="O189" s="1"/>
      <c r="P189" s="1"/>
      <c r="Q189" s="1"/>
      <c r="R189" s="1"/>
      <c r="S189" s="1"/>
      <c r="T189" s="1"/>
    </row>
    <row r="190" customFormat="false" ht="15" hidden="false" customHeight="true" outlineLevel="0" collapsed="false">
      <c r="A190" s="1" t="s">
        <v>397</v>
      </c>
      <c r="B190" s="1" t="n">
        <v>1829</v>
      </c>
      <c r="C190" s="1" t="n">
        <v>9</v>
      </c>
      <c r="D190" s="1" t="s">
        <v>38</v>
      </c>
      <c r="E190" s="1" t="s">
        <v>274</v>
      </c>
      <c r="F190" s="1" t="n">
        <v>19</v>
      </c>
      <c r="G190" s="1" t="n">
        <v>30</v>
      </c>
      <c r="H190" s="2" t="n">
        <v>1022500</v>
      </c>
      <c r="I190" s="2" t="n">
        <f aca="false">(((H190 / 800) / IF(ISBLANK(R190), 1000000, IF(ISNA(VLOOKUP(R190, Mileages!$A$2:$C$34, 2, 0)), R190, VLOOKUP(R190, Mileages!$A$2:$C$34, 2, 0)))) + (F190 * IF(ISBLANK(P190), 1, P190) * IF(ISBLANK(T190), 0, IF(ISNA(VLOOKUP(T190, 'Fuel Costs'!$A$2:$C$42, 2, 0)), T190, VLOOKUP(T190, 'Fuel Costs'!$A$2:$C$42, 2, 0))) / IF(ISBLANK(O190), 1, O190))) * 100</f>
        <v>63.65286458</v>
      </c>
      <c r="J190" s="2" t="n">
        <f aca="false">((H190 / 800) / (IF(ISBLANK(S190), 100, IF(ISNA(VLOOKUP(S190, Lives!$A$2:$C$35, 2, 0)), S190, VLOOKUP(S190, Lives!$A$2:$C$35, 2, 0))) * 12) + (IF(ISBLANK(Q190), 0, IF(ISNA(VLOOKUP(Q190, Wages!$A$2:$C$17, 2, 0)), Q190, VLOOKUP(Q190, Wages!$A$2:$C$17, 2, 0))) * IF(ISBLANK(N190), 0, IF(ISNA(VLOOKUP(N190, Crews!$A$2:$C$28, 2, 0)), N190, VLOOKUP(N190, Crews!$A$2:$C$28, 2, 0))))) * 400</f>
        <v>17420.13889</v>
      </c>
      <c r="K190" s="3" t="s">
        <v>398</v>
      </c>
      <c r="L190" s="1" t="s">
        <v>399</v>
      </c>
      <c r="M190" s="1" t="n">
        <v>0</v>
      </c>
      <c r="N190" s="1" t="s">
        <v>283</v>
      </c>
      <c r="O190" s="1" t="n">
        <v>0.3</v>
      </c>
      <c r="P190" s="1"/>
      <c r="Q190" s="5" t="s">
        <v>284</v>
      </c>
      <c r="R190" s="4" t="s">
        <v>285</v>
      </c>
      <c r="S190" s="4" t="s">
        <v>285</v>
      </c>
      <c r="T190" s="1" t="s">
        <v>277</v>
      </c>
    </row>
    <row r="191" customFormat="false" ht="15" hidden="false" customHeight="true" outlineLevel="0" collapsed="false">
      <c r="A191" s="1" t="s">
        <v>400</v>
      </c>
      <c r="B191" s="1" t="n">
        <v>1829</v>
      </c>
      <c r="C191" s="1" t="n">
        <v>9</v>
      </c>
      <c r="D191" s="1" t="s">
        <v>38</v>
      </c>
      <c r="E191" s="1" t="s">
        <v>274</v>
      </c>
      <c r="F191" s="1"/>
      <c r="G191" s="1" t="n">
        <v>30</v>
      </c>
      <c r="H191" s="2" t="n">
        <v>0</v>
      </c>
      <c r="I191" s="2" t="n">
        <f aca="false">(((H191 / 800) / IF(ISBLANK(R191), 1000000, IF(ISNA(VLOOKUP(R191, Mileages!$A$2:$C$34, 2, 0)), R191, VLOOKUP(R191, Mileages!$A$2:$C$34, 2, 0)))) + (F191 * IF(ISBLANK(P191), 1, P191) * IF(ISBLANK(T191), 0, IF(ISNA(VLOOKUP(T191, 'Fuel Costs'!$A$2:$C$42, 2, 0)), T191, VLOOKUP(T191, 'Fuel Costs'!$A$2:$C$42, 2, 0))) / IF(ISBLANK(O191), 1, O191))) * 100</f>
        <v>0</v>
      </c>
      <c r="J191" s="2" t="n">
        <f aca="false">((H191 / 800) / (IF(ISBLANK(S191), 100, IF(ISNA(VLOOKUP(S191, Lives!$A$2:$C$35, 2, 0)), S191, VLOOKUP(S191, Lives!$A$2:$C$35, 2, 0))) * 12) + (IF(ISBLANK(Q191), 0, IF(ISNA(VLOOKUP(Q191, Wages!$A$2:$C$17, 2, 0)), Q191, VLOOKUP(Q191, Wages!$A$2:$C$17, 2, 0))) * IF(ISBLANK(N191), 0, IF(ISNA(VLOOKUP(N191, Crews!$A$2:$C$28, 2, 0)), N191, VLOOKUP(N191, Crews!$A$2:$C$28, 2, 0))))) * 400</f>
        <v>0</v>
      </c>
      <c r="K191" s="1"/>
      <c r="L191" s="1" t="s">
        <v>399</v>
      </c>
      <c r="M191" s="1" t="n">
        <v>1</v>
      </c>
      <c r="N191" s="1"/>
      <c r="O191" s="1"/>
      <c r="P191" s="1"/>
      <c r="Q191" s="1"/>
      <c r="R191" s="1"/>
      <c r="S191" s="1"/>
      <c r="T191" s="1"/>
    </row>
    <row r="192" customFormat="false" ht="15" hidden="false" customHeight="true" outlineLevel="0" collapsed="false">
      <c r="A192" s="1" t="s">
        <v>401</v>
      </c>
      <c r="B192" s="1" t="n">
        <v>1830</v>
      </c>
      <c r="C192" s="1" t="n">
        <v>1</v>
      </c>
      <c r="D192" s="1" t="s">
        <v>29</v>
      </c>
      <c r="E192" s="1" t="s">
        <v>30</v>
      </c>
      <c r="F192" s="1"/>
      <c r="G192" s="1" t="n">
        <v>16</v>
      </c>
      <c r="H192" s="2"/>
      <c r="I192" s="2"/>
      <c r="J192" s="2"/>
      <c r="K192" s="3" t="s">
        <v>67</v>
      </c>
      <c r="L192" s="1" t="s">
        <v>402</v>
      </c>
      <c r="M192" s="1" t="n">
        <v>0</v>
      </c>
      <c r="N192" s="1"/>
      <c r="O192" s="1"/>
      <c r="P192" s="1"/>
      <c r="Q192" s="1"/>
      <c r="R192" s="1"/>
      <c r="S192" s="1"/>
      <c r="T192" s="1"/>
    </row>
    <row r="193" customFormat="false" ht="15" hidden="false" customHeight="true" outlineLevel="0" collapsed="false">
      <c r="A193" s="1" t="s">
        <v>403</v>
      </c>
      <c r="B193" s="1" t="n">
        <v>1830</v>
      </c>
      <c r="C193" s="1" t="n">
        <v>1</v>
      </c>
      <c r="D193" s="1" t="s">
        <v>29</v>
      </c>
      <c r="E193" s="1" t="s">
        <v>30</v>
      </c>
      <c r="F193" s="1"/>
      <c r="G193" s="1" t="n">
        <v>16</v>
      </c>
      <c r="H193" s="2"/>
      <c r="I193" s="2"/>
      <c r="J193" s="2"/>
      <c r="K193" s="1" t="s">
        <v>70</v>
      </c>
      <c r="L193" s="1" t="s">
        <v>402</v>
      </c>
      <c r="M193" s="1" t="n">
        <v>1</v>
      </c>
      <c r="N193" s="1"/>
      <c r="O193" s="1"/>
      <c r="P193" s="1"/>
      <c r="Q193" s="1"/>
      <c r="R193" s="1"/>
      <c r="S193" s="1"/>
      <c r="T193" s="1"/>
    </row>
    <row r="194" customFormat="false" ht="15" hidden="false" customHeight="true" outlineLevel="0" collapsed="false">
      <c r="A194" s="1" t="s">
        <v>404</v>
      </c>
      <c r="B194" s="1" t="n">
        <v>1830</v>
      </c>
      <c r="C194" s="1" t="n">
        <v>1</v>
      </c>
      <c r="D194" s="1" t="s">
        <v>29</v>
      </c>
      <c r="E194" s="1" t="s">
        <v>30</v>
      </c>
      <c r="F194" s="1"/>
      <c r="G194" s="1" t="n">
        <v>16</v>
      </c>
      <c r="H194" s="2"/>
      <c r="I194" s="2"/>
      <c r="J194" s="2"/>
      <c r="K194" s="1" t="s">
        <v>70</v>
      </c>
      <c r="L194" s="1" t="s">
        <v>402</v>
      </c>
      <c r="M194" s="1" t="n">
        <v>2</v>
      </c>
      <c r="N194" s="1"/>
      <c r="O194" s="1"/>
      <c r="P194" s="1"/>
      <c r="Q194" s="1"/>
      <c r="R194" s="1"/>
      <c r="S194" s="1"/>
      <c r="T194" s="1"/>
    </row>
    <row r="195" customFormat="false" ht="15" hidden="false" customHeight="true" outlineLevel="0" collapsed="false">
      <c r="A195" s="1" t="s">
        <v>405</v>
      </c>
      <c r="B195" s="1" t="n">
        <v>1830</v>
      </c>
      <c r="C195" s="1" t="n">
        <v>1</v>
      </c>
      <c r="D195" s="1" t="s">
        <v>29</v>
      </c>
      <c r="E195" s="1" t="s">
        <v>30</v>
      </c>
      <c r="F195" s="1"/>
      <c r="G195" s="1" t="n">
        <v>16</v>
      </c>
      <c r="H195" s="2"/>
      <c r="I195" s="2"/>
      <c r="J195" s="2"/>
      <c r="K195" s="1" t="s">
        <v>70</v>
      </c>
      <c r="L195" s="1" t="s">
        <v>402</v>
      </c>
      <c r="M195" s="1" t="n">
        <v>3</v>
      </c>
      <c r="N195" s="1"/>
      <c r="O195" s="1"/>
      <c r="P195" s="1"/>
      <c r="Q195" s="1"/>
      <c r="R195" s="1"/>
      <c r="S195" s="1"/>
      <c r="T195" s="1"/>
    </row>
    <row r="196" customFormat="false" ht="15" hidden="false" customHeight="true" outlineLevel="0" collapsed="false">
      <c r="A196" s="1" t="s">
        <v>406</v>
      </c>
      <c r="B196" s="1" t="n">
        <v>1830</v>
      </c>
      <c r="C196" s="1" t="n">
        <v>1</v>
      </c>
      <c r="D196" s="1" t="s">
        <v>29</v>
      </c>
      <c r="E196" s="1" t="s">
        <v>30</v>
      </c>
      <c r="F196" s="1"/>
      <c r="G196" s="1" t="n">
        <v>16</v>
      </c>
      <c r="H196" s="2"/>
      <c r="I196" s="2"/>
      <c r="J196" s="2"/>
      <c r="K196" s="1" t="s">
        <v>70</v>
      </c>
      <c r="L196" s="1" t="s">
        <v>402</v>
      </c>
      <c r="M196" s="1" t="n">
        <v>4</v>
      </c>
      <c r="N196" s="1"/>
      <c r="O196" s="1"/>
      <c r="P196" s="1"/>
      <c r="Q196" s="1"/>
      <c r="R196" s="1"/>
      <c r="S196" s="1"/>
      <c r="T196" s="1"/>
    </row>
    <row r="197" customFormat="false" ht="15" hidden="false" customHeight="true" outlineLevel="0" collapsed="false">
      <c r="A197" s="1" t="s">
        <v>407</v>
      </c>
      <c r="B197" s="1" t="n">
        <v>1830</v>
      </c>
      <c r="C197" s="1" t="n">
        <v>1</v>
      </c>
      <c r="D197" s="1" t="s">
        <v>29</v>
      </c>
      <c r="E197" s="1" t="s">
        <v>30</v>
      </c>
      <c r="F197" s="1"/>
      <c r="G197" s="1" t="n">
        <v>16</v>
      </c>
      <c r="H197" s="2"/>
      <c r="I197" s="2"/>
      <c r="J197" s="2"/>
      <c r="K197" s="1" t="s">
        <v>70</v>
      </c>
      <c r="L197" s="1" t="s">
        <v>402</v>
      </c>
      <c r="M197" s="1" t="n">
        <v>5</v>
      </c>
      <c r="N197" s="1"/>
      <c r="O197" s="1"/>
      <c r="P197" s="1"/>
      <c r="Q197" s="1"/>
      <c r="R197" s="1"/>
      <c r="S197" s="1"/>
      <c r="T197" s="1"/>
    </row>
    <row r="198" customFormat="false" ht="15" hidden="false" customHeight="true" outlineLevel="0" collapsed="false">
      <c r="A198" s="1" t="s">
        <v>408</v>
      </c>
      <c r="B198" s="1" t="n">
        <v>1830</v>
      </c>
      <c r="C198" s="1" t="n">
        <v>1</v>
      </c>
      <c r="D198" s="1" t="s">
        <v>29</v>
      </c>
      <c r="E198" s="1" t="s">
        <v>30</v>
      </c>
      <c r="F198" s="1"/>
      <c r="G198" s="1" t="n">
        <v>16</v>
      </c>
      <c r="H198" s="2"/>
      <c r="I198" s="2"/>
      <c r="J198" s="2"/>
      <c r="K198" s="1" t="s">
        <v>70</v>
      </c>
      <c r="L198" s="1" t="s">
        <v>402</v>
      </c>
      <c r="M198" s="1" t="n">
        <v>6</v>
      </c>
      <c r="N198" s="1"/>
      <c r="O198" s="1"/>
      <c r="P198" s="1"/>
      <c r="Q198" s="1"/>
      <c r="R198" s="1"/>
      <c r="S198" s="1"/>
      <c r="T198" s="1"/>
    </row>
    <row r="199" customFormat="false" ht="15" hidden="false" customHeight="true" outlineLevel="0" collapsed="false">
      <c r="A199" s="1" t="s">
        <v>409</v>
      </c>
      <c r="B199" s="1" t="n">
        <v>1830</v>
      </c>
      <c r="C199" s="1" t="n">
        <v>1</v>
      </c>
      <c r="D199" s="1" t="s">
        <v>29</v>
      </c>
      <c r="E199" s="1" t="s">
        <v>30</v>
      </c>
      <c r="F199" s="1"/>
      <c r="G199" s="1" t="n">
        <v>16</v>
      </c>
      <c r="H199" s="2"/>
      <c r="I199" s="2"/>
      <c r="J199" s="2"/>
      <c r="K199" s="1" t="s">
        <v>70</v>
      </c>
      <c r="L199" s="1" t="s">
        <v>402</v>
      </c>
      <c r="M199" s="1" t="n">
        <v>7</v>
      </c>
      <c r="N199" s="1"/>
      <c r="O199" s="1"/>
      <c r="P199" s="1"/>
      <c r="Q199" s="1"/>
      <c r="R199" s="1"/>
      <c r="S199" s="1"/>
      <c r="T199" s="1"/>
    </row>
    <row r="200" customFormat="false" ht="15" hidden="false" customHeight="true" outlineLevel="0" collapsed="false">
      <c r="A200" s="1" t="s">
        <v>410</v>
      </c>
      <c r="B200" s="1" t="n">
        <v>1830</v>
      </c>
      <c r="C200" s="1" t="n">
        <v>1</v>
      </c>
      <c r="D200" s="1" t="s">
        <v>29</v>
      </c>
      <c r="E200" s="1" t="s">
        <v>30</v>
      </c>
      <c r="F200" s="1"/>
      <c r="G200" s="1" t="n">
        <v>16</v>
      </c>
      <c r="H200" s="2"/>
      <c r="I200" s="2"/>
      <c r="J200" s="2"/>
      <c r="K200" s="1" t="s">
        <v>70</v>
      </c>
      <c r="L200" s="1" t="s">
        <v>402</v>
      </c>
      <c r="M200" s="1" t="n">
        <v>8</v>
      </c>
      <c r="N200" s="1"/>
      <c r="O200" s="1"/>
      <c r="P200" s="1"/>
      <c r="Q200" s="1"/>
      <c r="R200" s="1"/>
      <c r="S200" s="1"/>
      <c r="T200" s="1"/>
    </row>
    <row r="201" customFormat="false" ht="15" hidden="false" customHeight="true" outlineLevel="0" collapsed="false">
      <c r="A201" s="1" t="s">
        <v>411</v>
      </c>
      <c r="B201" s="1" t="n">
        <v>1830</v>
      </c>
      <c r="C201" s="1" t="n">
        <v>1</v>
      </c>
      <c r="D201" s="1" t="s">
        <v>29</v>
      </c>
      <c r="E201" s="1" t="s">
        <v>30</v>
      </c>
      <c r="F201" s="1" t="n">
        <v>1450</v>
      </c>
      <c r="G201" s="1" t="n">
        <v>16</v>
      </c>
      <c r="H201" s="2" t="n">
        <f aca="false">2450000*15</f>
        <v>36750000</v>
      </c>
      <c r="I201" s="2" t="n">
        <f aca="false">(((H201 / 800) / IF(ISBLANK(R201), 1000000, IF(ISNA(VLOOKUP(R201, Mileages!$A$2:$C$34, 2, 0)), R201, VLOOKUP(R201, Mileages!$A$2:$C$34, 2, 0)))) + (F201 * IF(ISBLANK(P201), 1, P201) * IF(ISBLANK(T201), 0, IF(ISNA(VLOOKUP(T201, 'Fuel Costs'!$A$2:$C$42, 2, 0)), T201, VLOOKUP(T201, 'Fuel Costs'!$A$2:$C$42, 2, 0))) / IF(ISBLANK(O201), 1, O201))) * 100</f>
        <v>5.7421875</v>
      </c>
      <c r="J201" s="2" t="n">
        <f aca="false">((H201 / 800) / (IF(ISBLANK(S201), 100, IF(ISNA(VLOOKUP(S201, Lives!$A$2:$C$35, 2, 0)), S201, VLOOKUP(S201, Lives!$A$2:$C$35, 2, 0))) * 12) + (IF(ISBLANK(Q201), 0, IF(ISNA(VLOOKUP(Q201, Wages!$A$2:$C$17, 2, 0)), Q201, VLOOKUP(Q201, Wages!$A$2:$C$17, 2, 0))) * IF(ISBLANK(N201), 0, IF(ISNA(VLOOKUP(N201, Crews!$A$2:$C$28, 2, 0)), N201, VLOOKUP(N201, Crews!$A$2:$C$28, 2, 0))))) * 400</f>
        <v>145520.8333</v>
      </c>
      <c r="K201" s="1" t="s">
        <v>63</v>
      </c>
      <c r="L201" s="1" t="s">
        <v>412</v>
      </c>
      <c r="M201" s="1" t="n">
        <v>0</v>
      </c>
      <c r="N201" s="1" t="s">
        <v>80</v>
      </c>
      <c r="O201" s="1"/>
      <c r="P201" s="1"/>
      <c r="Q201" s="1" t="s">
        <v>34</v>
      </c>
      <c r="R201" s="4" t="s">
        <v>35</v>
      </c>
      <c r="S201" s="1" t="s">
        <v>35</v>
      </c>
      <c r="T201" s="1" t="s">
        <v>36</v>
      </c>
    </row>
    <row r="202" customFormat="false" ht="15" hidden="false" customHeight="true" outlineLevel="0" collapsed="false">
      <c r="A202" s="1" t="s">
        <v>413</v>
      </c>
      <c r="B202" s="1" t="n">
        <v>1830</v>
      </c>
      <c r="C202" s="1" t="n">
        <v>6</v>
      </c>
      <c r="D202" s="1" t="s">
        <v>38</v>
      </c>
      <c r="E202" s="1" t="s">
        <v>274</v>
      </c>
      <c r="F202" s="1" t="n">
        <v>10</v>
      </c>
      <c r="G202" s="1" t="n">
        <v>42</v>
      </c>
      <c r="H202" s="2" t="n">
        <v>4752000</v>
      </c>
      <c r="I202" s="2" t="n">
        <f aca="false">(((H202 / 800) / IF(ISBLANK(R202), 1000000, IF(ISNA(VLOOKUP(R202, Mileages!$A$2:$C$34, 2, 0)), R202, VLOOKUP(R202, Mileages!$A$2:$C$34, 2, 0)))) + (F202 * IF(ISBLANK(P202), 1, P202) * IF(ISBLANK(T202), 0, IF(ISNA(VLOOKUP(T202, 'Fuel Costs'!$A$2:$C$42, 2, 0)), T202, VLOOKUP(T202, 'Fuel Costs'!$A$2:$C$42, 2, 0))) / IF(ISBLANK(O202), 1, O202))) * 100</f>
        <v>34.81833333</v>
      </c>
      <c r="J202" s="2" t="n">
        <f aca="false">((H202 / 800) / (IF(ISBLANK(S202), 100, IF(ISNA(VLOOKUP(S202, Lives!$A$2:$C$35, 2, 0)), S202, VLOOKUP(S202, Lives!$A$2:$C$35, 2, 0))) * 12) + (IF(ISBLANK(Q202), 0, IF(ISNA(VLOOKUP(Q202, Wages!$A$2:$C$17, 2, 0)), Q202, VLOOKUP(Q202, Wages!$A$2:$C$17, 2, 0))) * IF(ISBLANK(N202), 0, IF(ISNA(VLOOKUP(N202, Crews!$A$2:$C$28, 2, 0)), N202, VLOOKUP(N202, Crews!$A$2:$C$28, 2, 0))))) * 400</f>
        <v>22600</v>
      </c>
      <c r="K202" s="3" t="s">
        <v>414</v>
      </c>
      <c r="L202" s="1" t="s">
        <v>415</v>
      </c>
      <c r="M202" s="1" t="n">
        <v>0</v>
      </c>
      <c r="N202" s="1" t="s">
        <v>283</v>
      </c>
      <c r="O202" s="1" t="n">
        <v>0.3</v>
      </c>
      <c r="P202" s="1"/>
      <c r="Q202" s="5" t="s">
        <v>284</v>
      </c>
      <c r="R202" s="4" t="s">
        <v>285</v>
      </c>
      <c r="S202" s="4" t="s">
        <v>285</v>
      </c>
      <c r="T202" s="1" t="s">
        <v>277</v>
      </c>
    </row>
    <row r="203" customFormat="false" ht="15" hidden="false" customHeight="true" outlineLevel="0" collapsed="false">
      <c r="A203" s="1" t="s">
        <v>416</v>
      </c>
      <c r="B203" s="1" t="n">
        <v>1830</v>
      </c>
      <c r="C203" s="1" t="n">
        <v>6</v>
      </c>
      <c r="D203" s="1" t="s">
        <v>38</v>
      </c>
      <c r="E203" s="1" t="s">
        <v>274</v>
      </c>
      <c r="F203" s="1"/>
      <c r="G203" s="1" t="n">
        <v>59</v>
      </c>
      <c r="H203" s="2" t="n">
        <v>0</v>
      </c>
      <c r="I203" s="2" t="n">
        <f aca="false">(((H203 / 800) / IF(ISBLANK(R203), 1000000, IF(ISNA(VLOOKUP(R203, Mileages!$A$2:$C$34, 2, 0)), R203, VLOOKUP(R203, Mileages!$A$2:$C$34, 2, 0)))) + (F203 * IF(ISBLANK(P203), 1, P203) * IF(ISBLANK(T203), 0, IF(ISNA(VLOOKUP(T203, 'Fuel Costs'!$A$2:$C$42, 2, 0)), T203, VLOOKUP(T203, 'Fuel Costs'!$A$2:$C$42, 2, 0))) / IF(ISBLANK(O203), 1, O203))) * 100</f>
        <v>0</v>
      </c>
      <c r="J203" s="2" t="n">
        <f aca="false">((H203 / 800) / (IF(ISBLANK(S203), 100, IF(ISNA(VLOOKUP(S203, Lives!$A$2:$C$35, 2, 0)), S203, VLOOKUP(S203, Lives!$A$2:$C$35, 2, 0))) * 12) + (IF(ISBLANK(Q203), 0, IF(ISNA(VLOOKUP(Q203, Wages!$A$2:$C$17, 2, 0)), Q203, VLOOKUP(Q203, Wages!$A$2:$C$17, 2, 0))) * IF(ISBLANK(N203), 0, IF(ISNA(VLOOKUP(N203, Crews!$A$2:$C$28, 2, 0)), N203, VLOOKUP(N203, Crews!$A$2:$C$28, 2, 0))))) * 400</f>
        <v>0</v>
      </c>
      <c r="K203" s="1"/>
      <c r="L203" s="1" t="s">
        <v>417</v>
      </c>
      <c r="M203" s="1" t="n">
        <v>0</v>
      </c>
      <c r="N203" s="1"/>
      <c r="O203" s="1"/>
      <c r="P203" s="1"/>
      <c r="Q203" s="5"/>
      <c r="R203" s="5"/>
      <c r="S203" s="5"/>
      <c r="T203" s="1"/>
    </row>
    <row r="204" customFormat="false" ht="15" hidden="false" customHeight="true" outlineLevel="0" collapsed="false">
      <c r="A204" s="1" t="s">
        <v>418</v>
      </c>
      <c r="B204" s="1" t="n">
        <v>1830</v>
      </c>
      <c r="C204" s="1" t="n">
        <v>6</v>
      </c>
      <c r="D204" s="1" t="s">
        <v>38</v>
      </c>
      <c r="E204" s="1" t="s">
        <v>274</v>
      </c>
      <c r="F204" s="1" t="n">
        <v>18</v>
      </c>
      <c r="G204" s="1" t="n">
        <v>59</v>
      </c>
      <c r="H204" s="2" t="n">
        <v>4752000</v>
      </c>
      <c r="I204" s="2" t="n">
        <f aca="false">(((H204 / 800) / IF(ISBLANK(R204), 1000000, IF(ISNA(VLOOKUP(R204, Mileages!$A$2:$C$34, 2, 0)), R204, VLOOKUP(R204, Mileages!$A$2:$C$34, 2, 0)))) + (F204 * IF(ISBLANK(P204), 1, P204) * IF(ISBLANK(T204), 0, IF(ISNA(VLOOKUP(T204, 'Fuel Costs'!$A$2:$C$42, 2, 0)), T204, VLOOKUP(T204, 'Fuel Costs'!$A$2:$C$42, 2, 0))) / IF(ISBLANK(O204), 1, O204))) * 100</f>
        <v>61.485</v>
      </c>
      <c r="J204" s="2" t="n">
        <f aca="false">((H204 / 800) / (IF(ISBLANK(S204), 100, IF(ISNA(VLOOKUP(S204, Lives!$A$2:$C$35, 2, 0)), S204, VLOOKUP(S204, Lives!$A$2:$C$35, 2, 0))) * 12) + (IF(ISBLANK(Q204), 0, IF(ISNA(VLOOKUP(Q204, Wages!$A$2:$C$17, 2, 0)), Q204, VLOOKUP(Q204, Wages!$A$2:$C$17, 2, 0))) * IF(ISBLANK(N204), 0, IF(ISNA(VLOOKUP(N204, Crews!$A$2:$C$28, 2, 0)), N204, VLOOKUP(N204, Crews!$A$2:$C$28, 2, 0))))) * 400</f>
        <v>22600</v>
      </c>
      <c r="K204" s="3" t="s">
        <v>419</v>
      </c>
      <c r="L204" s="1" t="s">
        <v>420</v>
      </c>
      <c r="M204" s="1" t="n">
        <v>0</v>
      </c>
      <c r="N204" s="1" t="s">
        <v>283</v>
      </c>
      <c r="O204" s="1" t="n">
        <v>0.3</v>
      </c>
      <c r="P204" s="1"/>
      <c r="Q204" s="5" t="s">
        <v>284</v>
      </c>
      <c r="R204" s="4" t="s">
        <v>285</v>
      </c>
      <c r="S204" s="4" t="s">
        <v>285</v>
      </c>
      <c r="T204" s="1" t="s">
        <v>277</v>
      </c>
    </row>
    <row r="205" customFormat="false" ht="15" hidden="false" customHeight="true" outlineLevel="0" collapsed="false">
      <c r="A205" s="1" t="s">
        <v>421</v>
      </c>
      <c r="B205" s="1" t="n">
        <v>1831</v>
      </c>
      <c r="C205" s="1" t="n">
        <v>1</v>
      </c>
      <c r="D205" s="1" t="s">
        <v>38</v>
      </c>
      <c r="E205" s="1"/>
      <c r="F205" s="1"/>
      <c r="G205" s="1" t="n">
        <v>75</v>
      </c>
      <c r="H205" s="2" t="n">
        <v>67000</v>
      </c>
      <c r="I205" s="2" t="n">
        <f aca="false">(((H205 / 800) / IF(ISBLANK(R205), 1000000, IF(ISNA(VLOOKUP(R205, Mileages!$A$2:$C$34, 2, 0)), R205, VLOOKUP(R205, Mileages!$A$2:$C$34, 2, 0)))) + (F205 * IF(ISBLANK(P205), 1, P205) * IF(ISBLANK(T205), 0, IF(ISNA(VLOOKUP(T205, 'Fuel Costs'!$A$2:$C$42, 2, 0)), T205, VLOOKUP(T205, 'Fuel Costs'!$A$2:$C$42, 2, 0))) / IF(ISBLANK(O205), 1, O205))) * 100</f>
        <v>0.01395833333</v>
      </c>
      <c r="J205" s="2" t="n">
        <f aca="false">((H205 / 800) / (IF(ISBLANK(S205), 100, IF(ISNA(VLOOKUP(S205, Lives!$A$2:$C$35, 2, 0)), S205, VLOOKUP(S205, Lives!$A$2:$C$35, 2, 0))) * 12) + (IF(ISBLANK(Q205), 0, IF(ISNA(VLOOKUP(Q205, Wages!$A$2:$C$17, 2, 0)), Q205, VLOOKUP(Q205, Wages!$A$2:$C$17, 2, 0))) * IF(ISBLANK(N205), 0, IF(ISNA(VLOOKUP(N205, Crews!$A$2:$C$28, 2, 0)), N205, VLOOKUP(N205, Crews!$A$2:$C$28, 2, 0))))) * 400</f>
        <v>139.5833333</v>
      </c>
      <c r="K205" s="3" t="s">
        <v>384</v>
      </c>
      <c r="L205" s="1" t="s">
        <v>422</v>
      </c>
      <c r="M205" s="1" t="n">
        <v>0</v>
      </c>
      <c r="N205" s="1"/>
      <c r="O205" s="1"/>
      <c r="P205" s="1"/>
      <c r="Q205" s="1"/>
      <c r="R205" s="5" t="s">
        <v>374</v>
      </c>
      <c r="S205" s="5" t="s">
        <v>423</v>
      </c>
      <c r="T205" s="1"/>
    </row>
    <row r="206" customFormat="false" ht="15" hidden="false" customHeight="true" outlineLevel="0" collapsed="false">
      <c r="A206" s="1" t="s">
        <v>424</v>
      </c>
      <c r="B206" s="1" t="n">
        <v>1831</v>
      </c>
      <c r="C206" s="1" t="n">
        <v>6</v>
      </c>
      <c r="D206" s="1" t="s">
        <v>38</v>
      </c>
      <c r="E206" s="1" t="s">
        <v>274</v>
      </c>
      <c r="F206" s="1" t="n">
        <v>12</v>
      </c>
      <c r="G206" s="1" t="n">
        <v>40</v>
      </c>
      <c r="H206" s="2" t="n">
        <f aca="false">6500000*0.6</f>
        <v>3900000</v>
      </c>
      <c r="I206" s="2" t="n">
        <f aca="false">(((H206 / 800) / IF(ISBLANK(R206), 1000000, IF(ISNA(VLOOKUP(R206, Mileages!$A$2:$C$34, 2, 0)), R206, VLOOKUP(R206, Mileages!$A$2:$C$34, 2, 0)))) + (F206 * IF(ISBLANK(P206), 1, P206) * IF(ISBLANK(T206), 0, IF(ISNA(VLOOKUP(T206, 'Fuel Costs'!$A$2:$C$42, 2, 0)), T206, VLOOKUP(T206, 'Fuel Costs'!$A$2:$C$42, 2, 0))) / IF(ISBLANK(O206), 1, O206))) * 100</f>
        <v>35.50446429</v>
      </c>
      <c r="J206" s="2" t="n">
        <f aca="false">((H206 / 800) / (IF(ISBLANK(S206), 100, IF(ISNA(VLOOKUP(S206, Lives!$A$2:$C$35, 2, 0)), S206, VLOOKUP(S206, Lives!$A$2:$C$35, 2, 0))) * 12) + (IF(ISBLANK(Q206), 0, IF(ISNA(VLOOKUP(Q206, Wages!$A$2:$C$17, 2, 0)), Q206, VLOOKUP(Q206, Wages!$A$2:$C$17, 2, 0))) * IF(ISBLANK(N206), 0, IF(ISNA(VLOOKUP(N206, Crews!$A$2:$C$28, 2, 0)), N206, VLOOKUP(N206, Crews!$A$2:$C$28, 2, 0))))) * 400</f>
        <v>21416.66667</v>
      </c>
      <c r="K206" s="3" t="s">
        <v>425</v>
      </c>
      <c r="L206" s="1" t="s">
        <v>426</v>
      </c>
      <c r="M206" s="1" t="n">
        <v>0</v>
      </c>
      <c r="N206" s="1" t="s">
        <v>283</v>
      </c>
      <c r="O206" s="1" t="n">
        <v>0.35</v>
      </c>
      <c r="P206" s="1"/>
      <c r="Q206" s="5" t="s">
        <v>284</v>
      </c>
      <c r="R206" s="4" t="s">
        <v>285</v>
      </c>
      <c r="S206" s="4" t="s">
        <v>285</v>
      </c>
      <c r="T206" s="1" t="s">
        <v>277</v>
      </c>
    </row>
    <row r="207" customFormat="false" ht="15" hidden="false" customHeight="true" outlineLevel="0" collapsed="false">
      <c r="A207" s="1" t="s">
        <v>427</v>
      </c>
      <c r="B207" s="1" t="n">
        <v>1831</v>
      </c>
      <c r="C207" s="1" t="n">
        <v>6</v>
      </c>
      <c r="D207" s="1" t="s">
        <v>38</v>
      </c>
      <c r="E207" s="1" t="s">
        <v>274</v>
      </c>
      <c r="F207" s="1"/>
      <c r="G207" s="1" t="n">
        <v>40</v>
      </c>
      <c r="H207" s="2" t="n">
        <v>0</v>
      </c>
      <c r="I207" s="2" t="n">
        <f aca="false">(((H207 / 800) / IF(ISBLANK(R207), 1000000, IF(ISNA(VLOOKUP(R207, Mileages!$A$2:$C$34, 2, 0)), R207, VLOOKUP(R207, Mileages!$A$2:$C$34, 2, 0)))) + (F207 * IF(ISBLANK(P207), 1, P207) * IF(ISBLANK(T207), 0, IF(ISNA(VLOOKUP(T207, 'Fuel Costs'!$A$2:$C$42, 2, 0)), T207, VLOOKUP(T207, 'Fuel Costs'!$A$2:$C$42, 2, 0))) / IF(ISBLANK(O207), 1, O207))) * 100</f>
        <v>0</v>
      </c>
      <c r="J207" s="2" t="n">
        <f aca="false">((H207 / 800) / (IF(ISBLANK(S207), 100, IF(ISNA(VLOOKUP(S207, Lives!$A$2:$C$35, 2, 0)), S207, VLOOKUP(S207, Lives!$A$2:$C$35, 2, 0))) * 12) + (IF(ISBLANK(Q207), 0, IF(ISNA(VLOOKUP(Q207, Wages!$A$2:$C$17, 2, 0)), Q207, VLOOKUP(Q207, Wages!$A$2:$C$17, 2, 0))) * IF(ISBLANK(N207), 0, IF(ISNA(VLOOKUP(N207, Crews!$A$2:$C$28, 2, 0)), N207, VLOOKUP(N207, Crews!$A$2:$C$28, 2, 0))))) * 400</f>
        <v>0</v>
      </c>
      <c r="K207" s="1"/>
      <c r="L207" s="1" t="s">
        <v>426</v>
      </c>
      <c r="M207" s="1" t="n">
        <v>1</v>
      </c>
      <c r="N207" s="1"/>
      <c r="O207" s="1"/>
      <c r="P207" s="1"/>
      <c r="Q207" s="1"/>
      <c r="R207" s="5"/>
      <c r="S207" s="5"/>
      <c r="T207" s="1"/>
    </row>
    <row r="208" customFormat="false" ht="15" hidden="false" customHeight="true" outlineLevel="0" collapsed="false">
      <c r="A208" s="1" t="s">
        <v>428</v>
      </c>
      <c r="B208" s="1" t="n">
        <v>1832</v>
      </c>
      <c r="C208" s="1" t="n">
        <v>7</v>
      </c>
      <c r="D208" s="1" t="s">
        <v>38</v>
      </c>
      <c r="E208" s="1"/>
      <c r="F208" s="1"/>
      <c r="G208" s="1" t="n">
        <v>55</v>
      </c>
      <c r="H208" s="2" t="n">
        <v>100000</v>
      </c>
      <c r="I208" s="2" t="n">
        <f aca="false">(((H208 / 800) / IF(ISBLANK(R208), 1000000, IF(ISNA(VLOOKUP(R208, Mileages!$A$2:$C$34, 2, 0)), R208, VLOOKUP(R208, Mileages!$A$2:$C$34, 2, 0)))) + (F208 * IF(ISBLANK(P208), 1, P208) * IF(ISBLANK(T208), 0, IF(ISNA(VLOOKUP(T208, 'Fuel Costs'!$A$2:$C$42, 2, 0)), T208, VLOOKUP(T208, 'Fuel Costs'!$A$2:$C$42, 2, 0))) / IF(ISBLANK(O208), 1, O208))) * 100</f>
        <v>0.02083333333</v>
      </c>
      <c r="J208" s="2" t="n">
        <f aca="false">((H208 / 800) / (IF(ISBLANK(S208), 100, IF(ISNA(VLOOKUP(S208, Lives!$A$2:$C$35, 2, 0)), S208, VLOOKUP(S208, Lives!$A$2:$C$35, 2, 0))) * 12) + (IF(ISBLANK(Q208), 0, IF(ISNA(VLOOKUP(Q208, Wages!$A$2:$C$17, 2, 0)), Q208, VLOOKUP(Q208, Wages!$A$2:$C$17, 2, 0))) * IF(ISBLANK(N208), 0, IF(ISNA(VLOOKUP(N208, Crews!$A$2:$C$28, 2, 0)), N208, VLOOKUP(N208, Crews!$A$2:$C$28, 2, 0))))) * 400</f>
        <v>83.33333333</v>
      </c>
      <c r="K208" s="3" t="s">
        <v>429</v>
      </c>
      <c r="L208" s="1" t="s">
        <v>430</v>
      </c>
      <c r="M208" s="1" t="n">
        <v>0</v>
      </c>
      <c r="N208" s="1"/>
      <c r="O208" s="1"/>
      <c r="P208" s="1"/>
      <c r="Q208" s="1"/>
      <c r="R208" s="5" t="s">
        <v>374</v>
      </c>
      <c r="S208" s="5" t="s">
        <v>375</v>
      </c>
      <c r="T208" s="1"/>
    </row>
    <row r="209" customFormat="false" ht="15" hidden="false" customHeight="true" outlineLevel="0" collapsed="false">
      <c r="A209" s="1" t="s">
        <v>431</v>
      </c>
      <c r="B209" s="1" t="n">
        <v>1832</v>
      </c>
      <c r="C209" s="1" t="n">
        <v>7</v>
      </c>
      <c r="D209" s="1" t="s">
        <v>38</v>
      </c>
      <c r="E209" s="1"/>
      <c r="F209" s="1"/>
      <c r="G209" s="1" t="n">
        <v>55</v>
      </c>
      <c r="H209" s="2" t="n">
        <v>110000</v>
      </c>
      <c r="I209" s="2" t="n">
        <f aca="false">(((H209 / 800) / IF(ISBLANK(R209), 1000000, IF(ISNA(VLOOKUP(R209, Mileages!$A$2:$C$34, 2, 0)), R209, VLOOKUP(R209, Mileages!$A$2:$C$34, 2, 0)))) + (F209 * IF(ISBLANK(P209), 1, P209) * IF(ISBLANK(T209), 0, IF(ISNA(VLOOKUP(T209, 'Fuel Costs'!$A$2:$C$42, 2, 0)), T209, VLOOKUP(T209, 'Fuel Costs'!$A$2:$C$42, 2, 0))) / IF(ISBLANK(O209), 1, O209))) * 100</f>
        <v>0.02291666667</v>
      </c>
      <c r="J209" s="2" t="n">
        <f aca="false">((H209 / 800) / (IF(ISBLANK(S209), 100, IF(ISNA(VLOOKUP(S209, Lives!$A$2:$C$35, 2, 0)), S209, VLOOKUP(S209, Lives!$A$2:$C$35, 2, 0))) * 12) + (IF(ISBLANK(Q209), 0, IF(ISNA(VLOOKUP(Q209, Wages!$A$2:$C$17, 2, 0)), Q209, VLOOKUP(Q209, Wages!$A$2:$C$17, 2, 0))) * IF(ISBLANK(N209), 0, IF(ISNA(VLOOKUP(N209, Crews!$A$2:$C$28, 2, 0)), N209, VLOOKUP(N209, Crews!$A$2:$C$28, 2, 0))))) * 400</f>
        <v>4891.666667</v>
      </c>
      <c r="K209" s="1" t="s">
        <v>432</v>
      </c>
      <c r="L209" s="1" t="s">
        <v>430</v>
      </c>
      <c r="M209" s="1" t="n">
        <v>1</v>
      </c>
      <c r="N209" s="1" t="s">
        <v>25</v>
      </c>
      <c r="O209" s="1"/>
      <c r="P209" s="1"/>
      <c r="Q209" s="1" t="s">
        <v>378</v>
      </c>
      <c r="R209" s="5" t="s">
        <v>374</v>
      </c>
      <c r="S209" s="5" t="s">
        <v>375</v>
      </c>
      <c r="T209" s="1"/>
    </row>
    <row r="210" customFormat="false" ht="15" hidden="false" customHeight="true" outlineLevel="0" collapsed="false">
      <c r="A210" s="1" t="s">
        <v>433</v>
      </c>
      <c r="B210" s="1" t="n">
        <v>1832</v>
      </c>
      <c r="C210" s="1" t="n">
        <v>7</v>
      </c>
      <c r="D210" s="1" t="s">
        <v>38</v>
      </c>
      <c r="E210" s="1"/>
      <c r="F210" s="1"/>
      <c r="G210" s="1" t="n">
        <v>55</v>
      </c>
      <c r="H210" s="2" t="n">
        <v>110000</v>
      </c>
      <c r="I210" s="2" t="n">
        <f aca="false">(((H210 / 800) / IF(ISBLANK(R210), 1000000, IF(ISNA(VLOOKUP(R210, Mileages!$A$2:$C$34, 2, 0)), R210, VLOOKUP(R210, Mileages!$A$2:$C$34, 2, 0)))) + (F210 * IF(ISBLANK(P210), 1, P210) * IF(ISBLANK(T210), 0, IF(ISNA(VLOOKUP(T210, 'Fuel Costs'!$A$2:$C$42, 2, 0)), T210, VLOOKUP(T210, 'Fuel Costs'!$A$2:$C$42, 2, 0))) / IF(ISBLANK(O210), 1, O210))) * 100</f>
        <v>0.02291666667</v>
      </c>
      <c r="J210" s="2" t="n">
        <f aca="false">((H210 / 800) / (IF(ISBLANK(S210), 100, IF(ISNA(VLOOKUP(S210, Lives!$A$2:$C$35, 2, 0)), S210, VLOOKUP(S210, Lives!$A$2:$C$35, 2, 0))) * 12) + (IF(ISBLANK(Q210), 0, IF(ISNA(VLOOKUP(Q210, Wages!$A$2:$C$17, 2, 0)), Q210, VLOOKUP(Q210, Wages!$A$2:$C$17, 2, 0))) * IF(ISBLANK(N210), 0, IF(ISNA(VLOOKUP(N210, Crews!$A$2:$C$28, 2, 0)), N210, VLOOKUP(N210, Crews!$A$2:$C$28, 2, 0))))) * 400</f>
        <v>4891.666667</v>
      </c>
      <c r="K210" s="1" t="s">
        <v>432</v>
      </c>
      <c r="L210" s="1" t="s">
        <v>430</v>
      </c>
      <c r="M210" s="1" t="n">
        <v>2</v>
      </c>
      <c r="N210" s="1" t="s">
        <v>25</v>
      </c>
      <c r="O210" s="1"/>
      <c r="P210" s="1"/>
      <c r="Q210" s="1" t="s">
        <v>378</v>
      </c>
      <c r="R210" s="5" t="s">
        <v>374</v>
      </c>
      <c r="S210" s="5" t="s">
        <v>375</v>
      </c>
      <c r="T210" s="1"/>
    </row>
    <row r="211" customFormat="false" ht="15" hidden="false" customHeight="true" outlineLevel="0" collapsed="false">
      <c r="A211" s="1" t="s">
        <v>434</v>
      </c>
      <c r="B211" s="1" t="n">
        <v>1832</v>
      </c>
      <c r="C211" s="1" t="n">
        <v>7</v>
      </c>
      <c r="D211" s="1" t="s">
        <v>38</v>
      </c>
      <c r="E211" s="1"/>
      <c r="F211" s="1"/>
      <c r="G211" s="1" t="n">
        <v>55</v>
      </c>
      <c r="H211" s="2" t="n">
        <v>680000</v>
      </c>
      <c r="I211" s="2" t="n">
        <f aca="false">(((H211 / 800) / IF(ISBLANK(R211), 1000000, IF(ISNA(VLOOKUP(R211, Mileages!$A$2:$C$34, 2, 0)), R211, VLOOKUP(R211, Mileages!$A$2:$C$34, 2, 0)))) + (F211 * IF(ISBLANK(P211), 1, P211) * IF(ISBLANK(T211), 0, IF(ISNA(VLOOKUP(T211, 'Fuel Costs'!$A$2:$C$42, 2, 0)), T211, VLOOKUP(T211, 'Fuel Costs'!$A$2:$C$42, 2, 0))) / IF(ISBLANK(O211), 1, O211))) * 100</f>
        <v>0.1416666667</v>
      </c>
      <c r="J211" s="2" t="n">
        <f aca="false">((H211 / 800) / (IF(ISBLANK(S211), 100, IF(ISNA(VLOOKUP(S211, Lives!$A$2:$C$35, 2, 0)), S211, VLOOKUP(S211, Lives!$A$2:$C$35, 2, 0))) * 12) + (IF(ISBLANK(Q211), 0, IF(ISNA(VLOOKUP(Q211, Wages!$A$2:$C$17, 2, 0)), Q211, VLOOKUP(Q211, Wages!$A$2:$C$17, 2, 0))) * IF(ISBLANK(N211), 0, IF(ISNA(VLOOKUP(N211, Crews!$A$2:$C$28, 2, 0)), N211, VLOOKUP(N211, Crews!$A$2:$C$28, 2, 0))))) * 400</f>
        <v>1416.666667</v>
      </c>
      <c r="K211" s="3" t="s">
        <v>429</v>
      </c>
      <c r="L211" s="1" t="s">
        <v>435</v>
      </c>
      <c r="M211" s="1" t="n">
        <v>0</v>
      </c>
      <c r="N211" s="1"/>
      <c r="O211" s="1"/>
      <c r="P211" s="1"/>
      <c r="Q211" s="1"/>
      <c r="R211" s="5" t="s">
        <v>374</v>
      </c>
      <c r="S211" s="5" t="s">
        <v>423</v>
      </c>
      <c r="T211" s="1"/>
    </row>
    <row r="212" customFormat="false" ht="15" hidden="false" customHeight="true" outlineLevel="0" collapsed="false">
      <c r="A212" s="1" t="s">
        <v>436</v>
      </c>
      <c r="B212" s="1" t="n">
        <v>1832</v>
      </c>
      <c r="C212" s="1" t="n">
        <v>7</v>
      </c>
      <c r="D212" s="1" t="s">
        <v>38</v>
      </c>
      <c r="E212" s="1"/>
      <c r="F212" s="1"/>
      <c r="G212" s="1" t="n">
        <v>55</v>
      </c>
      <c r="H212" s="2" t="n">
        <v>110000</v>
      </c>
      <c r="I212" s="2" t="n">
        <f aca="false">(((H212 / 800) / IF(ISBLANK(R212), 1000000, IF(ISNA(VLOOKUP(R212, Mileages!$A$2:$C$34, 2, 0)), R212, VLOOKUP(R212, Mileages!$A$2:$C$34, 2, 0)))) + (F212 * IF(ISBLANK(P212), 1, P212) * IF(ISBLANK(T212), 0, IF(ISNA(VLOOKUP(T212, 'Fuel Costs'!$A$2:$C$42, 2, 0)), T212, VLOOKUP(T212, 'Fuel Costs'!$A$2:$C$42, 2, 0))) / IF(ISBLANK(O212), 1, O212))) * 100</f>
        <v>0.02291666667</v>
      </c>
      <c r="J212" s="2" t="n">
        <f aca="false">((H212 / 800) / (IF(ISBLANK(S212), 100, IF(ISNA(VLOOKUP(S212, Lives!$A$2:$C$35, 2, 0)), S212, VLOOKUP(S212, Lives!$A$2:$C$35, 2, 0))) * 12) + (IF(ISBLANK(Q212), 0, IF(ISNA(VLOOKUP(Q212, Wages!$A$2:$C$17, 2, 0)), Q212, VLOOKUP(Q212, Wages!$A$2:$C$17, 2, 0))) * IF(ISBLANK(N212), 0, IF(ISNA(VLOOKUP(N212, Crews!$A$2:$C$28, 2, 0)), N212, VLOOKUP(N212, Crews!$A$2:$C$28, 2, 0))))) * 400</f>
        <v>4891.666667</v>
      </c>
      <c r="K212" s="1" t="s">
        <v>437</v>
      </c>
      <c r="L212" s="1" t="s">
        <v>438</v>
      </c>
      <c r="M212" s="1" t="n">
        <v>1</v>
      </c>
      <c r="N212" s="1" t="s">
        <v>25</v>
      </c>
      <c r="O212" s="1"/>
      <c r="P212" s="1"/>
      <c r="Q212" s="1" t="s">
        <v>378</v>
      </c>
      <c r="R212" s="5" t="s">
        <v>374</v>
      </c>
      <c r="S212" s="5" t="s">
        <v>375</v>
      </c>
      <c r="T212" s="1"/>
    </row>
    <row r="213" customFormat="false" ht="15" hidden="false" customHeight="true" outlineLevel="0" collapsed="false">
      <c r="A213" s="1" t="s">
        <v>439</v>
      </c>
      <c r="B213" s="1" t="n">
        <v>1832</v>
      </c>
      <c r="C213" s="1" t="n">
        <v>7</v>
      </c>
      <c r="D213" s="1" t="s">
        <v>38</v>
      </c>
      <c r="E213" s="1"/>
      <c r="F213" s="1"/>
      <c r="G213" s="1" t="n">
        <v>55</v>
      </c>
      <c r="H213" s="2" t="n">
        <v>110000</v>
      </c>
      <c r="I213" s="2" t="n">
        <f aca="false">(((H213 / 800) / IF(ISBLANK(R213), 1000000, IF(ISNA(VLOOKUP(R213, Mileages!$A$2:$C$34, 2, 0)), R213, VLOOKUP(R213, Mileages!$A$2:$C$34, 2, 0)))) + (F213 * IF(ISBLANK(P213), 1, P213) * IF(ISBLANK(T213), 0, IF(ISNA(VLOOKUP(T213, 'Fuel Costs'!$A$2:$C$42, 2, 0)), T213, VLOOKUP(T213, 'Fuel Costs'!$A$2:$C$42, 2, 0))) / IF(ISBLANK(O213), 1, O213))) * 100</f>
        <v>0.02291666667</v>
      </c>
      <c r="J213" s="2" t="n">
        <f aca="false">((H213 / 800) / (IF(ISBLANK(S213), 100, IF(ISNA(VLOOKUP(S213, Lives!$A$2:$C$35, 2, 0)), S213, VLOOKUP(S213, Lives!$A$2:$C$35, 2, 0))) * 12) + (IF(ISBLANK(Q213), 0, IF(ISNA(VLOOKUP(Q213, Wages!$A$2:$C$17, 2, 0)), Q213, VLOOKUP(Q213, Wages!$A$2:$C$17, 2, 0))) * IF(ISBLANK(N213), 0, IF(ISNA(VLOOKUP(N213, Crews!$A$2:$C$28, 2, 0)), N213, VLOOKUP(N213, Crews!$A$2:$C$28, 2, 0))))) * 400</f>
        <v>4891.666667</v>
      </c>
      <c r="K213" s="1" t="s">
        <v>437</v>
      </c>
      <c r="L213" s="1" t="s">
        <v>438</v>
      </c>
      <c r="M213" s="1" t="n">
        <v>2</v>
      </c>
      <c r="N213" s="1" t="s">
        <v>25</v>
      </c>
      <c r="O213" s="1"/>
      <c r="P213" s="1"/>
      <c r="Q213" s="1" t="s">
        <v>378</v>
      </c>
      <c r="R213" s="5" t="s">
        <v>374</v>
      </c>
      <c r="S213" s="5" t="s">
        <v>375</v>
      </c>
      <c r="T213" s="1"/>
    </row>
    <row r="214" customFormat="false" ht="15" hidden="false" customHeight="true" outlineLevel="0" collapsed="false">
      <c r="A214" s="1" t="s">
        <v>440</v>
      </c>
      <c r="B214" s="1" t="n">
        <v>1833</v>
      </c>
      <c r="C214" s="1" t="n">
        <v>4</v>
      </c>
      <c r="D214" s="1" t="s">
        <v>38</v>
      </c>
      <c r="E214" s="1"/>
      <c r="F214" s="1"/>
      <c r="G214" s="1" t="n">
        <v>55</v>
      </c>
      <c r="H214" s="2" t="n">
        <v>875000</v>
      </c>
      <c r="I214" s="2" t="n">
        <f aca="false">(((H214 / 800) / IF(ISBLANK(R214), 1000000, IF(ISNA(VLOOKUP(R214, Mileages!$A$2:$C$34, 2, 0)), R214, VLOOKUP(R214, Mileages!$A$2:$C$34, 2, 0)))) + (F214 * IF(ISBLANK(P214), 1, P214) * IF(ISBLANK(T214), 0, IF(ISNA(VLOOKUP(T214, 'Fuel Costs'!$A$2:$C$42, 2, 0)), T214, VLOOKUP(T214, 'Fuel Costs'!$A$2:$C$42, 2, 0))) / IF(ISBLANK(O214), 1, O214))) * 100</f>
        <v>0.1822916667</v>
      </c>
      <c r="J214" s="2" t="n">
        <f aca="false">((H214 / 800) / (IF(ISBLANK(S214), 100, IF(ISNA(VLOOKUP(S214, Lives!$A$2:$C$35, 2, 0)), S214, VLOOKUP(S214, Lives!$A$2:$C$35, 2, 0))) * 12) + (IF(ISBLANK(Q214), 0, IF(ISNA(VLOOKUP(Q214, Wages!$A$2:$C$17, 2, 0)), Q214, VLOOKUP(Q214, Wages!$A$2:$C$17, 2, 0))) * IF(ISBLANK(N214), 0, IF(ISNA(VLOOKUP(N214, Crews!$A$2:$C$28, 2, 0)), N214, VLOOKUP(N214, Crews!$A$2:$C$28, 2, 0))))) * 400</f>
        <v>1822.916667</v>
      </c>
      <c r="K214" s="3" t="s">
        <v>441</v>
      </c>
      <c r="L214" s="1" t="s">
        <v>438</v>
      </c>
      <c r="M214" s="1" t="n">
        <v>0</v>
      </c>
      <c r="N214" s="1"/>
      <c r="O214" s="1"/>
      <c r="P214" s="1"/>
      <c r="Q214" s="1"/>
      <c r="R214" s="5" t="s">
        <v>374</v>
      </c>
      <c r="S214" s="5" t="s">
        <v>423</v>
      </c>
      <c r="T214" s="1"/>
    </row>
    <row r="215" customFormat="false" ht="15" hidden="false" customHeight="true" outlineLevel="0" collapsed="false">
      <c r="A215" s="1" t="s">
        <v>442</v>
      </c>
      <c r="B215" s="1" t="n">
        <v>1833</v>
      </c>
      <c r="C215" s="1" t="n">
        <v>6</v>
      </c>
      <c r="D215" s="1" t="s">
        <v>38</v>
      </c>
      <c r="E215" s="1" t="s">
        <v>274</v>
      </c>
      <c r="F215" s="1"/>
      <c r="G215" s="1" t="n">
        <v>96</v>
      </c>
      <c r="H215" s="2" t="n">
        <v>0</v>
      </c>
      <c r="I215" s="2" t="n">
        <f aca="false">(((H215 / 800) / IF(ISBLANK(R215), 1000000, IF(ISNA(VLOOKUP(R215, Mileages!$A$2:$C$34, 2, 0)), R215, VLOOKUP(R215, Mileages!$A$2:$C$34, 2, 0)))) + (F215 * IF(ISBLANK(P215), 1, P215) * IF(ISBLANK(T215), 0, IF(ISNA(VLOOKUP(T215, 'Fuel Costs'!$A$2:$C$42, 2, 0)), T215, VLOOKUP(T215, 'Fuel Costs'!$A$2:$C$42, 2, 0))) / IF(ISBLANK(O215), 1, O215))) * 100</f>
        <v>0</v>
      </c>
      <c r="J215" s="2" t="n">
        <f aca="false">((H215 / 800) / (IF(ISBLANK(S215), 100, IF(ISNA(VLOOKUP(S215, Lives!$A$2:$C$35, 2, 0)), S215, VLOOKUP(S215, Lives!$A$2:$C$35, 2, 0))) * 12) + (IF(ISBLANK(Q215), 0, IF(ISNA(VLOOKUP(Q215, Wages!$A$2:$C$17, 2, 0)), Q215, VLOOKUP(Q215, Wages!$A$2:$C$17, 2, 0))) * IF(ISBLANK(N215), 0, IF(ISNA(VLOOKUP(N215, Crews!$A$2:$C$28, 2, 0)), N215, VLOOKUP(N215, Crews!$A$2:$C$28, 2, 0))))) * 400</f>
        <v>0</v>
      </c>
      <c r="K215" s="1" t="s">
        <v>443</v>
      </c>
      <c r="L215" s="1" t="s">
        <v>444</v>
      </c>
      <c r="M215" s="1" t="n">
        <v>0</v>
      </c>
      <c r="N215" s="1"/>
      <c r="O215" s="1"/>
      <c r="P215" s="1"/>
      <c r="Q215" s="1"/>
      <c r="R215" s="1"/>
      <c r="S215" s="1"/>
      <c r="T215" s="1"/>
    </row>
    <row r="216" customFormat="false" ht="15" hidden="false" customHeight="true" outlineLevel="0" collapsed="false">
      <c r="A216" s="1" t="s">
        <v>445</v>
      </c>
      <c r="B216" s="1" t="n">
        <v>1833</v>
      </c>
      <c r="C216" s="1" t="n">
        <v>6</v>
      </c>
      <c r="D216" s="1" t="s">
        <v>38</v>
      </c>
      <c r="E216" s="1" t="s">
        <v>274</v>
      </c>
      <c r="F216" s="1" t="n">
        <v>37</v>
      </c>
      <c r="G216" s="1" t="n">
        <v>80</v>
      </c>
      <c r="H216" s="2" t="n">
        <v>7257600</v>
      </c>
      <c r="I216" s="2" t="n">
        <f aca="false">(((H216 / 800) / IF(ISBLANK(R216), 1000000, IF(ISNA(VLOOKUP(R216, Mileages!$A$2:$C$34, 2, 0)), R216, VLOOKUP(R216, Mileages!$A$2:$C$34, 2, 0)))) + (F216 * IF(ISBLANK(P216), 1, P216) * IF(ISBLANK(T216), 0, IF(ISNA(VLOOKUP(T216, 'Fuel Costs'!$A$2:$C$42, 2, 0)), T216, VLOOKUP(T216, 'Fuel Costs'!$A$2:$C$42, 2, 0))) / IF(ISBLANK(O216), 1, O216))) * 100</f>
        <v>94.768</v>
      </c>
      <c r="J216" s="2" t="n">
        <f aca="false">((H216 / 800) / (IF(ISBLANK(S216), 100, IF(ISNA(VLOOKUP(S216, Lives!$A$2:$C$35, 2, 0)), S216, VLOOKUP(S216, Lives!$A$2:$C$35, 2, 0))) * 12) + (IF(ISBLANK(Q216), 0, IF(ISNA(VLOOKUP(Q216, Wages!$A$2:$C$17, 2, 0)), Q216, VLOOKUP(Q216, Wages!$A$2:$C$17, 2, 0))) * IF(ISBLANK(N216), 0, IF(ISNA(VLOOKUP(N216, Crews!$A$2:$C$28, 2, 0)), N216, VLOOKUP(N216, Crews!$A$2:$C$28, 2, 0))))) * 400</f>
        <v>26080</v>
      </c>
      <c r="K216" s="3" t="s">
        <v>446</v>
      </c>
      <c r="L216" s="1" t="s">
        <v>447</v>
      </c>
      <c r="M216" s="1" t="n">
        <v>0</v>
      </c>
      <c r="N216" s="1" t="s">
        <v>283</v>
      </c>
      <c r="O216" s="1" t="n">
        <v>0.4</v>
      </c>
      <c r="P216" s="1"/>
      <c r="Q216" s="5" t="s">
        <v>284</v>
      </c>
      <c r="R216" s="4" t="s">
        <v>285</v>
      </c>
      <c r="S216" s="4" t="s">
        <v>285</v>
      </c>
      <c r="T216" s="1" t="s">
        <v>277</v>
      </c>
    </row>
    <row r="217" customFormat="false" ht="15" hidden="false" customHeight="true" outlineLevel="0" collapsed="false">
      <c r="A217" s="1" t="s">
        <v>448</v>
      </c>
      <c r="B217" s="1" t="n">
        <v>1833</v>
      </c>
      <c r="C217" s="1" t="n">
        <v>11</v>
      </c>
      <c r="D217" s="1" t="s">
        <v>21</v>
      </c>
      <c r="E217" s="1"/>
      <c r="F217" s="1"/>
      <c r="G217" s="1" t="n">
        <v>11</v>
      </c>
      <c r="H217" s="2" t="n">
        <v>69000</v>
      </c>
      <c r="I217" s="2" t="n">
        <f aca="false">(((H217 / 800) / IF(ISBLANK(R217), 1000000, IF(ISNA(VLOOKUP(R217, Mileages!$A$2:$C$34, 2, 0)), R217, VLOOKUP(R217, Mileages!$A$2:$C$34, 2, 0)))) + (F217 * IF(ISBLANK(P217), 1, P217) * IF(ISBLANK(T217), 0, IF(ISNA(VLOOKUP(T217, 'Fuel Costs'!$A$2:$C$42, 2, 0)), T217, VLOOKUP(T217, 'Fuel Costs'!$A$2:$C$42, 2, 0))) / IF(ISBLANK(O217), 1, O217))) * 100</f>
        <v>0.01725</v>
      </c>
      <c r="J217" s="2" t="n">
        <f aca="false">((H217 / 800) / (IF(ISBLANK(S217), 100, IF(ISNA(VLOOKUP(S217, Lives!$A$2:$C$35, 2, 0)), S217, VLOOKUP(S217, Lives!$A$2:$C$35, 2, 0))) * 12) + (IF(ISBLANK(Q217), 0, IF(ISNA(VLOOKUP(Q217, Wages!$A$2:$C$17, 2, 0)), Q217, VLOOKUP(Q217, Wages!$A$2:$C$17, 2, 0))) * IF(ISBLANK(N217), 0, IF(ISNA(VLOOKUP(N217, Crews!$A$2:$C$28, 2, 0)), N217, VLOOKUP(N217, Crews!$A$2:$C$28, 2, 0))))) * 400</f>
        <v>4828.75</v>
      </c>
      <c r="K217" s="3" t="s">
        <v>449</v>
      </c>
      <c r="L217" s="1" t="s">
        <v>450</v>
      </c>
      <c r="M217" s="1" t="n">
        <v>0</v>
      </c>
      <c r="N217" s="1" t="s">
        <v>25</v>
      </c>
      <c r="O217" s="1"/>
      <c r="P217" s="1"/>
      <c r="Q217" s="4" t="s">
        <v>41</v>
      </c>
      <c r="R217" s="5" t="s">
        <v>327</v>
      </c>
      <c r="S217" s="4" t="s">
        <v>43</v>
      </c>
      <c r="T217" s="1"/>
    </row>
    <row r="218" customFormat="false" ht="15" hidden="false" customHeight="true" outlineLevel="0" collapsed="false">
      <c r="A218" s="1" t="s">
        <v>451</v>
      </c>
      <c r="B218" s="1" t="n">
        <v>1833</v>
      </c>
      <c r="C218" s="1" t="n">
        <v>12</v>
      </c>
      <c r="D218" s="1" t="s">
        <v>38</v>
      </c>
      <c r="E218" s="1" t="s">
        <v>274</v>
      </c>
      <c r="F218" s="1" t="n">
        <v>35</v>
      </c>
      <c r="G218" s="1" t="n">
        <v>44</v>
      </c>
      <c r="H218" s="2" t="n">
        <v>4220000</v>
      </c>
      <c r="I218" s="2" t="n">
        <f aca="false">(((H218 / 800) / IF(ISBLANK(R218), 1000000, IF(ISNA(VLOOKUP(R218, Mileages!$A$2:$C$34, 2, 0)), R218, VLOOKUP(R218, Mileages!$A$2:$C$34, 2, 0)))) + (F218 * IF(ISBLANK(P218), 1, P218) * IF(ISBLANK(T218), 0, IF(ISNA(VLOOKUP(T218, 'Fuel Costs'!$A$2:$C$42, 2, 0)), T218, VLOOKUP(T218, 'Fuel Costs'!$A$2:$C$42, 2, 0))) / IF(ISBLANK(O218), 1, O218))) * 100</f>
        <v>88.81875</v>
      </c>
      <c r="J218" s="2" t="n">
        <f aca="false">((H218 / 800) / (IF(ISBLANK(S218), 100, IF(ISNA(VLOOKUP(S218, Lives!$A$2:$C$35, 2, 0)), S218, VLOOKUP(S218, Lives!$A$2:$C$35, 2, 0))) * 12) + (IF(ISBLANK(Q218), 0, IF(ISNA(VLOOKUP(Q218, Wages!$A$2:$C$17, 2, 0)), Q218, VLOOKUP(Q218, Wages!$A$2:$C$17, 2, 0))) * IF(ISBLANK(N218), 0, IF(ISNA(VLOOKUP(N218, Crews!$A$2:$C$28, 2, 0)), N218, VLOOKUP(N218, Crews!$A$2:$C$28, 2, 0))))) * 400</f>
        <v>21861.11111</v>
      </c>
      <c r="K218" s="3" t="s">
        <v>452</v>
      </c>
      <c r="L218" s="1" t="s">
        <v>453</v>
      </c>
      <c r="M218" s="1" t="n">
        <v>0</v>
      </c>
      <c r="N218" s="1" t="s">
        <v>283</v>
      </c>
      <c r="O218" s="1" t="n">
        <v>0.4</v>
      </c>
      <c r="P218" s="1"/>
      <c r="Q218" s="5" t="s">
        <v>284</v>
      </c>
      <c r="R218" s="4" t="s">
        <v>285</v>
      </c>
      <c r="S218" s="4" t="s">
        <v>285</v>
      </c>
      <c r="T218" s="1" t="s">
        <v>277</v>
      </c>
    </row>
    <row r="219" customFormat="false" ht="15" hidden="false" customHeight="true" outlineLevel="0" collapsed="false">
      <c r="A219" s="1" t="s">
        <v>454</v>
      </c>
      <c r="B219" s="1" t="n">
        <v>1834</v>
      </c>
      <c r="C219" s="1" t="n">
        <v>2</v>
      </c>
      <c r="D219" s="1" t="s">
        <v>38</v>
      </c>
      <c r="E219" s="1" t="s">
        <v>274</v>
      </c>
      <c r="F219" s="1" t="n">
        <v>54</v>
      </c>
      <c r="G219" s="1" t="n">
        <v>44</v>
      </c>
      <c r="H219" s="2" t="n">
        <v>6790000</v>
      </c>
      <c r="I219" s="2" t="n">
        <f aca="false">(((H219 / 800) / IF(ISBLANK(R219), 1000000, IF(ISNA(VLOOKUP(R219, Mileages!$A$2:$C$34, 2, 0)), R219, VLOOKUP(R219, Mileages!$A$2:$C$34, 2, 0)))) + (F219 * IF(ISBLANK(P219), 1, P219) * IF(ISBLANK(T219), 0, IF(ISNA(VLOOKUP(T219, 'Fuel Costs'!$A$2:$C$42, 2, 0)), T219, VLOOKUP(T219, 'Fuel Costs'!$A$2:$C$42, 2, 0))) / IF(ISBLANK(O219), 1, O219))) * 100</f>
        <v>122.121875</v>
      </c>
      <c r="J219" s="2" t="n">
        <f aca="false">((H219 / 800) / (IF(ISBLANK(S219), 100, IF(ISNA(VLOOKUP(S219, Lives!$A$2:$C$35, 2, 0)), S219, VLOOKUP(S219, Lives!$A$2:$C$35, 2, 0))) * 12) + (IF(ISBLANK(Q219), 0, IF(ISNA(VLOOKUP(Q219, Wages!$A$2:$C$17, 2, 0)), Q219, VLOOKUP(Q219, Wages!$A$2:$C$17, 2, 0))) * IF(ISBLANK(N219), 0, IF(ISNA(VLOOKUP(N219, Crews!$A$2:$C$28, 2, 0)), N219, VLOOKUP(N219, Crews!$A$2:$C$28, 2, 0))))) * 400</f>
        <v>25430.55556</v>
      </c>
      <c r="K219" s="3" t="s">
        <v>455</v>
      </c>
      <c r="L219" s="1" t="s">
        <v>456</v>
      </c>
      <c r="M219" s="1" t="n">
        <v>0</v>
      </c>
      <c r="N219" s="1" t="s">
        <v>283</v>
      </c>
      <c r="O219" s="1" t="n">
        <v>0.45</v>
      </c>
      <c r="P219" s="1"/>
      <c r="Q219" s="5" t="s">
        <v>284</v>
      </c>
      <c r="R219" s="4" t="s">
        <v>285</v>
      </c>
      <c r="S219" s="4" t="s">
        <v>285</v>
      </c>
      <c r="T219" s="1" t="s">
        <v>277</v>
      </c>
    </row>
    <row r="220" customFormat="false" ht="15" hidden="false" customHeight="true" outlineLevel="0" collapsed="false">
      <c r="A220" s="1" t="s">
        <v>457</v>
      </c>
      <c r="B220" s="1" t="n">
        <v>1834</v>
      </c>
      <c r="C220" s="1" t="n">
        <v>3</v>
      </c>
      <c r="D220" s="1" t="s">
        <v>38</v>
      </c>
      <c r="E220" s="1"/>
      <c r="F220" s="1"/>
      <c r="G220" s="1" t="n">
        <v>100</v>
      </c>
      <c r="H220" s="2" t="n">
        <v>144000</v>
      </c>
      <c r="I220" s="2" t="n">
        <f aca="false">(((H220 / 800) / IF(ISBLANK(R220), 1000000, IF(ISNA(VLOOKUP(R220, Mileages!$A$2:$C$34, 2, 0)), R220, VLOOKUP(R220, Mileages!$A$2:$C$34, 2, 0)))) + (F220 * IF(ISBLANK(P220), 1, P220) * IF(ISBLANK(T220), 0, IF(ISNA(VLOOKUP(T220, 'Fuel Costs'!$A$2:$C$42, 2, 0)), T220, VLOOKUP(T220, 'Fuel Costs'!$A$2:$C$42, 2, 0))) / IF(ISBLANK(O220), 1, O220))) * 100</f>
        <v>0.03</v>
      </c>
      <c r="J220" s="2" t="n">
        <f aca="false">((H220 / 800) / (IF(ISBLANK(S220), 100, IF(ISNA(VLOOKUP(S220, Lives!$A$2:$C$35, 2, 0)), S220, VLOOKUP(S220, Lives!$A$2:$C$35, 2, 0))) * 12) + (IF(ISBLANK(Q220), 0, IF(ISNA(VLOOKUP(Q220, Wages!$A$2:$C$17, 2, 0)), Q220, VLOOKUP(Q220, Wages!$A$2:$C$17, 2, 0))) * IF(ISBLANK(N220), 0, IF(ISNA(VLOOKUP(N220, Crews!$A$2:$C$28, 2, 0)), N220, VLOOKUP(N220, Crews!$A$2:$C$28, 2, 0))))) * 400</f>
        <v>120</v>
      </c>
      <c r="K220" s="3" t="s">
        <v>458</v>
      </c>
      <c r="L220" s="1" t="s">
        <v>459</v>
      </c>
      <c r="M220" s="1" t="n">
        <v>0</v>
      </c>
      <c r="N220" s="1"/>
      <c r="O220" s="1"/>
      <c r="P220" s="1"/>
      <c r="Q220" s="1"/>
      <c r="R220" s="5" t="s">
        <v>374</v>
      </c>
      <c r="S220" s="5" t="s">
        <v>375</v>
      </c>
      <c r="T220" s="1"/>
    </row>
    <row r="221" customFormat="false" ht="15" hidden="false" customHeight="true" outlineLevel="0" collapsed="false">
      <c r="A221" s="1" t="s">
        <v>460</v>
      </c>
      <c r="B221" s="1" t="n">
        <v>1834</v>
      </c>
      <c r="C221" s="1" t="n">
        <v>3</v>
      </c>
      <c r="D221" s="1" t="s">
        <v>38</v>
      </c>
      <c r="E221" s="1"/>
      <c r="F221" s="1"/>
      <c r="G221" s="1" t="n">
        <v>100</v>
      </c>
      <c r="H221" s="2" t="n">
        <v>150000</v>
      </c>
      <c r="I221" s="2" t="n">
        <f aca="false">(((H221 / 800) / IF(ISBLANK(R221), 1000000, IF(ISNA(VLOOKUP(R221, Mileages!$A$2:$C$34, 2, 0)), R221, VLOOKUP(R221, Mileages!$A$2:$C$34, 2, 0)))) + (F221 * IF(ISBLANK(P221), 1, P221) * IF(ISBLANK(T221), 0, IF(ISNA(VLOOKUP(T221, 'Fuel Costs'!$A$2:$C$42, 2, 0)), T221, VLOOKUP(T221, 'Fuel Costs'!$A$2:$C$42, 2, 0))) / IF(ISBLANK(O221), 1, O221))) * 100</f>
        <v>0.03125</v>
      </c>
      <c r="J221" s="2" t="n">
        <f aca="false">((H221 / 800) / (IF(ISBLANK(S221), 100, IF(ISNA(VLOOKUP(S221, Lives!$A$2:$C$35, 2, 0)), S221, VLOOKUP(S221, Lives!$A$2:$C$35, 2, 0))) * 12) + (IF(ISBLANK(Q221), 0, IF(ISNA(VLOOKUP(Q221, Wages!$A$2:$C$17, 2, 0)), Q221, VLOOKUP(Q221, Wages!$A$2:$C$17, 2, 0))) * IF(ISBLANK(N221), 0, IF(ISNA(VLOOKUP(N221, Crews!$A$2:$C$28, 2, 0)), N221, VLOOKUP(N221, Crews!$A$2:$C$28, 2, 0))))) * 400</f>
        <v>4925</v>
      </c>
      <c r="K221" s="1"/>
      <c r="L221" s="1" t="s">
        <v>459</v>
      </c>
      <c r="M221" s="1" t="n">
        <v>1</v>
      </c>
      <c r="N221" s="1" t="s">
        <v>25</v>
      </c>
      <c r="O221" s="1"/>
      <c r="P221" s="1"/>
      <c r="Q221" s="1" t="s">
        <v>378</v>
      </c>
      <c r="R221" s="5" t="s">
        <v>374</v>
      </c>
      <c r="S221" s="5" t="s">
        <v>375</v>
      </c>
      <c r="T221" s="1"/>
    </row>
    <row r="222" customFormat="false" ht="15" hidden="false" customHeight="true" outlineLevel="0" collapsed="false">
      <c r="A222" s="1" t="s">
        <v>461</v>
      </c>
      <c r="B222" s="1" t="n">
        <v>1834</v>
      </c>
      <c r="C222" s="1" t="n">
        <v>3</v>
      </c>
      <c r="D222" s="1" t="s">
        <v>38</v>
      </c>
      <c r="E222" s="1"/>
      <c r="F222" s="1"/>
      <c r="G222" s="1" t="n">
        <v>100</v>
      </c>
      <c r="H222" s="2" t="n">
        <v>150000</v>
      </c>
      <c r="I222" s="2" t="n">
        <f aca="false">(((H222 / 800) / IF(ISBLANK(R222), 1000000, IF(ISNA(VLOOKUP(R222, Mileages!$A$2:$C$34, 2, 0)), R222, VLOOKUP(R222, Mileages!$A$2:$C$34, 2, 0)))) + (F222 * IF(ISBLANK(P222), 1, P222) * IF(ISBLANK(T222), 0, IF(ISNA(VLOOKUP(T222, 'Fuel Costs'!$A$2:$C$42, 2, 0)), T222, VLOOKUP(T222, 'Fuel Costs'!$A$2:$C$42, 2, 0))) / IF(ISBLANK(O222), 1, O222))) * 100</f>
        <v>0.03125</v>
      </c>
      <c r="J222" s="2" t="n">
        <f aca="false">((H222 / 800) / (IF(ISBLANK(S222), 100, IF(ISNA(VLOOKUP(S222, Lives!$A$2:$C$35, 2, 0)), S222, VLOOKUP(S222, Lives!$A$2:$C$35, 2, 0))) * 12) + (IF(ISBLANK(Q222), 0, IF(ISNA(VLOOKUP(Q222, Wages!$A$2:$C$17, 2, 0)), Q222, VLOOKUP(Q222, Wages!$A$2:$C$17, 2, 0))) * IF(ISBLANK(N222), 0, IF(ISNA(VLOOKUP(N222, Crews!$A$2:$C$28, 2, 0)), N222, VLOOKUP(N222, Crews!$A$2:$C$28, 2, 0))))) * 400</f>
        <v>4925</v>
      </c>
      <c r="K222" s="1"/>
      <c r="L222" s="1" t="s">
        <v>459</v>
      </c>
      <c r="M222" s="1" t="n">
        <v>2</v>
      </c>
      <c r="N222" s="1" t="s">
        <v>25</v>
      </c>
      <c r="O222" s="1"/>
      <c r="P222" s="1"/>
      <c r="Q222" s="1" t="s">
        <v>378</v>
      </c>
      <c r="R222" s="5" t="s">
        <v>374</v>
      </c>
      <c r="S222" s="5" t="s">
        <v>375</v>
      </c>
      <c r="T222" s="1"/>
    </row>
    <row r="223" customFormat="false" ht="15" hidden="false" customHeight="true" outlineLevel="0" collapsed="false">
      <c r="A223" s="1" t="s">
        <v>462</v>
      </c>
      <c r="B223" s="1" t="n">
        <v>1834</v>
      </c>
      <c r="C223" s="1" t="n">
        <v>3</v>
      </c>
      <c r="D223" s="1" t="s">
        <v>38</v>
      </c>
      <c r="E223" s="1"/>
      <c r="F223" s="1"/>
      <c r="G223" s="1" t="n">
        <v>100</v>
      </c>
      <c r="H223" s="2" t="n">
        <v>149000</v>
      </c>
      <c r="I223" s="2" t="n">
        <f aca="false">(((H223 / 800) / IF(ISBLANK(R223), 1000000, IF(ISNA(VLOOKUP(R223, Mileages!$A$2:$C$34, 2, 0)), R223, VLOOKUP(R223, Mileages!$A$2:$C$34, 2, 0)))) + (F223 * IF(ISBLANK(P223), 1, P223) * IF(ISBLANK(T223), 0, IF(ISNA(VLOOKUP(T223, 'Fuel Costs'!$A$2:$C$42, 2, 0)), T223, VLOOKUP(T223, 'Fuel Costs'!$A$2:$C$42, 2, 0))) / IF(ISBLANK(O223), 1, O223))) * 100</f>
        <v>0.03104166667</v>
      </c>
      <c r="J223" s="2" t="n">
        <f aca="false">((H223 / 800) / (IF(ISBLANK(S223), 100, IF(ISNA(VLOOKUP(S223, Lives!$A$2:$C$35, 2, 0)), S223, VLOOKUP(S223, Lives!$A$2:$C$35, 2, 0))) * 12) + (IF(ISBLANK(Q223), 0, IF(ISNA(VLOOKUP(Q223, Wages!$A$2:$C$17, 2, 0)), Q223, VLOOKUP(Q223, Wages!$A$2:$C$17, 2, 0))) * IF(ISBLANK(N223), 0, IF(ISNA(VLOOKUP(N223, Crews!$A$2:$C$28, 2, 0)), N223, VLOOKUP(N223, Crews!$A$2:$C$28, 2, 0))))) * 400</f>
        <v>62.08333333</v>
      </c>
      <c r="K223" s="3" t="s">
        <v>463</v>
      </c>
      <c r="L223" s="1" t="s">
        <v>464</v>
      </c>
      <c r="M223" s="1" t="n">
        <v>0</v>
      </c>
      <c r="N223" s="1"/>
      <c r="O223" s="1"/>
      <c r="P223" s="1"/>
      <c r="Q223" s="1"/>
      <c r="R223" s="5" t="s">
        <v>374</v>
      </c>
      <c r="S223" s="5" t="s">
        <v>389</v>
      </c>
      <c r="T223" s="1"/>
    </row>
    <row r="224" customFormat="false" ht="15" hidden="false" customHeight="true" outlineLevel="0" collapsed="false">
      <c r="A224" s="1" t="s">
        <v>465</v>
      </c>
      <c r="B224" s="1" t="n">
        <v>1834</v>
      </c>
      <c r="C224" s="1" t="n">
        <v>3</v>
      </c>
      <c r="D224" s="1" t="s">
        <v>38</v>
      </c>
      <c r="E224" s="1"/>
      <c r="F224" s="1"/>
      <c r="G224" s="1" t="n">
        <v>100</v>
      </c>
      <c r="H224" s="2" t="n">
        <v>150000</v>
      </c>
      <c r="I224" s="2" t="n">
        <f aca="false">(((H224 / 800) / IF(ISBLANK(R224), 1000000, IF(ISNA(VLOOKUP(R224, Mileages!$A$2:$C$34, 2, 0)), R224, VLOOKUP(R224, Mileages!$A$2:$C$34, 2, 0)))) + (F224 * IF(ISBLANK(P224), 1, P224) * IF(ISBLANK(T224), 0, IF(ISNA(VLOOKUP(T224, 'Fuel Costs'!$A$2:$C$42, 2, 0)), T224, VLOOKUP(T224, 'Fuel Costs'!$A$2:$C$42, 2, 0))) / IF(ISBLANK(O224), 1, O224))) * 100</f>
        <v>0.03125</v>
      </c>
      <c r="J224" s="2" t="n">
        <f aca="false">((H224 / 800) / (IF(ISBLANK(S224), 100, IF(ISNA(VLOOKUP(S224, Lives!$A$2:$C$35, 2, 0)), S224, VLOOKUP(S224, Lives!$A$2:$C$35, 2, 0))) * 12) + (IF(ISBLANK(Q224), 0, IF(ISNA(VLOOKUP(Q224, Wages!$A$2:$C$17, 2, 0)), Q224, VLOOKUP(Q224, Wages!$A$2:$C$17, 2, 0))) * IF(ISBLANK(N224), 0, IF(ISNA(VLOOKUP(N224, Crews!$A$2:$C$28, 2, 0)), N224, VLOOKUP(N224, Crews!$A$2:$C$28, 2, 0))))) * 400</f>
        <v>4862.5</v>
      </c>
      <c r="K224" s="3" t="s">
        <v>463</v>
      </c>
      <c r="L224" s="1" t="s">
        <v>464</v>
      </c>
      <c r="M224" s="1" t="n">
        <v>1</v>
      </c>
      <c r="N224" s="1" t="s">
        <v>25</v>
      </c>
      <c r="O224" s="1"/>
      <c r="P224" s="1"/>
      <c r="Q224" s="1" t="s">
        <v>378</v>
      </c>
      <c r="R224" s="5" t="s">
        <v>374</v>
      </c>
      <c r="S224" s="5" t="s">
        <v>389</v>
      </c>
      <c r="T224" s="1"/>
    </row>
    <row r="225" customFormat="false" ht="15" hidden="false" customHeight="true" outlineLevel="0" collapsed="false">
      <c r="A225" s="1" t="s">
        <v>466</v>
      </c>
      <c r="B225" s="1" t="n">
        <v>1834</v>
      </c>
      <c r="C225" s="1" t="n">
        <v>3</v>
      </c>
      <c r="D225" s="1" t="s">
        <v>38</v>
      </c>
      <c r="E225" s="1"/>
      <c r="F225" s="1"/>
      <c r="G225" s="1" t="n">
        <v>100</v>
      </c>
      <c r="H225" s="2" t="n">
        <v>150000</v>
      </c>
      <c r="I225" s="2" t="n">
        <f aca="false">(((H225 / 800) / IF(ISBLANK(R225), 1000000, IF(ISNA(VLOOKUP(R225, Mileages!$A$2:$C$34, 2, 0)), R225, VLOOKUP(R225, Mileages!$A$2:$C$34, 2, 0)))) + (F225 * IF(ISBLANK(P225), 1, P225) * IF(ISBLANK(T225), 0, IF(ISNA(VLOOKUP(T225, 'Fuel Costs'!$A$2:$C$42, 2, 0)), T225, VLOOKUP(T225, 'Fuel Costs'!$A$2:$C$42, 2, 0))) / IF(ISBLANK(O225), 1, O225))) * 100</f>
        <v>0.03125</v>
      </c>
      <c r="J225" s="2" t="n">
        <f aca="false">((H225 / 800) / (IF(ISBLANK(S225), 100, IF(ISNA(VLOOKUP(S225, Lives!$A$2:$C$35, 2, 0)), S225, VLOOKUP(S225, Lives!$A$2:$C$35, 2, 0))) * 12) + (IF(ISBLANK(Q225), 0, IF(ISNA(VLOOKUP(Q225, Wages!$A$2:$C$17, 2, 0)), Q225, VLOOKUP(Q225, Wages!$A$2:$C$17, 2, 0))) * IF(ISBLANK(N225), 0, IF(ISNA(VLOOKUP(N225, Crews!$A$2:$C$28, 2, 0)), N225, VLOOKUP(N225, Crews!$A$2:$C$28, 2, 0))))) * 400</f>
        <v>4862.5</v>
      </c>
      <c r="K225" s="3" t="s">
        <v>391</v>
      </c>
      <c r="L225" s="1" t="s">
        <v>464</v>
      </c>
      <c r="M225" s="1" t="n">
        <v>2</v>
      </c>
      <c r="N225" s="1" t="s">
        <v>25</v>
      </c>
      <c r="O225" s="1"/>
      <c r="P225" s="1"/>
      <c r="Q225" s="1" t="s">
        <v>378</v>
      </c>
      <c r="R225" s="5" t="s">
        <v>374</v>
      </c>
      <c r="S225" s="5" t="s">
        <v>389</v>
      </c>
      <c r="T225" s="1"/>
    </row>
    <row r="226" customFormat="false" ht="15" hidden="false" customHeight="true" outlineLevel="0" collapsed="false">
      <c r="A226" s="1" t="s">
        <v>467</v>
      </c>
      <c r="B226" s="1" t="n">
        <v>1834</v>
      </c>
      <c r="C226" s="1" t="n">
        <v>6</v>
      </c>
      <c r="D226" s="1" t="s">
        <v>21</v>
      </c>
      <c r="E226" s="1"/>
      <c r="F226" s="1"/>
      <c r="G226" s="1" t="n">
        <v>14</v>
      </c>
      <c r="H226" s="2" t="n">
        <v>12800</v>
      </c>
      <c r="I226" s="2" t="n">
        <f aca="false">(((H226 / 800) / IF(ISBLANK(R226), 1000000, IF(ISNA(VLOOKUP(R226, Mileages!$A$2:$C$34, 2, 0)), R226, VLOOKUP(R226, Mileages!$A$2:$C$34, 2, 0)))) + (F226 * IF(ISBLANK(P226), 1, P226) * IF(ISBLANK(T226), 0, IF(ISNA(VLOOKUP(T226, 'Fuel Costs'!$A$2:$C$42, 2, 0)), T226, VLOOKUP(T226, 'Fuel Costs'!$A$2:$C$42, 2, 0))) / IF(ISBLANK(O226), 1, O226))) * 100</f>
        <v>0.0032</v>
      </c>
      <c r="J226" s="2" t="n">
        <f aca="false">((H226 / 800) / (IF(ISBLANK(S226), 100, IF(ISNA(VLOOKUP(S226, Lives!$A$2:$C$35, 2, 0)), S226, VLOOKUP(S226, Lives!$A$2:$C$35, 2, 0))) * 12) + (IF(ISBLANK(Q226), 0, IF(ISNA(VLOOKUP(Q226, Wages!$A$2:$C$17, 2, 0)), Q226, VLOOKUP(Q226, Wages!$A$2:$C$17, 2, 0))) * IF(ISBLANK(N226), 0, IF(ISNA(VLOOKUP(N226, Crews!$A$2:$C$28, 2, 0)), N226, VLOOKUP(N226, Crews!$A$2:$C$28, 2, 0))))) * 400</f>
        <v>4805.333333</v>
      </c>
      <c r="K226" s="3" t="s">
        <v>468</v>
      </c>
      <c r="L226" s="1" t="s">
        <v>469</v>
      </c>
      <c r="M226" s="1" t="n">
        <v>0</v>
      </c>
      <c r="N226" s="1" t="s">
        <v>25</v>
      </c>
      <c r="O226" s="1"/>
      <c r="P226" s="1"/>
      <c r="Q226" s="4" t="s">
        <v>41</v>
      </c>
      <c r="R226" s="5" t="s">
        <v>327</v>
      </c>
      <c r="S226" s="4" t="s">
        <v>43</v>
      </c>
      <c r="T226" s="1"/>
    </row>
    <row r="227" customFormat="false" ht="15" hidden="false" customHeight="true" outlineLevel="0" collapsed="false">
      <c r="A227" s="1" t="s">
        <v>470</v>
      </c>
      <c r="B227" s="1" t="n">
        <v>1834</v>
      </c>
      <c r="C227" s="1" t="n">
        <v>7</v>
      </c>
      <c r="D227" s="1" t="s">
        <v>38</v>
      </c>
      <c r="E227" s="1"/>
      <c r="F227" s="1"/>
      <c r="G227" s="1" t="n">
        <v>100</v>
      </c>
      <c r="H227" s="2" t="n">
        <v>67000</v>
      </c>
      <c r="I227" s="2" t="n">
        <f aca="false">(((H227 / 800) / IF(ISBLANK(R227), 1000000, IF(ISNA(VLOOKUP(R227, Mileages!$A$2:$C$34, 2, 0)), R227, VLOOKUP(R227, Mileages!$A$2:$C$34, 2, 0)))) + (F227 * IF(ISBLANK(P227), 1, P227) * IF(ISBLANK(T227), 0, IF(ISNA(VLOOKUP(T227, 'Fuel Costs'!$A$2:$C$42, 2, 0)), T227, VLOOKUP(T227, 'Fuel Costs'!$A$2:$C$42, 2, 0))) / IF(ISBLANK(O227), 1, O227))) * 100</f>
        <v>0.01395833333</v>
      </c>
      <c r="J227" s="2" t="n">
        <f aca="false">((H227 / 800) / (IF(ISBLANK(S227), 100, IF(ISNA(VLOOKUP(S227, Lives!$A$2:$C$35, 2, 0)), S227, VLOOKUP(S227, Lives!$A$2:$C$35, 2, 0))) * 12) + (IF(ISBLANK(Q227), 0, IF(ISNA(VLOOKUP(Q227, Wages!$A$2:$C$17, 2, 0)), Q227, VLOOKUP(Q227, Wages!$A$2:$C$17, 2, 0))) * IF(ISBLANK(N227), 0, IF(ISNA(VLOOKUP(N227, Crews!$A$2:$C$28, 2, 0)), N227, VLOOKUP(N227, Crews!$A$2:$C$28, 2, 0))))) * 400</f>
        <v>139.5833333</v>
      </c>
      <c r="K227" s="3" t="s">
        <v>471</v>
      </c>
      <c r="L227" s="1" t="s">
        <v>472</v>
      </c>
      <c r="M227" s="1" t="n">
        <v>0</v>
      </c>
      <c r="N227" s="1"/>
      <c r="O227" s="1"/>
      <c r="P227" s="1"/>
      <c r="Q227" s="1"/>
      <c r="R227" s="5" t="s">
        <v>374</v>
      </c>
      <c r="S227" s="5" t="s">
        <v>423</v>
      </c>
      <c r="T227" s="1"/>
    </row>
    <row r="228" customFormat="false" ht="15" hidden="false" customHeight="true" outlineLevel="0" collapsed="false">
      <c r="A228" s="1" t="s">
        <v>473</v>
      </c>
      <c r="B228" s="1" t="n">
        <v>1834</v>
      </c>
      <c r="C228" s="1" t="n">
        <v>7</v>
      </c>
      <c r="D228" s="1" t="s">
        <v>38</v>
      </c>
      <c r="E228" s="1"/>
      <c r="F228" s="1"/>
      <c r="G228" s="1" t="n">
        <v>100</v>
      </c>
      <c r="H228" s="2" t="n">
        <v>75000</v>
      </c>
      <c r="I228" s="2" t="n">
        <f aca="false">(((H228 / 800) / IF(ISBLANK(R228), 1000000, IF(ISNA(VLOOKUP(R228, Mileages!$A$2:$C$34, 2, 0)), R228, VLOOKUP(R228, Mileages!$A$2:$C$34, 2, 0)))) + (F228 * IF(ISBLANK(P228), 1, P228) * IF(ISBLANK(T228), 0, IF(ISNA(VLOOKUP(T228, 'Fuel Costs'!$A$2:$C$42, 2, 0)), T228, VLOOKUP(T228, 'Fuel Costs'!$A$2:$C$42, 2, 0))) / IF(ISBLANK(O228), 1, O228))) * 100</f>
        <v>0.015625</v>
      </c>
      <c r="J228" s="2" t="n">
        <f aca="false">((H228 / 800) / (IF(ISBLANK(S228), 100, IF(ISNA(VLOOKUP(S228, Lives!$A$2:$C$35, 2, 0)), S228, VLOOKUP(S228, Lives!$A$2:$C$35, 2, 0))) * 12) + (IF(ISBLANK(Q228), 0, IF(ISNA(VLOOKUP(Q228, Wages!$A$2:$C$17, 2, 0)), Q228, VLOOKUP(Q228, Wages!$A$2:$C$17, 2, 0))) * IF(ISBLANK(N228), 0, IF(ISNA(VLOOKUP(N228, Crews!$A$2:$C$28, 2, 0)), N228, VLOOKUP(N228, Crews!$A$2:$C$28, 2, 0))))) * 400</f>
        <v>156.25</v>
      </c>
      <c r="K228" s="3" t="s">
        <v>474</v>
      </c>
      <c r="L228" s="1" t="s">
        <v>475</v>
      </c>
      <c r="M228" s="1" t="n">
        <v>0</v>
      </c>
      <c r="N228" s="1"/>
      <c r="O228" s="1"/>
      <c r="P228" s="1"/>
      <c r="Q228" s="1"/>
      <c r="R228" s="5" t="s">
        <v>374</v>
      </c>
      <c r="S228" s="5" t="s">
        <v>423</v>
      </c>
      <c r="T228" s="1"/>
    </row>
    <row r="229" customFormat="false" ht="15" hidden="false" customHeight="true" outlineLevel="0" collapsed="false">
      <c r="A229" s="1" t="s">
        <v>476</v>
      </c>
      <c r="B229" s="1" t="n">
        <v>1835</v>
      </c>
      <c r="C229" s="1" t="n">
        <v>1</v>
      </c>
      <c r="D229" s="1" t="s">
        <v>29</v>
      </c>
      <c r="E229" s="1" t="s">
        <v>22</v>
      </c>
      <c r="F229" s="1" t="n">
        <v>46</v>
      </c>
      <c r="G229" s="1" t="n">
        <v>18</v>
      </c>
      <c r="H229" s="2" t="n">
        <v>100000</v>
      </c>
      <c r="I229" s="2" t="n">
        <f aca="false">(((H229 / 800) / IF(ISBLANK(R229), 1000000, IF(ISNA(VLOOKUP(R229, Mileages!$A$2:$C$34, 2, 0)), R229, VLOOKUP(R229, Mileages!$A$2:$C$34, 2, 0)))) + (F229 * IF(ISBLANK(P229), 1, P229) * IF(ISBLANK(T229), 0, IF(ISNA(VLOOKUP(T229, 'Fuel Costs'!$A$2:$C$42, 2, 0)), T229, VLOOKUP(T229, 'Fuel Costs'!$A$2:$C$42, 2, 0))) / IF(ISBLANK(O229), 1, O229))) * 100</f>
        <v>11.50000001</v>
      </c>
      <c r="J229" s="2" t="n">
        <f aca="false">((H229 / 800) / (IF(ISBLANK(S229), 100, IF(ISNA(VLOOKUP(S229, Lives!$A$2:$C$35, 2, 0)), S229, VLOOKUP(S229, Lives!$A$2:$C$35, 2, 0))) * 12) + (IF(ISBLANK(Q229), 0, IF(ISNA(VLOOKUP(Q229, Wages!$A$2:$C$17, 2, 0)), Q229, VLOOKUP(Q229, Wages!$A$2:$C$17, 2, 0))) * IF(ISBLANK(N229), 0, IF(ISNA(VLOOKUP(N229, Crews!$A$2:$C$28, 2, 0)), N229, VLOOKUP(N229, Crews!$A$2:$C$28, 2, 0))))) * 400</f>
        <v>3208.333333</v>
      </c>
      <c r="K229" s="1" t="s">
        <v>63</v>
      </c>
      <c r="L229" s="1" t="s">
        <v>89</v>
      </c>
      <c r="M229" s="1" t="n">
        <v>1</v>
      </c>
      <c r="N229" s="4" t="s">
        <v>155</v>
      </c>
      <c r="O229" s="1"/>
      <c r="P229" s="1" t="n">
        <v>0.1</v>
      </c>
      <c r="Q229" s="1" t="s">
        <v>26</v>
      </c>
      <c r="R229" s="5" t="s">
        <v>87</v>
      </c>
      <c r="S229" s="5" t="s">
        <v>87</v>
      </c>
      <c r="T229" s="5" t="s">
        <v>87</v>
      </c>
    </row>
    <row r="230" customFormat="false" ht="15" hidden="false" customHeight="true" outlineLevel="0" collapsed="false">
      <c r="A230" s="1" t="s">
        <v>477</v>
      </c>
      <c r="B230" s="1" t="n">
        <v>1835</v>
      </c>
      <c r="C230" s="1" t="n">
        <v>1</v>
      </c>
      <c r="D230" s="1" t="s">
        <v>29</v>
      </c>
      <c r="E230" s="1"/>
      <c r="F230" s="1"/>
      <c r="G230" s="1" t="n">
        <v>18</v>
      </c>
      <c r="H230" s="2" t="n">
        <v>20000</v>
      </c>
      <c r="I230" s="2" t="n">
        <f aca="false">(((H230 / 800) / IF(ISBLANK(R230), 1000000, IF(ISNA(VLOOKUP(R230, Mileages!$A$2:$C$34, 2, 0)), R230, VLOOKUP(R230, Mileages!$A$2:$C$34, 2, 0)))) + (F230 * IF(ISBLANK(P230), 1, P230) * IF(ISBLANK(T230), 0, IF(ISNA(VLOOKUP(T230, 'Fuel Costs'!$A$2:$C$42, 2, 0)), T230, VLOOKUP(T230, 'Fuel Costs'!$A$2:$C$42, 2, 0))) / IF(ISBLANK(O230), 1, O230))) * 100</f>
        <v>0.003125</v>
      </c>
      <c r="J230" s="2" t="n">
        <f aca="false">((H230 / 800) / (IF(ISBLANK(S230), 100, IF(ISNA(VLOOKUP(S230, Lives!$A$2:$C$35, 2, 0)), S230, VLOOKUP(S230, Lives!$A$2:$C$35, 2, 0))) * 12) + (IF(ISBLANK(Q230), 0, IF(ISNA(VLOOKUP(Q230, Wages!$A$2:$C$17, 2, 0)), Q230, VLOOKUP(Q230, Wages!$A$2:$C$17, 2, 0))) * IF(ISBLANK(N230), 0, IF(ISNA(VLOOKUP(N230, Crews!$A$2:$C$28, 2, 0)), N230, VLOOKUP(N230, Crews!$A$2:$C$28, 2, 0))))) * 400</f>
        <v>13.88888889</v>
      </c>
      <c r="K230" s="1" t="s">
        <v>96</v>
      </c>
      <c r="L230" s="1" t="s">
        <v>478</v>
      </c>
      <c r="M230" s="1" t="n">
        <v>0</v>
      </c>
      <c r="N230" s="1"/>
      <c r="O230" s="1"/>
      <c r="P230" s="1"/>
      <c r="Q230" s="1"/>
      <c r="R230" s="4" t="s">
        <v>35</v>
      </c>
      <c r="S230" s="1" t="s">
        <v>35</v>
      </c>
      <c r="T230" s="1"/>
    </row>
    <row r="231" customFormat="false" ht="15" hidden="false" customHeight="true" outlineLevel="0" collapsed="false">
      <c r="A231" s="1" t="s">
        <v>479</v>
      </c>
      <c r="B231" s="1" t="n">
        <v>1835</v>
      </c>
      <c r="C231" s="1" t="n">
        <v>1</v>
      </c>
      <c r="D231" s="1" t="s">
        <v>29</v>
      </c>
      <c r="E231" s="1"/>
      <c r="F231" s="1"/>
      <c r="G231" s="1" t="n">
        <v>18</v>
      </c>
      <c r="H231" s="2" t="n">
        <v>20000</v>
      </c>
      <c r="I231" s="2" t="n">
        <f aca="false">(((H231 / 800) / IF(ISBLANK(R231), 1000000, IF(ISNA(VLOOKUP(R231, Mileages!$A$2:$C$34, 2, 0)), R231, VLOOKUP(R231, Mileages!$A$2:$C$34, 2, 0)))) + (F231 * IF(ISBLANK(P231), 1, P231) * IF(ISBLANK(T231), 0, IF(ISNA(VLOOKUP(T231, 'Fuel Costs'!$A$2:$C$42, 2, 0)), T231, VLOOKUP(T231, 'Fuel Costs'!$A$2:$C$42, 2, 0))) / IF(ISBLANK(O231), 1, O231))) * 100</f>
        <v>0.003125</v>
      </c>
      <c r="J231" s="2" t="n">
        <f aca="false">((H231 / 800) / (IF(ISBLANK(S231), 100, IF(ISNA(VLOOKUP(S231, Lives!$A$2:$C$35, 2, 0)), S231, VLOOKUP(S231, Lives!$A$2:$C$35, 2, 0))) * 12) + (IF(ISBLANK(Q231), 0, IF(ISNA(VLOOKUP(Q231, Wages!$A$2:$C$17, 2, 0)), Q231, VLOOKUP(Q231, Wages!$A$2:$C$17, 2, 0))) * IF(ISBLANK(N231), 0, IF(ISNA(VLOOKUP(N231, Crews!$A$2:$C$28, 2, 0)), N231, VLOOKUP(N231, Crews!$A$2:$C$28, 2, 0))))) * 400</f>
        <v>13.88888889</v>
      </c>
      <c r="K231" s="1" t="s">
        <v>96</v>
      </c>
      <c r="L231" s="1" t="s">
        <v>478</v>
      </c>
      <c r="M231" s="1" t="n">
        <v>1</v>
      </c>
      <c r="N231" s="1"/>
      <c r="O231" s="1"/>
      <c r="P231" s="1"/>
      <c r="Q231" s="1"/>
      <c r="R231" s="4" t="s">
        <v>35</v>
      </c>
      <c r="S231" s="1" t="s">
        <v>35</v>
      </c>
      <c r="T231" s="1"/>
    </row>
    <row r="232" customFormat="false" ht="15" hidden="false" customHeight="true" outlineLevel="0" collapsed="false">
      <c r="A232" s="1" t="s">
        <v>480</v>
      </c>
      <c r="B232" s="1" t="n">
        <v>1835</v>
      </c>
      <c r="C232" s="1" t="n">
        <v>1</v>
      </c>
      <c r="D232" s="1" t="s">
        <v>29</v>
      </c>
      <c r="E232" s="1"/>
      <c r="F232" s="1"/>
      <c r="G232" s="1" t="n">
        <v>18</v>
      </c>
      <c r="H232" s="2" t="n">
        <v>20000</v>
      </c>
      <c r="I232" s="2" t="n">
        <f aca="false">(((H232 / 800) / IF(ISBLANK(R232), 1000000, IF(ISNA(VLOOKUP(R232, Mileages!$A$2:$C$34, 2, 0)), R232, VLOOKUP(R232, Mileages!$A$2:$C$34, 2, 0)))) + (F232 * IF(ISBLANK(P232), 1, P232) * IF(ISBLANK(T232), 0, IF(ISNA(VLOOKUP(T232, 'Fuel Costs'!$A$2:$C$42, 2, 0)), T232, VLOOKUP(T232, 'Fuel Costs'!$A$2:$C$42, 2, 0))) / IF(ISBLANK(O232), 1, O232))) * 100</f>
        <v>0.003125</v>
      </c>
      <c r="J232" s="2" t="n">
        <f aca="false">((H232 / 800) / (IF(ISBLANK(S232), 100, IF(ISNA(VLOOKUP(S232, Lives!$A$2:$C$35, 2, 0)), S232, VLOOKUP(S232, Lives!$A$2:$C$35, 2, 0))) * 12) + (IF(ISBLANK(Q232), 0, IF(ISNA(VLOOKUP(Q232, Wages!$A$2:$C$17, 2, 0)), Q232, VLOOKUP(Q232, Wages!$A$2:$C$17, 2, 0))) * IF(ISBLANK(N232), 0, IF(ISNA(VLOOKUP(N232, Crews!$A$2:$C$28, 2, 0)), N232, VLOOKUP(N232, Crews!$A$2:$C$28, 2, 0))))) * 400</f>
        <v>13.88888889</v>
      </c>
      <c r="K232" s="1" t="s">
        <v>102</v>
      </c>
      <c r="L232" s="1" t="s">
        <v>478</v>
      </c>
      <c r="M232" s="1" t="n">
        <v>2</v>
      </c>
      <c r="N232" s="1"/>
      <c r="O232" s="1"/>
      <c r="P232" s="1"/>
      <c r="Q232" s="1"/>
      <c r="R232" s="4" t="s">
        <v>35</v>
      </c>
      <c r="S232" s="1" t="s">
        <v>35</v>
      </c>
      <c r="T232" s="1"/>
    </row>
    <row r="233" customFormat="false" ht="15" hidden="false" customHeight="true" outlineLevel="0" collapsed="false">
      <c r="A233" s="1" t="s">
        <v>481</v>
      </c>
      <c r="B233" s="1" t="n">
        <v>1835</v>
      </c>
      <c r="C233" s="1" t="n">
        <v>1</v>
      </c>
      <c r="D233" s="1" t="s">
        <v>29</v>
      </c>
      <c r="E233" s="1"/>
      <c r="F233" s="1"/>
      <c r="G233" s="1" t="n">
        <v>18</v>
      </c>
      <c r="H233" s="2" t="n">
        <v>20000</v>
      </c>
      <c r="I233" s="2" t="n">
        <f aca="false">(((H233 / 800) / IF(ISBLANK(R233), 1000000, IF(ISNA(VLOOKUP(R233, Mileages!$A$2:$C$34, 2, 0)), R233, VLOOKUP(R233, Mileages!$A$2:$C$34, 2, 0)))) + (F233 * IF(ISBLANK(P233), 1, P233) * IF(ISBLANK(T233), 0, IF(ISNA(VLOOKUP(T233, 'Fuel Costs'!$A$2:$C$42, 2, 0)), T233, VLOOKUP(T233, 'Fuel Costs'!$A$2:$C$42, 2, 0))) / IF(ISBLANK(O233), 1, O233))) * 100</f>
        <v>0.003125</v>
      </c>
      <c r="J233" s="2" t="n">
        <f aca="false">((H233 / 800) / (IF(ISBLANK(S233), 100, IF(ISNA(VLOOKUP(S233, Lives!$A$2:$C$35, 2, 0)), S233, VLOOKUP(S233, Lives!$A$2:$C$35, 2, 0))) * 12) + (IF(ISBLANK(Q233), 0, IF(ISNA(VLOOKUP(Q233, Wages!$A$2:$C$17, 2, 0)), Q233, VLOOKUP(Q233, Wages!$A$2:$C$17, 2, 0))) * IF(ISBLANK(N233), 0, IF(ISNA(VLOOKUP(N233, Crews!$A$2:$C$28, 2, 0)), N233, VLOOKUP(N233, Crews!$A$2:$C$28, 2, 0))))) * 400</f>
        <v>13.88888889</v>
      </c>
      <c r="K233" s="1" t="s">
        <v>104</v>
      </c>
      <c r="L233" s="1" t="s">
        <v>478</v>
      </c>
      <c r="M233" s="1" t="n">
        <v>3</v>
      </c>
      <c r="N233" s="1"/>
      <c r="O233" s="1"/>
      <c r="P233" s="1"/>
      <c r="Q233" s="1"/>
      <c r="R233" s="4" t="s">
        <v>35</v>
      </c>
      <c r="S233" s="1" t="s">
        <v>35</v>
      </c>
      <c r="T233" s="1"/>
    </row>
    <row r="234" customFormat="false" ht="15" hidden="false" customHeight="true" outlineLevel="0" collapsed="false">
      <c r="A234" s="1" t="s">
        <v>482</v>
      </c>
      <c r="B234" s="1" t="n">
        <v>1836</v>
      </c>
      <c r="C234" s="1" t="n">
        <v>2</v>
      </c>
      <c r="D234" s="1" t="s">
        <v>38</v>
      </c>
      <c r="E234" s="1"/>
      <c r="F234" s="1"/>
      <c r="G234" s="1" t="n">
        <v>125</v>
      </c>
      <c r="H234" s="2" t="n">
        <v>58000</v>
      </c>
      <c r="I234" s="2" t="n">
        <f aca="false">(((H234 / 800) / IF(ISBLANK(R234), 1000000, IF(ISNA(VLOOKUP(R234, Mileages!$A$2:$C$34, 2, 0)), R234, VLOOKUP(R234, Mileages!$A$2:$C$34, 2, 0)))) + (F234 * IF(ISBLANK(P234), 1, P234) * IF(ISBLANK(T234), 0, IF(ISNA(VLOOKUP(T234, 'Fuel Costs'!$A$2:$C$42, 2, 0)), T234, VLOOKUP(T234, 'Fuel Costs'!$A$2:$C$42, 2, 0))) / IF(ISBLANK(O234), 1, O234))) * 100</f>
        <v>0.01208333333</v>
      </c>
      <c r="J234" s="2" t="n">
        <f aca="false">((H234 / 800) / (IF(ISBLANK(S234), 100, IF(ISNA(VLOOKUP(S234, Lives!$A$2:$C$35, 2, 0)), S234, VLOOKUP(S234, Lives!$A$2:$C$35, 2, 0))) * 12) + (IF(ISBLANK(Q234), 0, IF(ISNA(VLOOKUP(Q234, Wages!$A$2:$C$17, 2, 0)), Q234, VLOOKUP(Q234, Wages!$A$2:$C$17, 2, 0))) * IF(ISBLANK(N234), 0, IF(ISNA(VLOOKUP(N234, Crews!$A$2:$C$28, 2, 0)), N234, VLOOKUP(N234, Crews!$A$2:$C$28, 2, 0))))) * 400</f>
        <v>48.33333333</v>
      </c>
      <c r="K234" s="3" t="s">
        <v>483</v>
      </c>
      <c r="L234" s="1" t="s">
        <v>484</v>
      </c>
      <c r="M234" s="1" t="n">
        <v>0</v>
      </c>
      <c r="N234" s="1"/>
      <c r="O234" s="1"/>
      <c r="P234" s="1"/>
      <c r="Q234" s="1"/>
      <c r="R234" s="5" t="s">
        <v>374</v>
      </c>
      <c r="S234" s="5" t="s">
        <v>375</v>
      </c>
      <c r="T234" s="1"/>
    </row>
    <row r="235" customFormat="false" ht="15" hidden="false" customHeight="true" outlineLevel="0" collapsed="false">
      <c r="A235" s="1" t="s">
        <v>485</v>
      </c>
      <c r="B235" s="1" t="n">
        <v>1836</v>
      </c>
      <c r="C235" s="1" t="n">
        <v>2</v>
      </c>
      <c r="D235" s="1" t="s">
        <v>38</v>
      </c>
      <c r="E235" s="1"/>
      <c r="F235" s="1"/>
      <c r="G235" s="1" t="n">
        <v>125</v>
      </c>
      <c r="H235" s="2" t="n">
        <v>58000</v>
      </c>
      <c r="I235" s="2" t="n">
        <f aca="false">(((H235 / 800) / IF(ISBLANK(R235), 1000000, IF(ISNA(VLOOKUP(R235, Mileages!$A$2:$C$34, 2, 0)), R235, VLOOKUP(R235, Mileages!$A$2:$C$34, 2, 0)))) + (F235 * IF(ISBLANK(P235), 1, P235) * IF(ISBLANK(T235), 0, IF(ISNA(VLOOKUP(T235, 'Fuel Costs'!$A$2:$C$42, 2, 0)), T235, VLOOKUP(T235, 'Fuel Costs'!$A$2:$C$42, 2, 0))) / IF(ISBLANK(O235), 1, O235))) * 100</f>
        <v>0.01208333333</v>
      </c>
      <c r="J235" s="2" t="n">
        <f aca="false">((H235 / 800) / (IF(ISBLANK(S235), 100, IF(ISNA(VLOOKUP(S235, Lives!$A$2:$C$35, 2, 0)), S235, VLOOKUP(S235, Lives!$A$2:$C$35, 2, 0))) * 12) + (IF(ISBLANK(Q235), 0, IF(ISNA(VLOOKUP(Q235, Wages!$A$2:$C$17, 2, 0)), Q235, VLOOKUP(Q235, Wages!$A$2:$C$17, 2, 0))) * IF(ISBLANK(N235), 0, IF(ISNA(VLOOKUP(N235, Crews!$A$2:$C$28, 2, 0)), N235, VLOOKUP(N235, Crews!$A$2:$C$28, 2, 0))))) * 400</f>
        <v>4848.333333</v>
      </c>
      <c r="K235" s="3" t="s">
        <v>486</v>
      </c>
      <c r="L235" s="1" t="s">
        <v>484</v>
      </c>
      <c r="M235" s="1" t="n">
        <v>1</v>
      </c>
      <c r="N235" s="1" t="s">
        <v>25</v>
      </c>
      <c r="O235" s="1"/>
      <c r="P235" s="1"/>
      <c r="Q235" s="1" t="s">
        <v>378</v>
      </c>
      <c r="R235" s="5" t="s">
        <v>374</v>
      </c>
      <c r="S235" s="5" t="s">
        <v>375</v>
      </c>
      <c r="T235" s="1"/>
    </row>
    <row r="236" customFormat="false" ht="15" hidden="false" customHeight="true" outlineLevel="0" collapsed="false">
      <c r="A236" s="1" t="s">
        <v>487</v>
      </c>
      <c r="B236" s="1" t="n">
        <v>1836</v>
      </c>
      <c r="C236" s="1" t="n">
        <v>5</v>
      </c>
      <c r="D236" s="1" t="s">
        <v>157</v>
      </c>
      <c r="E236" s="1" t="s">
        <v>22</v>
      </c>
      <c r="F236" s="1" t="n">
        <v>1</v>
      </c>
      <c r="G236" s="1" t="n">
        <v>10</v>
      </c>
      <c r="H236" s="2" t="n">
        <v>80000</v>
      </c>
      <c r="I236" s="2" t="n">
        <v>3</v>
      </c>
      <c r="J236" s="2" t="n">
        <v>838</v>
      </c>
      <c r="K236" s="3" t="s">
        <v>191</v>
      </c>
      <c r="L236" s="1" t="s">
        <v>488</v>
      </c>
      <c r="M236" s="1" t="n">
        <v>0</v>
      </c>
      <c r="N236" s="4" t="s">
        <v>153</v>
      </c>
      <c r="O236" s="1"/>
      <c r="P236" s="1"/>
      <c r="Q236" s="1" t="s">
        <v>26</v>
      </c>
      <c r="R236" s="5" t="s">
        <v>87</v>
      </c>
      <c r="S236" s="5" t="s">
        <v>87</v>
      </c>
      <c r="T236" s="5" t="s">
        <v>87</v>
      </c>
    </row>
    <row r="237" customFormat="false" ht="15" hidden="false" customHeight="true" outlineLevel="0" collapsed="false">
      <c r="A237" s="1" t="s">
        <v>489</v>
      </c>
      <c r="B237" s="1" t="n">
        <v>1836</v>
      </c>
      <c r="C237" s="1" t="n">
        <v>5</v>
      </c>
      <c r="D237" s="1" t="s">
        <v>157</v>
      </c>
      <c r="E237" s="1" t="s">
        <v>22</v>
      </c>
      <c r="F237" s="1" t="n">
        <v>2</v>
      </c>
      <c r="G237" s="1" t="n">
        <v>10</v>
      </c>
      <c r="H237" s="2" t="n">
        <v>160000</v>
      </c>
      <c r="I237" s="2" t="n">
        <f aca="false">(((H237 / 800) / IF(ISBLANK(R237), 1000000, IF(ISNA(VLOOKUP(R237, Mileages!$A$2:$C$34, 2, 0)), R237, VLOOKUP(R237, Mileages!$A$2:$C$34, 2, 0)))) + (F237 * IF(ISBLANK(P237), 1, P237) * IF(ISBLANK(T237), 0, IF(ISNA(VLOOKUP(T237, 'Fuel Costs'!$A$2:$C$42, 2, 0)), T237, VLOOKUP(T237, 'Fuel Costs'!$A$2:$C$42, 2, 0))) / IF(ISBLANK(O237), 1, O237))) * 100</f>
        <v>5.00000002</v>
      </c>
      <c r="J237" s="2" t="n">
        <f aca="false">((H237 / 800) / (IF(ISBLANK(S237), 100, IF(ISNA(VLOOKUP(S237, Lives!$A$2:$C$35, 2, 0)), S237, VLOOKUP(S237, Lives!$A$2:$C$35, 2, 0))) * 12) + (IF(ISBLANK(Q237), 0, IF(ISNA(VLOOKUP(Q237, Wages!$A$2:$C$17, 2, 0)), Q237, VLOOKUP(Q237, Wages!$A$2:$C$17, 2, 0))) * IF(ISBLANK(N237), 0, IF(ISNA(VLOOKUP(N237, Crews!$A$2:$C$28, 2, 0)), N237, VLOOKUP(N237, Crews!$A$2:$C$28, 2, 0))))) * 400</f>
        <v>3333.333333</v>
      </c>
      <c r="K237" s="1"/>
      <c r="L237" s="1" t="s">
        <v>488</v>
      </c>
      <c r="M237" s="1" t="n">
        <v>1</v>
      </c>
      <c r="N237" s="1" t="s">
        <v>155</v>
      </c>
      <c r="O237" s="1"/>
      <c r="P237" s="1"/>
      <c r="Q237" s="1" t="s">
        <v>26</v>
      </c>
      <c r="R237" s="5" t="s">
        <v>87</v>
      </c>
      <c r="S237" s="5" t="s">
        <v>87</v>
      </c>
      <c r="T237" s="5" t="s">
        <v>87</v>
      </c>
    </row>
    <row r="238" customFormat="false" ht="15" hidden="false" customHeight="true" outlineLevel="0" collapsed="false">
      <c r="A238" s="1" t="s">
        <v>490</v>
      </c>
      <c r="B238" s="1" t="n">
        <v>1836</v>
      </c>
      <c r="C238" s="1" t="n">
        <v>5</v>
      </c>
      <c r="D238" s="1" t="s">
        <v>157</v>
      </c>
      <c r="E238" s="1"/>
      <c r="F238" s="1"/>
      <c r="G238" s="1" t="n">
        <v>50</v>
      </c>
      <c r="H238" s="2" t="n">
        <v>38000</v>
      </c>
      <c r="I238" s="2" t="n">
        <f aca="false">(((H238 / 800) / IF(ISBLANK(R238), 1000000, IF(ISNA(VLOOKUP(R238, Mileages!$A$2:$C$34, 2, 0)), R238, VLOOKUP(R238, Mileages!$A$2:$C$34, 2, 0)))) + (F238 * IF(ISBLANK(P238), 1, P238) * IF(ISBLANK(T238), 0, IF(ISNA(VLOOKUP(T238, 'Fuel Costs'!$A$2:$C$42, 2, 0)), T238, VLOOKUP(T238, 'Fuel Costs'!$A$2:$C$42, 2, 0))) / IF(ISBLANK(O238), 1, O238))) * 100</f>
        <v>0.007916666667</v>
      </c>
      <c r="J238" s="2" t="n">
        <f aca="false">((H238 / 800) / (IF(ISBLANK(S238), 100, IF(ISNA(VLOOKUP(S238, Lives!$A$2:$C$35, 2, 0)), S238, VLOOKUP(S238, Lives!$A$2:$C$35, 2, 0))) * 12) + (IF(ISBLANK(Q238), 0, IF(ISNA(VLOOKUP(Q238, Wages!$A$2:$C$17, 2, 0)), Q238, VLOOKUP(Q238, Wages!$A$2:$C$17, 2, 0))) * IF(ISBLANK(N238), 0, IF(ISNA(VLOOKUP(N238, Crews!$A$2:$C$28, 2, 0)), N238, VLOOKUP(N238, Crews!$A$2:$C$28, 2, 0))))) * 400</f>
        <v>15.83333333</v>
      </c>
      <c r="K238" s="1"/>
      <c r="L238" s="1" t="s">
        <v>491</v>
      </c>
      <c r="M238" s="1" t="n">
        <v>0</v>
      </c>
      <c r="N238" s="1"/>
      <c r="O238" s="1"/>
      <c r="P238" s="1"/>
      <c r="Q238" s="1"/>
      <c r="R238" s="1" t="s">
        <v>374</v>
      </c>
      <c r="S238" s="1" t="s">
        <v>389</v>
      </c>
      <c r="T238" s="1"/>
    </row>
    <row r="239" customFormat="false" ht="15" hidden="false" customHeight="true" outlineLevel="0" collapsed="false">
      <c r="A239" s="1" t="s">
        <v>492</v>
      </c>
      <c r="B239" s="1" t="n">
        <v>1836</v>
      </c>
      <c r="C239" s="1" t="n">
        <v>5</v>
      </c>
      <c r="D239" s="1" t="s">
        <v>157</v>
      </c>
      <c r="E239" s="1"/>
      <c r="F239" s="1"/>
      <c r="G239" s="1" t="n">
        <v>50</v>
      </c>
      <c r="H239" s="2" t="n">
        <v>38000</v>
      </c>
      <c r="I239" s="2" t="n">
        <f aca="false">(((H239 / 800) / IF(ISBLANK(R239), 1000000, IF(ISNA(VLOOKUP(R239, Mileages!$A$2:$C$34, 2, 0)), R239, VLOOKUP(R239, Mileages!$A$2:$C$34, 2, 0)))) + (F239 * IF(ISBLANK(P239), 1, P239) * IF(ISBLANK(T239), 0, IF(ISNA(VLOOKUP(T239, 'Fuel Costs'!$A$2:$C$42, 2, 0)), T239, VLOOKUP(T239, 'Fuel Costs'!$A$2:$C$42, 2, 0))) / IF(ISBLANK(O239), 1, O239))) * 100</f>
        <v>0.007916666667</v>
      </c>
      <c r="J239" s="2" t="n">
        <f aca="false">((H239 / 800) / (IF(ISBLANK(S239), 100, IF(ISNA(VLOOKUP(S239, Lives!$A$2:$C$35, 2, 0)), S239, VLOOKUP(S239, Lives!$A$2:$C$35, 2, 0))) * 12) + (IF(ISBLANK(Q239), 0, IF(ISNA(VLOOKUP(Q239, Wages!$A$2:$C$17, 2, 0)), Q239, VLOOKUP(Q239, Wages!$A$2:$C$17, 2, 0))) * IF(ISBLANK(N239), 0, IF(ISNA(VLOOKUP(N239, Crews!$A$2:$C$28, 2, 0)), N239, VLOOKUP(N239, Crews!$A$2:$C$28, 2, 0))))) * 400</f>
        <v>63.33333333</v>
      </c>
      <c r="K239" s="1"/>
      <c r="L239" s="1" t="s">
        <v>493</v>
      </c>
      <c r="M239" s="1" t="n">
        <v>0</v>
      </c>
      <c r="N239" s="1"/>
      <c r="O239" s="1"/>
      <c r="P239" s="1"/>
      <c r="Q239" s="1"/>
      <c r="R239" s="1" t="s">
        <v>374</v>
      </c>
      <c r="S239" s="1" t="s">
        <v>355</v>
      </c>
      <c r="T239" s="1"/>
    </row>
    <row r="240" customFormat="false" ht="15" hidden="false" customHeight="true" outlineLevel="0" collapsed="false">
      <c r="A240" s="1" t="s">
        <v>494</v>
      </c>
      <c r="B240" s="1" t="n">
        <v>1836</v>
      </c>
      <c r="C240" s="1" t="n">
        <v>5</v>
      </c>
      <c r="D240" s="1" t="s">
        <v>157</v>
      </c>
      <c r="E240" s="1"/>
      <c r="F240" s="1"/>
      <c r="G240" s="1" t="n">
        <v>50</v>
      </c>
      <c r="H240" s="2" t="n">
        <v>32000</v>
      </c>
      <c r="I240" s="2" t="n">
        <f aca="false">(((H240 / 800) / IF(ISBLANK(R240), 1000000, IF(ISNA(VLOOKUP(R240, Mileages!$A$2:$C$34, 2, 0)), R240, VLOOKUP(R240, Mileages!$A$2:$C$34, 2, 0)))) + (F240 * IF(ISBLANK(P240), 1, P240) * IF(ISBLANK(T240), 0, IF(ISNA(VLOOKUP(T240, 'Fuel Costs'!$A$2:$C$42, 2, 0)), T240, VLOOKUP(T240, 'Fuel Costs'!$A$2:$C$42, 2, 0))) / IF(ISBLANK(O240), 1, O240))) * 100</f>
        <v>0.006666666667</v>
      </c>
      <c r="J240" s="2" t="n">
        <f aca="false">((H240 / 800) / (IF(ISBLANK(S240), 100, IF(ISNA(VLOOKUP(S240, Lives!$A$2:$C$35, 2, 0)), S240, VLOOKUP(S240, Lives!$A$2:$C$35, 2, 0))) * 12) + (IF(ISBLANK(Q240), 0, IF(ISNA(VLOOKUP(Q240, Wages!$A$2:$C$17, 2, 0)), Q240, VLOOKUP(Q240, Wages!$A$2:$C$17, 2, 0))) * IF(ISBLANK(N240), 0, IF(ISNA(VLOOKUP(N240, Crews!$A$2:$C$28, 2, 0)), N240, VLOOKUP(N240, Crews!$A$2:$C$28, 2, 0))))) * 400</f>
        <v>53.33333333</v>
      </c>
      <c r="K240" s="1"/>
      <c r="L240" s="1" t="s">
        <v>495</v>
      </c>
      <c r="M240" s="1" t="n">
        <v>0</v>
      </c>
      <c r="N240" s="1"/>
      <c r="O240" s="1"/>
      <c r="P240" s="1"/>
      <c r="Q240" s="1"/>
      <c r="R240" s="1" t="s">
        <v>374</v>
      </c>
      <c r="S240" s="1" t="s">
        <v>355</v>
      </c>
      <c r="T240" s="1"/>
    </row>
    <row r="241" customFormat="false" ht="15" hidden="false" customHeight="true" outlineLevel="0" collapsed="false">
      <c r="A241" s="1" t="s">
        <v>496</v>
      </c>
      <c r="B241" s="1" t="n">
        <v>1836</v>
      </c>
      <c r="C241" s="1" t="n">
        <v>5</v>
      </c>
      <c r="D241" s="1" t="s">
        <v>157</v>
      </c>
      <c r="E241" s="1" t="s">
        <v>22</v>
      </c>
      <c r="F241" s="1" t="n">
        <v>1</v>
      </c>
      <c r="G241" s="1" t="n">
        <v>11</v>
      </c>
      <c r="H241" s="2" t="n">
        <v>60000</v>
      </c>
      <c r="I241" s="2" t="n">
        <f aca="false">(((H241 / 800) / IF(ISBLANK(R241), 1000000, IF(ISNA(VLOOKUP(R241, Mileages!$A$2:$C$34, 2, 0)), R241, VLOOKUP(R241, Mileages!$A$2:$C$34, 2, 0)))) + (F241 * IF(ISBLANK(P241), 1, P241) * IF(ISBLANK(T241), 0, IF(ISNA(VLOOKUP(T241, 'Fuel Costs'!$A$2:$C$42, 2, 0)), T241, VLOOKUP(T241, 'Fuel Costs'!$A$2:$C$42, 2, 0))) / IF(ISBLANK(O241), 1, O241))) * 100</f>
        <v>2.500000008</v>
      </c>
      <c r="J241" s="2" t="n">
        <f aca="false">((H241 / 800) / (IF(ISBLANK(S241), 100, IF(ISNA(VLOOKUP(S241, Lives!$A$2:$C$35, 2, 0)), S241, VLOOKUP(S241, Lives!$A$2:$C$35, 2, 0))) * 12) + (IF(ISBLANK(Q241), 0, IF(ISNA(VLOOKUP(Q241, Wages!$A$2:$C$17, 2, 0)), Q241, VLOOKUP(Q241, Wages!$A$2:$C$17, 2, 0))) * IF(ISBLANK(N241), 0, IF(ISNA(VLOOKUP(N241, Crews!$A$2:$C$28, 2, 0)), N241, VLOOKUP(N241, Crews!$A$2:$C$28, 2, 0))))) * 400</f>
        <v>1625</v>
      </c>
      <c r="K241" s="1" t="s">
        <v>335</v>
      </c>
      <c r="L241" s="1" t="s">
        <v>497</v>
      </c>
      <c r="M241" s="1" t="n">
        <v>0</v>
      </c>
      <c r="N241" s="4" t="s">
        <v>153</v>
      </c>
      <c r="O241" s="1"/>
      <c r="P241" s="1"/>
      <c r="Q241" s="1" t="s">
        <v>26</v>
      </c>
      <c r="R241" s="5" t="s">
        <v>87</v>
      </c>
      <c r="S241" s="5" t="s">
        <v>87</v>
      </c>
      <c r="T241" s="5" t="s">
        <v>87</v>
      </c>
    </row>
    <row r="242" customFormat="false" ht="15" hidden="false" customHeight="true" outlineLevel="0" collapsed="false">
      <c r="A242" s="1" t="s">
        <v>498</v>
      </c>
      <c r="B242" s="1" t="n">
        <v>1836</v>
      </c>
      <c r="C242" s="1" t="n">
        <v>5</v>
      </c>
      <c r="D242" s="1" t="s">
        <v>157</v>
      </c>
      <c r="E242" s="1" t="s">
        <v>22</v>
      </c>
      <c r="F242" s="1" t="n">
        <v>2</v>
      </c>
      <c r="G242" s="1" t="n">
        <v>11</v>
      </c>
      <c r="H242" s="2" t="n">
        <v>120000</v>
      </c>
      <c r="I242" s="2" t="n">
        <f aca="false">(((H242 / 800) / IF(ISBLANK(R242), 1000000, IF(ISNA(VLOOKUP(R242, Mileages!$A$2:$C$34, 2, 0)), R242, VLOOKUP(R242, Mileages!$A$2:$C$34, 2, 0)))) + (F242 * IF(ISBLANK(P242), 1, P242) * IF(ISBLANK(T242), 0, IF(ISNA(VLOOKUP(T242, 'Fuel Costs'!$A$2:$C$42, 2, 0)), T242, VLOOKUP(T242, 'Fuel Costs'!$A$2:$C$42, 2, 0))) / IF(ISBLANK(O242), 1, O242))) * 100</f>
        <v>5.000000015</v>
      </c>
      <c r="J242" s="2" t="n">
        <f aca="false">((H242 / 800) / (IF(ISBLANK(S242), 100, IF(ISNA(VLOOKUP(S242, Lives!$A$2:$C$35, 2, 0)), S242, VLOOKUP(S242, Lives!$A$2:$C$35, 2, 0))) * 12) + (IF(ISBLANK(Q242), 0, IF(ISNA(VLOOKUP(Q242, Wages!$A$2:$C$17, 2, 0)), Q242, VLOOKUP(Q242, Wages!$A$2:$C$17, 2, 0))) * IF(ISBLANK(N242), 0, IF(ISNA(VLOOKUP(N242, Crews!$A$2:$C$28, 2, 0)), N242, VLOOKUP(N242, Crews!$A$2:$C$28, 2, 0))))) * 400</f>
        <v>3250</v>
      </c>
      <c r="K242" s="1"/>
      <c r="L242" s="1" t="s">
        <v>497</v>
      </c>
      <c r="M242" s="1" t="n">
        <v>1</v>
      </c>
      <c r="N242" s="1" t="s">
        <v>155</v>
      </c>
      <c r="O242" s="1"/>
      <c r="P242" s="1"/>
      <c r="Q242" s="1" t="s">
        <v>26</v>
      </c>
      <c r="R242" s="5" t="s">
        <v>87</v>
      </c>
      <c r="S242" s="5" t="s">
        <v>87</v>
      </c>
      <c r="T242" s="5" t="s">
        <v>87</v>
      </c>
    </row>
    <row r="243" customFormat="false" ht="15" hidden="false" customHeight="true" outlineLevel="0" collapsed="false">
      <c r="A243" s="1" t="s">
        <v>499</v>
      </c>
      <c r="B243" s="1" t="n">
        <v>1836</v>
      </c>
      <c r="C243" s="1" t="n">
        <v>5</v>
      </c>
      <c r="D243" s="1" t="s">
        <v>157</v>
      </c>
      <c r="E243" s="1"/>
      <c r="F243" s="1"/>
      <c r="G243" s="1" t="n">
        <v>50</v>
      </c>
      <c r="H243" s="2" t="n">
        <v>32000</v>
      </c>
      <c r="I243" s="2" t="n">
        <f aca="false">(((H243 / 800) / IF(ISBLANK(R243), 1000000, IF(ISNA(VLOOKUP(R243, Mileages!$A$2:$C$34, 2, 0)), R243, VLOOKUP(R243, Mileages!$A$2:$C$34, 2, 0)))) + (F243 * IF(ISBLANK(P243), 1, P243) * IF(ISBLANK(T243), 0, IF(ISNA(VLOOKUP(T243, 'Fuel Costs'!$A$2:$C$42, 2, 0)), T243, VLOOKUP(T243, 'Fuel Costs'!$A$2:$C$42, 2, 0))) / IF(ISBLANK(O243), 1, O243))) * 100</f>
        <v>0.006666666667</v>
      </c>
      <c r="J243" s="2" t="n">
        <f aca="false">((H243 / 800) / (IF(ISBLANK(S243), 100, IF(ISNA(VLOOKUP(S243, Lives!$A$2:$C$35, 2, 0)), S243, VLOOKUP(S243, Lives!$A$2:$C$35, 2, 0))) * 12) + (IF(ISBLANK(Q243), 0, IF(ISNA(VLOOKUP(Q243, Wages!$A$2:$C$17, 2, 0)), Q243, VLOOKUP(Q243, Wages!$A$2:$C$17, 2, 0))) * IF(ISBLANK(N243), 0, IF(ISNA(VLOOKUP(N243, Crews!$A$2:$C$28, 2, 0)), N243, VLOOKUP(N243, Crews!$A$2:$C$28, 2, 0))))) * 400</f>
        <v>53.33333333</v>
      </c>
      <c r="K243" s="1"/>
      <c r="L243" s="1" t="s">
        <v>500</v>
      </c>
      <c r="M243" s="1" t="n">
        <v>0</v>
      </c>
      <c r="N243" s="1"/>
      <c r="O243" s="1"/>
      <c r="P243" s="1"/>
      <c r="Q243" s="1"/>
      <c r="R243" s="1" t="s">
        <v>374</v>
      </c>
      <c r="S243" s="1" t="s">
        <v>355</v>
      </c>
      <c r="T243" s="1"/>
    </row>
    <row r="244" customFormat="false" ht="15" hidden="false" customHeight="true" outlineLevel="0" collapsed="false">
      <c r="A244" s="1" t="s">
        <v>501</v>
      </c>
      <c r="B244" s="1" t="n">
        <v>1836</v>
      </c>
      <c r="C244" s="1" t="n">
        <v>5</v>
      </c>
      <c r="D244" s="1" t="s">
        <v>157</v>
      </c>
      <c r="E244" s="1"/>
      <c r="F244" s="1"/>
      <c r="G244" s="1" t="n">
        <v>50</v>
      </c>
      <c r="H244" s="2" t="n">
        <v>38000</v>
      </c>
      <c r="I244" s="2" t="n">
        <f aca="false">(((H244 / 800) / IF(ISBLANK(R244), 1000000, IF(ISNA(VLOOKUP(R244, Mileages!$A$2:$C$34, 2, 0)), R244, VLOOKUP(R244, Mileages!$A$2:$C$34, 2, 0)))) + (F244 * IF(ISBLANK(P244), 1, P244) * IF(ISBLANK(T244), 0, IF(ISNA(VLOOKUP(T244, 'Fuel Costs'!$A$2:$C$42, 2, 0)), T244, VLOOKUP(T244, 'Fuel Costs'!$A$2:$C$42, 2, 0))) / IF(ISBLANK(O244), 1, O244))) * 100</f>
        <v>0.007916666667</v>
      </c>
      <c r="J244" s="2" t="n">
        <f aca="false">((H244 / 800) / (IF(ISBLANK(S244), 100, IF(ISNA(VLOOKUP(S244, Lives!$A$2:$C$35, 2, 0)), S244, VLOOKUP(S244, Lives!$A$2:$C$35, 2, 0))) * 12) + (IF(ISBLANK(Q244), 0, IF(ISNA(VLOOKUP(Q244, Wages!$A$2:$C$17, 2, 0)), Q244, VLOOKUP(Q244, Wages!$A$2:$C$17, 2, 0))) * IF(ISBLANK(N244), 0, IF(ISNA(VLOOKUP(N244, Crews!$A$2:$C$28, 2, 0)), N244, VLOOKUP(N244, Crews!$A$2:$C$28, 2, 0))))) * 400</f>
        <v>15.83333333</v>
      </c>
      <c r="K244" s="1"/>
      <c r="L244" s="1" t="s">
        <v>502</v>
      </c>
      <c r="M244" s="1" t="n">
        <v>0</v>
      </c>
      <c r="N244" s="1"/>
      <c r="O244" s="1"/>
      <c r="P244" s="1"/>
      <c r="Q244" s="1"/>
      <c r="R244" s="1" t="s">
        <v>374</v>
      </c>
      <c r="S244" s="1" t="s">
        <v>389</v>
      </c>
      <c r="T244" s="1"/>
    </row>
    <row r="245" customFormat="false" ht="15" hidden="false" customHeight="true" outlineLevel="0" collapsed="false">
      <c r="A245" s="1" t="s">
        <v>503</v>
      </c>
      <c r="B245" s="1" t="n">
        <v>1836</v>
      </c>
      <c r="C245" s="1" t="n">
        <v>6</v>
      </c>
      <c r="D245" s="1" t="s">
        <v>157</v>
      </c>
      <c r="E245" s="1"/>
      <c r="F245" s="1"/>
      <c r="G245" s="1" t="n">
        <v>60</v>
      </c>
      <c r="H245" s="2" t="n">
        <v>150000</v>
      </c>
      <c r="I245" s="2" t="n">
        <f aca="false">(((H245 / 800) / IF(ISBLANK(R245), 1000000, IF(ISNA(VLOOKUP(R245, Mileages!$A$2:$C$34, 2, 0)), R245, VLOOKUP(R245, Mileages!$A$2:$C$34, 2, 0)))) + (F245 * IF(ISBLANK(P245), 1, P245) * IF(ISBLANK(T245), 0, IF(ISNA(VLOOKUP(T245, 'Fuel Costs'!$A$2:$C$42, 2, 0)), T245, VLOOKUP(T245, 'Fuel Costs'!$A$2:$C$42, 2, 0))) / IF(ISBLANK(O245), 1, O245))) * 100</f>
        <v>0.03125</v>
      </c>
      <c r="J245" s="2" t="n">
        <f aca="false">((H245 / 800) / (IF(ISBLANK(S245), 100, IF(ISNA(VLOOKUP(S245, Lives!$A$2:$C$35, 2, 0)), S245, VLOOKUP(S245, Lives!$A$2:$C$35, 2, 0))) * 12) + (IF(ISBLANK(Q245), 0, IF(ISNA(VLOOKUP(Q245, Wages!$A$2:$C$17, 2, 0)), Q245, VLOOKUP(Q245, Wages!$A$2:$C$17, 2, 0))) * IF(ISBLANK(N245), 0, IF(ISNA(VLOOKUP(N245, Crews!$A$2:$C$28, 2, 0)), N245, VLOOKUP(N245, Crews!$A$2:$C$28, 2, 0))))) * 400</f>
        <v>4862.5</v>
      </c>
      <c r="K245" s="3" t="s">
        <v>504</v>
      </c>
      <c r="L245" s="1" t="s">
        <v>505</v>
      </c>
      <c r="M245" s="1" t="n">
        <v>0</v>
      </c>
      <c r="N245" s="1" t="s">
        <v>25</v>
      </c>
      <c r="O245" s="1"/>
      <c r="P245" s="1"/>
      <c r="Q245" s="1" t="s">
        <v>378</v>
      </c>
      <c r="R245" s="1" t="s">
        <v>374</v>
      </c>
      <c r="S245" s="1" t="s">
        <v>389</v>
      </c>
      <c r="T245" s="1"/>
    </row>
    <row r="246" customFormat="false" ht="15" hidden="false" customHeight="true" outlineLevel="0" collapsed="false">
      <c r="A246" s="1" t="s">
        <v>506</v>
      </c>
      <c r="B246" s="1" t="n">
        <v>1837</v>
      </c>
      <c r="C246" s="1" t="n">
        <v>1</v>
      </c>
      <c r="D246" s="1" t="s">
        <v>29</v>
      </c>
      <c r="E246" s="1" t="s">
        <v>30</v>
      </c>
      <c r="F246" s="1" t="n">
        <v>800</v>
      </c>
      <c r="G246" s="1" t="n">
        <v>20</v>
      </c>
      <c r="H246" s="2" t="n">
        <f aca="false">1250000*15</f>
        <v>18750000</v>
      </c>
      <c r="I246" s="2" t="n">
        <f aca="false">(((H246 / 800) / IF(ISBLANK(R246), 1000000, IF(ISNA(VLOOKUP(R246, Mileages!$A$2:$C$34, 2, 0)), R246, VLOOKUP(R246, Mileages!$A$2:$C$34, 2, 0)))) + (F246 * IF(ISBLANK(P246), 1, P246) * IF(ISBLANK(T246), 0, IF(ISNA(VLOOKUP(T246, 'Fuel Costs'!$A$2:$C$42, 2, 0)), T246, VLOOKUP(T246, 'Fuel Costs'!$A$2:$C$42, 2, 0))) / IF(ISBLANK(O246), 1, O246))) * 100</f>
        <v>5.859375</v>
      </c>
      <c r="J246" s="2" t="n">
        <f aca="false">((H246 / 800) / (IF(ISBLANK(S246), 100, IF(ISNA(VLOOKUP(S246, Lives!$A$2:$C$35, 2, 0)), S246, VLOOKUP(S246, Lives!$A$2:$C$35, 2, 0))) * 12) + (IF(ISBLANK(Q246), 0, IF(ISNA(VLOOKUP(Q246, Wages!$A$2:$C$17, 2, 0)), Q246, VLOOKUP(Q246, Wages!$A$2:$C$17, 2, 0))) * IF(ISBLANK(N246), 0, IF(ISNA(VLOOKUP(N246, Crews!$A$2:$C$28, 2, 0)), N246, VLOOKUP(N246, Crews!$A$2:$C$28, 2, 0))))) * 400</f>
        <v>133020.8333</v>
      </c>
      <c r="K246" s="1" t="s">
        <v>63</v>
      </c>
      <c r="L246" s="1" t="s">
        <v>507</v>
      </c>
      <c r="M246" s="1" t="n">
        <v>0</v>
      </c>
      <c r="N246" s="1" t="s">
        <v>80</v>
      </c>
      <c r="O246" s="1"/>
      <c r="P246" s="1"/>
      <c r="Q246" s="1" t="s">
        <v>34</v>
      </c>
      <c r="R246" s="1" t="s">
        <v>508</v>
      </c>
      <c r="S246" s="1" t="s">
        <v>35</v>
      </c>
      <c r="T246" s="1" t="s">
        <v>36</v>
      </c>
    </row>
    <row r="247" customFormat="false" ht="15" hidden="false" customHeight="true" outlineLevel="0" collapsed="false">
      <c r="A247" s="1" t="s">
        <v>509</v>
      </c>
      <c r="B247" s="1" t="n">
        <v>1837</v>
      </c>
      <c r="C247" s="1" t="n">
        <v>1</v>
      </c>
      <c r="D247" s="1" t="s">
        <v>29</v>
      </c>
      <c r="E247" s="1" t="s">
        <v>30</v>
      </c>
      <c r="F247" s="1"/>
      <c r="G247" s="1" t="n">
        <v>20</v>
      </c>
      <c r="H247" s="2"/>
      <c r="I247" s="2"/>
      <c r="J247" s="2"/>
      <c r="K247" s="3" t="s">
        <v>510</v>
      </c>
      <c r="L247" s="1" t="s">
        <v>511</v>
      </c>
      <c r="M247" s="1" t="n">
        <v>0</v>
      </c>
      <c r="N247" s="1"/>
      <c r="O247" s="1"/>
      <c r="P247" s="1"/>
      <c r="Q247" s="1"/>
      <c r="R247" s="1"/>
      <c r="S247" s="1"/>
      <c r="T247" s="1"/>
    </row>
    <row r="248" customFormat="false" ht="15" hidden="false" customHeight="true" outlineLevel="0" collapsed="false">
      <c r="A248" s="1" t="s">
        <v>512</v>
      </c>
      <c r="B248" s="1" t="n">
        <v>1837</v>
      </c>
      <c r="C248" s="1" t="n">
        <v>1</v>
      </c>
      <c r="D248" s="1" t="s">
        <v>29</v>
      </c>
      <c r="E248" s="1" t="s">
        <v>30</v>
      </c>
      <c r="F248" s="1"/>
      <c r="G248" s="1" t="n">
        <v>20</v>
      </c>
      <c r="H248" s="2"/>
      <c r="I248" s="2"/>
      <c r="J248" s="2"/>
      <c r="K248" s="1" t="s">
        <v>31</v>
      </c>
      <c r="L248" s="1" t="s">
        <v>511</v>
      </c>
      <c r="M248" s="1" t="n">
        <v>1</v>
      </c>
      <c r="N248" s="1"/>
      <c r="O248" s="1"/>
      <c r="P248" s="1"/>
      <c r="Q248" s="1"/>
      <c r="R248" s="1"/>
      <c r="S248" s="1"/>
      <c r="T248" s="1"/>
    </row>
    <row r="249" customFormat="false" ht="15" hidden="false" customHeight="true" outlineLevel="0" collapsed="false">
      <c r="A249" s="1" t="s">
        <v>513</v>
      </c>
      <c r="B249" s="1" t="n">
        <v>1837</v>
      </c>
      <c r="C249" s="1" t="n">
        <v>1</v>
      </c>
      <c r="D249" s="1" t="s">
        <v>29</v>
      </c>
      <c r="E249" s="1" t="s">
        <v>30</v>
      </c>
      <c r="F249" s="1"/>
      <c r="G249" s="1" t="n">
        <v>20</v>
      </c>
      <c r="H249" s="2"/>
      <c r="I249" s="2"/>
      <c r="J249" s="2"/>
      <c r="K249" s="1" t="s">
        <v>31</v>
      </c>
      <c r="L249" s="1" t="s">
        <v>511</v>
      </c>
      <c r="M249" s="1" t="n">
        <v>2</v>
      </c>
      <c r="N249" s="1"/>
      <c r="O249" s="1"/>
      <c r="P249" s="1"/>
      <c r="Q249" s="1"/>
      <c r="R249" s="1"/>
      <c r="S249" s="1"/>
      <c r="T249" s="1"/>
    </row>
    <row r="250" customFormat="false" ht="15" hidden="false" customHeight="true" outlineLevel="0" collapsed="false">
      <c r="A250" s="1" t="s">
        <v>514</v>
      </c>
      <c r="B250" s="1" t="n">
        <v>1837</v>
      </c>
      <c r="C250" s="1" t="n">
        <v>1</v>
      </c>
      <c r="D250" s="1" t="s">
        <v>29</v>
      </c>
      <c r="E250" s="1" t="s">
        <v>30</v>
      </c>
      <c r="F250" s="1"/>
      <c r="G250" s="1" t="n">
        <v>20</v>
      </c>
      <c r="H250" s="2"/>
      <c r="I250" s="2"/>
      <c r="J250" s="2"/>
      <c r="K250" s="1" t="s">
        <v>31</v>
      </c>
      <c r="L250" s="1" t="s">
        <v>511</v>
      </c>
      <c r="M250" s="1" t="n">
        <v>3</v>
      </c>
      <c r="N250" s="1"/>
      <c r="O250" s="1"/>
      <c r="P250" s="1"/>
      <c r="Q250" s="1"/>
      <c r="R250" s="1"/>
      <c r="S250" s="1"/>
      <c r="T250" s="1"/>
    </row>
    <row r="251" customFormat="false" ht="15" hidden="false" customHeight="true" outlineLevel="0" collapsed="false">
      <c r="A251" s="1" t="s">
        <v>515</v>
      </c>
      <c r="B251" s="1" t="n">
        <v>1837</v>
      </c>
      <c r="C251" s="1" t="n">
        <v>1</v>
      </c>
      <c r="D251" s="1" t="s">
        <v>29</v>
      </c>
      <c r="E251" s="1" t="s">
        <v>30</v>
      </c>
      <c r="F251" s="1"/>
      <c r="G251" s="1" t="n">
        <v>20</v>
      </c>
      <c r="H251" s="2"/>
      <c r="I251" s="2"/>
      <c r="J251" s="2"/>
      <c r="K251" s="1" t="s">
        <v>31</v>
      </c>
      <c r="L251" s="1" t="s">
        <v>511</v>
      </c>
      <c r="M251" s="1" t="n">
        <v>4</v>
      </c>
      <c r="N251" s="1"/>
      <c r="O251" s="1"/>
      <c r="P251" s="1"/>
      <c r="Q251" s="1"/>
      <c r="R251" s="1"/>
      <c r="S251" s="1"/>
      <c r="T251" s="1"/>
    </row>
    <row r="252" customFormat="false" ht="15" hidden="false" customHeight="true" outlineLevel="0" collapsed="false">
      <c r="A252" s="1" t="s">
        <v>516</v>
      </c>
      <c r="B252" s="1" t="n">
        <v>1837</v>
      </c>
      <c r="C252" s="1" t="n">
        <v>1</v>
      </c>
      <c r="D252" s="1" t="s">
        <v>29</v>
      </c>
      <c r="E252" s="1" t="s">
        <v>30</v>
      </c>
      <c r="F252" s="1"/>
      <c r="G252" s="1" t="n">
        <v>20</v>
      </c>
      <c r="H252" s="2"/>
      <c r="I252" s="2"/>
      <c r="J252" s="2"/>
      <c r="K252" s="1" t="s">
        <v>31</v>
      </c>
      <c r="L252" s="1" t="s">
        <v>511</v>
      </c>
      <c r="M252" s="1" t="n">
        <v>5</v>
      </c>
      <c r="N252" s="1"/>
      <c r="O252" s="1"/>
      <c r="P252" s="1"/>
      <c r="Q252" s="1"/>
      <c r="R252" s="1"/>
      <c r="S252" s="1"/>
      <c r="T252" s="1"/>
    </row>
    <row r="253" customFormat="false" ht="15" hidden="false" customHeight="true" outlineLevel="0" collapsed="false">
      <c r="A253" s="1" t="s">
        <v>517</v>
      </c>
      <c r="B253" s="1" t="n">
        <v>1837</v>
      </c>
      <c r="C253" s="1" t="n">
        <v>1</v>
      </c>
      <c r="D253" s="1" t="s">
        <v>29</v>
      </c>
      <c r="E253" s="1" t="s">
        <v>30</v>
      </c>
      <c r="F253" s="1"/>
      <c r="G253" s="1" t="n">
        <v>20</v>
      </c>
      <c r="H253" s="2"/>
      <c r="I253" s="2"/>
      <c r="J253" s="2"/>
      <c r="K253" s="1" t="s">
        <v>31</v>
      </c>
      <c r="L253" s="1" t="s">
        <v>511</v>
      </c>
      <c r="M253" s="1" t="n">
        <v>6</v>
      </c>
      <c r="N253" s="1"/>
      <c r="O253" s="1"/>
      <c r="P253" s="1"/>
      <c r="Q253" s="1"/>
      <c r="R253" s="1"/>
      <c r="S253" s="1"/>
      <c r="T253" s="1"/>
    </row>
    <row r="254" customFormat="false" ht="15" hidden="false" customHeight="true" outlineLevel="0" collapsed="false">
      <c r="A254" s="1" t="s">
        <v>518</v>
      </c>
      <c r="B254" s="1" t="n">
        <v>1837</v>
      </c>
      <c r="C254" s="1" t="n">
        <v>1</v>
      </c>
      <c r="D254" s="1" t="s">
        <v>29</v>
      </c>
      <c r="E254" s="1" t="s">
        <v>30</v>
      </c>
      <c r="F254" s="1"/>
      <c r="G254" s="1" t="n">
        <v>20</v>
      </c>
      <c r="H254" s="2"/>
      <c r="I254" s="2"/>
      <c r="J254" s="2"/>
      <c r="K254" s="1" t="s">
        <v>31</v>
      </c>
      <c r="L254" s="1" t="s">
        <v>511</v>
      </c>
      <c r="M254" s="1" t="n">
        <v>7</v>
      </c>
      <c r="N254" s="1"/>
      <c r="O254" s="1"/>
      <c r="P254" s="1"/>
      <c r="Q254" s="1"/>
      <c r="R254" s="1"/>
      <c r="S254" s="1"/>
      <c r="T254" s="1"/>
    </row>
    <row r="255" customFormat="false" ht="15" hidden="false" customHeight="true" outlineLevel="0" collapsed="false">
      <c r="A255" s="1" t="s">
        <v>519</v>
      </c>
      <c r="B255" s="1" t="n">
        <v>1837</v>
      </c>
      <c r="C255" s="1" t="n">
        <v>1</v>
      </c>
      <c r="D255" s="1" t="s">
        <v>29</v>
      </c>
      <c r="E255" s="1" t="s">
        <v>30</v>
      </c>
      <c r="F255" s="1"/>
      <c r="G255" s="1" t="n">
        <v>20</v>
      </c>
      <c r="H255" s="2"/>
      <c r="I255" s="2"/>
      <c r="J255" s="2"/>
      <c r="K255" s="1" t="s">
        <v>31</v>
      </c>
      <c r="L255" s="1" t="s">
        <v>511</v>
      </c>
      <c r="M255" s="1" t="n">
        <v>8</v>
      </c>
      <c r="N255" s="1"/>
      <c r="O255" s="1"/>
      <c r="P255" s="1"/>
      <c r="Q255" s="1"/>
      <c r="R255" s="1"/>
      <c r="S255" s="1"/>
      <c r="T255" s="1"/>
    </row>
    <row r="256" customFormat="false" ht="15" hidden="false" customHeight="true" outlineLevel="0" collapsed="false">
      <c r="A256" s="1" t="s">
        <v>520</v>
      </c>
      <c r="B256" s="1" t="n">
        <v>1837</v>
      </c>
      <c r="C256" s="1" t="n">
        <v>7</v>
      </c>
      <c r="D256" s="1" t="s">
        <v>38</v>
      </c>
      <c r="E256" s="1"/>
      <c r="F256" s="1"/>
      <c r="G256" s="1" t="n">
        <v>125</v>
      </c>
      <c r="H256" s="2" t="n">
        <v>60000</v>
      </c>
      <c r="I256" s="2" t="n">
        <f aca="false">(((H256 / 800) / IF(ISBLANK(R256), 1000000, IF(ISNA(VLOOKUP(R256, Mileages!$A$2:$C$34, 2, 0)), R256, VLOOKUP(R256, Mileages!$A$2:$C$34, 2, 0)))) + (F256 * IF(ISBLANK(P256), 1, P256) * IF(ISBLANK(T256), 0, IF(ISNA(VLOOKUP(T256, 'Fuel Costs'!$A$2:$C$42, 2, 0)), T256, VLOOKUP(T256, 'Fuel Costs'!$A$2:$C$42, 2, 0))) / IF(ISBLANK(O256), 1, O256))) * 100</f>
        <v>0.0125</v>
      </c>
      <c r="J256" s="2" t="n">
        <f aca="false">((H256 / 800) / (IF(ISBLANK(S256), 100, IF(ISNA(VLOOKUP(S256, Lives!$A$2:$C$35, 2, 0)), S256, VLOOKUP(S256, Lives!$A$2:$C$35, 2, 0))) * 12) + (IF(ISBLANK(Q256), 0, IF(ISNA(VLOOKUP(Q256, Wages!$A$2:$C$17, 2, 0)), Q256, VLOOKUP(Q256, Wages!$A$2:$C$17, 2, 0))) * IF(ISBLANK(N256), 0, IF(ISNA(VLOOKUP(N256, Crews!$A$2:$C$28, 2, 0)), N256, VLOOKUP(N256, Crews!$A$2:$C$28, 2, 0))))) * 400</f>
        <v>125</v>
      </c>
      <c r="K256" s="3" t="s">
        <v>521</v>
      </c>
      <c r="L256" s="1" t="s">
        <v>522</v>
      </c>
      <c r="M256" s="1" t="n">
        <v>0</v>
      </c>
      <c r="N256" s="1"/>
      <c r="O256" s="1"/>
      <c r="P256" s="1"/>
      <c r="Q256" s="1"/>
      <c r="R256" s="5" t="s">
        <v>374</v>
      </c>
      <c r="S256" s="1" t="s">
        <v>423</v>
      </c>
      <c r="T256" s="1"/>
    </row>
    <row r="257" customFormat="false" ht="15" hidden="false" customHeight="true" outlineLevel="0" collapsed="false">
      <c r="A257" s="1" t="s">
        <v>523</v>
      </c>
      <c r="B257" s="1" t="n">
        <v>1837</v>
      </c>
      <c r="C257" s="1" t="n">
        <v>7</v>
      </c>
      <c r="D257" s="1" t="s">
        <v>38</v>
      </c>
      <c r="E257" s="1"/>
      <c r="F257" s="1"/>
      <c r="G257" s="1" t="n">
        <v>125</v>
      </c>
      <c r="H257" s="2" t="n">
        <v>136000</v>
      </c>
      <c r="I257" s="2" t="n">
        <f aca="false">(((H257 / 800) / IF(ISBLANK(R257), 1000000, IF(ISNA(VLOOKUP(R257, Mileages!$A$2:$C$34, 2, 0)), R257, VLOOKUP(R257, Mileages!$A$2:$C$34, 2, 0)))) + (F257 * IF(ISBLANK(P257), 1, P257) * IF(ISBLANK(T257), 0, IF(ISNA(VLOOKUP(T257, 'Fuel Costs'!$A$2:$C$42, 2, 0)), T257, VLOOKUP(T257, 'Fuel Costs'!$A$2:$C$42, 2, 0))) / IF(ISBLANK(O257), 1, O257))) * 100</f>
        <v>0.02833333333</v>
      </c>
      <c r="J257" s="2" t="n">
        <f aca="false">((H257 / 800) / (IF(ISBLANK(S257), 100, IF(ISNA(VLOOKUP(S257, Lives!$A$2:$C$35, 2, 0)), S257, VLOOKUP(S257, Lives!$A$2:$C$35, 2, 0))) * 12) + (IF(ISBLANK(Q257), 0, IF(ISNA(VLOOKUP(Q257, Wages!$A$2:$C$17, 2, 0)), Q257, VLOOKUP(Q257, Wages!$A$2:$C$17, 2, 0))) * IF(ISBLANK(N257), 0, IF(ISNA(VLOOKUP(N257, Crews!$A$2:$C$28, 2, 0)), N257, VLOOKUP(N257, Crews!$A$2:$C$28, 2, 0))))) * 400</f>
        <v>283.3333333</v>
      </c>
      <c r="K257" s="3" t="s">
        <v>524</v>
      </c>
      <c r="L257" s="1" t="s">
        <v>525</v>
      </c>
      <c r="M257" s="1" t="n">
        <v>0</v>
      </c>
      <c r="N257" s="1"/>
      <c r="O257" s="1"/>
      <c r="P257" s="1"/>
      <c r="Q257" s="1"/>
      <c r="R257" s="5" t="s">
        <v>374</v>
      </c>
      <c r="S257" s="1" t="s">
        <v>423</v>
      </c>
      <c r="T257" s="1"/>
    </row>
    <row r="258" customFormat="false" ht="15" hidden="false" customHeight="true" outlineLevel="0" collapsed="false">
      <c r="A258" s="1" t="s">
        <v>526</v>
      </c>
      <c r="B258" s="1" t="n">
        <v>1837</v>
      </c>
      <c r="C258" s="1" t="n">
        <v>7</v>
      </c>
      <c r="D258" s="1" t="s">
        <v>38</v>
      </c>
      <c r="E258" s="1"/>
      <c r="F258" s="1"/>
      <c r="G258" s="1" t="n">
        <v>125</v>
      </c>
      <c r="H258" s="2" t="n">
        <v>137000</v>
      </c>
      <c r="I258" s="2" t="n">
        <f aca="false">(((H258 / 800) / IF(ISBLANK(R258), 1000000, IF(ISNA(VLOOKUP(R258, Mileages!$A$2:$C$34, 2, 0)), R258, VLOOKUP(R258, Mileages!$A$2:$C$34, 2, 0)))) + (F258 * IF(ISBLANK(P258), 1, P258) * IF(ISBLANK(T258), 0, IF(ISNA(VLOOKUP(T258, 'Fuel Costs'!$A$2:$C$42, 2, 0)), T258, VLOOKUP(T258, 'Fuel Costs'!$A$2:$C$42, 2, 0))) / IF(ISBLANK(O258), 1, O258))) * 100</f>
        <v>0.02854166667</v>
      </c>
      <c r="J258" s="2" t="n">
        <f aca="false">((H258 / 800) / (IF(ISBLANK(S258), 100, IF(ISNA(VLOOKUP(S258, Lives!$A$2:$C$35, 2, 0)), S258, VLOOKUP(S258, Lives!$A$2:$C$35, 2, 0))) * 12) + (IF(ISBLANK(Q258), 0, IF(ISNA(VLOOKUP(Q258, Wages!$A$2:$C$17, 2, 0)), Q258, VLOOKUP(Q258, Wages!$A$2:$C$17, 2, 0))) * IF(ISBLANK(N258), 0, IF(ISNA(VLOOKUP(N258, Crews!$A$2:$C$28, 2, 0)), N258, VLOOKUP(N258, Crews!$A$2:$C$28, 2, 0))))) * 400</f>
        <v>5085.416667</v>
      </c>
      <c r="K258" s="3" t="s">
        <v>527</v>
      </c>
      <c r="L258" s="1" t="s">
        <v>525</v>
      </c>
      <c r="M258" s="1" t="n">
        <v>1</v>
      </c>
      <c r="N258" s="1" t="s">
        <v>25</v>
      </c>
      <c r="O258" s="1"/>
      <c r="P258" s="1"/>
      <c r="Q258" s="1" t="s">
        <v>378</v>
      </c>
      <c r="R258" s="5" t="s">
        <v>374</v>
      </c>
      <c r="S258" s="1" t="s">
        <v>423</v>
      </c>
      <c r="T258" s="1"/>
    </row>
    <row r="259" customFormat="false" ht="15" hidden="false" customHeight="true" outlineLevel="0" collapsed="false">
      <c r="A259" s="1" t="s">
        <v>528</v>
      </c>
      <c r="B259" s="1" t="n">
        <v>1837</v>
      </c>
      <c r="C259" s="1" t="n">
        <v>10</v>
      </c>
      <c r="D259" s="1" t="s">
        <v>38</v>
      </c>
      <c r="E259" s="1" t="s">
        <v>274</v>
      </c>
      <c r="F259" s="1" t="n">
        <v>40</v>
      </c>
      <c r="G259" s="1" t="n">
        <v>45</v>
      </c>
      <c r="H259" s="2" t="n">
        <v>4640000</v>
      </c>
      <c r="I259" s="2" t="n">
        <f aca="false">(((H259 / 800) / IF(ISBLANK(R259), 1000000, IF(ISNA(VLOOKUP(R259, Mileages!$A$2:$C$34, 2, 0)), R259, VLOOKUP(R259, Mileages!$A$2:$C$34, 2, 0)))) + (F259 * IF(ISBLANK(P259), 1, P259) * IF(ISBLANK(T259), 0, IF(ISNA(VLOOKUP(T259, 'Fuel Costs'!$A$2:$C$42, 2, 0)), T259, VLOOKUP(T259, 'Fuel Costs'!$A$2:$C$42, 2, 0))) / IF(ISBLANK(O259), 1, O259))) * 100</f>
        <v>101.45</v>
      </c>
      <c r="J259" s="2" t="n">
        <f aca="false">((H259 / 800) / (IF(ISBLANK(S259), 100, IF(ISNA(VLOOKUP(S259, Lives!$A$2:$C$35, 2, 0)), S259, VLOOKUP(S259, Lives!$A$2:$C$35, 2, 0))) * 12) + (IF(ISBLANK(Q259), 0, IF(ISNA(VLOOKUP(Q259, Wages!$A$2:$C$17, 2, 0)), Q259, VLOOKUP(Q259, Wages!$A$2:$C$17, 2, 0))) * IF(ISBLANK(N259), 0, IF(ISNA(VLOOKUP(N259, Crews!$A$2:$C$28, 2, 0)), N259, VLOOKUP(N259, Crews!$A$2:$C$28, 2, 0))))) * 400</f>
        <v>22444.44444</v>
      </c>
      <c r="K259" s="3" t="s">
        <v>529</v>
      </c>
      <c r="L259" s="1" t="s">
        <v>530</v>
      </c>
      <c r="M259" s="1" t="n">
        <v>0</v>
      </c>
      <c r="N259" s="1" t="s">
        <v>283</v>
      </c>
      <c r="O259" s="1" t="n">
        <v>0.4</v>
      </c>
      <c r="P259" s="1"/>
      <c r="Q259" s="5" t="s">
        <v>284</v>
      </c>
      <c r="R259" s="4" t="s">
        <v>285</v>
      </c>
      <c r="S259" s="4" t="s">
        <v>285</v>
      </c>
      <c r="T259" s="1" t="s">
        <v>277</v>
      </c>
    </row>
    <row r="260" customFormat="false" ht="15" hidden="false" customHeight="true" outlineLevel="0" collapsed="false">
      <c r="A260" s="1" t="s">
        <v>531</v>
      </c>
      <c r="B260" s="1" t="n">
        <v>1837</v>
      </c>
      <c r="C260" s="1" t="n">
        <v>11</v>
      </c>
      <c r="D260" s="1" t="s">
        <v>38</v>
      </c>
      <c r="E260" s="1" t="s">
        <v>274</v>
      </c>
      <c r="F260" s="1" t="n">
        <v>34</v>
      </c>
      <c r="G260" s="1" t="n">
        <v>56</v>
      </c>
      <c r="H260" s="2" t="n">
        <v>5050000</v>
      </c>
      <c r="I260" s="2" t="n">
        <f aca="false">(((H260 / 800) / IF(ISBLANK(R260), 1000000, IF(ISNA(VLOOKUP(R260, Mileages!$A$2:$C$34, 2, 0)), R260, VLOOKUP(R260, Mileages!$A$2:$C$34, 2, 0)))) + (F260 * IF(ISBLANK(P260), 1, P260) * IF(ISBLANK(T260), 0, IF(ISNA(VLOOKUP(T260, 'Fuel Costs'!$A$2:$C$42, 2, 0)), T260, VLOOKUP(T260, 'Fuel Costs'!$A$2:$C$42, 2, 0))) / IF(ISBLANK(O260), 1, O260))) * 100</f>
        <v>86.578125</v>
      </c>
      <c r="J260" s="2" t="n">
        <f aca="false">((H260 / 800) / (IF(ISBLANK(S260), 100, IF(ISNA(VLOOKUP(S260, Lives!$A$2:$C$35, 2, 0)), S260, VLOOKUP(S260, Lives!$A$2:$C$35, 2, 0))) * 12) + (IF(ISBLANK(Q260), 0, IF(ISNA(VLOOKUP(Q260, Wages!$A$2:$C$17, 2, 0)), Q260, VLOOKUP(Q260, Wages!$A$2:$C$17, 2, 0))) * IF(ISBLANK(N260), 0, IF(ISNA(VLOOKUP(N260, Crews!$A$2:$C$28, 2, 0)), N260, VLOOKUP(N260, Crews!$A$2:$C$28, 2, 0))))) * 400</f>
        <v>23013.88889</v>
      </c>
      <c r="K260" s="3" t="s">
        <v>532</v>
      </c>
      <c r="L260" s="1" t="s">
        <v>533</v>
      </c>
      <c r="M260" s="1" t="n">
        <v>0</v>
      </c>
      <c r="N260" s="1" t="s">
        <v>283</v>
      </c>
      <c r="O260" s="1" t="n">
        <v>0.4</v>
      </c>
      <c r="P260" s="1"/>
      <c r="Q260" s="5" t="s">
        <v>284</v>
      </c>
      <c r="R260" s="4" t="s">
        <v>285</v>
      </c>
      <c r="S260" s="4" t="s">
        <v>285</v>
      </c>
      <c r="T260" s="1" t="s">
        <v>277</v>
      </c>
    </row>
    <row r="261" customFormat="false" ht="15" hidden="false" customHeight="true" outlineLevel="0" collapsed="false">
      <c r="A261" s="1" t="s">
        <v>534</v>
      </c>
      <c r="B261" s="1" t="n">
        <v>1837</v>
      </c>
      <c r="C261" s="1" t="n">
        <v>11</v>
      </c>
      <c r="D261" s="1" t="s">
        <v>38</v>
      </c>
      <c r="E261" s="1" t="s">
        <v>274</v>
      </c>
      <c r="F261" s="1" t="n">
        <v>34</v>
      </c>
      <c r="G261" s="1" t="n">
        <v>85</v>
      </c>
      <c r="H261" s="2" t="n">
        <v>5000000</v>
      </c>
      <c r="I261" s="2" t="n">
        <f aca="false">(((H261 / 800) / IF(ISBLANK(R261), 1000000, IF(ISNA(VLOOKUP(R261, Mileages!$A$2:$C$34, 2, 0)), R261, VLOOKUP(R261, Mileages!$A$2:$C$34, 2, 0)))) + (F261 * IF(ISBLANK(P261), 1, P261) * IF(ISBLANK(T261), 0, IF(ISNA(VLOOKUP(T261, 'Fuel Costs'!$A$2:$C$42, 2, 0)), T261, VLOOKUP(T261, 'Fuel Costs'!$A$2:$C$42, 2, 0))) / IF(ISBLANK(O261), 1, O261))) * 100</f>
        <v>86.5625</v>
      </c>
      <c r="J261" s="2" t="n">
        <f aca="false">((H261 / 800) / (IF(ISBLANK(S261), 100, IF(ISNA(VLOOKUP(S261, Lives!$A$2:$C$35, 2, 0)), S261, VLOOKUP(S261, Lives!$A$2:$C$35, 2, 0))) * 12) + (IF(ISBLANK(Q261), 0, IF(ISNA(VLOOKUP(Q261, Wages!$A$2:$C$17, 2, 0)), Q261, VLOOKUP(Q261, Wages!$A$2:$C$17, 2, 0))) * IF(ISBLANK(N261), 0, IF(ISNA(VLOOKUP(N261, Crews!$A$2:$C$28, 2, 0)), N261, VLOOKUP(N261, Crews!$A$2:$C$28, 2, 0))))) * 400</f>
        <v>22944.44444</v>
      </c>
      <c r="K261" s="3" t="s">
        <v>535</v>
      </c>
      <c r="L261" s="1" t="s">
        <v>536</v>
      </c>
      <c r="M261" s="1" t="n">
        <v>0</v>
      </c>
      <c r="N261" s="1" t="s">
        <v>283</v>
      </c>
      <c r="O261" s="1" t="n">
        <v>0.4</v>
      </c>
      <c r="P261" s="1"/>
      <c r="Q261" s="5" t="s">
        <v>284</v>
      </c>
      <c r="R261" s="4" t="s">
        <v>285</v>
      </c>
      <c r="S261" s="4" t="s">
        <v>285</v>
      </c>
      <c r="T261" s="1" t="s">
        <v>277</v>
      </c>
    </row>
    <row r="262" customFormat="false" ht="15" hidden="false" customHeight="true" outlineLevel="0" collapsed="false">
      <c r="A262" s="1" t="s">
        <v>537</v>
      </c>
      <c r="B262" s="1" t="n">
        <v>1837</v>
      </c>
      <c r="C262" s="1" t="n">
        <v>11</v>
      </c>
      <c r="D262" s="1" t="s">
        <v>38</v>
      </c>
      <c r="E262" s="1" t="s">
        <v>274</v>
      </c>
      <c r="F262" s="1"/>
      <c r="G262" s="1" t="n">
        <v>85</v>
      </c>
      <c r="H262" s="2" t="n">
        <v>0</v>
      </c>
      <c r="I262" s="2" t="n">
        <f aca="false">(((H262 / 800) / IF(ISBLANK(R262), 1000000, IF(ISNA(VLOOKUP(R262, Mileages!$A$2:$C$34, 2, 0)), R262, VLOOKUP(R262, Mileages!$A$2:$C$34, 2, 0)))) + (F262 * IF(ISBLANK(P262), 1, P262) * IF(ISBLANK(T262), 0, IF(ISNA(VLOOKUP(T262, 'Fuel Costs'!$A$2:$C$42, 2, 0)), T262, VLOOKUP(T262, 'Fuel Costs'!$A$2:$C$42, 2, 0))) / IF(ISBLANK(O262), 1, O262))) * 100</f>
        <v>0</v>
      </c>
      <c r="J262" s="2" t="n">
        <f aca="false">((H262 / 800) / (IF(ISBLANK(S262), 100, IF(ISNA(VLOOKUP(S262, Lives!$A$2:$C$35, 2, 0)), S262, VLOOKUP(S262, Lives!$A$2:$C$35, 2, 0))) * 12) + (IF(ISBLANK(Q262), 0, IF(ISNA(VLOOKUP(Q262, Wages!$A$2:$C$17, 2, 0)), Q262, VLOOKUP(Q262, Wages!$A$2:$C$17, 2, 0))) * IF(ISBLANK(N262), 0, IF(ISNA(VLOOKUP(N262, Crews!$A$2:$C$28, 2, 0)), N262, VLOOKUP(N262, Crews!$A$2:$C$28, 2, 0))))) * 400</f>
        <v>0</v>
      </c>
      <c r="K262" s="1"/>
      <c r="L262" s="1" t="s">
        <v>536</v>
      </c>
      <c r="M262" s="1" t="n">
        <v>1</v>
      </c>
      <c r="N262" s="1"/>
      <c r="O262" s="1"/>
      <c r="P262" s="1"/>
      <c r="Q262" s="1"/>
      <c r="R262" s="1"/>
      <c r="S262" s="1"/>
      <c r="T262" s="1"/>
    </row>
    <row r="263" customFormat="false" ht="15" hidden="false" customHeight="true" outlineLevel="0" collapsed="false">
      <c r="A263" s="1" t="s">
        <v>538</v>
      </c>
      <c r="B263" s="1" t="n">
        <v>1838</v>
      </c>
      <c r="C263" s="1" t="n">
        <v>2</v>
      </c>
      <c r="D263" s="1" t="s">
        <v>38</v>
      </c>
      <c r="E263" s="1"/>
      <c r="F263" s="1"/>
      <c r="G263" s="1" t="n">
        <v>125</v>
      </c>
      <c r="H263" s="2" t="n">
        <v>200000</v>
      </c>
      <c r="I263" s="2" t="n">
        <f aca="false">(((H263 / 800) / IF(ISBLANK(R263), 1000000, IF(ISNA(VLOOKUP(R263, Mileages!$A$2:$C$34, 2, 0)), R263, VLOOKUP(R263, Mileages!$A$2:$C$34, 2, 0)))) + (F263 * IF(ISBLANK(P263), 1, P263) * IF(ISBLANK(T263), 0, IF(ISNA(VLOOKUP(T263, 'Fuel Costs'!$A$2:$C$42, 2, 0)), T263, VLOOKUP(T263, 'Fuel Costs'!$A$2:$C$42, 2, 0))) / IF(ISBLANK(O263), 1, O263))) * 100</f>
        <v>0.04166666667</v>
      </c>
      <c r="J263" s="2" t="n">
        <f aca="false">((H263 / 800) / (IF(ISBLANK(S263), 100, IF(ISNA(VLOOKUP(S263, Lives!$A$2:$C$35, 2, 0)), S263, VLOOKUP(S263, Lives!$A$2:$C$35, 2, 0))) * 12) + (IF(ISBLANK(Q263), 0, IF(ISNA(VLOOKUP(Q263, Wages!$A$2:$C$17, 2, 0)), Q263, VLOOKUP(Q263, Wages!$A$2:$C$17, 2, 0))) * IF(ISBLANK(N263), 0, IF(ISNA(VLOOKUP(N263, Crews!$A$2:$C$28, 2, 0)), N263, VLOOKUP(N263, Crews!$A$2:$C$28, 2, 0))))) * 400</f>
        <v>166.6666667</v>
      </c>
      <c r="K263" s="3" t="s">
        <v>539</v>
      </c>
      <c r="L263" s="1" t="s">
        <v>540</v>
      </c>
      <c r="M263" s="1" t="n">
        <v>0</v>
      </c>
      <c r="N263" s="1"/>
      <c r="O263" s="1"/>
      <c r="P263" s="1"/>
      <c r="Q263" s="1"/>
      <c r="R263" s="5" t="s">
        <v>374</v>
      </c>
      <c r="S263" s="5" t="s">
        <v>375</v>
      </c>
      <c r="T263" s="1"/>
    </row>
    <row r="264" customFormat="false" ht="15" hidden="false" customHeight="true" outlineLevel="0" collapsed="false">
      <c r="A264" s="1" t="s">
        <v>541</v>
      </c>
      <c r="B264" s="1" t="n">
        <v>1838</v>
      </c>
      <c r="C264" s="1" t="n">
        <v>3</v>
      </c>
      <c r="D264" s="1" t="s">
        <v>38</v>
      </c>
      <c r="E264" s="1" t="s">
        <v>274</v>
      </c>
      <c r="F264" s="1" t="n">
        <v>27</v>
      </c>
      <c r="G264" s="1" t="n">
        <v>30</v>
      </c>
      <c r="H264" s="2" t="n">
        <f aca="false">7500000*0.5</f>
        <v>3750000</v>
      </c>
      <c r="I264" s="2" t="n">
        <f aca="false">(((H264 / 800) / IF(ISBLANK(R264), 1000000, IF(ISNA(VLOOKUP(R264, Mileages!$A$2:$C$34, 2, 0)), R264, VLOOKUP(R264, Mileages!$A$2:$C$34, 2, 0)))) + (F264 * IF(ISBLANK(P264), 1, P264) * IF(ISBLANK(T264), 0, IF(ISNA(VLOOKUP(T264, 'Fuel Costs'!$A$2:$C$42, 2, 0)), T264, VLOOKUP(T264, 'Fuel Costs'!$A$2:$C$42, 2, 0))) / IF(ISBLANK(O264), 1, O264))) * 100</f>
        <v>68.671875</v>
      </c>
      <c r="J264" s="2" t="n">
        <f aca="false">((H264 / 800) / (IF(ISBLANK(S264), 100, IF(ISNA(VLOOKUP(S264, Lives!$A$2:$C$35, 2, 0)), S264, VLOOKUP(S264, Lives!$A$2:$C$35, 2, 0))) * 12) + (IF(ISBLANK(Q264), 0, IF(ISNA(VLOOKUP(Q264, Wages!$A$2:$C$17, 2, 0)), Q264, VLOOKUP(Q264, Wages!$A$2:$C$17, 2, 0))) * IF(ISBLANK(N264), 0, IF(ISNA(VLOOKUP(N264, Crews!$A$2:$C$28, 2, 0)), N264, VLOOKUP(N264, Crews!$A$2:$C$28, 2, 0))))) * 400</f>
        <v>21208.33333</v>
      </c>
      <c r="K264" s="3" t="s">
        <v>542</v>
      </c>
      <c r="L264" s="1" t="s">
        <v>543</v>
      </c>
      <c r="M264" s="1" t="n">
        <v>0</v>
      </c>
      <c r="N264" s="1" t="s">
        <v>283</v>
      </c>
      <c r="O264" s="1" t="n">
        <v>0.4</v>
      </c>
      <c r="P264" s="1"/>
      <c r="Q264" s="5" t="s">
        <v>284</v>
      </c>
      <c r="R264" s="4" t="s">
        <v>285</v>
      </c>
      <c r="S264" s="4" t="s">
        <v>285</v>
      </c>
      <c r="T264" s="1" t="s">
        <v>277</v>
      </c>
    </row>
    <row r="265" customFormat="false" ht="15" hidden="false" customHeight="true" outlineLevel="0" collapsed="false">
      <c r="A265" s="1" t="s">
        <v>544</v>
      </c>
      <c r="B265" s="1" t="n">
        <v>1838</v>
      </c>
      <c r="C265" s="1" t="n">
        <v>3</v>
      </c>
      <c r="D265" s="1" t="s">
        <v>38</v>
      </c>
      <c r="E265" s="1" t="s">
        <v>274</v>
      </c>
      <c r="F265" s="1"/>
      <c r="G265" s="1" t="n">
        <v>46</v>
      </c>
      <c r="H265" s="2" t="n">
        <v>0</v>
      </c>
      <c r="I265" s="2" t="n">
        <f aca="false">(((H265 / 800) / IF(ISBLANK(R265), 1000000, IF(ISNA(VLOOKUP(R265, Mileages!$A$2:$C$34, 2, 0)), R265, VLOOKUP(R265, Mileages!$A$2:$C$34, 2, 0)))) + (F265 * IF(ISBLANK(P265), 1, P265) * IF(ISBLANK(T265), 0, IF(ISNA(VLOOKUP(T265, 'Fuel Costs'!$A$2:$C$42, 2, 0)), T265, VLOOKUP(T265, 'Fuel Costs'!$A$2:$C$42, 2, 0))) / IF(ISBLANK(O265), 1, O265))) * 100</f>
        <v>0</v>
      </c>
      <c r="J265" s="2" t="n">
        <f aca="false">((H265 / 800) / (IF(ISBLANK(S265), 100, IF(ISNA(VLOOKUP(S265, Lives!$A$2:$C$35, 2, 0)), S265, VLOOKUP(S265, Lives!$A$2:$C$35, 2, 0))) * 12) + (IF(ISBLANK(Q265), 0, IF(ISNA(VLOOKUP(Q265, Wages!$A$2:$C$17, 2, 0)), Q265, VLOOKUP(Q265, Wages!$A$2:$C$17, 2, 0))) * IF(ISBLANK(N265), 0, IF(ISNA(VLOOKUP(N265, Crews!$A$2:$C$28, 2, 0)), N265, VLOOKUP(N265, Crews!$A$2:$C$28, 2, 0))))) * 400</f>
        <v>0</v>
      </c>
      <c r="K265" s="1"/>
      <c r="L265" s="1" t="s">
        <v>543</v>
      </c>
      <c r="M265" s="1" t="n">
        <v>1</v>
      </c>
      <c r="N265" s="1"/>
      <c r="O265" s="1"/>
      <c r="P265" s="1"/>
      <c r="Q265" s="1"/>
      <c r="R265" s="1"/>
      <c r="S265" s="1"/>
      <c r="T265" s="1"/>
    </row>
    <row r="266" customFormat="false" ht="15" hidden="false" customHeight="true" outlineLevel="0" collapsed="false">
      <c r="A266" s="1" t="s">
        <v>545</v>
      </c>
      <c r="B266" s="1" t="n">
        <v>1838</v>
      </c>
      <c r="C266" s="1" t="n">
        <v>4</v>
      </c>
      <c r="D266" s="1" t="s">
        <v>29</v>
      </c>
      <c r="E266" s="1" t="s">
        <v>274</v>
      </c>
      <c r="F266" s="1" t="n">
        <v>850</v>
      </c>
      <c r="G266" s="1" t="n">
        <v>20</v>
      </c>
      <c r="H266" s="2" t="n">
        <f aca="false">17472000*2</f>
        <v>34944000</v>
      </c>
      <c r="I266" s="2" t="n">
        <f aca="false">(((H266 / 800) / IF(ISBLANK(R266), 1000000, IF(ISNA(VLOOKUP(R266, Mileages!$A$2:$C$34, 2, 0)), R266, VLOOKUP(R266, Mileages!$A$2:$C$34, 2, 0)))) + (F266 * IF(ISBLANK(P266), 1, P266) * IF(ISBLANK(T266), 0, IF(ISNA(VLOOKUP(T266, 'Fuel Costs'!$A$2:$C$42, 2, 0)), T266, VLOOKUP(T266, 'Fuel Costs'!$A$2:$C$42, 2, 0))) / IF(ISBLANK(O266), 1, O266))) * 100</f>
        <v>119.36</v>
      </c>
      <c r="J266" s="2" t="n">
        <f aca="false">((H266 / 800) / (IF(ISBLANK(S266), 100, IF(ISNA(VLOOKUP(S266, Lives!$A$2:$C$35, 2, 0)), S266, VLOOKUP(S266, Lives!$A$2:$C$35, 2, 0))) * 12) + (IF(ISBLANK(Q266), 0, IF(ISNA(VLOOKUP(Q266, Wages!$A$2:$C$17, 2, 0)), Q266, VLOOKUP(Q266, Wages!$A$2:$C$17, 2, 0))) * IF(ISBLANK(N266), 0, IF(ISNA(VLOOKUP(N266, Crews!$A$2:$C$28, 2, 0)), N266, VLOOKUP(N266, Crews!$A$2:$C$28, 2, 0))))) * 400</f>
        <v>264266.6667</v>
      </c>
      <c r="K266" s="1" t="s">
        <v>70</v>
      </c>
      <c r="L266" s="1" t="s">
        <v>546</v>
      </c>
      <c r="M266" s="1" t="n">
        <v>0</v>
      </c>
      <c r="N266" s="1" t="n">
        <v>60</v>
      </c>
      <c r="O266" s="1" t="n">
        <v>1</v>
      </c>
      <c r="P266" s="1" t="n">
        <v>0.134</v>
      </c>
      <c r="Q266" s="1" t="s">
        <v>34</v>
      </c>
      <c r="R266" s="4" t="s">
        <v>35</v>
      </c>
      <c r="S266" s="1" t="s">
        <v>35</v>
      </c>
      <c r="T266" s="1" t="s">
        <v>277</v>
      </c>
    </row>
    <row r="267" customFormat="false" ht="15" hidden="false" customHeight="true" outlineLevel="0" collapsed="false">
      <c r="A267" s="1" t="s">
        <v>547</v>
      </c>
      <c r="B267" s="1" t="n">
        <v>1838</v>
      </c>
      <c r="C267" s="1" t="n">
        <v>4</v>
      </c>
      <c r="D267" s="1" t="s">
        <v>29</v>
      </c>
      <c r="E267" s="1"/>
      <c r="F267" s="1"/>
      <c r="G267" s="1" t="n">
        <v>20</v>
      </c>
      <c r="H267" s="2"/>
      <c r="I267" s="2"/>
      <c r="J267" s="2"/>
      <c r="K267" s="1"/>
      <c r="L267" s="1" t="s">
        <v>546</v>
      </c>
      <c r="M267" s="1" t="n">
        <v>1</v>
      </c>
      <c r="N267" s="1"/>
      <c r="O267" s="1"/>
      <c r="P267" s="1"/>
      <c r="Q267" s="1"/>
      <c r="R267" s="1"/>
      <c r="S267" s="1"/>
      <c r="T267" s="1"/>
    </row>
    <row r="268" customFormat="false" ht="15" hidden="false" customHeight="true" outlineLevel="0" collapsed="false">
      <c r="A268" s="1" t="s">
        <v>548</v>
      </c>
      <c r="B268" s="1" t="n">
        <v>1838</v>
      </c>
      <c r="C268" s="1" t="n">
        <v>10</v>
      </c>
      <c r="D268" s="1" t="s">
        <v>38</v>
      </c>
      <c r="E268" s="1"/>
      <c r="F268" s="1"/>
      <c r="G268" s="1" t="n">
        <v>125</v>
      </c>
      <c r="H268" s="2" t="n">
        <v>184000</v>
      </c>
      <c r="I268" s="2" t="n">
        <f aca="false">(((H268 / 800) / IF(ISBLANK(R268), 1000000, IF(ISNA(VLOOKUP(R268, Mileages!$A$2:$C$34, 2, 0)), R268, VLOOKUP(R268, Mileages!$A$2:$C$34, 2, 0)))) + (F268 * IF(ISBLANK(P268), 1, P268) * IF(ISBLANK(T268), 0, IF(ISNA(VLOOKUP(T268, 'Fuel Costs'!$A$2:$C$42, 2, 0)), T268, VLOOKUP(T268, 'Fuel Costs'!$A$2:$C$42, 2, 0))) / IF(ISBLANK(O268), 1, O268))) * 100</f>
        <v>0.03833333333</v>
      </c>
      <c r="J268" s="2" t="n">
        <f aca="false">((H268 / 800) / (IF(ISBLANK(S268), 100, IF(ISNA(VLOOKUP(S268, Lives!$A$2:$C$35, 2, 0)), S268, VLOOKUP(S268, Lives!$A$2:$C$35, 2, 0))) * 12) + (IF(ISBLANK(Q268), 0, IF(ISNA(VLOOKUP(Q268, Wages!$A$2:$C$17, 2, 0)), Q268, VLOOKUP(Q268, Wages!$A$2:$C$17, 2, 0))) * IF(ISBLANK(N268), 0, IF(ISNA(VLOOKUP(N268, Crews!$A$2:$C$28, 2, 0)), N268, VLOOKUP(N268, Crews!$A$2:$C$28, 2, 0))))) * 400</f>
        <v>24076.66667</v>
      </c>
      <c r="K268" s="3" t="s">
        <v>549</v>
      </c>
      <c r="L268" s="1" t="s">
        <v>550</v>
      </c>
      <c r="M268" s="1" t="n">
        <v>0</v>
      </c>
      <c r="N268" s="1" t="s">
        <v>551</v>
      </c>
      <c r="O268" s="1"/>
      <c r="P268" s="1"/>
      <c r="Q268" s="1" t="s">
        <v>551</v>
      </c>
      <c r="R268" s="5" t="s">
        <v>374</v>
      </c>
      <c r="S268" s="1" t="s">
        <v>389</v>
      </c>
      <c r="T268" s="1"/>
    </row>
    <row r="269" customFormat="false" ht="15" hidden="false" customHeight="true" outlineLevel="0" collapsed="false">
      <c r="A269" s="1" t="s">
        <v>552</v>
      </c>
      <c r="B269" s="1" t="n">
        <v>1838</v>
      </c>
      <c r="C269" s="1" t="n">
        <v>11</v>
      </c>
      <c r="D269" s="1" t="s">
        <v>38</v>
      </c>
      <c r="E269" s="1" t="s">
        <v>274</v>
      </c>
      <c r="F269" s="1" t="n">
        <v>45</v>
      </c>
      <c r="G269" s="1" t="n">
        <v>85</v>
      </c>
      <c r="H269" s="2" t="n">
        <v>7400500</v>
      </c>
      <c r="I269" s="2" t="n">
        <f aca="false">(((H269 / 800) / IF(ISBLANK(R269), 1000000, IF(ISNA(VLOOKUP(R269, Mileages!$A$2:$C$34, 2, 0)), R269, VLOOKUP(R269, Mileages!$A$2:$C$34, 2, 0)))) + (F269 * IF(ISBLANK(P269), 1, P269) * IF(ISBLANK(T269), 0, IF(ISNA(VLOOKUP(T269, 'Fuel Costs'!$A$2:$C$42, 2, 0)), T269, VLOOKUP(T269, 'Fuel Costs'!$A$2:$C$42, 2, 0))) / IF(ISBLANK(O269), 1, O269))) * 100</f>
        <v>102.3126563</v>
      </c>
      <c r="J269" s="2" t="n">
        <f aca="false">((H269 / 800) / (IF(ISBLANK(S269), 100, IF(ISNA(VLOOKUP(S269, Lives!$A$2:$C$35, 2, 0)), S269, VLOOKUP(S269, Lives!$A$2:$C$35, 2, 0))) * 12) + (IF(ISBLANK(Q269), 0, IF(ISNA(VLOOKUP(Q269, Wages!$A$2:$C$17, 2, 0)), Q269, VLOOKUP(Q269, Wages!$A$2:$C$17, 2, 0))) * IF(ISBLANK(N269), 0, IF(ISNA(VLOOKUP(N269, Crews!$A$2:$C$28, 2, 0)), N269, VLOOKUP(N269, Crews!$A$2:$C$28, 2, 0))))) * 400</f>
        <v>26278.47222</v>
      </c>
      <c r="K269" s="3" t="s">
        <v>553</v>
      </c>
      <c r="L269" s="1" t="s">
        <v>554</v>
      </c>
      <c r="M269" s="1" t="n">
        <v>0</v>
      </c>
      <c r="N269" s="1" t="s">
        <v>283</v>
      </c>
      <c r="O269" s="1" t="n">
        <v>0.45</v>
      </c>
      <c r="P269" s="1"/>
      <c r="Q269" s="5" t="s">
        <v>284</v>
      </c>
      <c r="R269" s="4" t="s">
        <v>285</v>
      </c>
      <c r="S269" s="4" t="s">
        <v>285</v>
      </c>
      <c r="T269" s="1" t="s">
        <v>277</v>
      </c>
    </row>
    <row r="270" customFormat="false" ht="15" hidden="false" customHeight="true" outlineLevel="0" collapsed="false">
      <c r="A270" s="1" t="s">
        <v>555</v>
      </c>
      <c r="B270" s="1" t="n">
        <v>1839</v>
      </c>
      <c r="C270" s="1" t="n">
        <v>3</v>
      </c>
      <c r="D270" s="1" t="s">
        <v>38</v>
      </c>
      <c r="E270" s="1"/>
      <c r="F270" s="1"/>
      <c r="G270" s="1" t="n">
        <v>125</v>
      </c>
      <c r="H270" s="2" t="n">
        <v>150000</v>
      </c>
      <c r="I270" s="2" t="n">
        <f aca="false">(((H270 / 800) / IF(ISBLANK(R270), 1000000, IF(ISNA(VLOOKUP(R270, Mileages!$A$2:$C$34, 2, 0)), R270, VLOOKUP(R270, Mileages!$A$2:$C$34, 2, 0)))) + (F270 * IF(ISBLANK(P270), 1, P270) * IF(ISBLANK(T270), 0, IF(ISNA(VLOOKUP(T270, 'Fuel Costs'!$A$2:$C$42, 2, 0)), T270, VLOOKUP(T270, 'Fuel Costs'!$A$2:$C$42, 2, 0))) / IF(ISBLANK(O270), 1, O270))) * 100</f>
        <v>0.03125</v>
      </c>
      <c r="J270" s="2" t="n">
        <f aca="false">((H270 / 800) / (IF(ISBLANK(S270), 100, IF(ISNA(VLOOKUP(S270, Lives!$A$2:$C$35, 2, 0)), S270, VLOOKUP(S270, Lives!$A$2:$C$35, 2, 0))) * 12) + (IF(ISBLANK(Q270), 0, IF(ISNA(VLOOKUP(Q270, Wages!$A$2:$C$17, 2, 0)), Q270, VLOOKUP(Q270, Wages!$A$2:$C$17, 2, 0))) * IF(ISBLANK(N270), 0, IF(ISNA(VLOOKUP(N270, Crews!$A$2:$C$28, 2, 0)), N270, VLOOKUP(N270, Crews!$A$2:$C$28, 2, 0))))) * 400</f>
        <v>125</v>
      </c>
      <c r="K270" s="1" t="s">
        <v>437</v>
      </c>
      <c r="L270" s="1" t="s">
        <v>556</v>
      </c>
      <c r="M270" s="1" t="n">
        <v>0</v>
      </c>
      <c r="N270" s="1"/>
      <c r="O270" s="1"/>
      <c r="P270" s="1"/>
      <c r="Q270" s="1"/>
      <c r="R270" s="5" t="s">
        <v>374</v>
      </c>
      <c r="S270" s="5" t="s">
        <v>375</v>
      </c>
      <c r="T270" s="1"/>
    </row>
    <row r="271" customFormat="false" ht="15" hidden="false" customHeight="true" outlineLevel="0" collapsed="false">
      <c r="A271" s="1" t="s">
        <v>557</v>
      </c>
      <c r="B271" s="1" t="n">
        <v>1839</v>
      </c>
      <c r="C271" s="1" t="n">
        <v>3</v>
      </c>
      <c r="D271" s="1" t="s">
        <v>38</v>
      </c>
      <c r="E271" s="1"/>
      <c r="F271" s="1"/>
      <c r="G271" s="1" t="n">
        <v>125</v>
      </c>
      <c r="H271" s="2" t="n">
        <v>151000</v>
      </c>
      <c r="I271" s="2" t="n">
        <f aca="false">(((H271 / 800) / IF(ISBLANK(R271), 1000000, IF(ISNA(VLOOKUP(R271, Mileages!$A$2:$C$34, 2, 0)), R271, VLOOKUP(R271, Mileages!$A$2:$C$34, 2, 0)))) + (F271 * IF(ISBLANK(P271), 1, P271) * IF(ISBLANK(T271), 0, IF(ISNA(VLOOKUP(T271, 'Fuel Costs'!$A$2:$C$42, 2, 0)), T271, VLOOKUP(T271, 'Fuel Costs'!$A$2:$C$42, 2, 0))) / IF(ISBLANK(O271), 1, O271))) * 100</f>
        <v>0.03145833333</v>
      </c>
      <c r="J271" s="2" t="n">
        <f aca="false">((H271 / 800) / (IF(ISBLANK(S271), 100, IF(ISNA(VLOOKUP(S271, Lives!$A$2:$C$35, 2, 0)), S271, VLOOKUP(S271, Lives!$A$2:$C$35, 2, 0))) * 12) + (IF(ISBLANK(Q271), 0, IF(ISNA(VLOOKUP(Q271, Wages!$A$2:$C$17, 2, 0)), Q271, VLOOKUP(Q271, Wages!$A$2:$C$17, 2, 0))) * IF(ISBLANK(N271), 0, IF(ISNA(VLOOKUP(N271, Crews!$A$2:$C$28, 2, 0)), N271, VLOOKUP(N271, Crews!$A$2:$C$28, 2, 0))))) * 400</f>
        <v>4925.833333</v>
      </c>
      <c r="K271" s="1" t="s">
        <v>437</v>
      </c>
      <c r="L271" s="1" t="s">
        <v>556</v>
      </c>
      <c r="M271" s="1" t="n">
        <v>1</v>
      </c>
      <c r="N271" s="1" t="s">
        <v>25</v>
      </c>
      <c r="O271" s="1"/>
      <c r="P271" s="1"/>
      <c r="Q271" s="1" t="s">
        <v>378</v>
      </c>
      <c r="R271" s="5" t="s">
        <v>374</v>
      </c>
      <c r="S271" s="5" t="s">
        <v>375</v>
      </c>
      <c r="T271" s="1"/>
    </row>
    <row r="272" customFormat="false" ht="15" hidden="false" customHeight="true" outlineLevel="0" collapsed="false">
      <c r="A272" s="1" t="s">
        <v>558</v>
      </c>
      <c r="B272" s="1" t="n">
        <v>1839</v>
      </c>
      <c r="C272" s="1" t="n">
        <v>3</v>
      </c>
      <c r="D272" s="1" t="s">
        <v>38</v>
      </c>
      <c r="E272" s="1"/>
      <c r="F272" s="1"/>
      <c r="G272" s="1" t="n">
        <v>125</v>
      </c>
      <c r="H272" s="2" t="n">
        <v>151000</v>
      </c>
      <c r="I272" s="2" t="n">
        <f aca="false">(((H272 / 800) / IF(ISBLANK(R272), 1000000, IF(ISNA(VLOOKUP(R272, Mileages!$A$2:$C$34, 2, 0)), R272, VLOOKUP(R272, Mileages!$A$2:$C$34, 2, 0)))) + (F272 * IF(ISBLANK(P272), 1, P272) * IF(ISBLANK(T272), 0, IF(ISNA(VLOOKUP(T272, 'Fuel Costs'!$A$2:$C$42, 2, 0)), T272, VLOOKUP(T272, 'Fuel Costs'!$A$2:$C$42, 2, 0))) / IF(ISBLANK(O272), 1, O272))) * 100</f>
        <v>0.03145833333</v>
      </c>
      <c r="J272" s="2" t="n">
        <f aca="false">((H272 / 800) / (IF(ISBLANK(S272), 100, IF(ISNA(VLOOKUP(S272, Lives!$A$2:$C$35, 2, 0)), S272, VLOOKUP(S272, Lives!$A$2:$C$35, 2, 0))) * 12) + (IF(ISBLANK(Q272), 0, IF(ISNA(VLOOKUP(Q272, Wages!$A$2:$C$17, 2, 0)), Q272, VLOOKUP(Q272, Wages!$A$2:$C$17, 2, 0))) * IF(ISBLANK(N272), 0, IF(ISNA(VLOOKUP(N272, Crews!$A$2:$C$28, 2, 0)), N272, VLOOKUP(N272, Crews!$A$2:$C$28, 2, 0))))) * 400</f>
        <v>4925.833333</v>
      </c>
      <c r="K272" s="1" t="s">
        <v>437</v>
      </c>
      <c r="L272" s="1" t="s">
        <v>556</v>
      </c>
      <c r="M272" s="1" t="n">
        <v>2</v>
      </c>
      <c r="N272" s="1" t="s">
        <v>25</v>
      </c>
      <c r="O272" s="1"/>
      <c r="P272" s="1"/>
      <c r="Q272" s="1" t="s">
        <v>378</v>
      </c>
      <c r="R272" s="5" t="s">
        <v>374</v>
      </c>
      <c r="S272" s="5" t="s">
        <v>375</v>
      </c>
      <c r="T272" s="1"/>
    </row>
    <row r="273" customFormat="false" ht="15" hidden="false" customHeight="true" outlineLevel="0" collapsed="false">
      <c r="A273" s="1" t="s">
        <v>559</v>
      </c>
      <c r="B273" s="1" t="n">
        <v>1839</v>
      </c>
      <c r="C273" s="1" t="n">
        <v>3</v>
      </c>
      <c r="D273" s="1" t="s">
        <v>38</v>
      </c>
      <c r="E273" s="1"/>
      <c r="F273" s="1"/>
      <c r="G273" s="1" t="n">
        <v>125</v>
      </c>
      <c r="H273" s="2" t="n">
        <v>136000</v>
      </c>
      <c r="I273" s="2" t="n">
        <f aca="false">(((H273 / 800) / IF(ISBLANK(R273), 1000000, IF(ISNA(VLOOKUP(R273, Mileages!$A$2:$C$34, 2, 0)), R273, VLOOKUP(R273, Mileages!$A$2:$C$34, 2, 0)))) + (F273 * IF(ISBLANK(P273), 1, P273) * IF(ISBLANK(T273), 0, IF(ISNA(VLOOKUP(T273, 'Fuel Costs'!$A$2:$C$42, 2, 0)), T273, VLOOKUP(T273, 'Fuel Costs'!$A$2:$C$42, 2, 0))) / IF(ISBLANK(O273), 1, O273))) * 100</f>
        <v>0.02833333333</v>
      </c>
      <c r="J273" s="2" t="n">
        <f aca="false">((H273 / 800) / (IF(ISBLANK(S273), 100, IF(ISNA(VLOOKUP(S273, Lives!$A$2:$C$35, 2, 0)), S273, VLOOKUP(S273, Lives!$A$2:$C$35, 2, 0))) * 12) + (IF(ISBLANK(Q273), 0, IF(ISNA(VLOOKUP(Q273, Wages!$A$2:$C$17, 2, 0)), Q273, VLOOKUP(Q273, Wages!$A$2:$C$17, 2, 0))) * IF(ISBLANK(N273), 0, IF(ISNA(VLOOKUP(N273, Crews!$A$2:$C$28, 2, 0)), N273, VLOOKUP(N273, Crews!$A$2:$C$28, 2, 0))))) * 400</f>
        <v>113.3333333</v>
      </c>
      <c r="K273" s="1" t="s">
        <v>437</v>
      </c>
      <c r="L273" s="1" t="s">
        <v>560</v>
      </c>
      <c r="M273" s="1" t="n">
        <v>0</v>
      </c>
      <c r="N273" s="1"/>
      <c r="O273" s="1"/>
      <c r="P273" s="1"/>
      <c r="Q273" s="1"/>
      <c r="R273" s="5" t="s">
        <v>374</v>
      </c>
      <c r="S273" s="5" t="s">
        <v>375</v>
      </c>
      <c r="T273" s="1"/>
    </row>
    <row r="274" customFormat="false" ht="15" hidden="false" customHeight="true" outlineLevel="0" collapsed="false">
      <c r="A274" s="1" t="s">
        <v>561</v>
      </c>
      <c r="B274" s="1" t="n">
        <v>1839</v>
      </c>
      <c r="C274" s="1" t="n">
        <v>3</v>
      </c>
      <c r="D274" s="1" t="s">
        <v>38</v>
      </c>
      <c r="E274" s="1"/>
      <c r="F274" s="1"/>
      <c r="G274" s="1" t="n">
        <v>125</v>
      </c>
      <c r="H274" s="2" t="n">
        <v>137000</v>
      </c>
      <c r="I274" s="2" t="n">
        <f aca="false">(((H274 / 800) / IF(ISBLANK(R274), 1000000, IF(ISNA(VLOOKUP(R274, Mileages!$A$2:$C$34, 2, 0)), R274, VLOOKUP(R274, Mileages!$A$2:$C$34, 2, 0)))) + (F274 * IF(ISBLANK(P274), 1, P274) * IF(ISBLANK(T274), 0, IF(ISNA(VLOOKUP(T274, 'Fuel Costs'!$A$2:$C$42, 2, 0)), T274, VLOOKUP(T274, 'Fuel Costs'!$A$2:$C$42, 2, 0))) / IF(ISBLANK(O274), 1, O274))) * 100</f>
        <v>0.02854166667</v>
      </c>
      <c r="J274" s="2" t="n">
        <f aca="false">((H274 / 800) / (IF(ISBLANK(S274), 100, IF(ISNA(VLOOKUP(S274, Lives!$A$2:$C$35, 2, 0)), S274, VLOOKUP(S274, Lives!$A$2:$C$35, 2, 0))) * 12) + (IF(ISBLANK(Q274), 0, IF(ISNA(VLOOKUP(Q274, Wages!$A$2:$C$17, 2, 0)), Q274, VLOOKUP(Q274, Wages!$A$2:$C$17, 2, 0))) * IF(ISBLANK(N274), 0, IF(ISNA(VLOOKUP(N274, Crews!$A$2:$C$28, 2, 0)), N274, VLOOKUP(N274, Crews!$A$2:$C$28, 2, 0))))) * 400</f>
        <v>4914.166667</v>
      </c>
      <c r="K274" s="1" t="s">
        <v>437</v>
      </c>
      <c r="L274" s="1" t="s">
        <v>560</v>
      </c>
      <c r="M274" s="1" t="n">
        <v>2</v>
      </c>
      <c r="N274" s="1" t="s">
        <v>25</v>
      </c>
      <c r="O274" s="1"/>
      <c r="P274" s="1"/>
      <c r="Q274" s="1" t="s">
        <v>378</v>
      </c>
      <c r="R274" s="5" t="s">
        <v>374</v>
      </c>
      <c r="S274" s="5" t="s">
        <v>375</v>
      </c>
      <c r="T274" s="1"/>
    </row>
    <row r="275" customFormat="false" ht="15" hidden="false" customHeight="true" outlineLevel="0" collapsed="false">
      <c r="A275" s="1" t="s">
        <v>562</v>
      </c>
      <c r="B275" s="1" t="n">
        <v>1839</v>
      </c>
      <c r="C275" s="1" t="n">
        <v>3</v>
      </c>
      <c r="D275" s="1" t="s">
        <v>38</v>
      </c>
      <c r="E275" s="1"/>
      <c r="F275" s="1"/>
      <c r="G275" s="1" t="n">
        <v>125</v>
      </c>
      <c r="H275" s="2" t="n">
        <v>137000</v>
      </c>
      <c r="I275" s="2" t="n">
        <f aca="false">(((H275 / 800) / IF(ISBLANK(R275), 1000000, IF(ISNA(VLOOKUP(R275, Mileages!$A$2:$C$34, 2, 0)), R275, VLOOKUP(R275, Mileages!$A$2:$C$34, 2, 0)))) + (F275 * IF(ISBLANK(P275), 1, P275) * IF(ISBLANK(T275), 0, IF(ISNA(VLOOKUP(T275, 'Fuel Costs'!$A$2:$C$42, 2, 0)), T275, VLOOKUP(T275, 'Fuel Costs'!$A$2:$C$42, 2, 0))) / IF(ISBLANK(O275), 1, O275))) * 100</f>
        <v>0.02854166667</v>
      </c>
      <c r="J275" s="2" t="n">
        <f aca="false">((H275 / 800) / (IF(ISBLANK(S275), 100, IF(ISNA(VLOOKUP(S275, Lives!$A$2:$C$35, 2, 0)), S275, VLOOKUP(S275, Lives!$A$2:$C$35, 2, 0))) * 12) + (IF(ISBLANK(Q275), 0, IF(ISNA(VLOOKUP(Q275, Wages!$A$2:$C$17, 2, 0)), Q275, VLOOKUP(Q275, Wages!$A$2:$C$17, 2, 0))) * IF(ISBLANK(N275), 0, IF(ISNA(VLOOKUP(N275, Crews!$A$2:$C$28, 2, 0)), N275, VLOOKUP(N275, Crews!$A$2:$C$28, 2, 0))))) * 400</f>
        <v>4914.166667</v>
      </c>
      <c r="K275" s="1" t="s">
        <v>437</v>
      </c>
      <c r="L275" s="1" t="s">
        <v>560</v>
      </c>
      <c r="M275" s="1" t="n">
        <v>3</v>
      </c>
      <c r="N275" s="1" t="s">
        <v>25</v>
      </c>
      <c r="O275" s="1"/>
      <c r="P275" s="1"/>
      <c r="Q275" s="1" t="s">
        <v>378</v>
      </c>
      <c r="R275" s="5" t="s">
        <v>374</v>
      </c>
      <c r="S275" s="5" t="s">
        <v>375</v>
      </c>
      <c r="T275" s="1"/>
    </row>
    <row r="276" customFormat="false" ht="15" hidden="false" customHeight="true" outlineLevel="0" collapsed="false">
      <c r="A276" s="1" t="s">
        <v>563</v>
      </c>
      <c r="B276" s="1" t="n">
        <v>1840</v>
      </c>
      <c r="C276" s="1" t="n">
        <v>5</v>
      </c>
      <c r="D276" s="1" t="s">
        <v>38</v>
      </c>
      <c r="E276" s="1"/>
      <c r="F276" s="1"/>
      <c r="G276" s="1" t="n">
        <v>125</v>
      </c>
      <c r="H276" s="2" t="n">
        <v>160000</v>
      </c>
      <c r="I276" s="2" t="n">
        <f aca="false">(((H276 / 800) / IF(ISBLANK(R276), 1000000, IF(ISNA(VLOOKUP(R276, Mileages!$A$2:$C$34, 2, 0)), R276, VLOOKUP(R276, Mileages!$A$2:$C$34, 2, 0)))) + (F276 * IF(ISBLANK(P276), 1, P276) * IF(ISBLANK(T276), 0, IF(ISNA(VLOOKUP(T276, 'Fuel Costs'!$A$2:$C$42, 2, 0)), T276, VLOOKUP(T276, 'Fuel Costs'!$A$2:$C$42, 2, 0))) / IF(ISBLANK(O276), 1, O276))) * 100</f>
        <v>0.03333333333</v>
      </c>
      <c r="J276" s="2" t="n">
        <f aca="false">((H276 / 800) / (IF(ISBLANK(S276), 100, IF(ISNA(VLOOKUP(S276, Lives!$A$2:$C$35, 2, 0)), S276, VLOOKUP(S276, Lives!$A$2:$C$35, 2, 0))) * 12) + (IF(ISBLANK(Q276), 0, IF(ISNA(VLOOKUP(Q276, Wages!$A$2:$C$17, 2, 0)), Q276, VLOOKUP(Q276, Wages!$A$2:$C$17, 2, 0))) * IF(ISBLANK(N276), 0, IF(ISNA(VLOOKUP(N276, Crews!$A$2:$C$28, 2, 0)), N276, VLOOKUP(N276, Crews!$A$2:$C$28, 2, 0))))) * 400</f>
        <v>66.66666667</v>
      </c>
      <c r="K276" s="3" t="s">
        <v>564</v>
      </c>
      <c r="L276" s="1" t="s">
        <v>565</v>
      </c>
      <c r="M276" s="1" t="n">
        <v>0</v>
      </c>
      <c r="N276" s="1"/>
      <c r="O276" s="1"/>
      <c r="P276" s="1"/>
      <c r="Q276" s="1"/>
      <c r="R276" s="5" t="s">
        <v>374</v>
      </c>
      <c r="S276" s="5" t="s">
        <v>389</v>
      </c>
      <c r="T276" s="1"/>
    </row>
    <row r="277" customFormat="false" ht="15" hidden="false" customHeight="true" outlineLevel="0" collapsed="false">
      <c r="A277" s="1" t="s">
        <v>566</v>
      </c>
      <c r="B277" s="1" t="n">
        <v>1840</v>
      </c>
      <c r="C277" s="1" t="n">
        <v>11</v>
      </c>
      <c r="D277" s="1" t="s">
        <v>38</v>
      </c>
      <c r="E277" s="1" t="s">
        <v>274</v>
      </c>
      <c r="F277" s="1" t="n">
        <v>47</v>
      </c>
      <c r="G277" s="1" t="n">
        <v>85</v>
      </c>
      <c r="H277" s="2" t="n">
        <v>8385500</v>
      </c>
      <c r="I277" s="2" t="n">
        <f aca="false">(((H277 / 800) / IF(ISBLANK(R277), 1000000, IF(ISNA(VLOOKUP(R277, Mileages!$A$2:$C$34, 2, 0)), R277, VLOOKUP(R277, Mileages!$A$2:$C$34, 2, 0)))) + (F277 * IF(ISBLANK(P277), 1, P277) * IF(ISBLANK(T277), 0, IF(ISNA(VLOOKUP(T277, 'Fuel Costs'!$A$2:$C$42, 2, 0)), T277, VLOOKUP(T277, 'Fuel Costs'!$A$2:$C$42, 2, 0))) / IF(ISBLANK(O277), 1, O277))) * 100</f>
        <v>86.17602431</v>
      </c>
      <c r="J277" s="2" t="n">
        <f aca="false">((H277 / 800) / (IF(ISBLANK(S277), 100, IF(ISNA(VLOOKUP(S277, Lives!$A$2:$C$35, 2, 0)), S277, VLOOKUP(S277, Lives!$A$2:$C$35, 2, 0))) * 12) + (IF(ISBLANK(Q277), 0, IF(ISNA(VLOOKUP(Q277, Wages!$A$2:$C$17, 2, 0)), Q277, VLOOKUP(Q277, Wages!$A$2:$C$17, 2, 0))) * IF(ISBLANK(N277), 0, IF(ISNA(VLOOKUP(N277, Crews!$A$2:$C$28, 2, 0)), N277, VLOOKUP(N277, Crews!$A$2:$C$28, 2, 0))))) * 400</f>
        <v>27646.52778</v>
      </c>
      <c r="K277" s="3" t="s">
        <v>567</v>
      </c>
      <c r="L277" s="1" t="s">
        <v>568</v>
      </c>
      <c r="M277" s="1" t="n">
        <v>0</v>
      </c>
      <c r="N277" s="1" t="s">
        <v>283</v>
      </c>
      <c r="O277" s="1" t="n">
        <v>0.45</v>
      </c>
      <c r="P277" s="1"/>
      <c r="Q277" s="5" t="s">
        <v>284</v>
      </c>
      <c r="R277" s="4" t="s">
        <v>285</v>
      </c>
      <c r="S277" s="4" t="s">
        <v>285</v>
      </c>
      <c r="T277" s="1" t="s">
        <v>569</v>
      </c>
    </row>
    <row r="278" customFormat="false" ht="15" hidden="false" customHeight="true" outlineLevel="0" collapsed="false">
      <c r="A278" s="1" t="s">
        <v>570</v>
      </c>
      <c r="B278" s="1" t="n">
        <v>1841</v>
      </c>
      <c r="C278" s="1" t="n">
        <v>4</v>
      </c>
      <c r="D278" s="1" t="s">
        <v>38</v>
      </c>
      <c r="E278" s="1"/>
      <c r="F278" s="1"/>
      <c r="G278" s="1" t="n">
        <v>56</v>
      </c>
      <c r="H278" s="2" t="n">
        <v>110000</v>
      </c>
      <c r="I278" s="2" t="n">
        <f aca="false">(((H278 / 800) / IF(ISBLANK(R278), 1000000, IF(ISNA(VLOOKUP(R278, Mileages!$A$2:$C$34, 2, 0)), R278, VLOOKUP(R278, Mileages!$A$2:$C$34, 2, 0)))) + (F278 * IF(ISBLANK(P278), 1, P278) * IF(ISBLANK(T278), 0, IF(ISNA(VLOOKUP(T278, 'Fuel Costs'!$A$2:$C$42, 2, 0)), T278, VLOOKUP(T278, 'Fuel Costs'!$A$2:$C$42, 2, 0))) / IF(ISBLANK(O278), 1, O278))) * 100</f>
        <v>0.02291666667</v>
      </c>
      <c r="J278" s="2" t="n">
        <f aca="false">((H278 / 800) / (IF(ISBLANK(S278), 100, IF(ISNA(VLOOKUP(S278, Lives!$A$2:$C$35, 2, 0)), S278, VLOOKUP(S278, Lives!$A$2:$C$35, 2, 0))) * 12) + (IF(ISBLANK(Q278), 0, IF(ISNA(VLOOKUP(Q278, Wages!$A$2:$C$17, 2, 0)), Q278, VLOOKUP(Q278, Wages!$A$2:$C$17, 2, 0))) * IF(ISBLANK(N278), 0, IF(ISNA(VLOOKUP(N278, Crews!$A$2:$C$28, 2, 0)), N278, VLOOKUP(N278, Crews!$A$2:$C$28, 2, 0))))) * 400</f>
        <v>4891.666667</v>
      </c>
      <c r="K278" s="3" t="s">
        <v>571</v>
      </c>
      <c r="L278" s="1" t="s">
        <v>572</v>
      </c>
      <c r="M278" s="1" t="n">
        <v>0</v>
      </c>
      <c r="N278" s="1" t="s">
        <v>25</v>
      </c>
      <c r="O278" s="1"/>
      <c r="P278" s="1"/>
      <c r="Q278" s="1" t="s">
        <v>378</v>
      </c>
      <c r="R278" s="5" t="s">
        <v>374</v>
      </c>
      <c r="S278" s="5" t="s">
        <v>375</v>
      </c>
      <c r="T278" s="1"/>
    </row>
    <row r="279" customFormat="false" ht="15" hidden="false" customHeight="true" outlineLevel="0" collapsed="false">
      <c r="A279" s="1" t="s">
        <v>573</v>
      </c>
      <c r="B279" s="1" t="n">
        <v>1841</v>
      </c>
      <c r="C279" s="1" t="n">
        <v>5</v>
      </c>
      <c r="D279" s="1" t="s">
        <v>29</v>
      </c>
      <c r="E279" s="1" t="s">
        <v>274</v>
      </c>
      <c r="F279" s="1" t="n">
        <v>200</v>
      </c>
      <c r="G279" s="1" t="n">
        <v>20</v>
      </c>
      <c r="H279" s="2" t="n">
        <v>170000</v>
      </c>
      <c r="I279" s="2" t="n">
        <f aca="false">(((H279 / 800) / IF(ISBLANK(R279), 1000000, IF(ISNA(VLOOKUP(R279, Mileages!$A$2:$C$34, 2, 0)), R279, VLOOKUP(R279, Mileages!$A$2:$C$34, 2, 0)))) + (F279 * IF(ISBLANK(P279), 1, P279) * IF(ISBLANK(T279), 0, IF(ISNA(VLOOKUP(T279, 'Fuel Costs'!$A$2:$C$42, 2, 0)), T279, VLOOKUP(T279, 'Fuel Costs'!$A$2:$C$42, 2, 0))) / IF(ISBLANK(O279), 1, O279))) * 100</f>
        <v>213.3439583</v>
      </c>
      <c r="J279" s="2" t="n">
        <f aca="false">((H279 / 800) / (IF(ISBLANK(S279), 100, IF(ISNA(VLOOKUP(S279, Lives!$A$2:$C$35, 2, 0)), S279, VLOOKUP(S279, Lives!$A$2:$C$35, 2, 0))) * 12) + (IF(ISBLANK(Q279), 0, IF(ISNA(VLOOKUP(Q279, Wages!$A$2:$C$17, 2, 0)), Q279, VLOOKUP(Q279, Wages!$A$2:$C$17, 2, 0))) * IF(ISBLANK(N279), 0, IF(ISNA(VLOOKUP(N279, Crews!$A$2:$C$28, 2, 0)), N279, VLOOKUP(N279, Crews!$A$2:$C$28, 2, 0))))) * 400</f>
        <v>16070.83333</v>
      </c>
      <c r="K279" s="1"/>
      <c r="L279" s="1" t="s">
        <v>298</v>
      </c>
      <c r="M279" s="1" t="n">
        <v>1</v>
      </c>
      <c r="N279" s="1" t="s">
        <v>33</v>
      </c>
      <c r="O279" s="1" t="n">
        <v>0.75</v>
      </c>
      <c r="P279" s="1" t="n">
        <v>1</v>
      </c>
      <c r="Q279" s="1" t="s">
        <v>34</v>
      </c>
      <c r="R279" s="1" t="s">
        <v>574</v>
      </c>
      <c r="S279" s="1" t="s">
        <v>574</v>
      </c>
      <c r="T279" s="1" t="s">
        <v>569</v>
      </c>
    </row>
    <row r="280" customFormat="false" ht="15" hidden="false" customHeight="true" outlineLevel="0" collapsed="false">
      <c r="A280" s="1" t="s">
        <v>575</v>
      </c>
      <c r="B280" s="1" t="n">
        <v>1841</v>
      </c>
      <c r="C280" s="1" t="n">
        <v>11</v>
      </c>
      <c r="D280" s="1" t="s">
        <v>38</v>
      </c>
      <c r="E280" s="1"/>
      <c r="F280" s="1"/>
      <c r="G280" s="1" t="n">
        <v>125</v>
      </c>
      <c r="H280" s="2" t="n">
        <v>58000</v>
      </c>
      <c r="I280" s="2" t="n">
        <f aca="false">(((H280 / 800) / IF(ISBLANK(R280), 1000000, IF(ISNA(VLOOKUP(R280, Mileages!$A$2:$C$34, 2, 0)), R280, VLOOKUP(R280, Mileages!$A$2:$C$34, 2, 0)))) + (F280 * IF(ISBLANK(P280), 1, P280) * IF(ISBLANK(T280), 0, IF(ISNA(VLOOKUP(T280, 'Fuel Costs'!$A$2:$C$42, 2, 0)), T280, VLOOKUP(T280, 'Fuel Costs'!$A$2:$C$42, 2, 0))) / IF(ISBLANK(O280), 1, O280))) * 100</f>
        <v>0.01208333333</v>
      </c>
      <c r="J280" s="2" t="n">
        <f aca="false">((H280 / 800) / (IF(ISBLANK(S280), 100, IF(ISNA(VLOOKUP(S280, Lives!$A$2:$C$35, 2, 0)), S280, VLOOKUP(S280, Lives!$A$2:$C$35, 2, 0))) * 12) + (IF(ISBLANK(Q280), 0, IF(ISNA(VLOOKUP(Q280, Wages!$A$2:$C$17, 2, 0)), Q280, VLOOKUP(Q280, Wages!$A$2:$C$17, 2, 0))) * IF(ISBLANK(N280), 0, IF(ISNA(VLOOKUP(N280, Crews!$A$2:$C$28, 2, 0)), N280, VLOOKUP(N280, Crews!$A$2:$C$28, 2, 0))))) * 400</f>
        <v>48.33333333</v>
      </c>
      <c r="K280" s="3" t="s">
        <v>576</v>
      </c>
      <c r="L280" s="1" t="s">
        <v>577</v>
      </c>
      <c r="M280" s="1" t="n">
        <v>0</v>
      </c>
      <c r="N280" s="1"/>
      <c r="O280" s="1"/>
      <c r="P280" s="1"/>
      <c r="Q280" s="1"/>
      <c r="R280" s="5" t="s">
        <v>374</v>
      </c>
      <c r="S280" s="5" t="s">
        <v>375</v>
      </c>
      <c r="T280" s="1"/>
    </row>
    <row r="281" customFormat="false" ht="15" hidden="false" customHeight="true" outlineLevel="0" collapsed="false">
      <c r="A281" s="1" t="s">
        <v>578</v>
      </c>
      <c r="B281" s="1" t="n">
        <v>1841</v>
      </c>
      <c r="C281" s="1" t="n">
        <v>11</v>
      </c>
      <c r="D281" s="1" t="s">
        <v>38</v>
      </c>
      <c r="E281" s="1"/>
      <c r="F281" s="1"/>
      <c r="G281" s="1" t="n">
        <v>125</v>
      </c>
      <c r="H281" s="2" t="n">
        <v>58000</v>
      </c>
      <c r="I281" s="2" t="n">
        <f aca="false">(((H281 / 800) / IF(ISBLANK(R281), 1000000, IF(ISNA(VLOOKUP(R281, Mileages!$A$2:$C$34, 2, 0)), R281, VLOOKUP(R281, Mileages!$A$2:$C$34, 2, 0)))) + (F281 * IF(ISBLANK(P281), 1, P281) * IF(ISBLANK(T281), 0, IF(ISNA(VLOOKUP(T281, 'Fuel Costs'!$A$2:$C$42, 2, 0)), T281, VLOOKUP(T281, 'Fuel Costs'!$A$2:$C$42, 2, 0))) / IF(ISBLANK(O281), 1, O281))) * 100</f>
        <v>0.01208333333</v>
      </c>
      <c r="J281" s="2" t="n">
        <f aca="false">((H281 / 800) / (IF(ISBLANK(S281), 100, IF(ISNA(VLOOKUP(S281, Lives!$A$2:$C$35, 2, 0)), S281, VLOOKUP(S281, Lives!$A$2:$C$35, 2, 0))) * 12) + (IF(ISBLANK(Q281), 0, IF(ISNA(VLOOKUP(Q281, Wages!$A$2:$C$17, 2, 0)), Q281, VLOOKUP(Q281, Wages!$A$2:$C$17, 2, 0))) * IF(ISBLANK(N281), 0, IF(ISNA(VLOOKUP(N281, Crews!$A$2:$C$28, 2, 0)), N281, VLOOKUP(N281, Crews!$A$2:$C$28, 2, 0))))) * 400</f>
        <v>4848.333333</v>
      </c>
      <c r="K281" s="3" t="s">
        <v>486</v>
      </c>
      <c r="L281" s="1" t="s">
        <v>577</v>
      </c>
      <c r="M281" s="1" t="n">
        <v>1</v>
      </c>
      <c r="N281" s="1" t="s">
        <v>25</v>
      </c>
      <c r="O281" s="1"/>
      <c r="P281" s="1"/>
      <c r="Q281" s="1" t="s">
        <v>378</v>
      </c>
      <c r="R281" s="5" t="s">
        <v>374</v>
      </c>
      <c r="S281" s="5" t="s">
        <v>375</v>
      </c>
      <c r="T281" s="1"/>
    </row>
    <row r="282" customFormat="false" ht="15" hidden="false" customHeight="true" outlineLevel="0" collapsed="false">
      <c r="A282" s="1" t="s">
        <v>579</v>
      </c>
      <c r="B282" s="1" t="n">
        <v>1842</v>
      </c>
      <c r="C282" s="1" t="n">
        <v>2</v>
      </c>
      <c r="D282" s="1" t="s">
        <v>38</v>
      </c>
      <c r="E282" s="1" t="s">
        <v>274</v>
      </c>
      <c r="F282" s="1" t="n">
        <v>48</v>
      </c>
      <c r="G282" s="1" t="n">
        <v>85</v>
      </c>
      <c r="H282" s="2" t="n">
        <v>7557600</v>
      </c>
      <c r="I282" s="2" t="n">
        <f aca="false">(((H282 / 800) / IF(ISBLANK(R282), 1000000, IF(ISNA(VLOOKUP(R282, Mileages!$A$2:$C$34, 2, 0)), R282, VLOOKUP(R282, Mileages!$A$2:$C$34, 2, 0)))) + (F282 * IF(ISBLANK(P282), 1, P282) * IF(ISBLANK(T282), 0, IF(ISNA(VLOOKUP(T282, 'Fuel Costs'!$A$2:$C$42, 2, 0)), T282, VLOOKUP(T282, 'Fuel Costs'!$A$2:$C$42, 2, 0))) / IF(ISBLANK(O282), 1, O282))) * 100</f>
        <v>87.69508333</v>
      </c>
      <c r="J282" s="2" t="n">
        <f aca="false">((H282 / 800) / (IF(ISBLANK(S282), 100, IF(ISNA(VLOOKUP(S282, Lives!$A$2:$C$35, 2, 0)), S282, VLOOKUP(S282, Lives!$A$2:$C$35, 2, 0))) * 12) + (IF(ISBLANK(Q282), 0, IF(ISNA(VLOOKUP(Q282, Wages!$A$2:$C$17, 2, 0)), Q282, VLOOKUP(Q282, Wages!$A$2:$C$17, 2, 0))) * IF(ISBLANK(N282), 0, IF(ISNA(VLOOKUP(N282, Crews!$A$2:$C$28, 2, 0)), N282, VLOOKUP(N282, Crews!$A$2:$C$28, 2, 0))))) * 400</f>
        <v>26496.66667</v>
      </c>
      <c r="K282" s="3" t="s">
        <v>580</v>
      </c>
      <c r="L282" s="1" t="s">
        <v>581</v>
      </c>
      <c r="M282" s="1" t="n">
        <v>0</v>
      </c>
      <c r="N282" s="1" t="s">
        <v>283</v>
      </c>
      <c r="O282" s="1" t="n">
        <v>0.45</v>
      </c>
      <c r="P282" s="1"/>
      <c r="Q282" s="5" t="s">
        <v>284</v>
      </c>
      <c r="R282" s="4" t="s">
        <v>285</v>
      </c>
      <c r="S282" s="4" t="s">
        <v>285</v>
      </c>
      <c r="T282" s="1" t="s">
        <v>569</v>
      </c>
    </row>
    <row r="283" customFormat="false" ht="15" hidden="false" customHeight="true" outlineLevel="0" collapsed="false">
      <c r="A283" s="1" t="s">
        <v>582</v>
      </c>
      <c r="B283" s="1" t="n">
        <v>1842</v>
      </c>
      <c r="C283" s="1" t="n">
        <v>5</v>
      </c>
      <c r="D283" s="1" t="s">
        <v>29</v>
      </c>
      <c r="E283" s="1" t="s">
        <v>274</v>
      </c>
      <c r="F283" s="1" t="n">
        <v>120</v>
      </c>
      <c r="G283" s="1" t="n">
        <v>15</v>
      </c>
      <c r="H283" s="2" t="n">
        <v>31150000</v>
      </c>
      <c r="I283" s="2" t="n">
        <f aca="false">(((H283 / 800) / IF(ISBLANK(R283), 1000000, IF(ISNA(VLOOKUP(R283, Mileages!$A$2:$C$34, 2, 0)), R283, VLOOKUP(R283, Mileages!$A$2:$C$34, 2, 0)))) + (F283 * IF(ISBLANK(P283), 1, P283) * IF(ISBLANK(T283), 0, IF(ISNA(VLOOKUP(T283, 'Fuel Costs'!$A$2:$C$42, 2, 0)), T283, VLOOKUP(T283, 'Fuel Costs'!$A$2:$C$42, 2, 0))) / IF(ISBLANK(O283), 1, O283))) * 100</f>
        <v>132.8671875</v>
      </c>
      <c r="J283" s="2" t="n">
        <f aca="false">((H283 / 800) / (IF(ISBLANK(S283), 100, IF(ISNA(VLOOKUP(S283, Lives!$A$2:$C$35, 2, 0)), S283, VLOOKUP(S283, Lives!$A$2:$C$35, 2, 0))) * 12) + (IF(ISBLANK(Q283), 0, IF(ISNA(VLOOKUP(Q283, Wages!$A$2:$C$17, 2, 0)), Q283, VLOOKUP(Q283, Wages!$A$2:$C$17, 2, 0))) * IF(ISBLANK(N283), 0, IF(ISNA(VLOOKUP(N283, Crews!$A$2:$C$28, 2, 0)), N283, VLOOKUP(N283, Crews!$A$2:$C$28, 2, 0))))) * 400</f>
        <v>221631.9444</v>
      </c>
      <c r="K283" s="1" t="s">
        <v>63</v>
      </c>
      <c r="L283" s="1" t="s">
        <v>583</v>
      </c>
      <c r="M283" s="1" t="n">
        <v>0</v>
      </c>
      <c r="N283" s="1" t="s">
        <v>323</v>
      </c>
      <c r="O283" s="1" t="n">
        <v>0.75</v>
      </c>
      <c r="P283" s="1"/>
      <c r="Q283" s="1" t="s">
        <v>34</v>
      </c>
      <c r="R283" s="4" t="s">
        <v>35</v>
      </c>
      <c r="S283" s="1" t="s">
        <v>35</v>
      </c>
      <c r="T283" s="1" t="s">
        <v>569</v>
      </c>
    </row>
    <row r="284" customFormat="false" ht="15" hidden="false" customHeight="true" outlineLevel="0" collapsed="false">
      <c r="A284" s="1" t="s">
        <v>584</v>
      </c>
      <c r="B284" s="1" t="n">
        <v>1843</v>
      </c>
      <c r="C284" s="1" t="n">
        <v>3</v>
      </c>
      <c r="D284" s="1" t="s">
        <v>38</v>
      </c>
      <c r="E284" s="1" t="s">
        <v>274</v>
      </c>
      <c r="F284" s="1" t="n">
        <v>45</v>
      </c>
      <c r="G284" s="1" t="n">
        <v>70</v>
      </c>
      <c r="H284" s="2" t="n">
        <f aca="false">10160000*0.75</f>
        <v>7620000</v>
      </c>
      <c r="I284" s="2" t="n">
        <f aca="false">(((H284 / 800) / IF(ISBLANK(R284), 1000000, IF(ISNA(VLOOKUP(R284, Mileages!$A$2:$C$34, 2, 0)), R284, VLOOKUP(R284, Mileages!$A$2:$C$34, 2, 0)))) + (F284 * IF(ISBLANK(P284), 1, P284) * IF(ISBLANK(T284), 0, IF(ISNA(VLOOKUP(T284, 'Fuel Costs'!$A$2:$C$42, 2, 0)), T284, VLOOKUP(T284, 'Fuel Costs'!$A$2:$C$42, 2, 0))) / IF(ISBLANK(O284), 1, O284))) * 100</f>
        <v>82.38125</v>
      </c>
      <c r="J284" s="2" t="n">
        <f aca="false">((H284 / 800) / (IF(ISBLANK(S284), 100, IF(ISNA(VLOOKUP(S284, Lives!$A$2:$C$35, 2, 0)), S284, VLOOKUP(S284, Lives!$A$2:$C$35, 2, 0))) * 12) + (IF(ISBLANK(Q284), 0, IF(ISNA(VLOOKUP(Q284, Wages!$A$2:$C$17, 2, 0)), Q284, VLOOKUP(Q284, Wages!$A$2:$C$17, 2, 0))) * IF(ISBLANK(N284), 0, IF(ISNA(VLOOKUP(N284, Crews!$A$2:$C$28, 2, 0)), N284, VLOOKUP(N284, Crews!$A$2:$C$28, 2, 0))))) * 400</f>
        <v>26583.33333</v>
      </c>
      <c r="K284" s="3" t="s">
        <v>585</v>
      </c>
      <c r="L284" s="1" t="s">
        <v>586</v>
      </c>
      <c r="M284" s="1" t="n">
        <v>0</v>
      </c>
      <c r="N284" s="1" t="s">
        <v>283</v>
      </c>
      <c r="O284" s="1" t="n">
        <v>0.45</v>
      </c>
      <c r="P284" s="1"/>
      <c r="Q284" s="5" t="s">
        <v>284</v>
      </c>
      <c r="R284" s="4" t="s">
        <v>285</v>
      </c>
      <c r="S284" s="4" t="s">
        <v>285</v>
      </c>
      <c r="T284" s="1" t="s">
        <v>569</v>
      </c>
    </row>
    <row r="285" customFormat="false" ht="15" hidden="false" customHeight="true" outlineLevel="0" collapsed="false">
      <c r="A285" s="1" t="s">
        <v>587</v>
      </c>
      <c r="B285" s="1" t="n">
        <v>1843</v>
      </c>
      <c r="C285" s="1" t="n">
        <v>5</v>
      </c>
      <c r="D285" s="1" t="s">
        <v>38</v>
      </c>
      <c r="E285" s="1" t="s">
        <v>274</v>
      </c>
      <c r="F285" s="1" t="n">
        <v>70</v>
      </c>
      <c r="G285" s="1" t="n">
        <v>56</v>
      </c>
      <c r="H285" s="2" t="n">
        <v>14800000</v>
      </c>
      <c r="I285" s="2" t="n">
        <f aca="false">(((H285 / 800) / IF(ISBLANK(R285), 1000000, IF(ISNA(VLOOKUP(R285, Mileages!$A$2:$C$34, 2, 0)), R285, VLOOKUP(R285, Mileages!$A$2:$C$34, 2, 0)))) + (F285 * IF(ISBLANK(P285), 1, P285) * IF(ISBLANK(T285), 0, IF(ISNA(VLOOKUP(T285, 'Fuel Costs'!$A$2:$C$42, 2, 0)), T285, VLOOKUP(T285, 'Fuel Costs'!$A$2:$C$42, 2, 0))) / IF(ISBLANK(O285), 1, O285))) * 100</f>
        <v>116.625</v>
      </c>
      <c r="J285" s="2" t="n">
        <f aca="false">((H285 / 800) / (IF(ISBLANK(S285), 100, IF(ISNA(VLOOKUP(S285, Lives!$A$2:$C$35, 2, 0)), S285, VLOOKUP(S285, Lives!$A$2:$C$35, 2, 0))) * 12) + (IF(ISBLANK(Q285), 0, IF(ISNA(VLOOKUP(Q285, Wages!$A$2:$C$17, 2, 0)), Q285, VLOOKUP(Q285, Wages!$A$2:$C$17, 2, 0))) * IF(ISBLANK(N285), 0, IF(ISNA(VLOOKUP(N285, Crews!$A$2:$C$28, 2, 0)), N285, VLOOKUP(N285, Crews!$A$2:$C$28, 2, 0))))) * 400</f>
        <v>44555.55556</v>
      </c>
      <c r="K285" s="3" t="s">
        <v>588</v>
      </c>
      <c r="L285" s="1" t="s">
        <v>589</v>
      </c>
      <c r="M285" s="1" t="n">
        <v>0</v>
      </c>
      <c r="N285" s="1" t="s">
        <v>590</v>
      </c>
      <c r="O285" s="1" t="n">
        <v>0.5</v>
      </c>
      <c r="P285" s="1"/>
      <c r="Q285" s="5" t="s">
        <v>284</v>
      </c>
      <c r="R285" s="4" t="s">
        <v>285</v>
      </c>
      <c r="S285" s="4" t="s">
        <v>285</v>
      </c>
      <c r="T285" s="1" t="s">
        <v>569</v>
      </c>
    </row>
    <row r="286" customFormat="false" ht="15" hidden="false" customHeight="true" outlineLevel="0" collapsed="false">
      <c r="A286" s="1" t="s">
        <v>591</v>
      </c>
      <c r="B286" s="1" t="n">
        <v>1843</v>
      </c>
      <c r="C286" s="1" t="n">
        <v>8</v>
      </c>
      <c r="D286" s="1" t="s">
        <v>38</v>
      </c>
      <c r="E286" s="1" t="s">
        <v>274</v>
      </c>
      <c r="F286" s="1"/>
      <c r="G286" s="1" t="n">
        <v>56</v>
      </c>
      <c r="H286" s="2" t="n">
        <v>0</v>
      </c>
      <c r="I286" s="2" t="n">
        <f aca="false">(((H286 / 800) / IF(ISBLANK(R286), 1000000, IF(ISNA(VLOOKUP(R286, Mileages!$A$2:$C$34, 2, 0)), R286, VLOOKUP(R286, Mileages!$A$2:$C$34, 2, 0)))) + (F286 * IF(ISBLANK(P286), 1, P286) * IF(ISBLANK(T286), 0, IF(ISNA(VLOOKUP(T286, 'Fuel Costs'!$A$2:$C$42, 2, 0)), T286, VLOOKUP(T286, 'Fuel Costs'!$A$2:$C$42, 2, 0))) / IF(ISBLANK(O286), 1, O286))) * 100</f>
        <v>0</v>
      </c>
      <c r="J286" s="2" t="n">
        <f aca="false">((H286 / 800) / (IF(ISBLANK(S286), 100, IF(ISNA(VLOOKUP(S286, Lives!$A$2:$C$35, 2, 0)), S286, VLOOKUP(S286, Lives!$A$2:$C$35, 2, 0))) * 12) + (IF(ISBLANK(Q286), 0, IF(ISNA(VLOOKUP(Q286, Wages!$A$2:$C$17, 2, 0)), Q286, VLOOKUP(Q286, Wages!$A$2:$C$17, 2, 0))) * IF(ISBLANK(N286), 0, IF(ISNA(VLOOKUP(N286, Crews!$A$2:$C$28, 2, 0)), N286, VLOOKUP(N286, Crews!$A$2:$C$28, 2, 0))))) * 400</f>
        <v>0</v>
      </c>
      <c r="K286" s="3" t="s">
        <v>592</v>
      </c>
      <c r="L286" s="1" t="s">
        <v>589</v>
      </c>
      <c r="M286" s="1" t="n">
        <v>1</v>
      </c>
      <c r="N286" s="1"/>
      <c r="O286" s="1"/>
      <c r="P286" s="1"/>
      <c r="Q286" s="1"/>
      <c r="R286" s="1"/>
      <c r="S286" s="1"/>
      <c r="T286" s="1"/>
    </row>
    <row r="287" customFormat="false" ht="15" hidden="false" customHeight="true" outlineLevel="0" collapsed="false">
      <c r="A287" s="1" t="s">
        <v>593</v>
      </c>
      <c r="B287" s="1" t="n">
        <v>1844</v>
      </c>
      <c r="C287" s="1" t="n">
        <v>2</v>
      </c>
      <c r="D287" s="1" t="s">
        <v>29</v>
      </c>
      <c r="E287" s="1" t="s">
        <v>274</v>
      </c>
      <c r="F287" s="1" t="n">
        <v>90</v>
      </c>
      <c r="G287" s="1" t="n">
        <v>22</v>
      </c>
      <c r="H287" s="2" t="n">
        <v>15676416</v>
      </c>
      <c r="I287" s="2" t="n">
        <f aca="false">(((H287 / 800) / IF(ISBLANK(R287), 1000000, IF(ISNA(VLOOKUP(R287, Mileages!$A$2:$C$34, 2, 0)), R287, VLOOKUP(R287, Mileages!$A$2:$C$34, 2, 0)))) + (F287 * IF(ISBLANK(P287), 1, P287) * IF(ISBLANK(T287), 0, IF(ISNA(VLOOKUP(T287, 'Fuel Costs'!$A$2:$C$42, 2, 0)), T287, VLOOKUP(T287, 'Fuel Costs'!$A$2:$C$42, 2, 0))) / IF(ISBLANK(O287), 1, O287))) * 100</f>
        <v>17.683776</v>
      </c>
      <c r="J287" s="2" t="n">
        <f aca="false">((H287 / 800) / (IF(ISBLANK(S287), 100, IF(ISNA(VLOOKUP(S287, Lives!$A$2:$C$35, 2, 0)), S287, VLOOKUP(S287, Lives!$A$2:$C$35, 2, 0))) * 12) + (IF(ISBLANK(Q287), 0, IF(ISNA(VLOOKUP(Q287, Wages!$A$2:$C$17, 2, 0)), Q287, VLOOKUP(Q287, Wages!$A$2:$C$17, 2, 0))) * IF(ISBLANK(N287), 0, IF(ISNA(VLOOKUP(N287, Crews!$A$2:$C$28, 2, 0)), N287, VLOOKUP(N287, Crews!$A$2:$C$28, 2, 0))))) * 400</f>
        <v>206531.84</v>
      </c>
      <c r="K287" s="1" t="s">
        <v>321</v>
      </c>
      <c r="L287" s="1" t="s">
        <v>594</v>
      </c>
      <c r="M287" s="1" t="n">
        <v>0</v>
      </c>
      <c r="N287" s="1" t="s">
        <v>323</v>
      </c>
      <c r="O287" s="1" t="n">
        <v>0.75</v>
      </c>
      <c r="P287" s="1" t="n">
        <v>0.174</v>
      </c>
      <c r="Q287" s="1" t="s">
        <v>34</v>
      </c>
      <c r="R287" s="1" t="s">
        <v>574</v>
      </c>
      <c r="S287" s="1" t="s">
        <v>574</v>
      </c>
      <c r="T287" s="1" t="s">
        <v>569</v>
      </c>
    </row>
    <row r="288" customFormat="false" ht="15" hidden="false" customHeight="true" outlineLevel="0" collapsed="false">
      <c r="A288" s="1" t="s">
        <v>595</v>
      </c>
      <c r="B288" s="1" t="n">
        <v>1844</v>
      </c>
      <c r="C288" s="1" t="n">
        <v>2</v>
      </c>
      <c r="D288" s="1" t="s">
        <v>29</v>
      </c>
      <c r="E288" s="1"/>
      <c r="F288" s="1"/>
      <c r="G288" s="1" t="n">
        <v>22</v>
      </c>
      <c r="H288" s="2" t="n">
        <v>0</v>
      </c>
      <c r="I288" s="2" t="n">
        <v>0</v>
      </c>
      <c r="J288" s="2"/>
      <c r="K288" s="1"/>
      <c r="L288" s="1" t="s">
        <v>279</v>
      </c>
      <c r="M288" s="1" t="n">
        <v>4</v>
      </c>
      <c r="N288" s="1"/>
      <c r="O288" s="1"/>
      <c r="P288" s="1"/>
      <c r="Q288" s="1"/>
      <c r="R288" s="4"/>
      <c r="S288" s="1"/>
      <c r="T288" s="1"/>
    </row>
    <row r="289" customFormat="false" ht="15" hidden="false" customHeight="true" outlineLevel="0" collapsed="false">
      <c r="A289" s="1" t="s">
        <v>596</v>
      </c>
      <c r="B289" s="1" t="n">
        <v>1844</v>
      </c>
      <c r="C289" s="1" t="n">
        <v>4</v>
      </c>
      <c r="D289" s="1" t="s">
        <v>38</v>
      </c>
      <c r="E289" s="1"/>
      <c r="F289" s="1"/>
      <c r="G289" s="1" t="n">
        <v>130</v>
      </c>
      <c r="H289" s="2" t="n">
        <v>167000</v>
      </c>
      <c r="I289" s="2" t="n">
        <f aca="false">(((H289 / 800) / IF(ISBLANK(R289), 1000000, IF(ISNA(VLOOKUP(R289, Mileages!$A$2:$C$34, 2, 0)), R289, VLOOKUP(R289, Mileages!$A$2:$C$34, 2, 0)))) + (F289 * IF(ISBLANK(P289), 1, P289) * IF(ISBLANK(T289), 0, IF(ISNA(VLOOKUP(T289, 'Fuel Costs'!$A$2:$C$42, 2, 0)), T289, VLOOKUP(T289, 'Fuel Costs'!$A$2:$C$42, 2, 0))) / IF(ISBLANK(O289), 1, O289))) * 100</f>
        <v>0.03479166667</v>
      </c>
      <c r="J289" s="2" t="n">
        <f aca="false">((H289 / 800) / (IF(ISBLANK(S289), 100, IF(ISNA(VLOOKUP(S289, Lives!$A$2:$C$35, 2, 0)), S289, VLOOKUP(S289, Lives!$A$2:$C$35, 2, 0))) * 12) + (IF(ISBLANK(Q289), 0, IF(ISNA(VLOOKUP(Q289, Wages!$A$2:$C$17, 2, 0)), Q289, VLOOKUP(Q289, Wages!$A$2:$C$17, 2, 0))) * IF(ISBLANK(N289), 0, IF(ISNA(VLOOKUP(N289, Crews!$A$2:$C$28, 2, 0)), N289, VLOOKUP(N289, Crews!$A$2:$C$28, 2, 0))))) * 400</f>
        <v>347.9166667</v>
      </c>
      <c r="K289" s="3" t="s">
        <v>597</v>
      </c>
      <c r="L289" s="1" t="s">
        <v>598</v>
      </c>
      <c r="M289" s="1" t="n">
        <v>0</v>
      </c>
      <c r="N289" s="1"/>
      <c r="O289" s="1"/>
      <c r="P289" s="1"/>
      <c r="Q289" s="1"/>
      <c r="R289" s="5" t="s">
        <v>374</v>
      </c>
      <c r="S289" s="1" t="s">
        <v>423</v>
      </c>
      <c r="T289" s="1"/>
    </row>
    <row r="290" customFormat="false" ht="15" hidden="false" customHeight="true" outlineLevel="0" collapsed="false">
      <c r="A290" s="1" t="s">
        <v>599</v>
      </c>
      <c r="B290" s="1" t="n">
        <v>1844</v>
      </c>
      <c r="C290" s="1" t="n">
        <v>4</v>
      </c>
      <c r="D290" s="1" t="s">
        <v>38</v>
      </c>
      <c r="E290" s="1"/>
      <c r="F290" s="1"/>
      <c r="G290" s="1" t="n">
        <v>130</v>
      </c>
      <c r="H290" s="2" t="n">
        <v>169000</v>
      </c>
      <c r="I290" s="2" t="n">
        <f aca="false">(((H290 / 800) / IF(ISBLANK(R290), 1000000, IF(ISNA(VLOOKUP(R290, Mileages!$A$2:$C$34, 2, 0)), R290, VLOOKUP(R290, Mileages!$A$2:$C$34, 2, 0)))) + (F290 * IF(ISBLANK(P290), 1, P290) * IF(ISBLANK(T290), 0, IF(ISNA(VLOOKUP(T290, 'Fuel Costs'!$A$2:$C$42, 2, 0)), T290, VLOOKUP(T290, 'Fuel Costs'!$A$2:$C$42, 2, 0))) / IF(ISBLANK(O290), 1, O290))) * 100</f>
        <v>0.03520833333</v>
      </c>
      <c r="J290" s="2" t="n">
        <f aca="false">((H290 / 800) / (IF(ISBLANK(S290), 100, IF(ISNA(VLOOKUP(S290, Lives!$A$2:$C$35, 2, 0)), S290, VLOOKUP(S290, Lives!$A$2:$C$35, 2, 0))) * 12) + (IF(ISBLANK(Q290), 0, IF(ISNA(VLOOKUP(Q290, Wages!$A$2:$C$17, 2, 0)), Q290, VLOOKUP(Q290, Wages!$A$2:$C$17, 2, 0))) * IF(ISBLANK(N290), 0, IF(ISNA(VLOOKUP(N290, Crews!$A$2:$C$28, 2, 0)), N290, VLOOKUP(N290, Crews!$A$2:$C$28, 2, 0))))) * 400</f>
        <v>5152.083333</v>
      </c>
      <c r="K290" s="1" t="s">
        <v>437</v>
      </c>
      <c r="L290" s="1" t="s">
        <v>598</v>
      </c>
      <c r="M290" s="1" t="n">
        <v>1</v>
      </c>
      <c r="N290" s="1" t="s">
        <v>25</v>
      </c>
      <c r="O290" s="1"/>
      <c r="P290" s="1"/>
      <c r="Q290" s="1" t="s">
        <v>378</v>
      </c>
      <c r="R290" s="5" t="s">
        <v>374</v>
      </c>
      <c r="S290" s="1" t="s">
        <v>423</v>
      </c>
      <c r="T290" s="1"/>
    </row>
    <row r="291" customFormat="false" ht="15" hidden="false" customHeight="true" outlineLevel="0" collapsed="false">
      <c r="A291" s="1" t="s">
        <v>600</v>
      </c>
      <c r="B291" s="1" t="n">
        <v>1844</v>
      </c>
      <c r="C291" s="1" t="n">
        <v>4</v>
      </c>
      <c r="D291" s="1" t="s">
        <v>38</v>
      </c>
      <c r="E291" s="1"/>
      <c r="F291" s="1"/>
      <c r="G291" s="1" t="n">
        <v>130</v>
      </c>
      <c r="H291" s="2" t="n">
        <v>169000</v>
      </c>
      <c r="I291" s="2" t="n">
        <f aca="false">(((H291 / 800) / IF(ISBLANK(R291), 1000000, IF(ISNA(VLOOKUP(R291, Mileages!$A$2:$C$34, 2, 0)), R291, VLOOKUP(R291, Mileages!$A$2:$C$34, 2, 0)))) + (F291 * IF(ISBLANK(P291), 1, P291) * IF(ISBLANK(T291), 0, IF(ISNA(VLOOKUP(T291, 'Fuel Costs'!$A$2:$C$42, 2, 0)), T291, VLOOKUP(T291, 'Fuel Costs'!$A$2:$C$42, 2, 0))) / IF(ISBLANK(O291), 1, O291))) * 100</f>
        <v>0.03520833333</v>
      </c>
      <c r="J291" s="2" t="n">
        <f aca="false">((H291 / 800) / (IF(ISBLANK(S291), 100, IF(ISNA(VLOOKUP(S291, Lives!$A$2:$C$35, 2, 0)), S291, VLOOKUP(S291, Lives!$A$2:$C$35, 2, 0))) * 12) + (IF(ISBLANK(Q291), 0, IF(ISNA(VLOOKUP(Q291, Wages!$A$2:$C$17, 2, 0)), Q291, VLOOKUP(Q291, Wages!$A$2:$C$17, 2, 0))) * IF(ISBLANK(N291), 0, IF(ISNA(VLOOKUP(N291, Crews!$A$2:$C$28, 2, 0)), N291, VLOOKUP(N291, Crews!$A$2:$C$28, 2, 0))))) * 400</f>
        <v>5152.083333</v>
      </c>
      <c r="K291" s="1" t="s">
        <v>437</v>
      </c>
      <c r="L291" s="1" t="s">
        <v>598</v>
      </c>
      <c r="M291" s="1" t="n">
        <v>2</v>
      </c>
      <c r="N291" s="1" t="s">
        <v>25</v>
      </c>
      <c r="O291" s="1"/>
      <c r="P291" s="1"/>
      <c r="Q291" s="1" t="s">
        <v>378</v>
      </c>
      <c r="R291" s="5" t="s">
        <v>374</v>
      </c>
      <c r="S291" s="1" t="s">
        <v>423</v>
      </c>
      <c r="T291" s="1"/>
    </row>
    <row r="292" customFormat="false" ht="15" hidden="false" customHeight="true" outlineLevel="0" collapsed="false">
      <c r="A292" s="1" t="s">
        <v>601</v>
      </c>
      <c r="B292" s="1" t="n">
        <v>1844</v>
      </c>
      <c r="C292" s="1" t="n">
        <v>4</v>
      </c>
      <c r="D292" s="1" t="s">
        <v>38</v>
      </c>
      <c r="E292" s="1"/>
      <c r="F292" s="1"/>
      <c r="G292" s="1" t="n">
        <v>130</v>
      </c>
      <c r="H292" s="2" t="n">
        <v>125000</v>
      </c>
      <c r="I292" s="2" t="n">
        <f aca="false">(((H292 / 800) / IF(ISBLANK(R292), 1000000, IF(ISNA(VLOOKUP(R292, Mileages!$A$2:$C$34, 2, 0)), R292, VLOOKUP(R292, Mileages!$A$2:$C$34, 2, 0)))) + (F292 * IF(ISBLANK(P292), 1, P292) * IF(ISBLANK(T292), 0, IF(ISNA(VLOOKUP(T292, 'Fuel Costs'!$A$2:$C$42, 2, 0)), T292, VLOOKUP(T292, 'Fuel Costs'!$A$2:$C$42, 2, 0))) / IF(ISBLANK(O292), 1, O292))) * 100</f>
        <v>0.02604166667</v>
      </c>
      <c r="J292" s="2" t="n">
        <f aca="false">((H292 / 800) / (IF(ISBLANK(S292), 100, IF(ISNA(VLOOKUP(S292, Lives!$A$2:$C$35, 2, 0)), S292, VLOOKUP(S292, Lives!$A$2:$C$35, 2, 0))) * 12) + (IF(ISBLANK(Q292), 0, IF(ISNA(VLOOKUP(Q292, Wages!$A$2:$C$17, 2, 0)), Q292, VLOOKUP(Q292, Wages!$A$2:$C$17, 2, 0))) * IF(ISBLANK(N292), 0, IF(ISNA(VLOOKUP(N292, Crews!$A$2:$C$28, 2, 0)), N292, VLOOKUP(N292, Crews!$A$2:$C$28, 2, 0))))) * 400</f>
        <v>260.4166667</v>
      </c>
      <c r="K292" s="3" t="s">
        <v>602</v>
      </c>
      <c r="L292" s="1" t="s">
        <v>603</v>
      </c>
      <c r="M292" s="1" t="n">
        <v>0</v>
      </c>
      <c r="N292" s="1"/>
      <c r="O292" s="1"/>
      <c r="P292" s="1"/>
      <c r="Q292" s="1"/>
      <c r="R292" s="5" t="s">
        <v>374</v>
      </c>
      <c r="S292" s="1" t="s">
        <v>423</v>
      </c>
      <c r="T292" s="1"/>
    </row>
    <row r="293" customFormat="false" ht="15" hidden="false" customHeight="true" outlineLevel="0" collapsed="false">
      <c r="A293" s="1" t="s">
        <v>604</v>
      </c>
      <c r="B293" s="1" t="n">
        <v>1844</v>
      </c>
      <c r="C293" s="1" t="n">
        <v>12</v>
      </c>
      <c r="D293" s="1" t="s">
        <v>38</v>
      </c>
      <c r="E293" s="1" t="s">
        <v>274</v>
      </c>
      <c r="F293" s="1"/>
      <c r="G293" s="1" t="n">
        <v>115</v>
      </c>
      <c r="H293" s="2" t="n">
        <v>0</v>
      </c>
      <c r="I293" s="2" t="n">
        <f aca="false">(((H293 / 800) / IF(ISBLANK(R293), 1000000, IF(ISNA(VLOOKUP(R293, Mileages!$A$2:$C$34, 2, 0)), R293, VLOOKUP(R293, Mileages!$A$2:$C$34, 2, 0)))) + (F293 * IF(ISBLANK(P293), 1, P293) * IF(ISBLANK(T293), 0, IF(ISNA(VLOOKUP(T293, 'Fuel Costs'!$A$2:$C$42, 2, 0)), T293, VLOOKUP(T293, 'Fuel Costs'!$A$2:$C$42, 2, 0))) / IF(ISBLANK(O293), 1, O293))) * 100</f>
        <v>0</v>
      </c>
      <c r="J293" s="2" t="n">
        <f aca="false">((H293 / 800) / (IF(ISBLANK(S293), 100, IF(ISNA(VLOOKUP(S293, Lives!$A$2:$C$35, 2, 0)), S293, VLOOKUP(S293, Lives!$A$2:$C$35, 2, 0))) * 12) + (IF(ISBLANK(Q293), 0, IF(ISNA(VLOOKUP(Q293, Wages!$A$2:$C$17, 2, 0)), Q293, VLOOKUP(Q293, Wages!$A$2:$C$17, 2, 0))) * IF(ISBLANK(N293), 0, IF(ISNA(VLOOKUP(N293, Crews!$A$2:$C$28, 2, 0)), N293, VLOOKUP(N293, Crews!$A$2:$C$28, 2, 0))))) * 400</f>
        <v>0</v>
      </c>
      <c r="K293" s="1" t="s">
        <v>605</v>
      </c>
      <c r="L293" s="1" t="s">
        <v>606</v>
      </c>
      <c r="M293" s="1" t="n">
        <v>0</v>
      </c>
      <c r="N293" s="1"/>
      <c r="O293" s="1"/>
      <c r="P293" s="1"/>
      <c r="Q293" s="1"/>
      <c r="R293" s="1"/>
      <c r="S293" s="1"/>
      <c r="T293" s="1"/>
    </row>
    <row r="294" customFormat="false" ht="15" hidden="false" customHeight="true" outlineLevel="0" collapsed="false">
      <c r="A294" s="1" t="s">
        <v>607</v>
      </c>
      <c r="B294" s="1" t="n">
        <v>1844</v>
      </c>
      <c r="C294" s="1" t="n">
        <v>12</v>
      </c>
      <c r="D294" s="1" t="s">
        <v>29</v>
      </c>
      <c r="E294" s="1" t="s">
        <v>274</v>
      </c>
      <c r="F294" s="1" t="n">
        <v>1350</v>
      </c>
      <c r="G294" s="1" t="n">
        <v>20</v>
      </c>
      <c r="H294" s="2" t="n">
        <v>116188800</v>
      </c>
      <c r="I294" s="2" t="n">
        <f aca="false">(((H294 / 800) / IF(ISBLANK(R294), 1000000, IF(ISNA(VLOOKUP(R294, Mileages!$A$2:$C$34, 2, 0)), R294, VLOOKUP(R294, Mileages!$A$2:$C$34, 2, 0)))) + (F294 * IF(ISBLANK(P294), 1, P294) * IF(ISBLANK(T294), 0, IF(ISNA(VLOOKUP(T294, 'Fuel Costs'!$A$2:$C$42, 2, 0)), T294, VLOOKUP(T294, 'Fuel Costs'!$A$2:$C$42, 2, 0))) / IF(ISBLANK(O294), 1, O294))) * 100</f>
        <v>147.6618</v>
      </c>
      <c r="J294" s="2" t="n">
        <f aca="false">((H294 / 800) / (IF(ISBLANK(S294), 100, IF(ISNA(VLOOKUP(S294, Lives!$A$2:$C$35, 2, 0)), S294, VLOOKUP(S294, Lives!$A$2:$C$35, 2, 0))) * 12) + (IF(ISBLANK(Q294), 0, IF(ISNA(VLOOKUP(Q294, Wages!$A$2:$C$17, 2, 0)), Q294, VLOOKUP(Q294, Wages!$A$2:$C$17, 2, 0))) * IF(ISBLANK(N294), 0, IF(ISNA(VLOOKUP(N294, Crews!$A$2:$C$28, 2, 0)), N294, VLOOKUP(N294, Crews!$A$2:$C$28, 2, 0))))) * 400</f>
        <v>568412</v>
      </c>
      <c r="K294" s="3" t="s">
        <v>608</v>
      </c>
      <c r="L294" s="1" t="s">
        <v>609</v>
      </c>
      <c r="M294" s="1" t="n">
        <v>0</v>
      </c>
      <c r="N294" s="1" t="n">
        <v>130</v>
      </c>
      <c r="O294" s="1" t="n">
        <v>1</v>
      </c>
      <c r="P294" s="1" t="n">
        <v>0.13</v>
      </c>
      <c r="Q294" s="1" t="s">
        <v>34</v>
      </c>
      <c r="R294" s="1" t="s">
        <v>574</v>
      </c>
      <c r="S294" s="1" t="s">
        <v>574</v>
      </c>
      <c r="T294" s="1" t="s">
        <v>569</v>
      </c>
    </row>
    <row r="295" customFormat="false" ht="15" hidden="false" customHeight="true" outlineLevel="0" collapsed="false">
      <c r="A295" s="1" t="s">
        <v>610</v>
      </c>
      <c r="B295" s="1" t="n">
        <v>1844</v>
      </c>
      <c r="C295" s="1" t="n">
        <v>12</v>
      </c>
      <c r="D295" s="1" t="s">
        <v>29</v>
      </c>
      <c r="E295" s="1"/>
      <c r="F295" s="1"/>
      <c r="G295" s="1" t="n">
        <v>20</v>
      </c>
      <c r="H295" s="2"/>
      <c r="I295" s="2"/>
      <c r="J295" s="2"/>
      <c r="K295" s="1"/>
      <c r="L295" s="1" t="s">
        <v>609</v>
      </c>
      <c r="M295" s="1" t="n">
        <v>1</v>
      </c>
      <c r="N295" s="1"/>
      <c r="O295" s="1"/>
      <c r="P295" s="1"/>
      <c r="Q295" s="1"/>
      <c r="R295" s="1"/>
      <c r="S295" s="1"/>
      <c r="T295" s="1"/>
    </row>
    <row r="296" customFormat="false" ht="15" hidden="false" customHeight="true" outlineLevel="0" collapsed="false">
      <c r="A296" s="1" t="s">
        <v>611</v>
      </c>
      <c r="B296" s="1" t="n">
        <v>1844</v>
      </c>
      <c r="C296" s="1" t="n">
        <v>12</v>
      </c>
      <c r="D296" s="1" t="s">
        <v>38</v>
      </c>
      <c r="E296" s="1" t="s">
        <v>274</v>
      </c>
      <c r="F296" s="1" t="n">
        <v>85</v>
      </c>
      <c r="G296" s="1" t="n">
        <v>85</v>
      </c>
      <c r="H296" s="2" t="n">
        <v>14778000</v>
      </c>
      <c r="I296" s="2" t="n">
        <f aca="false">(((H296 / 800) / IF(ISBLANK(R296), 1000000, IF(ISNA(VLOOKUP(R296, Mileages!$A$2:$C$34, 2, 0)), R296, VLOOKUP(R296, Mileages!$A$2:$C$34, 2, 0)))) + (F296 * IF(ISBLANK(P296), 1, P296) * IF(ISBLANK(T296), 0, IF(ISNA(VLOOKUP(T296, 'Fuel Costs'!$A$2:$C$42, 2, 0)), T296, VLOOKUP(T296, 'Fuel Costs'!$A$2:$C$42, 2, 0))) / IF(ISBLANK(O296), 1, O296))) * 100</f>
        <v>155.7292361</v>
      </c>
      <c r="J296" s="2" t="n">
        <f aca="false">((H296 / 800) / (IF(ISBLANK(S296), 100, IF(ISNA(VLOOKUP(S296, Lives!$A$2:$C$35, 2, 0)), S296, VLOOKUP(S296, Lives!$A$2:$C$35, 2, 0))) * 12) + (IF(ISBLANK(Q296), 0, IF(ISNA(VLOOKUP(Q296, Wages!$A$2:$C$17, 2, 0)), Q296, VLOOKUP(Q296, Wages!$A$2:$C$17, 2, 0))) * IF(ISBLANK(N296), 0, IF(ISNA(VLOOKUP(N296, Crews!$A$2:$C$28, 2, 0)), N296, VLOOKUP(N296, Crews!$A$2:$C$28, 2, 0))))) * 400</f>
        <v>44525</v>
      </c>
      <c r="K296" s="3" t="s">
        <v>612</v>
      </c>
      <c r="L296" s="1" t="s">
        <v>613</v>
      </c>
      <c r="M296" s="1" t="n">
        <v>0</v>
      </c>
      <c r="N296" s="1" t="s">
        <v>590</v>
      </c>
      <c r="O296" s="1" t="n">
        <v>0.45</v>
      </c>
      <c r="P296" s="1"/>
      <c r="Q296" s="5" t="s">
        <v>284</v>
      </c>
      <c r="R296" s="4" t="s">
        <v>285</v>
      </c>
      <c r="S296" s="4" t="s">
        <v>285</v>
      </c>
      <c r="T296" s="1" t="s">
        <v>569</v>
      </c>
    </row>
    <row r="297" customFormat="false" ht="15" hidden="false" customHeight="true" outlineLevel="0" collapsed="false">
      <c r="A297" s="1" t="s">
        <v>614</v>
      </c>
      <c r="B297" s="1" t="n">
        <v>1845</v>
      </c>
      <c r="C297" s="1" t="n">
        <v>4</v>
      </c>
      <c r="D297" s="1" t="s">
        <v>38</v>
      </c>
      <c r="E297" s="1" t="s">
        <v>274</v>
      </c>
      <c r="F297" s="1" t="n">
        <v>83</v>
      </c>
      <c r="G297" s="1" t="n">
        <v>92</v>
      </c>
      <c r="H297" s="2" t="n">
        <v>14427000</v>
      </c>
      <c r="I297" s="2" t="n">
        <f aca="false">(((H297 / 800) / IF(ISBLANK(R297), 1000000, IF(ISNA(VLOOKUP(R297, Mileages!$A$2:$C$34, 2, 0)), R297, VLOOKUP(R297, Mileages!$A$2:$C$34, 2, 0)))) + (F297 * IF(ISBLANK(P297), 1, P297) * IF(ISBLANK(T297), 0, IF(ISNA(VLOOKUP(T297, 'Fuel Costs'!$A$2:$C$42, 2, 0)), T297, VLOOKUP(T297, 'Fuel Costs'!$A$2:$C$42, 2, 0))) / IF(ISBLANK(O297), 1, O297))) * 100</f>
        <v>152.0639931</v>
      </c>
      <c r="J297" s="2" t="n">
        <f aca="false">((H297 / 800) / (IF(ISBLANK(S297), 100, IF(ISNA(VLOOKUP(S297, Lives!$A$2:$C$35, 2, 0)), S297, VLOOKUP(S297, Lives!$A$2:$C$35, 2, 0))) * 12) + (IF(ISBLANK(Q297), 0, IF(ISNA(VLOOKUP(Q297, Wages!$A$2:$C$17, 2, 0)), Q297, VLOOKUP(Q297, Wages!$A$2:$C$17, 2, 0))) * IF(ISBLANK(N297), 0, IF(ISNA(VLOOKUP(N297, Crews!$A$2:$C$28, 2, 0)), N297, VLOOKUP(N297, Crews!$A$2:$C$28, 2, 0))))) * 400</f>
        <v>44037.5</v>
      </c>
      <c r="K297" s="3" t="s">
        <v>615</v>
      </c>
      <c r="L297" s="1" t="s">
        <v>616</v>
      </c>
      <c r="M297" s="1" t="n">
        <v>0</v>
      </c>
      <c r="N297" s="1" t="s">
        <v>590</v>
      </c>
      <c r="O297" s="1" t="n">
        <v>0.45</v>
      </c>
      <c r="P297" s="1"/>
      <c r="Q297" s="5" t="s">
        <v>284</v>
      </c>
      <c r="R297" s="4" t="s">
        <v>285</v>
      </c>
      <c r="S297" s="4" t="s">
        <v>285</v>
      </c>
      <c r="T297" s="1" t="s">
        <v>569</v>
      </c>
    </row>
    <row r="298" customFormat="false" ht="15" hidden="false" customHeight="true" outlineLevel="0" collapsed="false">
      <c r="A298" s="1" t="s">
        <v>617</v>
      </c>
      <c r="B298" s="1" t="n">
        <v>1845</v>
      </c>
      <c r="C298" s="1" t="n">
        <v>5</v>
      </c>
      <c r="D298" s="1" t="s">
        <v>38</v>
      </c>
      <c r="E298" s="1" t="s">
        <v>274</v>
      </c>
      <c r="F298" s="1" t="n">
        <v>66</v>
      </c>
      <c r="G298" s="1" t="n">
        <v>96</v>
      </c>
      <c r="H298" s="2" t="n">
        <v>12198750</v>
      </c>
      <c r="I298" s="2" t="n">
        <f aca="false">(((H298 / 800) / IF(ISBLANK(R298), 1000000, IF(ISNA(VLOOKUP(R298, Mileages!$A$2:$C$34, 2, 0)), R298, VLOOKUP(R298, Mileages!$A$2:$C$34, 2, 0)))) + (F298 * IF(ISBLANK(P298), 1, P298) * IF(ISBLANK(T298), 0, IF(ISNA(VLOOKUP(T298, 'Fuel Costs'!$A$2:$C$42, 2, 0)), T298, VLOOKUP(T298, 'Fuel Costs'!$A$2:$C$42, 2, 0))) / IF(ISBLANK(O298), 1, O298))) * 100</f>
        <v>135.8121094</v>
      </c>
      <c r="J298" s="2" t="n">
        <f aca="false">((H298 / 800) / (IF(ISBLANK(S298), 100, IF(ISNA(VLOOKUP(S298, Lives!$A$2:$C$35, 2, 0)), S298, VLOOKUP(S298, Lives!$A$2:$C$35, 2, 0))) * 12) + (IF(ISBLANK(Q298), 0, IF(ISNA(VLOOKUP(Q298, Wages!$A$2:$C$17, 2, 0)), Q298, VLOOKUP(Q298, Wages!$A$2:$C$17, 2, 0))) * IF(ISBLANK(N298), 0, IF(ISNA(VLOOKUP(N298, Crews!$A$2:$C$28, 2, 0)), N298, VLOOKUP(N298, Crews!$A$2:$C$28, 2, 0))))) * 400</f>
        <v>32942.70833</v>
      </c>
      <c r="K298" s="3" t="s">
        <v>618</v>
      </c>
      <c r="L298" s="1" t="s">
        <v>619</v>
      </c>
      <c r="M298" s="1" t="n">
        <v>0</v>
      </c>
      <c r="N298" s="1" t="s">
        <v>283</v>
      </c>
      <c r="O298" s="1" t="n">
        <v>0.4</v>
      </c>
      <c r="P298" s="1"/>
      <c r="Q298" s="5" t="s">
        <v>284</v>
      </c>
      <c r="R298" s="4" t="s">
        <v>285</v>
      </c>
      <c r="S298" s="4" t="s">
        <v>285</v>
      </c>
      <c r="T298" s="1" t="s">
        <v>569</v>
      </c>
    </row>
    <row r="299" customFormat="false" ht="15" hidden="false" customHeight="true" outlineLevel="0" collapsed="false">
      <c r="A299" s="1" t="s">
        <v>620</v>
      </c>
      <c r="B299" s="1" t="n">
        <v>1845</v>
      </c>
      <c r="C299" s="1" t="n">
        <v>5</v>
      </c>
      <c r="D299" s="1" t="s">
        <v>38</v>
      </c>
      <c r="E299" s="1" t="s">
        <v>274</v>
      </c>
      <c r="F299" s="1"/>
      <c r="G299" s="1" t="n">
        <v>46</v>
      </c>
      <c r="H299" s="2" t="n">
        <v>0</v>
      </c>
      <c r="I299" s="2" t="n">
        <f aca="false">(((H299 / 800) / IF(ISBLANK(R299), 1000000, IF(ISNA(VLOOKUP(R299, Mileages!$A$2:$C$34, 2, 0)), R299, VLOOKUP(R299, Mileages!$A$2:$C$34, 2, 0)))) + (F299 * IF(ISBLANK(P299), 1, P299) * IF(ISBLANK(T299), 0, IF(ISNA(VLOOKUP(T299, 'Fuel Costs'!$A$2:$C$42, 2, 0)), T299, VLOOKUP(T299, 'Fuel Costs'!$A$2:$C$42, 2, 0))) / IF(ISBLANK(O299), 1, O299))) * 100</f>
        <v>0</v>
      </c>
      <c r="J299" s="2" t="n">
        <f aca="false">((H299 / 800) / (IF(ISBLANK(S299), 100, IF(ISNA(VLOOKUP(S299, Lives!$A$2:$C$35, 2, 0)), S299, VLOOKUP(S299, Lives!$A$2:$C$35, 2, 0))) * 12) + (IF(ISBLANK(Q299), 0, IF(ISNA(VLOOKUP(Q299, Wages!$A$2:$C$17, 2, 0)), Q299, VLOOKUP(Q299, Wages!$A$2:$C$17, 2, 0))) * IF(ISBLANK(N299), 0, IF(ISNA(VLOOKUP(N299, Crews!$A$2:$C$28, 2, 0)), N299, VLOOKUP(N299, Crews!$A$2:$C$28, 2, 0))))) * 400</f>
        <v>0</v>
      </c>
      <c r="K299" s="1"/>
      <c r="L299" s="1" t="s">
        <v>621</v>
      </c>
      <c r="M299" s="1" t="n">
        <v>0</v>
      </c>
      <c r="N299" s="1"/>
      <c r="O299" s="1"/>
      <c r="P299" s="1"/>
      <c r="Q299" s="1"/>
      <c r="R299" s="1"/>
      <c r="S299" s="1"/>
      <c r="T299" s="1"/>
    </row>
    <row r="300" customFormat="false" ht="15" hidden="false" customHeight="true" outlineLevel="0" collapsed="false">
      <c r="A300" s="1" t="s">
        <v>622</v>
      </c>
      <c r="B300" s="1" t="n">
        <v>1845</v>
      </c>
      <c r="C300" s="1" t="n">
        <v>5</v>
      </c>
      <c r="D300" s="1" t="s">
        <v>38</v>
      </c>
      <c r="E300" s="1" t="s">
        <v>274</v>
      </c>
      <c r="F300" s="1" t="n">
        <v>70</v>
      </c>
      <c r="G300" s="1" t="n">
        <v>46</v>
      </c>
      <c r="H300" s="2" t="n">
        <v>5280000</v>
      </c>
      <c r="I300" s="2" t="n">
        <f aca="false">(((H300 / 800) / IF(ISBLANK(R300), 1000000, IF(ISNA(VLOOKUP(R300, Mileages!$A$2:$C$34, 2, 0)), R300, VLOOKUP(R300, Mileages!$A$2:$C$34, 2, 0)))) + (F300 * IF(ISBLANK(P300), 1, P300) * IF(ISBLANK(T300), 0, IF(ISNA(VLOOKUP(T300, 'Fuel Costs'!$A$2:$C$42, 2, 0)), T300, VLOOKUP(T300, 'Fuel Costs'!$A$2:$C$42, 2, 0))) / IF(ISBLANK(O300), 1, O300))) * 100</f>
        <v>126.0944444</v>
      </c>
      <c r="J300" s="2" t="n">
        <f aca="false">((H300 / 800) / (IF(ISBLANK(S300), 100, IF(ISNA(VLOOKUP(S300, Lives!$A$2:$C$35, 2, 0)), S300, VLOOKUP(S300, Lives!$A$2:$C$35, 2, 0))) * 12) + (IF(ISBLANK(Q300), 0, IF(ISNA(VLOOKUP(Q300, Wages!$A$2:$C$17, 2, 0)), Q300, VLOOKUP(Q300, Wages!$A$2:$C$17, 2, 0))) * IF(ISBLANK(N300), 0, IF(ISNA(VLOOKUP(N300, Crews!$A$2:$C$28, 2, 0)), N300, VLOOKUP(N300, Crews!$A$2:$C$28, 2, 0))))) * 400</f>
        <v>31333.33333</v>
      </c>
      <c r="K300" s="3" t="s">
        <v>623</v>
      </c>
      <c r="L300" s="1" t="s">
        <v>624</v>
      </c>
      <c r="M300" s="1" t="n">
        <v>0</v>
      </c>
      <c r="N300" s="1" t="s">
        <v>590</v>
      </c>
      <c r="O300" s="1" t="n">
        <v>0.45</v>
      </c>
      <c r="P300" s="1"/>
      <c r="Q300" s="5" t="s">
        <v>284</v>
      </c>
      <c r="R300" s="4" t="s">
        <v>285</v>
      </c>
      <c r="S300" s="4" t="s">
        <v>285</v>
      </c>
      <c r="T300" s="1" t="s">
        <v>569</v>
      </c>
    </row>
    <row r="301" customFormat="false" ht="15" hidden="false" customHeight="true" outlineLevel="0" collapsed="false">
      <c r="A301" s="1" t="s">
        <v>625</v>
      </c>
      <c r="B301" s="1" t="n">
        <v>1845</v>
      </c>
      <c r="C301" s="1" t="n">
        <v>11</v>
      </c>
      <c r="D301" s="1" t="s">
        <v>38</v>
      </c>
      <c r="E301" s="1" t="s">
        <v>274</v>
      </c>
      <c r="F301" s="1" t="n">
        <v>76</v>
      </c>
      <c r="G301" s="1" t="n">
        <v>81</v>
      </c>
      <c r="H301" s="2" t="n">
        <v>15400000</v>
      </c>
      <c r="I301" s="2" t="n">
        <f aca="false">(((H301 / 800) / IF(ISBLANK(R301), 1000000, IF(ISNA(VLOOKUP(R301, Mileages!$A$2:$C$34, 2, 0)), R301, VLOOKUP(R301, Mileages!$A$2:$C$34, 2, 0)))) + (F301 * IF(ISBLANK(P301), 1, P301) * IF(ISBLANK(T301), 0, IF(ISNA(VLOOKUP(T301, 'Fuel Costs'!$A$2:$C$42, 2, 0)), T301, VLOOKUP(T301, 'Fuel Costs'!$A$2:$C$42, 2, 0))) / IF(ISBLANK(O301), 1, O301))) * 100</f>
        <v>126.4125</v>
      </c>
      <c r="J301" s="2" t="n">
        <f aca="false">((H301 / 800) / (IF(ISBLANK(S301), 100, IF(ISNA(VLOOKUP(S301, Lives!$A$2:$C$35, 2, 0)), S301, VLOOKUP(S301, Lives!$A$2:$C$35, 2, 0))) * 12) + (IF(ISBLANK(Q301), 0, IF(ISNA(VLOOKUP(Q301, Wages!$A$2:$C$17, 2, 0)), Q301, VLOOKUP(Q301, Wages!$A$2:$C$17, 2, 0))) * IF(ISBLANK(N301), 0, IF(ISNA(VLOOKUP(N301, Crews!$A$2:$C$28, 2, 0)), N301, VLOOKUP(N301, Crews!$A$2:$C$28, 2, 0))))) * 400</f>
        <v>45388.88889</v>
      </c>
      <c r="K301" s="3" t="s">
        <v>626</v>
      </c>
      <c r="L301" s="1" t="s">
        <v>627</v>
      </c>
      <c r="M301" s="1" t="n">
        <v>0</v>
      </c>
      <c r="N301" s="1" t="s">
        <v>590</v>
      </c>
      <c r="O301" s="1" t="n">
        <v>0.5</v>
      </c>
      <c r="P301" s="1"/>
      <c r="Q301" s="5" t="s">
        <v>284</v>
      </c>
      <c r="R301" s="4" t="s">
        <v>285</v>
      </c>
      <c r="S301" s="4" t="s">
        <v>285</v>
      </c>
      <c r="T301" s="1" t="s">
        <v>569</v>
      </c>
    </row>
    <row r="302" customFormat="false" ht="15" hidden="false" customHeight="true" outlineLevel="0" collapsed="false">
      <c r="A302" s="1" t="s">
        <v>628</v>
      </c>
      <c r="B302" s="1" t="n">
        <v>1845</v>
      </c>
      <c r="C302" s="1" t="n">
        <v>11</v>
      </c>
      <c r="D302" s="1" t="s">
        <v>38</v>
      </c>
      <c r="E302" s="1" t="s">
        <v>274</v>
      </c>
      <c r="F302" s="1"/>
      <c r="G302" s="1" t="n">
        <v>81</v>
      </c>
      <c r="H302" s="2" t="n">
        <v>0</v>
      </c>
      <c r="I302" s="2" t="n">
        <f aca="false">(((H302 / 800) / IF(ISBLANK(R302), 1000000, IF(ISNA(VLOOKUP(R302, Mileages!$A$2:$C$34, 2, 0)), R302, VLOOKUP(R302, Mileages!$A$2:$C$34, 2, 0)))) + (F302 * IF(ISBLANK(P302), 1, P302) * IF(ISBLANK(T302), 0, IF(ISNA(VLOOKUP(T302, 'Fuel Costs'!$A$2:$C$42, 2, 0)), T302, VLOOKUP(T302, 'Fuel Costs'!$A$2:$C$42, 2, 0))) / IF(ISBLANK(O302), 1, O302))) * 100</f>
        <v>0</v>
      </c>
      <c r="J302" s="2" t="n">
        <f aca="false">((H302 / 800) / (IF(ISBLANK(S302), 100, IF(ISNA(VLOOKUP(S302, Lives!$A$2:$C$35, 2, 0)), S302, VLOOKUP(S302, Lives!$A$2:$C$35, 2, 0))) * 12) + (IF(ISBLANK(Q302), 0, IF(ISNA(VLOOKUP(Q302, Wages!$A$2:$C$17, 2, 0)), Q302, VLOOKUP(Q302, Wages!$A$2:$C$17, 2, 0))) * IF(ISBLANK(N302), 0, IF(ISNA(VLOOKUP(N302, Crews!$A$2:$C$28, 2, 0)), N302, VLOOKUP(N302, Crews!$A$2:$C$28, 2, 0))))) * 400</f>
        <v>0</v>
      </c>
      <c r="K302" s="1" t="s">
        <v>605</v>
      </c>
      <c r="L302" s="1" t="s">
        <v>627</v>
      </c>
      <c r="M302" s="1" t="n">
        <v>1</v>
      </c>
      <c r="N302" s="1"/>
      <c r="O302" s="1"/>
      <c r="P302" s="1"/>
      <c r="Q302" s="1"/>
      <c r="R302" s="1"/>
      <c r="S302" s="1"/>
      <c r="T302" s="1"/>
    </row>
    <row r="303" customFormat="false" ht="15" hidden="false" customHeight="true" outlineLevel="0" collapsed="false">
      <c r="A303" s="1" t="s">
        <v>629</v>
      </c>
      <c r="B303" s="1" t="n">
        <v>1845</v>
      </c>
      <c r="C303" s="1" t="n">
        <v>11</v>
      </c>
      <c r="D303" s="1" t="s">
        <v>38</v>
      </c>
      <c r="E303" s="1"/>
      <c r="F303" s="1"/>
      <c r="G303" s="1" t="n">
        <v>130</v>
      </c>
      <c r="H303" s="2" t="n">
        <v>123000</v>
      </c>
      <c r="I303" s="2" t="n">
        <f aca="false">(((H303 / 800) / IF(ISBLANK(R303), 1000000, IF(ISNA(VLOOKUP(R303, Mileages!$A$2:$C$34, 2, 0)), R303, VLOOKUP(R303, Mileages!$A$2:$C$34, 2, 0)))) + (F303 * IF(ISBLANK(P303), 1, P303) * IF(ISBLANK(T303), 0, IF(ISNA(VLOOKUP(T303, 'Fuel Costs'!$A$2:$C$42, 2, 0)), T303, VLOOKUP(T303, 'Fuel Costs'!$A$2:$C$42, 2, 0))) / IF(ISBLANK(O303), 1, O303))) * 100</f>
        <v>0.025625</v>
      </c>
      <c r="J303" s="2" t="n">
        <f aca="false">((H303 / 800) / (IF(ISBLANK(S303), 100, IF(ISNA(VLOOKUP(S303, Lives!$A$2:$C$35, 2, 0)), S303, VLOOKUP(S303, Lives!$A$2:$C$35, 2, 0))) * 12) + (IF(ISBLANK(Q303), 0, IF(ISNA(VLOOKUP(Q303, Wages!$A$2:$C$17, 2, 0)), Q303, VLOOKUP(Q303, Wages!$A$2:$C$17, 2, 0))) * IF(ISBLANK(N303), 0, IF(ISNA(VLOOKUP(N303, Crews!$A$2:$C$28, 2, 0)), N303, VLOOKUP(N303, Crews!$A$2:$C$28, 2, 0))))) * 400</f>
        <v>102.5</v>
      </c>
      <c r="K303" s="3" t="s">
        <v>630</v>
      </c>
      <c r="L303" s="1" t="s">
        <v>631</v>
      </c>
      <c r="M303" s="1" t="n">
        <v>0</v>
      </c>
      <c r="N303" s="1"/>
      <c r="O303" s="1"/>
      <c r="P303" s="1"/>
      <c r="Q303" s="1"/>
      <c r="R303" s="5" t="s">
        <v>374</v>
      </c>
      <c r="S303" s="5" t="s">
        <v>375</v>
      </c>
      <c r="T303" s="1"/>
    </row>
    <row r="304" customFormat="false" ht="15" hidden="false" customHeight="true" outlineLevel="0" collapsed="false">
      <c r="A304" s="1" t="s">
        <v>632</v>
      </c>
      <c r="B304" s="1" t="n">
        <v>1845</v>
      </c>
      <c r="C304" s="1" t="n">
        <v>11</v>
      </c>
      <c r="D304" s="1" t="s">
        <v>38</v>
      </c>
      <c r="E304" s="1"/>
      <c r="F304" s="1"/>
      <c r="G304" s="1" t="n">
        <v>130</v>
      </c>
      <c r="H304" s="2" t="n">
        <v>110000</v>
      </c>
      <c r="I304" s="2" t="n">
        <f aca="false">(((H304 / 800) / IF(ISBLANK(R304), 1000000, IF(ISNA(VLOOKUP(R304, Mileages!$A$2:$C$34, 2, 0)), R304, VLOOKUP(R304, Mileages!$A$2:$C$34, 2, 0)))) + (F304 * IF(ISBLANK(P304), 1, P304) * IF(ISBLANK(T304), 0, IF(ISNA(VLOOKUP(T304, 'Fuel Costs'!$A$2:$C$42, 2, 0)), T304, VLOOKUP(T304, 'Fuel Costs'!$A$2:$C$42, 2, 0))) / IF(ISBLANK(O304), 1, O304))) * 100</f>
        <v>0.02291666667</v>
      </c>
      <c r="J304" s="2" t="n">
        <f aca="false">((H304 / 800) / (IF(ISBLANK(S304), 100, IF(ISNA(VLOOKUP(S304, Lives!$A$2:$C$35, 2, 0)), S304, VLOOKUP(S304, Lives!$A$2:$C$35, 2, 0))) * 12) + (IF(ISBLANK(Q304), 0, IF(ISNA(VLOOKUP(Q304, Wages!$A$2:$C$17, 2, 0)), Q304, VLOOKUP(Q304, Wages!$A$2:$C$17, 2, 0))) * IF(ISBLANK(N304), 0, IF(ISNA(VLOOKUP(N304, Crews!$A$2:$C$28, 2, 0)), N304, VLOOKUP(N304, Crews!$A$2:$C$28, 2, 0))))) * 400</f>
        <v>91.66666667</v>
      </c>
      <c r="K304" s="3" t="s">
        <v>633</v>
      </c>
      <c r="L304" s="1" t="s">
        <v>634</v>
      </c>
      <c r="M304" s="1" t="n">
        <v>0</v>
      </c>
      <c r="N304" s="1"/>
      <c r="O304" s="1"/>
      <c r="P304" s="1"/>
      <c r="Q304" s="1"/>
      <c r="R304" s="5" t="s">
        <v>374</v>
      </c>
      <c r="S304" s="5" t="s">
        <v>375</v>
      </c>
      <c r="T304" s="1"/>
    </row>
    <row r="305" customFormat="false" ht="15" hidden="false" customHeight="true" outlineLevel="0" collapsed="false">
      <c r="A305" s="1" t="s">
        <v>635</v>
      </c>
      <c r="B305" s="1" t="n">
        <v>1845</v>
      </c>
      <c r="C305" s="1" t="n">
        <v>12</v>
      </c>
      <c r="D305" s="1" t="s">
        <v>38</v>
      </c>
      <c r="E305" s="1"/>
      <c r="F305" s="1"/>
      <c r="G305" s="1" t="n">
        <v>130</v>
      </c>
      <c r="H305" s="2" t="n">
        <v>160000</v>
      </c>
      <c r="I305" s="2" t="n">
        <f aca="false">(((H305 / 800) / IF(ISBLANK(R305), 1000000, IF(ISNA(VLOOKUP(R305, Mileages!$A$2:$C$34, 2, 0)), R305, VLOOKUP(R305, Mileages!$A$2:$C$34, 2, 0)))) + (F305 * IF(ISBLANK(P305), 1, P305) * IF(ISBLANK(T305), 0, IF(ISNA(VLOOKUP(T305, 'Fuel Costs'!$A$2:$C$42, 2, 0)), T305, VLOOKUP(T305, 'Fuel Costs'!$A$2:$C$42, 2, 0))) / IF(ISBLANK(O305), 1, O305))) * 100</f>
        <v>0.03333333333</v>
      </c>
      <c r="J305" s="2" t="n">
        <f aca="false">((H305 / 800) / (IF(ISBLANK(S305), 100, IF(ISNA(VLOOKUP(S305, Lives!$A$2:$C$35, 2, 0)), S305, VLOOKUP(S305, Lives!$A$2:$C$35, 2, 0))) * 12) + (IF(ISBLANK(Q305), 0, IF(ISNA(VLOOKUP(Q305, Wages!$A$2:$C$17, 2, 0)), Q305, VLOOKUP(Q305, Wages!$A$2:$C$17, 2, 0))) * IF(ISBLANK(N305), 0, IF(ISNA(VLOOKUP(N305, Crews!$A$2:$C$28, 2, 0)), N305, VLOOKUP(N305, Crews!$A$2:$C$28, 2, 0))))) * 400</f>
        <v>133.3333333</v>
      </c>
      <c r="K305" s="3" t="s">
        <v>636</v>
      </c>
      <c r="L305" s="1" t="s">
        <v>637</v>
      </c>
      <c r="M305" s="1" t="n">
        <v>0</v>
      </c>
      <c r="N305" s="1"/>
      <c r="O305" s="1"/>
      <c r="P305" s="1"/>
      <c r="Q305" s="1"/>
      <c r="R305" s="5" t="s">
        <v>374</v>
      </c>
      <c r="S305" s="5" t="s">
        <v>375</v>
      </c>
      <c r="T305" s="1"/>
    </row>
    <row r="306" customFormat="false" ht="15" hidden="false" customHeight="true" outlineLevel="0" collapsed="false">
      <c r="A306" s="1" t="s">
        <v>638</v>
      </c>
      <c r="B306" s="1" t="n">
        <v>1846</v>
      </c>
      <c r="C306" s="1" t="n">
        <v>1</v>
      </c>
      <c r="D306" s="1" t="s">
        <v>38</v>
      </c>
      <c r="E306" s="1" t="s">
        <v>274</v>
      </c>
      <c r="F306" s="1" t="n">
        <v>88</v>
      </c>
      <c r="G306" s="1" t="n">
        <v>95</v>
      </c>
      <c r="H306" s="2" t="n">
        <v>17850000</v>
      </c>
      <c r="I306" s="2" t="n">
        <f aca="false">(((H306 / 800) / IF(ISBLANK(R306), 1000000, IF(ISNA(VLOOKUP(R306, Mileages!$A$2:$C$34, 2, 0)), R306, VLOOKUP(R306, Mileages!$A$2:$C$34, 2, 0)))) + (F306 * IF(ISBLANK(P306), 1, P306) * IF(ISBLANK(T306), 0, IF(ISNA(VLOOKUP(T306, 'Fuel Costs'!$A$2:$C$42, 2, 0)), T306, VLOOKUP(T306, 'Fuel Costs'!$A$2:$C$42, 2, 0))) / IF(ISBLANK(O306), 1, O306))) * 100</f>
        <v>146.378125</v>
      </c>
      <c r="J306" s="2" t="n">
        <f aca="false">((H306 / 800) / (IF(ISBLANK(S306), 100, IF(ISNA(VLOOKUP(S306, Lives!$A$2:$C$35, 2, 0)), S306, VLOOKUP(S306, Lives!$A$2:$C$35, 2, 0))) * 12) + (IF(ISBLANK(Q306), 0, IF(ISNA(VLOOKUP(Q306, Wages!$A$2:$C$17, 2, 0)), Q306, VLOOKUP(Q306, Wages!$A$2:$C$17, 2, 0))) * IF(ISBLANK(N306), 0, IF(ISNA(VLOOKUP(N306, Crews!$A$2:$C$28, 2, 0)), N306, VLOOKUP(N306, Crews!$A$2:$C$28, 2, 0))))) * 400</f>
        <v>48791.66667</v>
      </c>
      <c r="K306" s="3" t="s">
        <v>639</v>
      </c>
      <c r="L306" s="1" t="s">
        <v>640</v>
      </c>
      <c r="M306" s="1" t="n">
        <v>0</v>
      </c>
      <c r="N306" s="1" t="s">
        <v>590</v>
      </c>
      <c r="O306" s="1" t="n">
        <v>0.5</v>
      </c>
      <c r="P306" s="1"/>
      <c r="Q306" s="5" t="s">
        <v>284</v>
      </c>
      <c r="R306" s="4" t="s">
        <v>285</v>
      </c>
      <c r="S306" s="4" t="s">
        <v>285</v>
      </c>
      <c r="T306" s="1" t="s">
        <v>569</v>
      </c>
    </row>
    <row r="307" customFormat="false" ht="15" hidden="false" customHeight="true" outlineLevel="0" collapsed="false">
      <c r="A307" s="1" t="s">
        <v>641</v>
      </c>
      <c r="B307" s="1" t="n">
        <v>1846</v>
      </c>
      <c r="C307" s="1" t="n">
        <v>1</v>
      </c>
      <c r="D307" s="1" t="s">
        <v>38</v>
      </c>
      <c r="E307" s="1" t="s">
        <v>274</v>
      </c>
      <c r="F307" s="1"/>
      <c r="G307" s="1" t="n">
        <v>105</v>
      </c>
      <c r="H307" s="2" t="n">
        <v>0</v>
      </c>
      <c r="I307" s="2" t="n">
        <f aca="false">(((H307 / 800) / IF(ISBLANK(R307), 1000000, IF(ISNA(VLOOKUP(R307, Mileages!$A$2:$C$34, 2, 0)), R307, VLOOKUP(R307, Mileages!$A$2:$C$34, 2, 0)))) + (F307 * IF(ISBLANK(P307), 1, P307) * IF(ISBLANK(T307), 0, IF(ISNA(VLOOKUP(T307, 'Fuel Costs'!$A$2:$C$42, 2, 0)), T307, VLOOKUP(T307, 'Fuel Costs'!$A$2:$C$42, 2, 0))) / IF(ISBLANK(O307), 1, O307))) * 100</f>
        <v>0</v>
      </c>
      <c r="J307" s="2" t="n">
        <f aca="false">((H307 / 800) / (IF(ISBLANK(S307), 100, IF(ISNA(VLOOKUP(S307, Lives!$A$2:$C$35, 2, 0)), S307, VLOOKUP(S307, Lives!$A$2:$C$35, 2, 0))) * 12) + (IF(ISBLANK(Q307), 0, IF(ISNA(VLOOKUP(Q307, Wages!$A$2:$C$17, 2, 0)), Q307, VLOOKUP(Q307, Wages!$A$2:$C$17, 2, 0))) * IF(ISBLANK(N307), 0, IF(ISNA(VLOOKUP(N307, Crews!$A$2:$C$28, 2, 0)), N307, VLOOKUP(N307, Crews!$A$2:$C$28, 2, 0))))) * 400</f>
        <v>0</v>
      </c>
      <c r="K307" s="1" t="s">
        <v>642</v>
      </c>
      <c r="L307" s="1" t="s">
        <v>643</v>
      </c>
      <c r="M307" s="1" t="n">
        <v>0</v>
      </c>
      <c r="N307" s="1"/>
      <c r="O307" s="1"/>
      <c r="P307" s="1"/>
      <c r="Q307" s="1"/>
      <c r="R307" s="1"/>
      <c r="S307" s="1"/>
      <c r="T307" s="1"/>
    </row>
    <row r="308" customFormat="false" ht="15" hidden="false" customHeight="true" outlineLevel="0" collapsed="false">
      <c r="A308" s="1" t="s">
        <v>644</v>
      </c>
      <c r="B308" s="1" t="n">
        <v>1846</v>
      </c>
      <c r="C308" s="1" t="n">
        <v>7</v>
      </c>
      <c r="D308" s="1" t="s">
        <v>38</v>
      </c>
      <c r="E308" s="1" t="s">
        <v>274</v>
      </c>
      <c r="F308" s="1" t="n">
        <v>86</v>
      </c>
      <c r="G308" s="1" t="n">
        <v>55</v>
      </c>
      <c r="H308" s="2" t="n">
        <v>7725912</v>
      </c>
      <c r="I308" s="2" t="n">
        <f aca="false">(((H308 / 800) / IF(ISBLANK(R308), 1000000, IF(ISNA(VLOOKUP(R308, Mileages!$A$2:$C$34, 2, 0)), R308, VLOOKUP(R308, Mileages!$A$2:$C$34, 2, 0)))) + (F308 * IF(ISBLANK(P308), 1, P308) * IF(ISBLANK(T308), 0, IF(ISNA(VLOOKUP(T308, 'Fuel Costs'!$A$2:$C$42, 2, 0)), T308, VLOOKUP(T308, 'Fuel Costs'!$A$2:$C$42, 2, 0))) / IF(ISBLANK(O308), 1, O308))) * 100</f>
        <v>140.0143475</v>
      </c>
      <c r="J308" s="2" t="n">
        <f aca="false">((H308 / 800) / (IF(ISBLANK(S308), 100, IF(ISNA(VLOOKUP(S308, Lives!$A$2:$C$35, 2, 0)), S308, VLOOKUP(S308, Lives!$A$2:$C$35, 2, 0))) * 12) + (IF(ISBLANK(Q308), 0, IF(ISNA(VLOOKUP(Q308, Wages!$A$2:$C$17, 2, 0)), Q308, VLOOKUP(Q308, Wages!$A$2:$C$17, 2, 0))) * IF(ISBLANK(N308), 0, IF(ISNA(VLOOKUP(N308, Crews!$A$2:$C$28, 2, 0)), N308, VLOOKUP(N308, Crews!$A$2:$C$28, 2, 0))))) * 400</f>
        <v>34730.43333</v>
      </c>
      <c r="K308" s="3" t="s">
        <v>645</v>
      </c>
      <c r="L308" s="1" t="s">
        <v>646</v>
      </c>
      <c r="M308" s="1" t="n">
        <v>0</v>
      </c>
      <c r="N308" s="1" t="s">
        <v>590</v>
      </c>
      <c r="O308" s="1" t="n">
        <v>0.5</v>
      </c>
      <c r="P308" s="1"/>
      <c r="Q308" s="5" t="s">
        <v>284</v>
      </c>
      <c r="R308" s="4" t="s">
        <v>285</v>
      </c>
      <c r="S308" s="4" t="s">
        <v>285</v>
      </c>
      <c r="T308" s="1" t="s">
        <v>569</v>
      </c>
    </row>
    <row r="309" customFormat="false" ht="15" hidden="false" customHeight="true" outlineLevel="0" collapsed="false">
      <c r="A309" s="1" t="s">
        <v>647</v>
      </c>
      <c r="B309" s="1" t="n">
        <v>1846</v>
      </c>
      <c r="C309" s="1" t="n">
        <v>9</v>
      </c>
      <c r="D309" s="1" t="s">
        <v>29</v>
      </c>
      <c r="E309" s="1" t="s">
        <v>274</v>
      </c>
      <c r="F309" s="1" t="n">
        <v>200</v>
      </c>
      <c r="G309" s="1" t="n">
        <v>20</v>
      </c>
      <c r="H309" s="2" t="n">
        <v>13970000</v>
      </c>
      <c r="I309" s="2" t="n">
        <f aca="false">(((H309 / 800) / IF(ISBLANK(R309), 1000000, IF(ISNA(VLOOKUP(R309, Mileages!$A$2:$C$34, 2, 0)), R309, VLOOKUP(R309, Mileages!$A$2:$C$34, 2, 0)))) + (F309 * IF(ISBLANK(P309), 1, P309) * IF(ISBLANK(T309), 0, IF(ISNA(VLOOKUP(T309, 'Fuel Costs'!$A$2:$C$42, 2, 0)), T309, VLOOKUP(T309, 'Fuel Costs'!$A$2:$C$42, 2, 0))) / IF(ISBLANK(O309), 1, O309))) * 100</f>
        <v>214.2064583</v>
      </c>
      <c r="J309" s="2" t="n">
        <f aca="false">((H309 / 800) / (IF(ISBLANK(S309), 100, IF(ISNA(VLOOKUP(S309, Lives!$A$2:$C$35, 2, 0)), S309, VLOOKUP(S309, Lives!$A$2:$C$35, 2, 0))) * 12) + (IF(ISBLANK(Q309), 0, IF(ISNA(VLOOKUP(Q309, Wages!$A$2:$C$17, 2, 0)), Q309, VLOOKUP(Q309, Wages!$A$2:$C$17, 2, 0))) * IF(ISBLANK(N309), 0, IF(ISNA(VLOOKUP(N309, Crews!$A$2:$C$28, 2, 0)), N309, VLOOKUP(N309, Crews!$A$2:$C$28, 2, 0))))) * 400</f>
        <v>205820.8333</v>
      </c>
      <c r="K309" s="1" t="s">
        <v>145</v>
      </c>
      <c r="L309" s="1" t="s">
        <v>648</v>
      </c>
      <c r="M309" s="1" t="n">
        <v>0</v>
      </c>
      <c r="N309" s="1" t="s">
        <v>323</v>
      </c>
      <c r="O309" s="1" t="n">
        <v>0.75</v>
      </c>
      <c r="P309" s="1"/>
      <c r="Q309" s="1" t="s">
        <v>34</v>
      </c>
      <c r="R309" s="1" t="s">
        <v>574</v>
      </c>
      <c r="S309" s="1" t="s">
        <v>574</v>
      </c>
      <c r="T309" s="1" t="s">
        <v>569</v>
      </c>
    </row>
    <row r="310" customFormat="false" ht="15" hidden="false" customHeight="true" outlineLevel="0" collapsed="false">
      <c r="A310" s="1" t="s">
        <v>649</v>
      </c>
      <c r="B310" s="1" t="n">
        <v>1847</v>
      </c>
      <c r="C310" s="1" t="n">
        <v>2</v>
      </c>
      <c r="D310" s="1" t="s">
        <v>38</v>
      </c>
      <c r="E310" s="1"/>
      <c r="F310" s="1"/>
      <c r="G310" s="1" t="n">
        <v>125</v>
      </c>
      <c r="H310" s="2" t="n">
        <v>70000</v>
      </c>
      <c r="I310" s="2" t="n">
        <f aca="false">(((H310 / 800) / IF(ISBLANK(R310), 1000000, IF(ISNA(VLOOKUP(R310, Mileages!$A$2:$C$34, 2, 0)), R310, VLOOKUP(R310, Mileages!$A$2:$C$34, 2, 0)))) + (F310 * IF(ISBLANK(P310), 1, P310) * IF(ISBLANK(T310), 0, IF(ISNA(VLOOKUP(T310, 'Fuel Costs'!$A$2:$C$42, 2, 0)), T310, VLOOKUP(T310, 'Fuel Costs'!$A$2:$C$42, 2, 0))) / IF(ISBLANK(O310), 1, O310))) * 100</f>
        <v>0.01458333333</v>
      </c>
      <c r="J310" s="2" t="n">
        <f aca="false">((H310 / 800) / (IF(ISBLANK(S310), 100, IF(ISNA(VLOOKUP(S310, Lives!$A$2:$C$35, 2, 0)), S310, VLOOKUP(S310, Lives!$A$2:$C$35, 2, 0))) * 12) + (IF(ISBLANK(Q310), 0, IF(ISNA(VLOOKUP(Q310, Wages!$A$2:$C$17, 2, 0)), Q310, VLOOKUP(Q310, Wages!$A$2:$C$17, 2, 0))) * IF(ISBLANK(N310), 0, IF(ISNA(VLOOKUP(N310, Crews!$A$2:$C$28, 2, 0)), N310, VLOOKUP(N310, Crews!$A$2:$C$28, 2, 0))))) * 400</f>
        <v>145.8333333</v>
      </c>
      <c r="K310" s="3" t="s">
        <v>650</v>
      </c>
      <c r="L310" s="1" t="s">
        <v>651</v>
      </c>
      <c r="M310" s="1" t="n">
        <v>0</v>
      </c>
      <c r="N310" s="1"/>
      <c r="O310" s="1"/>
      <c r="P310" s="1"/>
      <c r="Q310" s="1"/>
      <c r="R310" s="5" t="s">
        <v>374</v>
      </c>
      <c r="S310" s="1" t="s">
        <v>423</v>
      </c>
      <c r="T310" s="1"/>
    </row>
    <row r="311" customFormat="false" ht="15" hidden="false" customHeight="true" outlineLevel="0" collapsed="false">
      <c r="A311" s="1" t="s">
        <v>652</v>
      </c>
      <c r="B311" s="1" t="n">
        <v>1847</v>
      </c>
      <c r="C311" s="1" t="n">
        <v>2</v>
      </c>
      <c r="D311" s="1" t="s">
        <v>38</v>
      </c>
      <c r="E311" s="1"/>
      <c r="F311" s="1"/>
      <c r="G311" s="1" t="n">
        <v>110</v>
      </c>
      <c r="H311" s="2" t="n">
        <v>73000</v>
      </c>
      <c r="I311" s="2" t="n">
        <f aca="false">(((H311 / 800) / IF(ISBLANK(R311), 1000000, IF(ISNA(VLOOKUP(R311, Mileages!$A$2:$C$34, 2, 0)), R311, VLOOKUP(R311, Mileages!$A$2:$C$34, 2, 0)))) + (F311 * IF(ISBLANK(P311), 1, P311) * IF(ISBLANK(T311), 0, IF(ISNA(VLOOKUP(T311, 'Fuel Costs'!$A$2:$C$42, 2, 0)), T311, VLOOKUP(T311, 'Fuel Costs'!$A$2:$C$42, 2, 0))) / IF(ISBLANK(O311), 1, O311))) * 100</f>
        <v>0.01520833333</v>
      </c>
      <c r="J311" s="2" t="n">
        <f aca="false">((H311 / 800) / (IF(ISBLANK(S311), 100, IF(ISNA(VLOOKUP(S311, Lives!$A$2:$C$35, 2, 0)), S311, VLOOKUP(S311, Lives!$A$2:$C$35, 2, 0))) * 12) + (IF(ISBLANK(Q311), 0, IF(ISNA(VLOOKUP(Q311, Wages!$A$2:$C$17, 2, 0)), Q311, VLOOKUP(Q311, Wages!$A$2:$C$17, 2, 0))) * IF(ISBLANK(N311), 0, IF(ISNA(VLOOKUP(N311, Crews!$A$2:$C$28, 2, 0)), N311, VLOOKUP(N311, Crews!$A$2:$C$28, 2, 0))))) * 400</f>
        <v>4952.083333</v>
      </c>
      <c r="K311" s="1"/>
      <c r="L311" s="1" t="s">
        <v>651</v>
      </c>
      <c r="M311" s="1" t="n">
        <v>1</v>
      </c>
      <c r="N311" s="1" t="s">
        <v>25</v>
      </c>
      <c r="O311" s="1"/>
      <c r="P311" s="1"/>
      <c r="Q311" s="1" t="s">
        <v>378</v>
      </c>
      <c r="R311" s="5" t="s">
        <v>374</v>
      </c>
      <c r="S311" s="1" t="s">
        <v>423</v>
      </c>
      <c r="T311" s="1"/>
    </row>
    <row r="312" customFormat="false" ht="15" hidden="false" customHeight="true" outlineLevel="0" collapsed="false">
      <c r="A312" s="1" t="s">
        <v>653</v>
      </c>
      <c r="B312" s="1" t="n">
        <v>1847</v>
      </c>
      <c r="C312" s="1" t="n">
        <v>3</v>
      </c>
      <c r="D312" s="1" t="s">
        <v>38</v>
      </c>
      <c r="E312" s="1" t="s">
        <v>274</v>
      </c>
      <c r="F312" s="1"/>
      <c r="G312" s="1" t="n">
        <v>100</v>
      </c>
      <c r="H312" s="2" t="n">
        <v>0</v>
      </c>
      <c r="I312" s="2" t="n">
        <f aca="false">(((H312 / 800) / IF(ISBLANK(R312), 1000000, IF(ISNA(VLOOKUP(R312, Mileages!$A$2:$C$34, 2, 0)), R312, VLOOKUP(R312, Mileages!$A$2:$C$34, 2, 0)))) + (F312 * IF(ISBLANK(P312), 1, P312) * IF(ISBLANK(T312), 0, IF(ISNA(VLOOKUP(T312, 'Fuel Costs'!$A$2:$C$42, 2, 0)), T312, VLOOKUP(T312, 'Fuel Costs'!$A$2:$C$42, 2, 0))) / IF(ISBLANK(O312), 1, O312))) * 100</f>
        <v>0</v>
      </c>
      <c r="J312" s="2" t="n">
        <f aca="false">((H312 / 800) / (IF(ISBLANK(S312), 100, IF(ISNA(VLOOKUP(S312, Lives!$A$2:$C$35, 2, 0)), S312, VLOOKUP(S312, Lives!$A$2:$C$35, 2, 0))) * 12) + (IF(ISBLANK(Q312), 0, IF(ISNA(VLOOKUP(Q312, Wages!$A$2:$C$17, 2, 0)), Q312, VLOOKUP(Q312, Wages!$A$2:$C$17, 2, 0))) * IF(ISBLANK(N312), 0, IF(ISNA(VLOOKUP(N312, Crews!$A$2:$C$28, 2, 0)), N312, VLOOKUP(N312, Crews!$A$2:$C$28, 2, 0))))) * 400</f>
        <v>0</v>
      </c>
      <c r="K312" s="1" t="s">
        <v>605</v>
      </c>
      <c r="L312" s="1" t="s">
        <v>654</v>
      </c>
      <c r="M312" s="1" t="n">
        <v>0</v>
      </c>
      <c r="N312" s="1"/>
      <c r="O312" s="1"/>
      <c r="P312" s="1"/>
      <c r="Q312" s="1"/>
      <c r="R312" s="1"/>
      <c r="S312" s="1"/>
      <c r="T312" s="1"/>
    </row>
    <row r="313" customFormat="false" ht="15" hidden="false" customHeight="true" outlineLevel="0" collapsed="false">
      <c r="A313" s="1" t="s">
        <v>655</v>
      </c>
      <c r="B313" s="1" t="n">
        <v>1847</v>
      </c>
      <c r="C313" s="1" t="n">
        <v>4</v>
      </c>
      <c r="D313" s="1" t="s">
        <v>38</v>
      </c>
      <c r="E313" s="1" t="s">
        <v>274</v>
      </c>
      <c r="F313" s="1" t="n">
        <v>85</v>
      </c>
      <c r="G313" s="1" t="n">
        <v>80</v>
      </c>
      <c r="H313" s="2" t="n">
        <v>5000000</v>
      </c>
      <c r="I313" s="2" t="n">
        <f aca="false">(((H313 / 800) / IF(ISBLANK(R313), 1000000, IF(ISNA(VLOOKUP(R313, Mileages!$A$2:$C$34, 2, 0)), R313, VLOOKUP(R313, Mileages!$A$2:$C$34, 2, 0)))) + (F313 * IF(ISBLANK(P313), 1, P313) * IF(ISBLANK(T313), 0, IF(ISNA(VLOOKUP(T313, 'Fuel Costs'!$A$2:$C$42, 2, 0)), T313, VLOOKUP(T313, 'Fuel Costs'!$A$2:$C$42, 2, 0))) / IF(ISBLANK(O313), 1, O313))) * 100</f>
        <v>114.8958333</v>
      </c>
      <c r="J313" s="2" t="n">
        <f aca="false">((H313 / 800) / (IF(ISBLANK(S313), 100, IF(ISNA(VLOOKUP(S313, Lives!$A$2:$C$35, 2, 0)), S313, VLOOKUP(S313, Lives!$A$2:$C$35, 2, 0))) * 12) + (IF(ISBLANK(Q313), 0, IF(ISNA(VLOOKUP(Q313, Wages!$A$2:$C$17, 2, 0)), Q313, VLOOKUP(Q313, Wages!$A$2:$C$17, 2, 0))) * IF(ISBLANK(N313), 0, IF(ISNA(VLOOKUP(N313, Crews!$A$2:$C$28, 2, 0)), N313, VLOOKUP(N313, Crews!$A$2:$C$28, 2, 0))))) * 400</f>
        <v>30944.44444</v>
      </c>
      <c r="K313" s="3" t="s">
        <v>656</v>
      </c>
      <c r="L313" s="1" t="s">
        <v>657</v>
      </c>
      <c r="M313" s="1" t="n">
        <v>0</v>
      </c>
      <c r="N313" s="1" t="s">
        <v>590</v>
      </c>
      <c r="O313" s="1" t="n">
        <v>0.6</v>
      </c>
      <c r="P313" s="1"/>
      <c r="Q313" s="5" t="s">
        <v>284</v>
      </c>
      <c r="R313" s="4" t="s">
        <v>285</v>
      </c>
      <c r="S313" s="4" t="s">
        <v>285</v>
      </c>
      <c r="T313" s="1" t="s">
        <v>569</v>
      </c>
    </row>
    <row r="314" customFormat="false" ht="15" hidden="false" customHeight="true" outlineLevel="0" collapsed="false">
      <c r="A314" s="1" t="s">
        <v>658</v>
      </c>
      <c r="B314" s="1" t="n">
        <v>1847</v>
      </c>
      <c r="C314" s="1" t="n">
        <v>5</v>
      </c>
      <c r="D314" s="1" t="s">
        <v>38</v>
      </c>
      <c r="E314" s="1"/>
      <c r="F314" s="1"/>
      <c r="G314" s="1" t="n">
        <v>125</v>
      </c>
      <c r="H314" s="2" t="n">
        <v>165000</v>
      </c>
      <c r="I314" s="2" t="n">
        <f aca="false">(((H314 / 800) / IF(ISBLANK(R314), 1000000, IF(ISNA(VLOOKUP(R314, Mileages!$A$2:$C$34, 2, 0)), R314, VLOOKUP(R314, Mileages!$A$2:$C$34, 2, 0)))) + (F314 * IF(ISBLANK(P314), 1, P314) * IF(ISBLANK(T314), 0, IF(ISNA(VLOOKUP(T314, 'Fuel Costs'!$A$2:$C$42, 2, 0)), T314, VLOOKUP(T314, 'Fuel Costs'!$A$2:$C$42, 2, 0))) / IF(ISBLANK(O314), 1, O314))) * 100</f>
        <v>0.034375</v>
      </c>
      <c r="J314" s="2" t="n">
        <f aca="false">((H314 / 800) / (IF(ISBLANK(S314), 100, IF(ISNA(VLOOKUP(S314, Lives!$A$2:$C$35, 2, 0)), S314, VLOOKUP(S314, Lives!$A$2:$C$35, 2, 0))) * 12) + (IF(ISBLANK(Q314), 0, IF(ISNA(VLOOKUP(Q314, Wages!$A$2:$C$17, 2, 0)), Q314, VLOOKUP(Q314, Wages!$A$2:$C$17, 2, 0))) * IF(ISBLANK(N314), 0, IF(ISNA(VLOOKUP(N314, Crews!$A$2:$C$28, 2, 0)), N314, VLOOKUP(N314, Crews!$A$2:$C$28, 2, 0))))) * 400</f>
        <v>137.5</v>
      </c>
      <c r="K314" s="3" t="s">
        <v>659</v>
      </c>
      <c r="L314" s="1" t="s">
        <v>660</v>
      </c>
      <c r="M314" s="1" t="n">
        <v>0</v>
      </c>
      <c r="N314" s="1"/>
      <c r="O314" s="1"/>
      <c r="P314" s="1"/>
      <c r="Q314" s="1"/>
      <c r="R314" s="5" t="s">
        <v>374</v>
      </c>
      <c r="S314" s="5" t="s">
        <v>375</v>
      </c>
      <c r="T314" s="1"/>
    </row>
    <row r="315" customFormat="false" ht="15" hidden="false" customHeight="true" outlineLevel="0" collapsed="false">
      <c r="A315" s="1" t="s">
        <v>661</v>
      </c>
      <c r="B315" s="1" t="n">
        <v>1847</v>
      </c>
      <c r="C315" s="1" t="n">
        <v>5</v>
      </c>
      <c r="D315" s="1" t="s">
        <v>38</v>
      </c>
      <c r="E315" s="1"/>
      <c r="F315" s="1"/>
      <c r="G315" s="1" t="n">
        <v>125</v>
      </c>
      <c r="H315" s="2" t="n">
        <v>166000</v>
      </c>
      <c r="I315" s="2" t="n">
        <f aca="false">(((H315 / 800) / IF(ISBLANK(R315), 1000000, IF(ISNA(VLOOKUP(R315, Mileages!$A$2:$C$34, 2, 0)), R315, VLOOKUP(R315, Mileages!$A$2:$C$34, 2, 0)))) + (F315 * IF(ISBLANK(P315), 1, P315) * IF(ISBLANK(T315), 0, IF(ISNA(VLOOKUP(T315, 'Fuel Costs'!$A$2:$C$42, 2, 0)), T315, VLOOKUP(T315, 'Fuel Costs'!$A$2:$C$42, 2, 0))) / IF(ISBLANK(O315), 1, O315))) * 100</f>
        <v>0.03458333333</v>
      </c>
      <c r="J315" s="2" t="n">
        <f aca="false">((H315 / 800) / (IF(ISBLANK(S315), 100, IF(ISNA(VLOOKUP(S315, Lives!$A$2:$C$35, 2, 0)), S315, VLOOKUP(S315, Lives!$A$2:$C$35, 2, 0))) * 12) + (IF(ISBLANK(Q315), 0, IF(ISNA(VLOOKUP(Q315, Wages!$A$2:$C$17, 2, 0)), Q315, VLOOKUP(Q315, Wages!$A$2:$C$17, 2, 0))) * IF(ISBLANK(N315), 0, IF(ISNA(VLOOKUP(N315, Crews!$A$2:$C$28, 2, 0)), N315, VLOOKUP(N315, Crews!$A$2:$C$28, 2, 0))))) * 400</f>
        <v>4938.333333</v>
      </c>
      <c r="K315" s="1" t="s">
        <v>437</v>
      </c>
      <c r="L315" s="1" t="s">
        <v>660</v>
      </c>
      <c r="M315" s="1" t="n">
        <v>1</v>
      </c>
      <c r="N315" s="1" t="s">
        <v>25</v>
      </c>
      <c r="O315" s="1"/>
      <c r="P315" s="1"/>
      <c r="Q315" s="1" t="s">
        <v>378</v>
      </c>
      <c r="R315" s="5" t="s">
        <v>374</v>
      </c>
      <c r="S315" s="5" t="s">
        <v>375</v>
      </c>
      <c r="T315" s="1"/>
    </row>
    <row r="316" customFormat="false" ht="15" hidden="false" customHeight="true" outlineLevel="0" collapsed="false">
      <c r="A316" s="1" t="s">
        <v>662</v>
      </c>
      <c r="B316" s="1" t="n">
        <v>1847</v>
      </c>
      <c r="C316" s="1" t="n">
        <v>5</v>
      </c>
      <c r="D316" s="1" t="s">
        <v>38</v>
      </c>
      <c r="E316" s="1"/>
      <c r="F316" s="1"/>
      <c r="G316" s="1" t="n">
        <v>125</v>
      </c>
      <c r="H316" s="2" t="n">
        <v>166000</v>
      </c>
      <c r="I316" s="2" t="n">
        <f aca="false">(((H316 / 800) / IF(ISBLANK(R316), 1000000, IF(ISNA(VLOOKUP(R316, Mileages!$A$2:$C$34, 2, 0)), R316, VLOOKUP(R316, Mileages!$A$2:$C$34, 2, 0)))) + (F316 * IF(ISBLANK(P316), 1, P316) * IF(ISBLANK(T316), 0, IF(ISNA(VLOOKUP(T316, 'Fuel Costs'!$A$2:$C$42, 2, 0)), T316, VLOOKUP(T316, 'Fuel Costs'!$A$2:$C$42, 2, 0))) / IF(ISBLANK(O316), 1, O316))) * 100</f>
        <v>0.03458333333</v>
      </c>
      <c r="J316" s="2" t="n">
        <f aca="false">((H316 / 800) / (IF(ISBLANK(S316), 100, IF(ISNA(VLOOKUP(S316, Lives!$A$2:$C$35, 2, 0)), S316, VLOOKUP(S316, Lives!$A$2:$C$35, 2, 0))) * 12) + (IF(ISBLANK(Q316), 0, IF(ISNA(VLOOKUP(Q316, Wages!$A$2:$C$17, 2, 0)), Q316, VLOOKUP(Q316, Wages!$A$2:$C$17, 2, 0))) * IF(ISBLANK(N316), 0, IF(ISNA(VLOOKUP(N316, Crews!$A$2:$C$28, 2, 0)), N316, VLOOKUP(N316, Crews!$A$2:$C$28, 2, 0))))) * 400</f>
        <v>4938.333333</v>
      </c>
      <c r="K316" s="1" t="s">
        <v>437</v>
      </c>
      <c r="L316" s="1" t="s">
        <v>660</v>
      </c>
      <c r="M316" s="1" t="n">
        <v>2</v>
      </c>
      <c r="N316" s="1" t="s">
        <v>25</v>
      </c>
      <c r="O316" s="1"/>
      <c r="P316" s="1"/>
      <c r="Q316" s="1" t="s">
        <v>378</v>
      </c>
      <c r="R316" s="5" t="s">
        <v>374</v>
      </c>
      <c r="S316" s="5" t="s">
        <v>375</v>
      </c>
      <c r="T316" s="1"/>
    </row>
    <row r="317" customFormat="false" ht="15" hidden="false" customHeight="true" outlineLevel="0" collapsed="false">
      <c r="A317" s="1" t="s">
        <v>663</v>
      </c>
      <c r="B317" s="1" t="n">
        <v>1847</v>
      </c>
      <c r="C317" s="1" t="n">
        <v>5</v>
      </c>
      <c r="D317" s="1" t="s">
        <v>38</v>
      </c>
      <c r="E317" s="1"/>
      <c r="F317" s="1"/>
      <c r="G317" s="1" t="n">
        <v>125</v>
      </c>
      <c r="H317" s="2" t="n">
        <v>165000</v>
      </c>
      <c r="I317" s="2" t="n">
        <f aca="false">(((H317 / 800) / IF(ISBLANK(R317), 1000000, IF(ISNA(VLOOKUP(R317, Mileages!$A$2:$C$34, 2, 0)), R317, VLOOKUP(R317, Mileages!$A$2:$C$34, 2, 0)))) + (F317 * IF(ISBLANK(P317), 1, P317) * IF(ISBLANK(T317), 0, IF(ISNA(VLOOKUP(T317, 'Fuel Costs'!$A$2:$C$42, 2, 0)), T317, VLOOKUP(T317, 'Fuel Costs'!$A$2:$C$42, 2, 0))) / IF(ISBLANK(O317), 1, O317))) * 100</f>
        <v>0.034375</v>
      </c>
      <c r="J317" s="2" t="n">
        <f aca="false">((H317 / 800) / (IF(ISBLANK(S317), 100, IF(ISNA(VLOOKUP(S317, Lives!$A$2:$C$35, 2, 0)), S317, VLOOKUP(S317, Lives!$A$2:$C$35, 2, 0))) * 12) + (IF(ISBLANK(Q317), 0, IF(ISNA(VLOOKUP(Q317, Wages!$A$2:$C$17, 2, 0)), Q317, VLOOKUP(Q317, Wages!$A$2:$C$17, 2, 0))) * IF(ISBLANK(N317), 0, IF(ISNA(VLOOKUP(N317, Crews!$A$2:$C$28, 2, 0)), N317, VLOOKUP(N317, Crews!$A$2:$C$28, 2, 0))))) * 400</f>
        <v>137.5</v>
      </c>
      <c r="K317" s="3" t="s">
        <v>664</v>
      </c>
      <c r="L317" s="1" t="s">
        <v>665</v>
      </c>
      <c r="M317" s="1" t="n">
        <v>0</v>
      </c>
      <c r="N317" s="1"/>
      <c r="O317" s="1"/>
      <c r="P317" s="1"/>
      <c r="Q317" s="1"/>
      <c r="R317" s="5" t="s">
        <v>374</v>
      </c>
      <c r="S317" s="5" t="s">
        <v>375</v>
      </c>
      <c r="T317" s="1"/>
    </row>
    <row r="318" customFormat="false" ht="15" hidden="false" customHeight="true" outlineLevel="0" collapsed="false">
      <c r="A318" s="1" t="s">
        <v>666</v>
      </c>
      <c r="B318" s="1" t="n">
        <v>1847</v>
      </c>
      <c r="C318" s="1" t="n">
        <v>5</v>
      </c>
      <c r="D318" s="1" t="s">
        <v>38</v>
      </c>
      <c r="E318" s="1"/>
      <c r="F318" s="1"/>
      <c r="G318" s="1" t="n">
        <v>125</v>
      </c>
      <c r="H318" s="2" t="n">
        <v>166000</v>
      </c>
      <c r="I318" s="2" t="n">
        <f aca="false">(((H318 / 800) / IF(ISBLANK(R318), 1000000, IF(ISNA(VLOOKUP(R318, Mileages!$A$2:$C$34, 2, 0)), R318, VLOOKUP(R318, Mileages!$A$2:$C$34, 2, 0)))) + (F318 * IF(ISBLANK(P318), 1, P318) * IF(ISBLANK(T318), 0, IF(ISNA(VLOOKUP(T318, 'Fuel Costs'!$A$2:$C$42, 2, 0)), T318, VLOOKUP(T318, 'Fuel Costs'!$A$2:$C$42, 2, 0))) / IF(ISBLANK(O318), 1, O318))) * 100</f>
        <v>0.03458333333</v>
      </c>
      <c r="J318" s="2" t="n">
        <f aca="false">((H318 / 800) / (IF(ISBLANK(S318), 100, IF(ISNA(VLOOKUP(S318, Lives!$A$2:$C$35, 2, 0)), S318, VLOOKUP(S318, Lives!$A$2:$C$35, 2, 0))) * 12) + (IF(ISBLANK(Q318), 0, IF(ISNA(VLOOKUP(Q318, Wages!$A$2:$C$17, 2, 0)), Q318, VLOOKUP(Q318, Wages!$A$2:$C$17, 2, 0))) * IF(ISBLANK(N318), 0, IF(ISNA(VLOOKUP(N318, Crews!$A$2:$C$28, 2, 0)), N318, VLOOKUP(N318, Crews!$A$2:$C$28, 2, 0))))) * 400</f>
        <v>4938.333333</v>
      </c>
      <c r="K318" s="1" t="s">
        <v>437</v>
      </c>
      <c r="L318" s="1" t="s">
        <v>665</v>
      </c>
      <c r="M318" s="1" t="n">
        <v>1</v>
      </c>
      <c r="N318" s="1" t="s">
        <v>25</v>
      </c>
      <c r="O318" s="1"/>
      <c r="P318" s="1"/>
      <c r="Q318" s="1" t="s">
        <v>378</v>
      </c>
      <c r="R318" s="5" t="s">
        <v>374</v>
      </c>
      <c r="S318" s="5" t="s">
        <v>375</v>
      </c>
      <c r="T318" s="1"/>
    </row>
    <row r="319" customFormat="false" ht="15" hidden="false" customHeight="true" outlineLevel="0" collapsed="false">
      <c r="A319" s="1" t="s">
        <v>667</v>
      </c>
      <c r="B319" s="1" t="n">
        <v>1847</v>
      </c>
      <c r="C319" s="1" t="n">
        <v>5</v>
      </c>
      <c r="D319" s="1" t="s">
        <v>38</v>
      </c>
      <c r="E319" s="1"/>
      <c r="F319" s="1"/>
      <c r="G319" s="1" t="n">
        <v>125</v>
      </c>
      <c r="H319" s="2" t="n">
        <v>166000</v>
      </c>
      <c r="I319" s="2" t="n">
        <f aca="false">(((H319 / 800) / IF(ISBLANK(R319), 1000000, IF(ISNA(VLOOKUP(R319, Mileages!$A$2:$C$34, 2, 0)), R319, VLOOKUP(R319, Mileages!$A$2:$C$34, 2, 0)))) + (F319 * IF(ISBLANK(P319), 1, P319) * IF(ISBLANK(T319), 0, IF(ISNA(VLOOKUP(T319, 'Fuel Costs'!$A$2:$C$42, 2, 0)), T319, VLOOKUP(T319, 'Fuel Costs'!$A$2:$C$42, 2, 0))) / IF(ISBLANK(O319), 1, O319))) * 100</f>
        <v>0.03458333333</v>
      </c>
      <c r="J319" s="2" t="n">
        <f aca="false">((H319 / 800) / (IF(ISBLANK(S319), 100, IF(ISNA(VLOOKUP(S319, Lives!$A$2:$C$35, 2, 0)), S319, VLOOKUP(S319, Lives!$A$2:$C$35, 2, 0))) * 12) + (IF(ISBLANK(Q319), 0, IF(ISNA(VLOOKUP(Q319, Wages!$A$2:$C$17, 2, 0)), Q319, VLOOKUP(Q319, Wages!$A$2:$C$17, 2, 0))) * IF(ISBLANK(N319), 0, IF(ISNA(VLOOKUP(N319, Crews!$A$2:$C$28, 2, 0)), N319, VLOOKUP(N319, Crews!$A$2:$C$28, 2, 0))))) * 400</f>
        <v>4938.333333</v>
      </c>
      <c r="K319" s="1" t="s">
        <v>437</v>
      </c>
      <c r="L319" s="1" t="s">
        <v>665</v>
      </c>
      <c r="M319" s="1" t="n">
        <v>2</v>
      </c>
      <c r="N319" s="1" t="s">
        <v>25</v>
      </c>
      <c r="O319" s="1"/>
      <c r="P319" s="1"/>
      <c r="Q319" s="1" t="s">
        <v>378</v>
      </c>
      <c r="R319" s="5" t="s">
        <v>374</v>
      </c>
      <c r="S319" s="5" t="s">
        <v>375</v>
      </c>
      <c r="T319" s="1"/>
    </row>
    <row r="320" customFormat="false" ht="15" hidden="false" customHeight="true" outlineLevel="0" collapsed="false">
      <c r="A320" s="1" t="s">
        <v>668</v>
      </c>
      <c r="B320" s="1" t="n">
        <v>1847</v>
      </c>
      <c r="C320" s="1" t="n">
        <v>6</v>
      </c>
      <c r="D320" s="1" t="s">
        <v>38</v>
      </c>
      <c r="E320" s="1" t="s">
        <v>274</v>
      </c>
      <c r="F320" s="1" t="n">
        <v>98</v>
      </c>
      <c r="G320" s="1" t="n">
        <v>105</v>
      </c>
      <c r="H320" s="2" t="n">
        <v>19968000</v>
      </c>
      <c r="I320" s="2" t="n">
        <f aca="false">(((H320 / 800) / IF(ISBLANK(R320), 1000000, IF(ISNA(VLOOKUP(R320, Mileages!$A$2:$C$34, 2, 0)), R320, VLOOKUP(R320, Mileages!$A$2:$C$34, 2, 0)))) + (F320 * IF(ISBLANK(P320), 1, P320) * IF(ISBLANK(T320), 0, IF(ISNA(VLOOKUP(T320, 'Fuel Costs'!$A$2:$C$42, 2, 0)), T320, VLOOKUP(T320, 'Fuel Costs'!$A$2:$C$42, 2, 0))) / IF(ISBLANK(O320), 1, O320))) * 100</f>
        <v>163.04</v>
      </c>
      <c r="J320" s="2" t="n">
        <f aca="false">((H320 / 800) / (IF(ISBLANK(S320), 100, IF(ISNA(VLOOKUP(S320, Lives!$A$2:$C$35, 2, 0)), S320, VLOOKUP(S320, Lives!$A$2:$C$35, 2, 0))) * 12) + (IF(ISBLANK(Q320), 0, IF(ISNA(VLOOKUP(Q320, Wages!$A$2:$C$17, 2, 0)), Q320, VLOOKUP(Q320, Wages!$A$2:$C$17, 2, 0))) * IF(ISBLANK(N320), 0, IF(ISNA(VLOOKUP(N320, Crews!$A$2:$C$28, 2, 0)), N320, VLOOKUP(N320, Crews!$A$2:$C$28, 2, 0))))) * 400</f>
        <v>51733.33333</v>
      </c>
      <c r="K320" s="3" t="s">
        <v>669</v>
      </c>
      <c r="L320" s="1" t="s">
        <v>670</v>
      </c>
      <c r="M320" s="1" t="n">
        <v>0</v>
      </c>
      <c r="N320" s="1" t="s">
        <v>590</v>
      </c>
      <c r="O320" s="1" t="n">
        <v>0.5</v>
      </c>
      <c r="P320" s="1"/>
      <c r="Q320" s="5" t="s">
        <v>284</v>
      </c>
      <c r="R320" s="4" t="s">
        <v>285</v>
      </c>
      <c r="S320" s="4" t="s">
        <v>285</v>
      </c>
      <c r="T320" s="1" t="s">
        <v>569</v>
      </c>
    </row>
    <row r="321" customFormat="false" ht="15" hidden="false" customHeight="true" outlineLevel="0" collapsed="false">
      <c r="A321" s="1" t="s">
        <v>671</v>
      </c>
      <c r="B321" s="1" t="n">
        <v>1847</v>
      </c>
      <c r="C321" s="1" t="n">
        <v>8</v>
      </c>
      <c r="D321" s="1" t="s">
        <v>38</v>
      </c>
      <c r="E321" s="1" t="s">
        <v>274</v>
      </c>
      <c r="F321" s="1" t="n">
        <v>97</v>
      </c>
      <c r="G321" s="1" t="n">
        <v>105</v>
      </c>
      <c r="H321" s="2" t="n">
        <v>19940000</v>
      </c>
      <c r="I321" s="2" t="n">
        <f aca="false">(((H321 / 800) / IF(ISBLANK(R321), 1000000, IF(ISNA(VLOOKUP(R321, Mileages!$A$2:$C$34, 2, 0)), R321, VLOOKUP(R321, Mileages!$A$2:$C$34, 2, 0)))) + (F321 * IF(ISBLANK(P321), 1, P321) * IF(ISBLANK(T321), 0, IF(ISNA(VLOOKUP(T321, 'Fuel Costs'!$A$2:$C$42, 2, 0)), T321, VLOOKUP(T321, 'Fuel Costs'!$A$2:$C$42, 2, 0))) / IF(ISBLANK(O321), 1, O321))) * 100</f>
        <v>161.43125</v>
      </c>
      <c r="J321" s="2" t="n">
        <f aca="false">((H321 / 800) / (IF(ISBLANK(S321), 100, IF(ISNA(VLOOKUP(S321, Lives!$A$2:$C$35, 2, 0)), S321, VLOOKUP(S321, Lives!$A$2:$C$35, 2, 0))) * 12) + (IF(ISBLANK(Q321), 0, IF(ISNA(VLOOKUP(Q321, Wages!$A$2:$C$17, 2, 0)), Q321, VLOOKUP(Q321, Wages!$A$2:$C$17, 2, 0))) * IF(ISBLANK(N321), 0, IF(ISNA(VLOOKUP(N321, Crews!$A$2:$C$28, 2, 0)), N321, VLOOKUP(N321, Crews!$A$2:$C$28, 2, 0))))) * 400</f>
        <v>51694.44444</v>
      </c>
      <c r="K321" s="3" t="s">
        <v>672</v>
      </c>
      <c r="L321" s="1" t="s">
        <v>673</v>
      </c>
      <c r="M321" s="1" t="n">
        <v>0</v>
      </c>
      <c r="N321" s="1" t="s">
        <v>590</v>
      </c>
      <c r="O321" s="1" t="n">
        <v>0.5</v>
      </c>
      <c r="P321" s="1"/>
      <c r="Q321" s="5" t="s">
        <v>284</v>
      </c>
      <c r="R321" s="4" t="s">
        <v>285</v>
      </c>
      <c r="S321" s="4" t="s">
        <v>285</v>
      </c>
      <c r="T321" s="1" t="s">
        <v>569</v>
      </c>
    </row>
    <row r="322" customFormat="false" ht="15" hidden="false" customHeight="true" outlineLevel="0" collapsed="false">
      <c r="A322" s="1" t="s">
        <v>674</v>
      </c>
      <c r="B322" s="1" t="n">
        <v>1848</v>
      </c>
      <c r="C322" s="1" t="n">
        <v>2</v>
      </c>
      <c r="D322" s="1" t="s">
        <v>38</v>
      </c>
      <c r="E322" s="1" t="s">
        <v>274</v>
      </c>
      <c r="F322" s="1" t="n">
        <v>140</v>
      </c>
      <c r="G322" s="1" t="n">
        <v>105</v>
      </c>
      <c r="H322" s="2" t="n">
        <v>19540000</v>
      </c>
      <c r="I322" s="2" t="n">
        <f aca="false">(((H322 / 800) / IF(ISBLANK(R322), 1000000, IF(ISNA(VLOOKUP(R322, Mileages!$A$2:$C$34, 2, 0)), R322, VLOOKUP(R322, Mileages!$A$2:$C$34, 2, 0)))) + (F322 * IF(ISBLANK(P322), 1, P322) * IF(ISBLANK(T322), 0, IF(ISNA(VLOOKUP(T322, 'Fuel Costs'!$A$2:$C$42, 2, 0)), T322, VLOOKUP(T322, 'Fuel Costs'!$A$2:$C$42, 2, 0))) / IF(ISBLANK(O322), 1, O322))) * 100</f>
        <v>226.4425</v>
      </c>
      <c r="J322" s="2" t="n">
        <f aca="false">((H322 / 800) / (IF(ISBLANK(S322), 100, IF(ISNA(VLOOKUP(S322, Lives!$A$2:$C$35, 2, 0)), S322, VLOOKUP(S322, Lives!$A$2:$C$35, 2, 0))) * 12) + (IF(ISBLANK(Q322), 0, IF(ISNA(VLOOKUP(Q322, Wages!$A$2:$C$17, 2, 0)), Q322, VLOOKUP(Q322, Wages!$A$2:$C$17, 2, 0))) * IF(ISBLANK(N322), 0, IF(ISNA(VLOOKUP(N322, Crews!$A$2:$C$28, 2, 0)), N322, VLOOKUP(N322, Crews!$A$2:$C$28, 2, 0))))) * 400</f>
        <v>40283.33333</v>
      </c>
      <c r="K322" s="3" t="s">
        <v>675</v>
      </c>
      <c r="L322" s="1" t="s">
        <v>676</v>
      </c>
      <c r="M322" s="1" t="n">
        <v>0</v>
      </c>
      <c r="N322" s="1" t="s">
        <v>590</v>
      </c>
      <c r="O322" s="1" t="n">
        <v>0.5</v>
      </c>
      <c r="P322" s="1"/>
      <c r="Q322" s="5" t="s">
        <v>284</v>
      </c>
      <c r="R322" s="1" t="s">
        <v>677</v>
      </c>
      <c r="S322" s="1" t="s">
        <v>677</v>
      </c>
      <c r="T322" s="1" t="s">
        <v>569</v>
      </c>
    </row>
    <row r="323" customFormat="false" ht="15" hidden="false" customHeight="true" outlineLevel="0" collapsed="false">
      <c r="A323" s="1" t="s">
        <v>678</v>
      </c>
      <c r="B323" s="1" t="n">
        <v>1848</v>
      </c>
      <c r="C323" s="1" t="n">
        <v>2</v>
      </c>
      <c r="D323" s="1" t="s">
        <v>38</v>
      </c>
      <c r="E323" s="1" t="s">
        <v>274</v>
      </c>
      <c r="F323" s="1"/>
      <c r="G323" s="1" t="n">
        <v>105</v>
      </c>
      <c r="H323" s="2" t="n">
        <v>0</v>
      </c>
      <c r="I323" s="2" t="n">
        <f aca="false">(((H323 / 800) / IF(ISBLANK(R323), 1000000, IF(ISNA(VLOOKUP(R323, Mileages!$A$2:$C$34, 2, 0)), R323, VLOOKUP(R323, Mileages!$A$2:$C$34, 2, 0)))) + (F323 * IF(ISBLANK(P323), 1, P323) * IF(ISBLANK(T323), 0, IF(ISNA(VLOOKUP(T323, 'Fuel Costs'!$A$2:$C$42, 2, 0)), T323, VLOOKUP(T323, 'Fuel Costs'!$A$2:$C$42, 2, 0))) / IF(ISBLANK(O323), 1, O323))) * 100</f>
        <v>0</v>
      </c>
      <c r="J323" s="2" t="n">
        <f aca="false">((H323 / 800) / (IF(ISBLANK(S323), 100, IF(ISNA(VLOOKUP(S323, Lives!$A$2:$C$35, 2, 0)), S323, VLOOKUP(S323, Lives!$A$2:$C$35, 2, 0))) * 12) + (IF(ISBLANK(Q323), 0, IF(ISNA(VLOOKUP(Q323, Wages!$A$2:$C$17, 2, 0)), Q323, VLOOKUP(Q323, Wages!$A$2:$C$17, 2, 0))) * IF(ISBLANK(N323), 0, IF(ISNA(VLOOKUP(N323, Crews!$A$2:$C$28, 2, 0)), N323, VLOOKUP(N323, Crews!$A$2:$C$28, 2, 0))))) * 400</f>
        <v>0</v>
      </c>
      <c r="K323" s="1" t="s">
        <v>605</v>
      </c>
      <c r="L323" s="1" t="s">
        <v>676</v>
      </c>
      <c r="M323" s="1" t="n">
        <v>1</v>
      </c>
      <c r="N323" s="1"/>
      <c r="O323" s="1"/>
      <c r="P323" s="1"/>
      <c r="Q323" s="1"/>
      <c r="R323" s="1"/>
      <c r="S323" s="1"/>
      <c r="T323" s="1"/>
    </row>
    <row r="324" customFormat="false" ht="15" hidden="false" customHeight="true" outlineLevel="0" collapsed="false">
      <c r="A324" s="1" t="s">
        <v>679</v>
      </c>
      <c r="B324" s="1" t="n">
        <v>1850</v>
      </c>
      <c r="C324" s="1" t="n">
        <v>1</v>
      </c>
      <c r="D324" s="1" t="s">
        <v>29</v>
      </c>
      <c r="E324" s="1"/>
      <c r="F324" s="1"/>
      <c r="G324" s="1" t="n">
        <v>8</v>
      </c>
      <c r="H324" s="2" t="n">
        <v>20000</v>
      </c>
      <c r="I324" s="2" t="n">
        <f aca="false">(((H324 / 800) / IF(ISBLANK(R324), 1000000, IF(ISNA(VLOOKUP(R324, Mileages!$A$2:$C$34, 2, 0)), R324, VLOOKUP(R324, Mileages!$A$2:$C$34, 2, 0)))) + (F324 * IF(ISBLANK(P324), 1, P324) * IF(ISBLANK(T324), 0, IF(ISNA(VLOOKUP(T324, 'Fuel Costs'!$A$2:$C$42, 2, 0)), T324, VLOOKUP(T324, 'Fuel Costs'!$A$2:$C$42, 2, 0))) / IF(ISBLANK(O324), 1, O324))) * 100</f>
        <v>0.003125</v>
      </c>
      <c r="J324" s="2" t="n">
        <f aca="false">((H324 / 800) / (IF(ISBLANK(S324), 100, IF(ISNA(VLOOKUP(S324, Lives!$A$2:$C$35, 2, 0)), S324, VLOOKUP(S324, Lives!$A$2:$C$35, 2, 0))) * 12) + (IF(ISBLANK(Q324), 0, IF(ISNA(VLOOKUP(Q324, Wages!$A$2:$C$17, 2, 0)), Q324, VLOOKUP(Q324, Wages!$A$2:$C$17, 2, 0))) * IF(ISBLANK(N324), 0, IF(ISNA(VLOOKUP(N324, Crews!$A$2:$C$28, 2, 0)), N324, VLOOKUP(N324, Crews!$A$2:$C$28, 2, 0))))) * 400</f>
        <v>13.88888889</v>
      </c>
      <c r="K324" s="1" t="s">
        <v>96</v>
      </c>
      <c r="L324" s="1" t="s">
        <v>680</v>
      </c>
      <c r="M324" s="1" t="n">
        <v>0</v>
      </c>
      <c r="N324" s="1"/>
      <c r="O324" s="1"/>
      <c r="P324" s="1"/>
      <c r="Q324" s="1"/>
      <c r="R324" s="4" t="s">
        <v>35</v>
      </c>
      <c r="S324" s="1" t="s">
        <v>35</v>
      </c>
      <c r="T324" s="1"/>
    </row>
    <row r="325" customFormat="false" ht="15" hidden="false" customHeight="true" outlineLevel="0" collapsed="false">
      <c r="A325" s="1" t="s">
        <v>681</v>
      </c>
      <c r="B325" s="1" t="n">
        <v>1850</v>
      </c>
      <c r="C325" s="1" t="n">
        <v>1</v>
      </c>
      <c r="D325" s="1" t="s">
        <v>29</v>
      </c>
      <c r="E325" s="1"/>
      <c r="F325" s="1"/>
      <c r="G325" s="1" t="n">
        <v>8</v>
      </c>
      <c r="H325" s="2" t="n">
        <v>20000</v>
      </c>
      <c r="I325" s="2" t="n">
        <f aca="false">(((H325 / 800) / IF(ISBLANK(R325), 1000000, IF(ISNA(VLOOKUP(R325, Mileages!$A$2:$C$34, 2, 0)), R325, VLOOKUP(R325, Mileages!$A$2:$C$34, 2, 0)))) + (F325 * IF(ISBLANK(P325), 1, P325) * IF(ISBLANK(T325), 0, IF(ISNA(VLOOKUP(T325, 'Fuel Costs'!$A$2:$C$42, 2, 0)), T325, VLOOKUP(T325, 'Fuel Costs'!$A$2:$C$42, 2, 0))) / IF(ISBLANK(O325), 1, O325))) * 100</f>
        <v>0.003125</v>
      </c>
      <c r="J325" s="2" t="n">
        <f aca="false">((H325 / 800) / (IF(ISBLANK(S325), 100, IF(ISNA(VLOOKUP(S325, Lives!$A$2:$C$35, 2, 0)), S325, VLOOKUP(S325, Lives!$A$2:$C$35, 2, 0))) * 12) + (IF(ISBLANK(Q325), 0, IF(ISNA(VLOOKUP(Q325, Wages!$A$2:$C$17, 2, 0)), Q325, VLOOKUP(Q325, Wages!$A$2:$C$17, 2, 0))) * IF(ISBLANK(N325), 0, IF(ISNA(VLOOKUP(N325, Crews!$A$2:$C$28, 2, 0)), N325, VLOOKUP(N325, Crews!$A$2:$C$28, 2, 0))))) * 400</f>
        <v>13.88888889</v>
      </c>
      <c r="K325" s="1" t="s">
        <v>96</v>
      </c>
      <c r="L325" s="1" t="s">
        <v>680</v>
      </c>
      <c r="M325" s="1" t="n">
        <v>1</v>
      </c>
      <c r="N325" s="1"/>
      <c r="O325" s="1"/>
      <c r="P325" s="1"/>
      <c r="Q325" s="1"/>
      <c r="R325" s="4" t="s">
        <v>35</v>
      </c>
      <c r="S325" s="1" t="s">
        <v>35</v>
      </c>
      <c r="T325" s="1"/>
    </row>
    <row r="326" customFormat="false" ht="15" hidden="false" customHeight="true" outlineLevel="0" collapsed="false">
      <c r="A326" s="1" t="s">
        <v>682</v>
      </c>
      <c r="B326" s="1" t="n">
        <v>1850</v>
      </c>
      <c r="C326" s="1" t="n">
        <v>1</v>
      </c>
      <c r="D326" s="1" t="s">
        <v>29</v>
      </c>
      <c r="E326" s="1"/>
      <c r="F326" s="1"/>
      <c r="G326" s="1" t="n">
        <v>8</v>
      </c>
      <c r="H326" s="2" t="n">
        <v>20000</v>
      </c>
      <c r="I326" s="2" t="n">
        <f aca="false">(((H326 / 800) / IF(ISBLANK(R326), 1000000, IF(ISNA(VLOOKUP(R326, Mileages!$A$2:$C$34, 2, 0)), R326, VLOOKUP(R326, Mileages!$A$2:$C$34, 2, 0)))) + (F326 * IF(ISBLANK(P326), 1, P326) * IF(ISBLANK(T326), 0, IF(ISNA(VLOOKUP(T326, 'Fuel Costs'!$A$2:$C$42, 2, 0)), T326, VLOOKUP(T326, 'Fuel Costs'!$A$2:$C$42, 2, 0))) / IF(ISBLANK(O326), 1, O326))) * 100</f>
        <v>0.003125</v>
      </c>
      <c r="J326" s="2" t="n">
        <f aca="false">((H326 / 800) / (IF(ISBLANK(S326), 100, IF(ISNA(VLOOKUP(S326, Lives!$A$2:$C$35, 2, 0)), S326, VLOOKUP(S326, Lives!$A$2:$C$35, 2, 0))) * 12) + (IF(ISBLANK(Q326), 0, IF(ISNA(VLOOKUP(Q326, Wages!$A$2:$C$17, 2, 0)), Q326, VLOOKUP(Q326, Wages!$A$2:$C$17, 2, 0))) * IF(ISBLANK(N326), 0, IF(ISNA(VLOOKUP(N326, Crews!$A$2:$C$28, 2, 0)), N326, VLOOKUP(N326, Crews!$A$2:$C$28, 2, 0))))) * 400</f>
        <v>13.88888889</v>
      </c>
      <c r="K326" s="1" t="s">
        <v>96</v>
      </c>
      <c r="L326" s="1" t="s">
        <v>680</v>
      </c>
      <c r="M326" s="1" t="n">
        <v>2</v>
      </c>
      <c r="N326" s="1"/>
      <c r="O326" s="1"/>
      <c r="P326" s="1"/>
      <c r="Q326" s="1"/>
      <c r="R326" s="4" t="s">
        <v>35</v>
      </c>
      <c r="S326" s="1" t="s">
        <v>35</v>
      </c>
      <c r="T326" s="1"/>
    </row>
    <row r="327" customFormat="false" ht="15" hidden="false" customHeight="true" outlineLevel="0" collapsed="false">
      <c r="A327" s="1" t="s">
        <v>683</v>
      </c>
      <c r="B327" s="1" t="n">
        <v>1850</v>
      </c>
      <c r="C327" s="1" t="n">
        <v>1</v>
      </c>
      <c r="D327" s="1" t="s">
        <v>29</v>
      </c>
      <c r="E327" s="1"/>
      <c r="F327" s="1"/>
      <c r="G327" s="1" t="n">
        <v>8</v>
      </c>
      <c r="H327" s="2" t="n">
        <v>20000</v>
      </c>
      <c r="I327" s="2" t="n">
        <f aca="false">(((H327 / 800) / IF(ISBLANK(R327), 1000000, IF(ISNA(VLOOKUP(R327, Mileages!$A$2:$C$34, 2, 0)), R327, VLOOKUP(R327, Mileages!$A$2:$C$34, 2, 0)))) + (F327 * IF(ISBLANK(P327), 1, P327) * IF(ISBLANK(T327), 0, IF(ISNA(VLOOKUP(T327, 'Fuel Costs'!$A$2:$C$42, 2, 0)), T327, VLOOKUP(T327, 'Fuel Costs'!$A$2:$C$42, 2, 0))) / IF(ISBLANK(O327), 1, O327))) * 100</f>
        <v>0.003125</v>
      </c>
      <c r="J327" s="2" t="n">
        <f aca="false">((H327 / 800) / (IF(ISBLANK(S327), 100, IF(ISNA(VLOOKUP(S327, Lives!$A$2:$C$35, 2, 0)), S327, VLOOKUP(S327, Lives!$A$2:$C$35, 2, 0))) * 12) + (IF(ISBLANK(Q327), 0, IF(ISNA(VLOOKUP(Q327, Wages!$A$2:$C$17, 2, 0)), Q327, VLOOKUP(Q327, Wages!$A$2:$C$17, 2, 0))) * IF(ISBLANK(N327), 0, IF(ISNA(VLOOKUP(N327, Crews!$A$2:$C$28, 2, 0)), N327, VLOOKUP(N327, Crews!$A$2:$C$28, 2, 0))))) * 400</f>
        <v>13.88888889</v>
      </c>
      <c r="K327" s="1" t="s">
        <v>96</v>
      </c>
      <c r="L327" s="1" t="s">
        <v>680</v>
      </c>
      <c r="M327" s="1" t="n">
        <v>3</v>
      </c>
      <c r="N327" s="1"/>
      <c r="O327" s="1"/>
      <c r="P327" s="1"/>
      <c r="Q327" s="1"/>
      <c r="R327" s="4" t="s">
        <v>35</v>
      </c>
      <c r="S327" s="1" t="s">
        <v>35</v>
      </c>
      <c r="T327" s="1"/>
    </row>
    <row r="328" customFormat="false" ht="15" hidden="false" customHeight="true" outlineLevel="0" collapsed="false">
      <c r="A328" s="1" t="s">
        <v>684</v>
      </c>
      <c r="B328" s="1" t="n">
        <v>1850</v>
      </c>
      <c r="C328" s="1" t="n">
        <v>1</v>
      </c>
      <c r="D328" s="1" t="s">
        <v>29</v>
      </c>
      <c r="E328" s="1"/>
      <c r="F328" s="1"/>
      <c r="G328" s="1" t="n">
        <v>8</v>
      </c>
      <c r="H328" s="2" t="n">
        <v>20000</v>
      </c>
      <c r="I328" s="2" t="n">
        <f aca="false">(((H328 / 800) / IF(ISBLANK(R328), 1000000, IF(ISNA(VLOOKUP(R328, Mileages!$A$2:$C$34, 2, 0)), R328, VLOOKUP(R328, Mileages!$A$2:$C$34, 2, 0)))) + (F328 * IF(ISBLANK(P328), 1, P328) * IF(ISBLANK(T328), 0, IF(ISNA(VLOOKUP(T328, 'Fuel Costs'!$A$2:$C$42, 2, 0)), T328, VLOOKUP(T328, 'Fuel Costs'!$A$2:$C$42, 2, 0))) / IF(ISBLANK(O328), 1, O328))) * 100</f>
        <v>0.003125</v>
      </c>
      <c r="J328" s="2" t="n">
        <f aca="false">((H328 / 800) / (IF(ISBLANK(S328), 100, IF(ISNA(VLOOKUP(S328, Lives!$A$2:$C$35, 2, 0)), S328, VLOOKUP(S328, Lives!$A$2:$C$35, 2, 0))) * 12) + (IF(ISBLANK(Q328), 0, IF(ISNA(VLOOKUP(Q328, Wages!$A$2:$C$17, 2, 0)), Q328, VLOOKUP(Q328, Wages!$A$2:$C$17, 2, 0))) * IF(ISBLANK(N328), 0, IF(ISNA(VLOOKUP(N328, Crews!$A$2:$C$28, 2, 0)), N328, VLOOKUP(N328, Crews!$A$2:$C$28, 2, 0))))) * 400</f>
        <v>13.88888889</v>
      </c>
      <c r="K328" s="1" t="s">
        <v>96</v>
      </c>
      <c r="L328" s="1" t="s">
        <v>680</v>
      </c>
      <c r="M328" s="1" t="n">
        <v>4</v>
      </c>
      <c r="N328" s="1"/>
      <c r="O328" s="1"/>
      <c r="P328" s="1"/>
      <c r="Q328" s="1"/>
      <c r="R328" s="4" t="s">
        <v>35</v>
      </c>
      <c r="S328" s="1" t="s">
        <v>35</v>
      </c>
      <c r="T328" s="1"/>
    </row>
    <row r="329" customFormat="false" ht="15" hidden="false" customHeight="true" outlineLevel="0" collapsed="false">
      <c r="A329" s="1" t="s">
        <v>685</v>
      </c>
      <c r="B329" s="1" t="n">
        <v>1850</v>
      </c>
      <c r="C329" s="1" t="n">
        <v>1</v>
      </c>
      <c r="D329" s="1" t="s">
        <v>29</v>
      </c>
      <c r="E329" s="1"/>
      <c r="F329" s="1"/>
      <c r="G329" s="1" t="n">
        <v>8</v>
      </c>
      <c r="H329" s="2" t="n">
        <v>20000</v>
      </c>
      <c r="I329" s="2" t="n">
        <f aca="false">(((H329 / 800) / IF(ISBLANK(R329), 1000000, IF(ISNA(VLOOKUP(R329, Mileages!$A$2:$C$34, 2, 0)), R329, VLOOKUP(R329, Mileages!$A$2:$C$34, 2, 0)))) + (F329 * IF(ISBLANK(P329), 1, P329) * IF(ISBLANK(T329), 0, IF(ISNA(VLOOKUP(T329, 'Fuel Costs'!$A$2:$C$42, 2, 0)), T329, VLOOKUP(T329, 'Fuel Costs'!$A$2:$C$42, 2, 0))) / IF(ISBLANK(O329), 1, O329))) * 100</f>
        <v>0.003125</v>
      </c>
      <c r="J329" s="2" t="n">
        <f aca="false">((H329 / 800) / (IF(ISBLANK(S329), 100, IF(ISNA(VLOOKUP(S329, Lives!$A$2:$C$35, 2, 0)), S329, VLOOKUP(S329, Lives!$A$2:$C$35, 2, 0))) * 12) + (IF(ISBLANK(Q329), 0, IF(ISNA(VLOOKUP(Q329, Wages!$A$2:$C$17, 2, 0)), Q329, VLOOKUP(Q329, Wages!$A$2:$C$17, 2, 0))) * IF(ISBLANK(N329), 0, IF(ISNA(VLOOKUP(N329, Crews!$A$2:$C$28, 2, 0)), N329, VLOOKUP(N329, Crews!$A$2:$C$28, 2, 0))))) * 400</f>
        <v>13.88888889</v>
      </c>
      <c r="K329" s="1" t="s">
        <v>96</v>
      </c>
      <c r="L329" s="1" t="s">
        <v>680</v>
      </c>
      <c r="M329" s="1" t="n">
        <v>5</v>
      </c>
      <c r="N329" s="1"/>
      <c r="O329" s="1"/>
      <c r="P329" s="1"/>
      <c r="Q329" s="1"/>
      <c r="R329" s="4" t="s">
        <v>35</v>
      </c>
      <c r="S329" s="1" t="s">
        <v>35</v>
      </c>
      <c r="T329" s="1"/>
    </row>
    <row r="330" customFormat="false" ht="15" hidden="false" customHeight="true" outlineLevel="0" collapsed="false">
      <c r="A330" s="1" t="s">
        <v>686</v>
      </c>
      <c r="B330" s="1" t="n">
        <v>1850</v>
      </c>
      <c r="C330" s="1" t="n">
        <v>1</v>
      </c>
      <c r="D330" s="1" t="s">
        <v>38</v>
      </c>
      <c r="E330" s="1"/>
      <c r="F330" s="1"/>
      <c r="G330" s="1" t="n">
        <v>125</v>
      </c>
      <c r="H330" s="2" t="n">
        <v>90000</v>
      </c>
      <c r="I330" s="2" t="n">
        <f aca="false">(((H330 / 800) / IF(ISBLANK(R330), 1000000, IF(ISNA(VLOOKUP(R330, Mileages!$A$2:$C$34, 2, 0)), R330, VLOOKUP(R330, Mileages!$A$2:$C$34, 2, 0)))) + (F330 * IF(ISBLANK(P330), 1, P330) * IF(ISBLANK(T330), 0, IF(ISNA(VLOOKUP(T330, 'Fuel Costs'!$A$2:$C$42, 2, 0)), T330, VLOOKUP(T330, 'Fuel Costs'!$A$2:$C$42, 2, 0))) / IF(ISBLANK(O330), 1, O330))) * 100</f>
        <v>0.009375</v>
      </c>
      <c r="J330" s="2" t="n">
        <f aca="false">((H330 / 800) / (IF(ISBLANK(S330), 100, IF(ISNA(VLOOKUP(S330, Lives!$A$2:$C$35, 2, 0)), S330, VLOOKUP(S330, Lives!$A$2:$C$35, 2, 0))) * 12) + (IF(ISBLANK(Q330), 0, IF(ISNA(VLOOKUP(Q330, Wages!$A$2:$C$17, 2, 0)), Q330, VLOOKUP(Q330, Wages!$A$2:$C$17, 2, 0))) * IF(ISBLANK(N330), 0, IF(ISNA(VLOOKUP(N330, Crews!$A$2:$C$28, 2, 0)), N330, VLOOKUP(N330, Crews!$A$2:$C$28, 2, 0))))) * 400</f>
        <v>187.5</v>
      </c>
      <c r="K330" s="1" t="s">
        <v>687</v>
      </c>
      <c r="L330" s="1" t="s">
        <v>688</v>
      </c>
      <c r="M330" s="1" t="n">
        <v>0</v>
      </c>
      <c r="N330" s="1"/>
      <c r="O330" s="1"/>
      <c r="P330" s="1"/>
      <c r="Q330" s="1"/>
      <c r="R330" s="1" t="s">
        <v>689</v>
      </c>
      <c r="S330" s="1" t="s">
        <v>423</v>
      </c>
      <c r="T330" s="1"/>
    </row>
    <row r="331" customFormat="false" ht="15" hidden="false" customHeight="true" outlineLevel="0" collapsed="false">
      <c r="A331" s="1" t="s">
        <v>690</v>
      </c>
      <c r="B331" s="1" t="n">
        <v>1850</v>
      </c>
      <c r="C331" s="1" t="n">
        <v>1</v>
      </c>
      <c r="D331" s="1" t="s">
        <v>38</v>
      </c>
      <c r="E331" s="1"/>
      <c r="F331" s="1"/>
      <c r="G331" s="1" t="n">
        <v>125</v>
      </c>
      <c r="H331" s="2" t="n">
        <v>90000</v>
      </c>
      <c r="I331" s="2" t="n">
        <f aca="false">(((H331 / 800) / IF(ISBLANK(R331), 1000000, IF(ISNA(VLOOKUP(R331, Mileages!$A$2:$C$34, 2, 0)), R331, VLOOKUP(R331, Mileages!$A$2:$C$34, 2, 0)))) + (F331 * IF(ISBLANK(P331), 1, P331) * IF(ISBLANK(T331), 0, IF(ISNA(VLOOKUP(T331, 'Fuel Costs'!$A$2:$C$42, 2, 0)), T331, VLOOKUP(T331, 'Fuel Costs'!$A$2:$C$42, 2, 0))) / IF(ISBLANK(O331), 1, O331))) * 100</f>
        <v>0.009375</v>
      </c>
      <c r="J331" s="2" t="n">
        <f aca="false">((H331 / 800) / (IF(ISBLANK(S331), 100, IF(ISNA(VLOOKUP(S331, Lives!$A$2:$C$35, 2, 0)), S331, VLOOKUP(S331, Lives!$A$2:$C$35, 2, 0))) * 12) + (IF(ISBLANK(Q331), 0, IF(ISNA(VLOOKUP(Q331, Wages!$A$2:$C$17, 2, 0)), Q331, VLOOKUP(Q331, Wages!$A$2:$C$17, 2, 0))) * IF(ISBLANK(N331), 0, IF(ISNA(VLOOKUP(N331, Crews!$A$2:$C$28, 2, 0)), N331, VLOOKUP(N331, Crews!$A$2:$C$28, 2, 0))))) * 400</f>
        <v>4987.5</v>
      </c>
      <c r="K331" s="1"/>
      <c r="L331" s="1" t="s">
        <v>688</v>
      </c>
      <c r="M331" s="1" t="n">
        <v>1</v>
      </c>
      <c r="N331" s="1" t="s">
        <v>25</v>
      </c>
      <c r="O331" s="1"/>
      <c r="P331" s="1"/>
      <c r="Q331" s="1" t="s">
        <v>378</v>
      </c>
      <c r="R331" s="1" t="s">
        <v>689</v>
      </c>
      <c r="S331" s="1" t="s">
        <v>423</v>
      </c>
      <c r="T331" s="1"/>
    </row>
    <row r="332" customFormat="false" ht="15" hidden="false" customHeight="true" outlineLevel="0" collapsed="false">
      <c r="A332" s="1" t="s">
        <v>691</v>
      </c>
      <c r="B332" s="1" t="n">
        <v>1850</v>
      </c>
      <c r="C332" s="1" t="n">
        <v>2</v>
      </c>
      <c r="D332" s="1" t="s">
        <v>29</v>
      </c>
      <c r="E332" s="1" t="s">
        <v>274</v>
      </c>
      <c r="F332" s="1" t="n">
        <v>100</v>
      </c>
      <c r="G332" s="1" t="n">
        <v>8</v>
      </c>
      <c r="H332" s="2" t="n">
        <v>480000</v>
      </c>
      <c r="I332" s="2" t="n">
        <f aca="false">(((H332 / 800) / IF(ISBLANK(R332), 1000000, IF(ISNA(VLOOKUP(R332, Mileages!$A$2:$C$34, 2, 0)), R332, VLOOKUP(R332, Mileages!$A$2:$C$34, 2, 0)))) + (F332 * IF(ISBLANK(P332), 1, P332) * IF(ISBLANK(T332), 0, IF(ISNA(VLOOKUP(T332, 'Fuel Costs'!$A$2:$C$42, 2, 0)), T332, VLOOKUP(T332, 'Fuel Costs'!$A$2:$C$42, 2, 0))) / IF(ISBLANK(O332), 1, O332))) * 100</f>
        <v>106.6966667</v>
      </c>
      <c r="J332" s="2" t="n">
        <f aca="false">((H332 / 800) / (IF(ISBLANK(S332), 100, IF(ISNA(VLOOKUP(S332, Lives!$A$2:$C$35, 2, 0)), S332, VLOOKUP(S332, Lives!$A$2:$C$35, 2, 0))) * 12) + (IF(ISBLANK(Q332), 0, IF(ISNA(VLOOKUP(Q332, Wages!$A$2:$C$17, 2, 0)), Q332, VLOOKUP(Q332, Wages!$A$2:$C$17, 2, 0))) * IF(ISBLANK(N332), 0, IF(ISNA(VLOOKUP(N332, Crews!$A$2:$C$28, 2, 0)), N332, VLOOKUP(N332, Crews!$A$2:$C$28, 2, 0))))) * 400</f>
        <v>16200</v>
      </c>
      <c r="K332" s="1" t="s">
        <v>63</v>
      </c>
      <c r="L332" s="1" t="s">
        <v>692</v>
      </c>
      <c r="M332" s="1" t="n">
        <v>0</v>
      </c>
      <c r="N332" s="1" t="s">
        <v>33</v>
      </c>
      <c r="O332" s="1" t="n">
        <v>0.75</v>
      </c>
      <c r="P332" s="1"/>
      <c r="Q332" s="1" t="s">
        <v>34</v>
      </c>
      <c r="R332" s="1" t="s">
        <v>574</v>
      </c>
      <c r="S332" s="1" t="s">
        <v>574</v>
      </c>
      <c r="T332" s="1" t="s">
        <v>569</v>
      </c>
    </row>
    <row r="333" customFormat="false" ht="15" hidden="false" customHeight="true" outlineLevel="0" collapsed="false">
      <c r="A333" s="1" t="s">
        <v>693</v>
      </c>
      <c r="B333" s="1" t="n">
        <v>1850</v>
      </c>
      <c r="C333" s="1" t="n">
        <v>9</v>
      </c>
      <c r="D333" s="1" t="s">
        <v>38</v>
      </c>
      <c r="E333" s="1"/>
      <c r="F333" s="1"/>
      <c r="G333" s="1" t="n">
        <v>135</v>
      </c>
      <c r="H333" s="2" t="n">
        <v>167000</v>
      </c>
      <c r="I333" s="2" t="n">
        <f aca="false">(((H333 / 800) / IF(ISBLANK(R333), 1000000, IF(ISNA(VLOOKUP(R333, Mileages!$A$2:$C$34, 2, 0)), R333, VLOOKUP(R333, Mileages!$A$2:$C$34, 2, 0)))) + (F333 * IF(ISBLANK(P333), 1, P333) * IF(ISBLANK(T333), 0, IF(ISNA(VLOOKUP(T333, 'Fuel Costs'!$A$2:$C$42, 2, 0)), T333, VLOOKUP(T333, 'Fuel Costs'!$A$2:$C$42, 2, 0))) / IF(ISBLANK(O333), 1, O333))) * 100</f>
        <v>0.01739583333</v>
      </c>
      <c r="J333" s="2" t="n">
        <f aca="false">((H333 / 800) / (IF(ISBLANK(S333), 100, IF(ISNA(VLOOKUP(S333, Lives!$A$2:$C$35, 2, 0)), S333, VLOOKUP(S333, Lives!$A$2:$C$35, 2, 0))) * 12) + (IF(ISBLANK(Q333), 0, IF(ISNA(VLOOKUP(Q333, Wages!$A$2:$C$17, 2, 0)), Q333, VLOOKUP(Q333, Wages!$A$2:$C$17, 2, 0))) * IF(ISBLANK(N333), 0, IF(ISNA(VLOOKUP(N333, Crews!$A$2:$C$28, 2, 0)), N333, VLOOKUP(N333, Crews!$A$2:$C$28, 2, 0))))) * 400</f>
        <v>139.1666667</v>
      </c>
      <c r="K333" s="1"/>
      <c r="L333" s="1" t="s">
        <v>694</v>
      </c>
      <c r="M333" s="1" t="n">
        <v>0</v>
      </c>
      <c r="N333" s="1"/>
      <c r="O333" s="1"/>
      <c r="P333" s="1"/>
      <c r="Q333" s="1"/>
      <c r="R333" s="1" t="s">
        <v>689</v>
      </c>
      <c r="S333" s="1" t="s">
        <v>375</v>
      </c>
      <c r="T333" s="1"/>
    </row>
    <row r="334" customFormat="false" ht="15" hidden="false" customHeight="true" outlineLevel="0" collapsed="false">
      <c r="A334" s="1" t="s">
        <v>695</v>
      </c>
      <c r="B334" s="1" t="n">
        <v>1850</v>
      </c>
      <c r="C334" s="1" t="n">
        <v>9</v>
      </c>
      <c r="D334" s="1" t="s">
        <v>38</v>
      </c>
      <c r="E334" s="1"/>
      <c r="F334" s="1"/>
      <c r="G334" s="1" t="n">
        <v>135</v>
      </c>
      <c r="H334" s="2" t="n">
        <v>159000</v>
      </c>
      <c r="I334" s="2" t="n">
        <f aca="false">(((H334 / 800) / IF(ISBLANK(R334), 1000000, IF(ISNA(VLOOKUP(R334, Mileages!$A$2:$C$34, 2, 0)), R334, VLOOKUP(R334, Mileages!$A$2:$C$34, 2, 0)))) + (F334 * IF(ISBLANK(P334), 1, P334) * IF(ISBLANK(T334), 0, IF(ISNA(VLOOKUP(T334, 'Fuel Costs'!$A$2:$C$42, 2, 0)), T334, VLOOKUP(T334, 'Fuel Costs'!$A$2:$C$42, 2, 0))) / IF(ISBLANK(O334), 1, O334))) * 100</f>
        <v>0.0165625</v>
      </c>
      <c r="J334" s="2" t="n">
        <f aca="false">((H334 / 800) / (IF(ISBLANK(S334), 100, IF(ISNA(VLOOKUP(S334, Lives!$A$2:$C$35, 2, 0)), S334, VLOOKUP(S334, Lives!$A$2:$C$35, 2, 0))) * 12) + (IF(ISBLANK(Q334), 0, IF(ISNA(VLOOKUP(Q334, Wages!$A$2:$C$17, 2, 0)), Q334, VLOOKUP(Q334, Wages!$A$2:$C$17, 2, 0))) * IF(ISBLANK(N334), 0, IF(ISNA(VLOOKUP(N334, Crews!$A$2:$C$28, 2, 0)), N334, VLOOKUP(N334, Crews!$A$2:$C$28, 2, 0))))) * 400</f>
        <v>132.5</v>
      </c>
      <c r="K334" s="1"/>
      <c r="L334" s="1" t="s">
        <v>696</v>
      </c>
      <c r="M334" s="1" t="n">
        <v>0</v>
      </c>
      <c r="N334" s="1"/>
      <c r="O334" s="1"/>
      <c r="P334" s="1"/>
      <c r="Q334" s="1"/>
      <c r="R334" s="1" t="s">
        <v>689</v>
      </c>
      <c r="S334" s="1" t="s">
        <v>375</v>
      </c>
      <c r="T334" s="1"/>
    </row>
    <row r="335" customFormat="false" ht="15" hidden="false" customHeight="true" outlineLevel="0" collapsed="false">
      <c r="A335" s="1" t="s">
        <v>697</v>
      </c>
      <c r="B335" s="1" t="n">
        <v>1850</v>
      </c>
      <c r="C335" s="1" t="n">
        <v>9</v>
      </c>
      <c r="D335" s="1" t="s">
        <v>38</v>
      </c>
      <c r="E335" s="1"/>
      <c r="F335" s="1"/>
      <c r="G335" s="1" t="n">
        <v>135</v>
      </c>
      <c r="H335" s="2" t="n">
        <v>161000</v>
      </c>
      <c r="I335" s="2" t="n">
        <f aca="false">(((H335 / 800) / IF(ISBLANK(R335), 1000000, IF(ISNA(VLOOKUP(R335, Mileages!$A$2:$C$34, 2, 0)), R335, VLOOKUP(R335, Mileages!$A$2:$C$34, 2, 0)))) + (F335 * IF(ISBLANK(P335), 1, P335) * IF(ISBLANK(T335), 0, IF(ISNA(VLOOKUP(T335, 'Fuel Costs'!$A$2:$C$42, 2, 0)), T335, VLOOKUP(T335, 'Fuel Costs'!$A$2:$C$42, 2, 0))) / IF(ISBLANK(O335), 1, O335))) * 100</f>
        <v>0.01677083333</v>
      </c>
      <c r="J335" s="2" t="n">
        <f aca="false">((H335 / 800) / (IF(ISBLANK(S335), 100, IF(ISNA(VLOOKUP(S335, Lives!$A$2:$C$35, 2, 0)), S335, VLOOKUP(S335, Lives!$A$2:$C$35, 2, 0))) * 12) + (IF(ISBLANK(Q335), 0, IF(ISNA(VLOOKUP(Q335, Wages!$A$2:$C$17, 2, 0)), Q335, VLOOKUP(Q335, Wages!$A$2:$C$17, 2, 0))) * IF(ISBLANK(N335), 0, IF(ISNA(VLOOKUP(N335, Crews!$A$2:$C$28, 2, 0)), N335, VLOOKUP(N335, Crews!$A$2:$C$28, 2, 0))))) * 400</f>
        <v>134.1666667</v>
      </c>
      <c r="K335" s="1"/>
      <c r="L335" s="1" t="s">
        <v>698</v>
      </c>
      <c r="M335" s="1" t="n">
        <v>0</v>
      </c>
      <c r="N335" s="1"/>
      <c r="O335" s="1"/>
      <c r="P335" s="1"/>
      <c r="Q335" s="1"/>
      <c r="R335" s="1" t="s">
        <v>689</v>
      </c>
      <c r="S335" s="1" t="s">
        <v>375</v>
      </c>
      <c r="T335" s="1"/>
    </row>
    <row r="336" customFormat="false" ht="15" hidden="false" customHeight="true" outlineLevel="0" collapsed="false">
      <c r="A336" s="1" t="s">
        <v>699</v>
      </c>
      <c r="B336" s="1" t="n">
        <v>1850</v>
      </c>
      <c r="C336" s="1" t="n">
        <v>9</v>
      </c>
      <c r="D336" s="1" t="s">
        <v>38</v>
      </c>
      <c r="E336" s="1"/>
      <c r="F336" s="1"/>
      <c r="G336" s="1" t="n">
        <v>135</v>
      </c>
      <c r="H336" s="2" t="n">
        <v>144000</v>
      </c>
      <c r="I336" s="2" t="n">
        <f aca="false">(((H336 / 800) / IF(ISBLANK(R336), 1000000, IF(ISNA(VLOOKUP(R336, Mileages!$A$2:$C$34, 2, 0)), R336, VLOOKUP(R336, Mileages!$A$2:$C$34, 2, 0)))) + (F336 * IF(ISBLANK(P336), 1, P336) * IF(ISBLANK(T336), 0, IF(ISNA(VLOOKUP(T336, 'Fuel Costs'!$A$2:$C$42, 2, 0)), T336, VLOOKUP(T336, 'Fuel Costs'!$A$2:$C$42, 2, 0))) / IF(ISBLANK(O336), 1, O336))) * 100</f>
        <v>0.015</v>
      </c>
      <c r="J336" s="2" t="n">
        <f aca="false">((H336 / 800) / (IF(ISBLANK(S336), 100, IF(ISNA(VLOOKUP(S336, Lives!$A$2:$C$35, 2, 0)), S336, VLOOKUP(S336, Lives!$A$2:$C$35, 2, 0))) * 12) + (IF(ISBLANK(Q336), 0, IF(ISNA(VLOOKUP(Q336, Wages!$A$2:$C$17, 2, 0)), Q336, VLOOKUP(Q336, Wages!$A$2:$C$17, 2, 0))) * IF(ISBLANK(N336), 0, IF(ISNA(VLOOKUP(N336, Crews!$A$2:$C$28, 2, 0)), N336, VLOOKUP(N336, Crews!$A$2:$C$28, 2, 0))))) * 400</f>
        <v>120</v>
      </c>
      <c r="K336" s="1"/>
      <c r="L336" s="1" t="s">
        <v>700</v>
      </c>
      <c r="M336" s="1" t="n">
        <v>0</v>
      </c>
      <c r="N336" s="1"/>
      <c r="O336" s="1"/>
      <c r="P336" s="1"/>
      <c r="Q336" s="1"/>
      <c r="R336" s="1" t="s">
        <v>689</v>
      </c>
      <c r="S336" s="1" t="s">
        <v>375</v>
      </c>
      <c r="T336" s="1"/>
    </row>
    <row r="337" customFormat="false" ht="15" hidden="false" customHeight="true" outlineLevel="0" collapsed="false">
      <c r="A337" s="1" t="s">
        <v>701</v>
      </c>
      <c r="B337" s="1" t="n">
        <v>1850</v>
      </c>
      <c r="C337" s="1" t="n">
        <v>9</v>
      </c>
      <c r="D337" s="1" t="s">
        <v>38</v>
      </c>
      <c r="E337" s="1"/>
      <c r="F337" s="1"/>
      <c r="G337" s="1" t="n">
        <v>135</v>
      </c>
      <c r="H337" s="2" t="n">
        <v>144000</v>
      </c>
      <c r="I337" s="2" t="n">
        <f aca="false">(((H337 / 800) / IF(ISBLANK(R337), 1000000, IF(ISNA(VLOOKUP(R337, Mileages!$A$2:$C$34, 2, 0)), R337, VLOOKUP(R337, Mileages!$A$2:$C$34, 2, 0)))) + (F337 * IF(ISBLANK(P337), 1, P337) * IF(ISBLANK(T337), 0, IF(ISNA(VLOOKUP(T337, 'Fuel Costs'!$A$2:$C$42, 2, 0)), T337, VLOOKUP(T337, 'Fuel Costs'!$A$2:$C$42, 2, 0))) / IF(ISBLANK(O337), 1, O337))) * 100</f>
        <v>0.015</v>
      </c>
      <c r="J337" s="2" t="n">
        <f aca="false">((H337 / 800) / (IF(ISBLANK(S337), 100, IF(ISNA(VLOOKUP(S337, Lives!$A$2:$C$35, 2, 0)), S337, VLOOKUP(S337, Lives!$A$2:$C$35, 2, 0))) * 12) + (IF(ISBLANK(Q337), 0, IF(ISNA(VLOOKUP(Q337, Wages!$A$2:$C$17, 2, 0)), Q337, VLOOKUP(Q337, Wages!$A$2:$C$17, 2, 0))) * IF(ISBLANK(N337), 0, IF(ISNA(VLOOKUP(N337, Crews!$A$2:$C$28, 2, 0)), N337, VLOOKUP(N337, Crews!$A$2:$C$28, 2, 0))))) * 400</f>
        <v>4920</v>
      </c>
      <c r="K337" s="1"/>
      <c r="L337" s="1" t="s">
        <v>702</v>
      </c>
      <c r="M337" s="1" t="n">
        <v>0</v>
      </c>
      <c r="N337" s="1" t="s">
        <v>25</v>
      </c>
      <c r="O337" s="1"/>
      <c r="P337" s="1"/>
      <c r="Q337" s="1" t="s">
        <v>378</v>
      </c>
      <c r="R337" s="1" t="s">
        <v>689</v>
      </c>
      <c r="S337" s="1" t="s">
        <v>375</v>
      </c>
      <c r="T337" s="1"/>
    </row>
    <row r="338" customFormat="false" ht="15" hidden="false" customHeight="true" outlineLevel="0" collapsed="false">
      <c r="A338" s="1" t="s">
        <v>703</v>
      </c>
      <c r="B338" s="1" t="n">
        <v>1850</v>
      </c>
      <c r="C338" s="1" t="n">
        <v>9</v>
      </c>
      <c r="D338" s="1" t="s">
        <v>38</v>
      </c>
      <c r="E338" s="1"/>
      <c r="F338" s="1"/>
      <c r="G338" s="1" t="n">
        <v>135</v>
      </c>
      <c r="H338" s="2" t="n">
        <v>144000</v>
      </c>
      <c r="I338" s="2" t="n">
        <f aca="false">(((H338 / 800) / IF(ISBLANK(R338), 1000000, IF(ISNA(VLOOKUP(R338, Mileages!$A$2:$C$34, 2, 0)), R338, VLOOKUP(R338, Mileages!$A$2:$C$34, 2, 0)))) + (F338 * IF(ISBLANK(P338), 1, P338) * IF(ISBLANK(T338), 0, IF(ISNA(VLOOKUP(T338, 'Fuel Costs'!$A$2:$C$42, 2, 0)), T338, VLOOKUP(T338, 'Fuel Costs'!$A$2:$C$42, 2, 0))) / IF(ISBLANK(O338), 1, O338))) * 100</f>
        <v>0.015</v>
      </c>
      <c r="J338" s="2" t="n">
        <f aca="false">((H338 / 800) / (IF(ISBLANK(S338), 100, IF(ISNA(VLOOKUP(S338, Lives!$A$2:$C$35, 2, 0)), S338, VLOOKUP(S338, Lives!$A$2:$C$35, 2, 0))) * 12) + (IF(ISBLANK(Q338), 0, IF(ISNA(VLOOKUP(Q338, Wages!$A$2:$C$17, 2, 0)), Q338, VLOOKUP(Q338, Wages!$A$2:$C$17, 2, 0))) * IF(ISBLANK(N338), 0, IF(ISNA(VLOOKUP(N338, Crews!$A$2:$C$28, 2, 0)), N338, VLOOKUP(N338, Crews!$A$2:$C$28, 2, 0))))) * 400</f>
        <v>60</v>
      </c>
      <c r="K338" s="1"/>
      <c r="L338" s="1" t="s">
        <v>704</v>
      </c>
      <c r="M338" s="1" t="n">
        <v>0</v>
      </c>
      <c r="N338" s="1"/>
      <c r="O338" s="1"/>
      <c r="P338" s="1"/>
      <c r="Q338" s="1"/>
      <c r="R338" s="1" t="s">
        <v>689</v>
      </c>
      <c r="S338" s="5" t="s">
        <v>389</v>
      </c>
      <c r="T338" s="1"/>
    </row>
    <row r="339" customFormat="false" ht="15" hidden="false" customHeight="true" outlineLevel="0" collapsed="false">
      <c r="A339" s="1" t="s">
        <v>705</v>
      </c>
      <c r="B339" s="1" t="n">
        <v>1850</v>
      </c>
      <c r="C339" s="1" t="n">
        <v>9</v>
      </c>
      <c r="D339" s="1" t="s">
        <v>38</v>
      </c>
      <c r="E339" s="1"/>
      <c r="F339" s="1"/>
      <c r="G339" s="1" t="n">
        <v>135</v>
      </c>
      <c r="H339" s="2" t="n">
        <v>153000</v>
      </c>
      <c r="I339" s="2" t="n">
        <f aca="false">(((H339 / 800) / IF(ISBLANK(R339), 1000000, IF(ISNA(VLOOKUP(R339, Mileages!$A$2:$C$34, 2, 0)), R339, VLOOKUP(R339, Mileages!$A$2:$C$34, 2, 0)))) + (F339 * IF(ISBLANK(P339), 1, P339) * IF(ISBLANK(T339), 0, IF(ISNA(VLOOKUP(T339, 'Fuel Costs'!$A$2:$C$42, 2, 0)), T339, VLOOKUP(T339, 'Fuel Costs'!$A$2:$C$42, 2, 0))) / IF(ISBLANK(O339), 1, O339))) * 100</f>
        <v>0.0159375</v>
      </c>
      <c r="J339" s="2" t="n">
        <f aca="false">((H339 / 800) / (IF(ISBLANK(S339), 100, IF(ISNA(VLOOKUP(S339, Lives!$A$2:$C$35, 2, 0)), S339, VLOOKUP(S339, Lives!$A$2:$C$35, 2, 0))) * 12) + (IF(ISBLANK(Q339), 0, IF(ISNA(VLOOKUP(Q339, Wages!$A$2:$C$17, 2, 0)), Q339, VLOOKUP(Q339, Wages!$A$2:$C$17, 2, 0))) * IF(ISBLANK(N339), 0, IF(ISNA(VLOOKUP(N339, Crews!$A$2:$C$28, 2, 0)), N339, VLOOKUP(N339, Crews!$A$2:$C$28, 2, 0))))) * 400</f>
        <v>24063.75</v>
      </c>
      <c r="K339" s="1"/>
      <c r="L339" s="1" t="s">
        <v>704</v>
      </c>
      <c r="M339" s="1" t="n">
        <v>1</v>
      </c>
      <c r="N339" s="1" t="s">
        <v>551</v>
      </c>
      <c r="O339" s="1"/>
      <c r="P339" s="1"/>
      <c r="Q339" s="1" t="s">
        <v>551</v>
      </c>
      <c r="R339" s="1" t="s">
        <v>689</v>
      </c>
      <c r="S339" s="1" t="s">
        <v>389</v>
      </c>
      <c r="T339" s="1"/>
    </row>
    <row r="340" customFormat="false" ht="15" hidden="false" customHeight="true" outlineLevel="0" collapsed="false">
      <c r="A340" s="1" t="s">
        <v>706</v>
      </c>
      <c r="B340" s="1" t="n">
        <v>1850</v>
      </c>
      <c r="C340" s="1" t="n">
        <v>11</v>
      </c>
      <c r="D340" s="1" t="s">
        <v>38</v>
      </c>
      <c r="E340" s="1"/>
      <c r="F340" s="1"/>
      <c r="G340" s="1" t="n">
        <v>125</v>
      </c>
      <c r="H340" s="2" t="n">
        <v>98000</v>
      </c>
      <c r="I340" s="2" t="n">
        <f aca="false">(((H340 / 800) / IF(ISBLANK(R340), 1000000, IF(ISNA(VLOOKUP(R340, Mileages!$A$2:$C$34, 2, 0)), R340, VLOOKUP(R340, Mileages!$A$2:$C$34, 2, 0)))) + (F340 * IF(ISBLANK(P340), 1, P340) * IF(ISBLANK(T340), 0, IF(ISNA(VLOOKUP(T340, 'Fuel Costs'!$A$2:$C$42, 2, 0)), T340, VLOOKUP(T340, 'Fuel Costs'!$A$2:$C$42, 2, 0))) / IF(ISBLANK(O340), 1, O340))) * 100</f>
        <v>0.01020833333</v>
      </c>
      <c r="J340" s="2" t="n">
        <f aca="false">((H340 / 800) / (IF(ISBLANK(S340), 100, IF(ISNA(VLOOKUP(S340, Lives!$A$2:$C$35, 2, 0)), S340, VLOOKUP(S340, Lives!$A$2:$C$35, 2, 0))) * 12) + (IF(ISBLANK(Q340), 0, IF(ISNA(VLOOKUP(Q340, Wages!$A$2:$C$17, 2, 0)), Q340, VLOOKUP(Q340, Wages!$A$2:$C$17, 2, 0))) * IF(ISBLANK(N340), 0, IF(ISNA(VLOOKUP(N340, Crews!$A$2:$C$28, 2, 0)), N340, VLOOKUP(N340, Crews!$A$2:$C$28, 2, 0))))) * 400</f>
        <v>81.66666667</v>
      </c>
      <c r="K340" s="3" t="s">
        <v>707</v>
      </c>
      <c r="L340" s="1" t="s">
        <v>708</v>
      </c>
      <c r="M340" s="1" t="n">
        <v>1</v>
      </c>
      <c r="N340" s="1"/>
      <c r="O340" s="1"/>
      <c r="P340" s="1"/>
      <c r="Q340" s="1"/>
      <c r="R340" s="1" t="s">
        <v>689</v>
      </c>
      <c r="S340" s="1" t="s">
        <v>375</v>
      </c>
      <c r="T340" s="1"/>
    </row>
    <row r="341" customFormat="false" ht="15" hidden="false" customHeight="true" outlineLevel="0" collapsed="false">
      <c r="A341" s="1" t="s">
        <v>709</v>
      </c>
      <c r="B341" s="1" t="n">
        <v>1850</v>
      </c>
      <c r="C341" s="1" t="n">
        <v>11</v>
      </c>
      <c r="D341" s="1" t="s">
        <v>38</v>
      </c>
      <c r="E341" s="1"/>
      <c r="F341" s="1"/>
      <c r="G341" s="1" t="n">
        <v>115</v>
      </c>
      <c r="H341" s="2" t="n">
        <v>105000</v>
      </c>
      <c r="I341" s="2" t="n">
        <f aca="false">(((H341 / 800) / IF(ISBLANK(R341), 1000000, IF(ISNA(VLOOKUP(R341, Mileages!$A$2:$C$34, 2, 0)), R341, VLOOKUP(R341, Mileages!$A$2:$C$34, 2, 0)))) + (F341 * IF(ISBLANK(P341), 1, P341) * IF(ISBLANK(T341), 0, IF(ISNA(VLOOKUP(T341, 'Fuel Costs'!$A$2:$C$42, 2, 0)), T341, VLOOKUP(T341, 'Fuel Costs'!$A$2:$C$42, 2, 0))) / IF(ISBLANK(O341), 1, O341))) * 100</f>
        <v>0.0109375</v>
      </c>
      <c r="J341" s="2" t="n">
        <f aca="false">((H341 / 800) / (IF(ISBLANK(S341), 100, IF(ISNA(VLOOKUP(S341, Lives!$A$2:$C$35, 2, 0)), S341, VLOOKUP(S341, Lives!$A$2:$C$35, 2, 0))) * 12) + (IF(ISBLANK(Q341), 0, IF(ISNA(VLOOKUP(Q341, Wages!$A$2:$C$17, 2, 0)), Q341, VLOOKUP(Q341, Wages!$A$2:$C$17, 2, 0))) * IF(ISBLANK(N341), 0, IF(ISNA(VLOOKUP(N341, Crews!$A$2:$C$28, 2, 0)), N341, VLOOKUP(N341, Crews!$A$2:$C$28, 2, 0))))) * 400</f>
        <v>4887.5</v>
      </c>
      <c r="K341" s="1"/>
      <c r="L341" s="1" t="s">
        <v>708</v>
      </c>
      <c r="M341" s="1" t="n">
        <v>2</v>
      </c>
      <c r="N341" s="1" t="s">
        <v>25</v>
      </c>
      <c r="O341" s="1"/>
      <c r="P341" s="1"/>
      <c r="Q341" s="1" t="s">
        <v>378</v>
      </c>
      <c r="R341" s="1" t="s">
        <v>689</v>
      </c>
      <c r="S341" s="1" t="s">
        <v>375</v>
      </c>
      <c r="T341" s="1"/>
    </row>
    <row r="342" customFormat="false" ht="15" hidden="false" customHeight="true" outlineLevel="0" collapsed="false">
      <c r="A342" s="1" t="s">
        <v>710</v>
      </c>
      <c r="B342" s="1" t="n">
        <v>1851</v>
      </c>
      <c r="C342" s="1" t="n">
        <v>1</v>
      </c>
      <c r="D342" s="1" t="s">
        <v>38</v>
      </c>
      <c r="E342" s="1" t="s">
        <v>274</v>
      </c>
      <c r="F342" s="1" t="n">
        <v>112</v>
      </c>
      <c r="G342" s="1" t="n">
        <v>110</v>
      </c>
      <c r="H342" s="2" t="n">
        <v>16200000</v>
      </c>
      <c r="I342" s="2" t="n">
        <f aca="false">(((H342 / 800) / IF(ISBLANK(R342), 1000000, IF(ISNA(VLOOKUP(R342, Mileages!$A$2:$C$34, 2, 0)), R342, VLOOKUP(R342, Mileages!$A$2:$C$34, 2, 0)))) + (F342 * IF(ISBLANK(P342), 1, P342) * IF(ISBLANK(T342), 0, IF(ISNA(VLOOKUP(T342, 'Fuel Costs'!$A$2:$C$42, 2, 0)), T342, VLOOKUP(T342, 'Fuel Costs'!$A$2:$C$42, 2, 0))) / IF(ISBLANK(O342), 1, O342))) * 100</f>
        <v>181.225</v>
      </c>
      <c r="J342" s="2" t="n">
        <f aca="false">((H342 / 800) / (IF(ISBLANK(S342), 100, IF(ISNA(VLOOKUP(S342, Lives!$A$2:$C$35, 2, 0)), S342, VLOOKUP(S342, Lives!$A$2:$C$35, 2, 0))) * 12) + (IF(ISBLANK(Q342), 0, IF(ISNA(VLOOKUP(Q342, Wages!$A$2:$C$17, 2, 0)), Q342, VLOOKUP(Q342, Wages!$A$2:$C$17, 2, 0))) * IF(ISBLANK(N342), 0, IF(ISNA(VLOOKUP(N342, Crews!$A$2:$C$28, 2, 0)), N342, VLOOKUP(N342, Crews!$A$2:$C$28, 2, 0))))) * 400</f>
        <v>37500</v>
      </c>
      <c r="K342" s="3" t="s">
        <v>711</v>
      </c>
      <c r="L342" s="1" t="s">
        <v>712</v>
      </c>
      <c r="M342" s="1" t="n">
        <v>0</v>
      </c>
      <c r="N342" s="1" t="s">
        <v>590</v>
      </c>
      <c r="O342" s="1" t="n">
        <v>0.5</v>
      </c>
      <c r="P342" s="1"/>
      <c r="Q342" s="5" t="s">
        <v>284</v>
      </c>
      <c r="R342" s="1" t="s">
        <v>677</v>
      </c>
      <c r="S342" s="1" t="s">
        <v>677</v>
      </c>
      <c r="T342" s="1" t="s">
        <v>569</v>
      </c>
    </row>
    <row r="343" customFormat="false" ht="15" hidden="false" customHeight="true" outlineLevel="0" collapsed="false">
      <c r="A343" s="1" t="s">
        <v>713</v>
      </c>
      <c r="B343" s="1" t="n">
        <v>1851</v>
      </c>
      <c r="C343" s="1" t="n">
        <v>3</v>
      </c>
      <c r="D343" s="1" t="s">
        <v>21</v>
      </c>
      <c r="E343" s="1"/>
      <c r="F343" s="1"/>
      <c r="G343" s="1" t="n">
        <v>11</v>
      </c>
      <c r="H343" s="2" t="n">
        <v>72000</v>
      </c>
      <c r="I343" s="2" t="n">
        <f aca="false">(((H343 / 800) / IF(ISBLANK(R343), 1000000, IF(ISNA(VLOOKUP(R343, Mileages!$A$2:$C$34, 2, 0)), R343, VLOOKUP(R343, Mileages!$A$2:$C$34, 2, 0)))) + (F343 * IF(ISBLANK(P343), 1, P343) * IF(ISBLANK(T343), 0, IF(ISNA(VLOOKUP(T343, 'Fuel Costs'!$A$2:$C$42, 2, 0)), T343, VLOOKUP(T343, 'Fuel Costs'!$A$2:$C$42, 2, 0))) / IF(ISBLANK(O343), 1, O343))) * 100</f>
        <v>0.018</v>
      </c>
      <c r="J343" s="2" t="n">
        <f aca="false">((H343 / 800) / (IF(ISBLANK(S343), 100, IF(ISNA(VLOOKUP(S343, Lives!$A$2:$C$35, 2, 0)), S343, VLOOKUP(S343, Lives!$A$2:$C$35, 2, 0))) * 12) + (IF(ISBLANK(Q343), 0, IF(ISNA(VLOOKUP(Q343, Wages!$A$2:$C$17, 2, 0)), Q343, VLOOKUP(Q343, Wages!$A$2:$C$17, 2, 0))) * IF(ISBLANK(N343), 0, IF(ISNA(VLOOKUP(N343, Crews!$A$2:$C$28, 2, 0)), N343, VLOOKUP(N343, Crews!$A$2:$C$28, 2, 0))))) * 400</f>
        <v>4830</v>
      </c>
      <c r="K343" s="3" t="s">
        <v>714</v>
      </c>
      <c r="L343" s="1" t="s">
        <v>715</v>
      </c>
      <c r="M343" s="1" t="n">
        <v>0</v>
      </c>
      <c r="N343" s="1" t="s">
        <v>25</v>
      </c>
      <c r="O343" s="1"/>
      <c r="P343" s="1"/>
      <c r="Q343" s="4" t="s">
        <v>41</v>
      </c>
      <c r="R343" s="5" t="s">
        <v>327</v>
      </c>
      <c r="S343" s="4" t="s">
        <v>43</v>
      </c>
      <c r="T343" s="1"/>
    </row>
    <row r="344" customFormat="false" ht="15" hidden="false" customHeight="true" outlineLevel="0" collapsed="false">
      <c r="A344" s="1" t="s">
        <v>716</v>
      </c>
      <c r="B344" s="1" t="n">
        <v>1851</v>
      </c>
      <c r="C344" s="1" t="n">
        <v>5</v>
      </c>
      <c r="D344" s="1" t="s">
        <v>38</v>
      </c>
      <c r="E344" s="1" t="s">
        <v>274</v>
      </c>
      <c r="F344" s="1" t="n">
        <v>160</v>
      </c>
      <c r="G344" s="1" t="n">
        <v>115</v>
      </c>
      <c r="H344" s="2" t="n">
        <v>16598400</v>
      </c>
      <c r="I344" s="2" t="n">
        <f aca="false">(((H344 / 800) / IF(ISBLANK(R344), 1000000, IF(ISNA(VLOOKUP(R344, Mileages!$A$2:$C$34, 2, 0)), R344, VLOOKUP(R344, Mileages!$A$2:$C$34, 2, 0)))) + (F344 * IF(ISBLANK(P344), 1, P344) * IF(ISBLANK(T344), 0, IF(ISNA(VLOOKUP(T344, 'Fuel Costs'!$A$2:$C$42, 2, 0)), T344, VLOOKUP(T344, 'Fuel Costs'!$A$2:$C$42, 2, 0))) / IF(ISBLANK(O344), 1, O344))) * 100</f>
        <v>258.0748</v>
      </c>
      <c r="J344" s="2" t="n">
        <f aca="false">((H344 / 800) / (IF(ISBLANK(S344), 100, IF(ISNA(VLOOKUP(S344, Lives!$A$2:$C$35, 2, 0)), S344, VLOOKUP(S344, Lives!$A$2:$C$35, 2, 0))) * 12) + (IF(ISBLANK(Q344), 0, IF(ISNA(VLOOKUP(Q344, Wages!$A$2:$C$17, 2, 0)), Q344, VLOOKUP(Q344, Wages!$A$2:$C$17, 2, 0))) * IF(ISBLANK(N344), 0, IF(ISNA(VLOOKUP(N344, Crews!$A$2:$C$28, 2, 0)), N344, VLOOKUP(N344, Crews!$A$2:$C$28, 2, 0))))) * 400</f>
        <v>37832</v>
      </c>
      <c r="K344" s="3" t="s">
        <v>717</v>
      </c>
      <c r="L344" s="1" t="s">
        <v>718</v>
      </c>
      <c r="M344" s="1" t="n">
        <v>0</v>
      </c>
      <c r="N344" s="1" t="s">
        <v>590</v>
      </c>
      <c r="O344" s="1" t="n">
        <v>0.5</v>
      </c>
      <c r="P344" s="1"/>
      <c r="Q344" s="5" t="s">
        <v>284</v>
      </c>
      <c r="R344" s="1" t="s">
        <v>677</v>
      </c>
      <c r="S344" s="1" t="s">
        <v>677</v>
      </c>
      <c r="T344" s="1" t="s">
        <v>569</v>
      </c>
    </row>
    <row r="345" customFormat="false" ht="15" hidden="false" customHeight="true" outlineLevel="0" collapsed="false">
      <c r="A345" s="1" t="s">
        <v>719</v>
      </c>
      <c r="B345" s="1" t="n">
        <v>1851</v>
      </c>
      <c r="C345" s="1" t="n">
        <v>10</v>
      </c>
      <c r="D345" s="1" t="s">
        <v>29</v>
      </c>
      <c r="E345" s="1" t="s">
        <v>274</v>
      </c>
      <c r="F345" s="1" t="n">
        <v>60</v>
      </c>
      <c r="G345" s="1" t="n">
        <v>8</v>
      </c>
      <c r="H345" s="2" t="n">
        <v>400000</v>
      </c>
      <c r="I345" s="2" t="n">
        <f aca="false">(((H345 / 800) / IF(ISBLANK(R345), 1000000, IF(ISNA(VLOOKUP(R345, Mileages!$A$2:$C$34, 2, 0)), R345, VLOOKUP(R345, Mileages!$A$2:$C$34, 2, 0)))) + (F345 * IF(ISBLANK(P345), 1, P345) * IF(ISBLANK(T345), 0, IF(ISNA(VLOOKUP(T345, 'Fuel Costs'!$A$2:$C$42, 2, 0)), T345, VLOOKUP(T345, 'Fuel Costs'!$A$2:$C$42, 2, 0))) / IF(ISBLANK(O345), 1, O345))) * 100</f>
        <v>64.025</v>
      </c>
      <c r="J345" s="2" t="n">
        <f aca="false">((H345 / 800) / (IF(ISBLANK(S345), 100, IF(ISNA(VLOOKUP(S345, Lives!$A$2:$C$35, 2, 0)), S345, VLOOKUP(S345, Lives!$A$2:$C$35, 2, 0))) * 12) + (IF(ISBLANK(Q345), 0, IF(ISNA(VLOOKUP(Q345, Wages!$A$2:$C$17, 2, 0)), Q345, VLOOKUP(Q345, Wages!$A$2:$C$17, 2, 0))) * IF(ISBLANK(N345), 0, IF(ISNA(VLOOKUP(N345, Crews!$A$2:$C$28, 2, 0)), N345, VLOOKUP(N345, Crews!$A$2:$C$28, 2, 0))))) * 400</f>
        <v>16166.66667</v>
      </c>
      <c r="K345" s="1" t="s">
        <v>63</v>
      </c>
      <c r="L345" s="1" t="s">
        <v>720</v>
      </c>
      <c r="M345" s="1" t="n">
        <v>0</v>
      </c>
      <c r="N345" s="1" t="s">
        <v>33</v>
      </c>
      <c r="O345" s="1" t="n">
        <v>0.75</v>
      </c>
      <c r="P345" s="1"/>
      <c r="Q345" s="1" t="s">
        <v>34</v>
      </c>
      <c r="R345" s="1" t="s">
        <v>574</v>
      </c>
      <c r="S345" s="1" t="s">
        <v>574</v>
      </c>
      <c r="T345" s="1" t="s">
        <v>569</v>
      </c>
    </row>
    <row r="346" customFormat="false" ht="15" hidden="false" customHeight="true" outlineLevel="0" collapsed="false">
      <c r="A346" s="1" t="s">
        <v>721</v>
      </c>
      <c r="B346" s="1" t="n">
        <v>1851</v>
      </c>
      <c r="C346" s="1" t="n">
        <v>11</v>
      </c>
      <c r="D346" s="1" t="s">
        <v>38</v>
      </c>
      <c r="E346" s="1"/>
      <c r="F346" s="1"/>
      <c r="G346" s="1" t="n">
        <v>125</v>
      </c>
      <c r="H346" s="2" t="n">
        <v>99000</v>
      </c>
      <c r="I346" s="2" t="n">
        <f aca="false">(((H346 / 800) / IF(ISBLANK(R346), 1000000, IF(ISNA(VLOOKUP(R346, Mileages!$A$2:$C$34, 2, 0)), R346, VLOOKUP(R346, Mileages!$A$2:$C$34, 2, 0)))) + (F346 * IF(ISBLANK(P346), 1, P346) * IF(ISBLANK(T346), 0, IF(ISNA(VLOOKUP(T346, 'Fuel Costs'!$A$2:$C$42, 2, 0)), T346, VLOOKUP(T346, 'Fuel Costs'!$A$2:$C$42, 2, 0))) / IF(ISBLANK(O346), 1, O346))) * 100</f>
        <v>0.0103125</v>
      </c>
      <c r="J346" s="2" t="n">
        <f aca="false">((H346 / 800) / (IF(ISBLANK(S346), 100, IF(ISNA(VLOOKUP(S346, Lives!$A$2:$C$35, 2, 0)), S346, VLOOKUP(S346, Lives!$A$2:$C$35, 2, 0))) * 12) + (IF(ISBLANK(Q346), 0, IF(ISNA(VLOOKUP(Q346, Wages!$A$2:$C$17, 2, 0)), Q346, VLOOKUP(Q346, Wages!$A$2:$C$17, 2, 0))) * IF(ISBLANK(N346), 0, IF(ISNA(VLOOKUP(N346, Crews!$A$2:$C$28, 2, 0)), N346, VLOOKUP(N346, Crews!$A$2:$C$28, 2, 0))))) * 400</f>
        <v>82.5</v>
      </c>
      <c r="K346" s="3" t="s">
        <v>722</v>
      </c>
      <c r="L346" s="1" t="s">
        <v>708</v>
      </c>
      <c r="M346" s="1" t="n">
        <v>0</v>
      </c>
      <c r="N346" s="1"/>
      <c r="O346" s="1"/>
      <c r="P346" s="1"/>
      <c r="Q346" s="1"/>
      <c r="R346" s="1" t="s">
        <v>689</v>
      </c>
      <c r="S346" s="1" t="s">
        <v>375</v>
      </c>
      <c r="T346" s="1"/>
    </row>
    <row r="347" customFormat="false" ht="15" hidden="false" customHeight="true" outlineLevel="0" collapsed="false">
      <c r="A347" s="1" t="s">
        <v>723</v>
      </c>
      <c r="B347" s="1" t="n">
        <v>1852</v>
      </c>
      <c r="C347" s="1" t="n">
        <v>1</v>
      </c>
      <c r="D347" s="1" t="s">
        <v>29</v>
      </c>
      <c r="E347" s="1" t="s">
        <v>30</v>
      </c>
      <c r="F347" s="1" t="n">
        <v>250</v>
      </c>
      <c r="G347" s="1" t="n">
        <v>15</v>
      </c>
      <c r="H347" s="2" t="n">
        <v>32000</v>
      </c>
      <c r="I347" s="2" t="n">
        <f aca="false">(((H347 / 800) / IF(ISBLANK(R347), 1000000, IF(ISNA(VLOOKUP(R347, Mileages!$A$2:$C$34, 2, 0)), R347, VLOOKUP(R347, Mileages!$A$2:$C$34, 2, 0)))) + (F347 * IF(ISBLANK(P347), 1, P347) * IF(ISBLANK(T347), 0, IF(ISNA(VLOOKUP(T347, 'Fuel Costs'!$A$2:$C$42, 2, 0)), T347, VLOOKUP(T347, 'Fuel Costs'!$A$2:$C$42, 2, 0))) / IF(ISBLANK(O347), 1, O347))) * 100</f>
        <v>0.005</v>
      </c>
      <c r="J347" s="2" t="n">
        <f aca="false">((H347 / 800) / (IF(ISBLANK(S347), 100, IF(ISNA(VLOOKUP(S347, Lives!$A$2:$C$35, 2, 0)), S347, VLOOKUP(S347, Lives!$A$2:$C$35, 2, 0))) * 12) + (IF(ISBLANK(Q347), 0, IF(ISNA(VLOOKUP(Q347, Wages!$A$2:$C$17, 2, 0)), Q347, VLOOKUP(Q347, Wages!$A$2:$C$17, 2, 0))) * IF(ISBLANK(N347), 0, IF(ISNA(VLOOKUP(N347, Crews!$A$2:$C$28, 2, 0)), N347, VLOOKUP(N347, Crews!$A$2:$C$28, 2, 0))))) * 400</f>
        <v>16022.22222</v>
      </c>
      <c r="K347" s="1" t="s">
        <v>31</v>
      </c>
      <c r="L347" s="1" t="s">
        <v>724</v>
      </c>
      <c r="M347" s="1" t="n">
        <v>0</v>
      </c>
      <c r="N347" s="1" t="s">
        <v>33</v>
      </c>
      <c r="O347" s="1"/>
      <c r="P347" s="1"/>
      <c r="Q347" s="1" t="s">
        <v>34</v>
      </c>
      <c r="R347" s="4" t="s">
        <v>35</v>
      </c>
      <c r="S347" s="1" t="s">
        <v>35</v>
      </c>
      <c r="T347" s="1" t="s">
        <v>36</v>
      </c>
    </row>
    <row r="348" customFormat="false" ht="15" hidden="false" customHeight="true" outlineLevel="0" collapsed="false">
      <c r="A348" s="1" t="s">
        <v>725</v>
      </c>
      <c r="B348" s="1" t="n">
        <v>1852</v>
      </c>
      <c r="C348" s="1" t="n">
        <v>5</v>
      </c>
      <c r="D348" s="1" t="s">
        <v>38</v>
      </c>
      <c r="E348" s="1" t="s">
        <v>274</v>
      </c>
      <c r="F348" s="1"/>
      <c r="G348" s="1" t="n">
        <v>135</v>
      </c>
      <c r="H348" s="2" t="n">
        <v>0</v>
      </c>
      <c r="I348" s="2" t="n">
        <f aca="false">(((H348 / 800) / IF(ISBLANK(R348), 1000000, IF(ISNA(VLOOKUP(R348, Mileages!$A$2:$C$34, 2, 0)), R348, VLOOKUP(R348, Mileages!$A$2:$C$34, 2, 0)))) + (F348 * IF(ISBLANK(P348), 1, P348) * IF(ISBLANK(T348), 0, IF(ISNA(VLOOKUP(T348, 'Fuel Costs'!$A$2:$C$42, 2, 0)), T348, VLOOKUP(T348, 'Fuel Costs'!$A$2:$C$42, 2, 0))) / IF(ISBLANK(O348), 1, O348))) * 100</f>
        <v>0</v>
      </c>
      <c r="J348" s="2" t="n">
        <f aca="false">((H348 / 800) / (IF(ISBLANK(S348), 100, IF(ISNA(VLOOKUP(S348, Lives!$A$2:$C$35, 2, 0)), S348, VLOOKUP(S348, Lives!$A$2:$C$35, 2, 0))) * 12) + (IF(ISBLANK(Q348), 0, IF(ISNA(VLOOKUP(Q348, Wages!$A$2:$C$17, 2, 0)), Q348, VLOOKUP(Q348, Wages!$A$2:$C$17, 2, 0))) * IF(ISBLANK(N348), 0, IF(ISNA(VLOOKUP(N348, Crews!$A$2:$C$28, 2, 0)), N348, VLOOKUP(N348, Crews!$A$2:$C$28, 2, 0))))) * 400</f>
        <v>0</v>
      </c>
      <c r="K348" s="1" t="s">
        <v>726</v>
      </c>
      <c r="L348" s="1" t="s">
        <v>727</v>
      </c>
      <c r="M348" s="1" t="n">
        <v>1</v>
      </c>
      <c r="N348" s="1"/>
      <c r="O348" s="1"/>
      <c r="P348" s="1"/>
      <c r="Q348" s="1"/>
      <c r="R348" s="1"/>
      <c r="S348" s="1"/>
      <c r="T348" s="1"/>
    </row>
    <row r="349" customFormat="false" ht="15" hidden="false" customHeight="true" outlineLevel="0" collapsed="false">
      <c r="A349" s="1" t="s">
        <v>728</v>
      </c>
      <c r="B349" s="1" t="n">
        <v>1852</v>
      </c>
      <c r="C349" s="1" t="n">
        <v>5</v>
      </c>
      <c r="D349" s="1" t="s">
        <v>38</v>
      </c>
      <c r="E349" s="1" t="s">
        <v>274</v>
      </c>
      <c r="F349" s="1" t="n">
        <v>100</v>
      </c>
      <c r="G349" s="1" t="n">
        <v>80</v>
      </c>
      <c r="H349" s="2" t="n">
        <v>14000000</v>
      </c>
      <c r="I349" s="2" t="n">
        <f aca="false">(((H349 / 800) / IF(ISBLANK(R349), 1000000, IF(ISNA(VLOOKUP(R349, Mileages!$A$2:$C$34, 2, 0)), R349, VLOOKUP(R349, Mileages!$A$2:$C$34, 2, 0)))) + (F349 * IF(ISBLANK(P349), 1, P349) * IF(ISBLANK(T349), 0, IF(ISNA(VLOOKUP(T349, 'Fuel Costs'!$A$2:$C$42, 2, 0)), T349, VLOOKUP(T349, 'Fuel Costs'!$A$2:$C$42, 2, 0))) / IF(ISBLANK(O349), 1, O349))) * 100</f>
        <v>135.0833333</v>
      </c>
      <c r="J349" s="2" t="n">
        <f aca="false">((H349 / 800) / (IF(ISBLANK(S349), 100, IF(ISNA(VLOOKUP(S349, Lives!$A$2:$C$35, 2, 0)), S349, VLOOKUP(S349, Lives!$A$2:$C$35, 2, 0))) * 12) + (IF(ISBLANK(Q349), 0, IF(ISNA(VLOOKUP(Q349, Wages!$A$2:$C$17, 2, 0)), Q349, VLOOKUP(Q349, Wages!$A$2:$C$17, 2, 0))) * IF(ISBLANK(N349), 0, IF(ISNA(VLOOKUP(N349, Crews!$A$2:$C$28, 2, 0)), N349, VLOOKUP(N349, Crews!$A$2:$C$28, 2, 0))))) * 400</f>
        <v>35666.66667</v>
      </c>
      <c r="K349" s="3" t="s">
        <v>729</v>
      </c>
      <c r="L349" s="1" t="s">
        <v>730</v>
      </c>
      <c r="M349" s="1" t="n">
        <v>0</v>
      </c>
      <c r="N349" s="1" t="s">
        <v>590</v>
      </c>
      <c r="O349" s="1" t="n">
        <v>0.6</v>
      </c>
      <c r="P349" s="1"/>
      <c r="Q349" s="5" t="s">
        <v>284</v>
      </c>
      <c r="R349" s="1" t="s">
        <v>677</v>
      </c>
      <c r="S349" s="1" t="s">
        <v>677</v>
      </c>
      <c r="T349" s="1" t="s">
        <v>569</v>
      </c>
    </row>
    <row r="350" customFormat="false" ht="15" hidden="false" customHeight="true" outlineLevel="0" collapsed="false">
      <c r="A350" s="1" t="s">
        <v>731</v>
      </c>
      <c r="B350" s="1" t="n">
        <v>1852</v>
      </c>
      <c r="C350" s="1" t="n">
        <v>5</v>
      </c>
      <c r="D350" s="1" t="s">
        <v>38</v>
      </c>
      <c r="E350" s="1" t="s">
        <v>274</v>
      </c>
      <c r="F350" s="1"/>
      <c r="G350" s="1" t="n">
        <v>135</v>
      </c>
      <c r="H350" s="2" t="n">
        <v>0</v>
      </c>
      <c r="I350" s="2" t="n">
        <f aca="false">(((H350 / 800) / IF(ISBLANK(R350), 1000000, IF(ISNA(VLOOKUP(R350, Mileages!$A$2:$C$34, 2, 0)), R350, VLOOKUP(R350, Mileages!$A$2:$C$34, 2, 0)))) + (F350 * IF(ISBLANK(P350), 1, P350) * IF(ISBLANK(T350), 0, IF(ISNA(VLOOKUP(T350, 'Fuel Costs'!$A$2:$C$42, 2, 0)), T350, VLOOKUP(T350, 'Fuel Costs'!$A$2:$C$42, 2, 0))) / IF(ISBLANK(O350), 1, O350))) * 100</f>
        <v>0</v>
      </c>
      <c r="J350" s="2" t="n">
        <f aca="false">((H350 / 800) / (IF(ISBLANK(S350), 100, IF(ISNA(VLOOKUP(S350, Lives!$A$2:$C$35, 2, 0)), S350, VLOOKUP(S350, Lives!$A$2:$C$35, 2, 0))) * 12) + (IF(ISBLANK(Q350), 0, IF(ISNA(VLOOKUP(Q350, Wages!$A$2:$C$17, 2, 0)), Q350, VLOOKUP(Q350, Wages!$A$2:$C$17, 2, 0))) * IF(ISBLANK(N350), 0, IF(ISNA(VLOOKUP(N350, Crews!$A$2:$C$28, 2, 0)), N350, VLOOKUP(N350, Crews!$A$2:$C$28, 2, 0))))) * 400</f>
        <v>0</v>
      </c>
      <c r="K350" s="1" t="s">
        <v>726</v>
      </c>
      <c r="L350" s="1" t="s">
        <v>732</v>
      </c>
      <c r="M350" s="1" t="n">
        <v>0</v>
      </c>
      <c r="N350" s="1"/>
      <c r="O350" s="1"/>
      <c r="P350" s="1"/>
      <c r="Q350" s="1"/>
      <c r="R350" s="1"/>
      <c r="S350" s="1"/>
      <c r="T350" s="1"/>
    </row>
    <row r="351" customFormat="false" ht="15" hidden="false" customHeight="true" outlineLevel="0" collapsed="false">
      <c r="A351" s="1" t="s">
        <v>733</v>
      </c>
      <c r="B351" s="1" t="n">
        <v>1852</v>
      </c>
      <c r="C351" s="1" t="n">
        <v>7</v>
      </c>
      <c r="D351" s="1" t="s">
        <v>38</v>
      </c>
      <c r="E351" s="1" t="s">
        <v>274</v>
      </c>
      <c r="F351" s="1" t="n">
        <v>197</v>
      </c>
      <c r="G351" s="1" t="n">
        <v>115</v>
      </c>
      <c r="H351" s="2" t="n">
        <v>16670500</v>
      </c>
      <c r="I351" s="2" t="n">
        <f aca="false">(((H351 / 800) / IF(ISBLANK(R351), 1000000, IF(ISNA(VLOOKUP(R351, Mileages!$A$2:$C$34, 2, 0)), R351, VLOOKUP(R351, Mileages!$A$2:$C$34, 2, 0)))) + (F351 * IF(ISBLANK(P351), 1, P351) * IF(ISBLANK(T351), 0, IF(ISNA(VLOOKUP(T351, 'Fuel Costs'!$A$2:$C$42, 2, 0)), T351, VLOOKUP(T351, 'Fuel Costs'!$A$2:$C$42, 2, 0))) / IF(ISBLANK(O351), 1, O351))) * 100</f>
        <v>317.2838125</v>
      </c>
      <c r="J351" s="2" t="n">
        <f aca="false">((H351 / 800) / (IF(ISBLANK(S351), 100, IF(ISNA(VLOOKUP(S351, Lives!$A$2:$C$35, 2, 0)), S351, VLOOKUP(S351, Lives!$A$2:$C$35, 2, 0))) * 12) + (IF(ISBLANK(Q351), 0, IF(ISNA(VLOOKUP(Q351, Wages!$A$2:$C$17, 2, 0)), Q351, VLOOKUP(Q351, Wages!$A$2:$C$17, 2, 0))) * IF(ISBLANK(N351), 0, IF(ISNA(VLOOKUP(N351, Crews!$A$2:$C$28, 2, 0)), N351, VLOOKUP(N351, Crews!$A$2:$C$28, 2, 0))))) * 400</f>
        <v>37892.08333</v>
      </c>
      <c r="K351" s="3" t="s">
        <v>734</v>
      </c>
      <c r="L351" s="1" t="s">
        <v>735</v>
      </c>
      <c r="M351" s="1" t="n">
        <v>0</v>
      </c>
      <c r="N351" s="1" t="s">
        <v>590</v>
      </c>
      <c r="O351" s="1" t="n">
        <v>0.5</v>
      </c>
      <c r="P351" s="1"/>
      <c r="Q351" s="5" t="s">
        <v>284</v>
      </c>
      <c r="R351" s="1" t="s">
        <v>677</v>
      </c>
      <c r="S351" s="1" t="s">
        <v>677</v>
      </c>
      <c r="T351" s="1" t="s">
        <v>569</v>
      </c>
    </row>
    <row r="352" customFormat="false" ht="15" hidden="false" customHeight="true" outlineLevel="0" collapsed="false">
      <c r="A352" s="1" t="s">
        <v>736</v>
      </c>
      <c r="B352" s="1" t="n">
        <v>1852</v>
      </c>
      <c r="C352" s="1" t="n">
        <v>8</v>
      </c>
      <c r="D352" s="1" t="s">
        <v>38</v>
      </c>
      <c r="E352" s="1" t="s">
        <v>274</v>
      </c>
      <c r="F352" s="1" t="n">
        <v>154</v>
      </c>
      <c r="G352" s="1" t="n">
        <v>110</v>
      </c>
      <c r="H352" s="2" t="n">
        <v>15150000</v>
      </c>
      <c r="I352" s="2" t="n">
        <f aca="false">(((H352 / 800) / IF(ISBLANK(R352), 1000000, IF(ISNA(VLOOKUP(R352, Mileages!$A$2:$C$34, 2, 0)), R352, VLOOKUP(R352, Mileages!$A$2:$C$34, 2, 0)))) + (F352 * IF(ISBLANK(P352), 1, P352) * IF(ISBLANK(T352), 0, IF(ISNA(VLOOKUP(T352, 'Fuel Costs'!$A$2:$C$42, 2, 0)), T352, VLOOKUP(T352, 'Fuel Costs'!$A$2:$C$42, 2, 0))) / IF(ISBLANK(O352), 1, O352))) * 100</f>
        <v>248.29375</v>
      </c>
      <c r="J352" s="2" t="n">
        <f aca="false">((H352 / 800) / (IF(ISBLANK(S352), 100, IF(ISNA(VLOOKUP(S352, Lives!$A$2:$C$35, 2, 0)), S352, VLOOKUP(S352, Lives!$A$2:$C$35, 2, 0))) * 12) + (IF(ISBLANK(Q352), 0, IF(ISNA(VLOOKUP(Q352, Wages!$A$2:$C$17, 2, 0)), Q352, VLOOKUP(Q352, Wages!$A$2:$C$17, 2, 0))) * IF(ISBLANK(N352), 0, IF(ISNA(VLOOKUP(N352, Crews!$A$2:$C$28, 2, 0)), N352, VLOOKUP(N352, Crews!$A$2:$C$28, 2, 0))))) * 400</f>
        <v>36625</v>
      </c>
      <c r="K352" s="3" t="s">
        <v>737</v>
      </c>
      <c r="L352" s="1" t="s">
        <v>738</v>
      </c>
      <c r="M352" s="1" t="n">
        <v>0</v>
      </c>
      <c r="N352" s="1" t="s">
        <v>590</v>
      </c>
      <c r="O352" s="1" t="n">
        <v>0.5</v>
      </c>
      <c r="P352" s="1"/>
      <c r="Q352" s="5" t="s">
        <v>284</v>
      </c>
      <c r="R352" s="1" t="s">
        <v>677</v>
      </c>
      <c r="S352" s="1" t="s">
        <v>677</v>
      </c>
      <c r="T352" s="1" t="s">
        <v>569</v>
      </c>
    </row>
    <row r="353" customFormat="false" ht="15" hidden="false" customHeight="true" outlineLevel="0" collapsed="false">
      <c r="A353" s="1" t="s">
        <v>739</v>
      </c>
      <c r="B353" s="1" t="n">
        <v>1852</v>
      </c>
      <c r="C353" s="1" t="n">
        <v>8</v>
      </c>
      <c r="D353" s="1" t="s">
        <v>38</v>
      </c>
      <c r="E353" s="1" t="s">
        <v>274</v>
      </c>
      <c r="F353" s="1"/>
      <c r="G353" s="1" t="n">
        <v>110</v>
      </c>
      <c r="H353" s="2" t="n">
        <v>0</v>
      </c>
      <c r="I353" s="2" t="n">
        <f aca="false">(((H353 / 800) / IF(ISBLANK(R353), 1000000, IF(ISNA(VLOOKUP(R353, Mileages!$A$2:$C$34, 2, 0)), R353, VLOOKUP(R353, Mileages!$A$2:$C$34, 2, 0)))) + (F353 * IF(ISBLANK(P353), 1, P353) * IF(ISBLANK(T353), 0, IF(ISNA(VLOOKUP(T353, 'Fuel Costs'!$A$2:$C$42, 2, 0)), T353, VLOOKUP(T353, 'Fuel Costs'!$A$2:$C$42, 2, 0))) / IF(ISBLANK(O353), 1, O353))) * 100</f>
        <v>0</v>
      </c>
      <c r="J353" s="2" t="n">
        <f aca="false">((H353 / 800) / (IF(ISBLANK(S353), 100, IF(ISNA(VLOOKUP(S353, Lives!$A$2:$C$35, 2, 0)), S353, VLOOKUP(S353, Lives!$A$2:$C$35, 2, 0))) * 12) + (IF(ISBLANK(Q353), 0, IF(ISNA(VLOOKUP(Q353, Wages!$A$2:$C$17, 2, 0)), Q353, VLOOKUP(Q353, Wages!$A$2:$C$17, 2, 0))) * IF(ISBLANK(N353), 0, IF(ISNA(VLOOKUP(N353, Crews!$A$2:$C$28, 2, 0)), N353, VLOOKUP(N353, Crews!$A$2:$C$28, 2, 0))))) * 400</f>
        <v>0</v>
      </c>
      <c r="K353" s="1" t="s">
        <v>605</v>
      </c>
      <c r="L353" s="1" t="s">
        <v>738</v>
      </c>
      <c r="M353" s="1" t="n">
        <v>1</v>
      </c>
      <c r="N353" s="1"/>
      <c r="O353" s="1"/>
      <c r="P353" s="1"/>
      <c r="Q353" s="1"/>
      <c r="R353" s="1"/>
      <c r="S353" s="1"/>
      <c r="T353" s="1"/>
    </row>
    <row r="354" customFormat="false" ht="15" hidden="false" customHeight="true" outlineLevel="0" collapsed="false">
      <c r="A354" s="1" t="s">
        <v>740</v>
      </c>
      <c r="B354" s="1" t="n">
        <v>1852</v>
      </c>
      <c r="C354" s="1" t="n">
        <v>9</v>
      </c>
      <c r="D354" s="1" t="s">
        <v>38</v>
      </c>
      <c r="E354" s="1" t="s">
        <v>274</v>
      </c>
      <c r="F354" s="1"/>
      <c r="G354" s="1" t="n">
        <v>48</v>
      </c>
      <c r="H354" s="2" t="n">
        <v>0</v>
      </c>
      <c r="I354" s="2" t="n">
        <f aca="false">(((H354 / 800) / IF(ISBLANK(R354), 1000000, IF(ISNA(VLOOKUP(R354, Mileages!$A$2:$C$34, 2, 0)), R354, VLOOKUP(R354, Mileages!$A$2:$C$34, 2, 0)))) + (F354 * IF(ISBLANK(P354), 1, P354) * IF(ISBLANK(T354), 0, IF(ISNA(VLOOKUP(T354, 'Fuel Costs'!$A$2:$C$42, 2, 0)), T354, VLOOKUP(T354, 'Fuel Costs'!$A$2:$C$42, 2, 0))) / IF(ISBLANK(O354), 1, O354))) * 100</f>
        <v>0</v>
      </c>
      <c r="J354" s="2" t="n">
        <f aca="false">((H354 / 800) / (IF(ISBLANK(S354), 100, IF(ISNA(VLOOKUP(S354, Lives!$A$2:$C$35, 2, 0)), S354, VLOOKUP(S354, Lives!$A$2:$C$35, 2, 0))) * 12) + (IF(ISBLANK(Q354), 0, IF(ISNA(VLOOKUP(Q354, Wages!$A$2:$C$17, 2, 0)), Q354, VLOOKUP(Q354, Wages!$A$2:$C$17, 2, 0))) * IF(ISBLANK(N354), 0, IF(ISNA(VLOOKUP(N354, Crews!$A$2:$C$28, 2, 0)), N354, VLOOKUP(N354, Crews!$A$2:$C$28, 2, 0))))) * 400</f>
        <v>0</v>
      </c>
      <c r="K354" s="1" t="s">
        <v>741</v>
      </c>
      <c r="L354" s="1" t="s">
        <v>742</v>
      </c>
      <c r="M354" s="1" t="n">
        <v>0</v>
      </c>
      <c r="N354" s="1"/>
      <c r="O354" s="1"/>
      <c r="P354" s="1"/>
      <c r="Q354" s="1"/>
      <c r="R354" s="1"/>
      <c r="S354" s="1"/>
      <c r="T354" s="1"/>
    </row>
    <row r="355" customFormat="false" ht="15" hidden="false" customHeight="true" outlineLevel="0" collapsed="false">
      <c r="A355" s="1" t="s">
        <v>743</v>
      </c>
      <c r="B355" s="1" t="n">
        <v>1852</v>
      </c>
      <c r="C355" s="1" t="n">
        <v>9</v>
      </c>
      <c r="D355" s="1" t="s">
        <v>38</v>
      </c>
      <c r="E355" s="1" t="s">
        <v>274</v>
      </c>
      <c r="F355" s="1" t="n">
        <v>103</v>
      </c>
      <c r="G355" s="1" t="n">
        <v>48</v>
      </c>
      <c r="H355" s="2" t="n">
        <f aca="false">3548160*2</f>
        <v>7096320</v>
      </c>
      <c r="I355" s="2" t="n">
        <f aca="false">(((H355 / 800) / IF(ISBLANK(R355), 1000000, IF(ISNA(VLOOKUP(R355, Mileages!$A$2:$C$34, 2, 0)), R355, VLOOKUP(R355, Mileages!$A$2:$C$34, 2, 0)))) + (F355 * IF(ISBLANK(P355), 1, P355) * IF(ISBLANK(T355), 0, IF(ISNA(VLOOKUP(T355, 'Fuel Costs'!$A$2:$C$42, 2, 0)), T355, VLOOKUP(T355, 'Fuel Costs'!$A$2:$C$42, 2, 0))) / IF(ISBLANK(O355), 1, O355))) * 100</f>
        <v>138.2203733</v>
      </c>
      <c r="J355" s="2" t="n">
        <f aca="false">((H355 / 800) / (IF(ISBLANK(S355), 100, IF(ISNA(VLOOKUP(S355, Lives!$A$2:$C$35, 2, 0)), S355, VLOOKUP(S355, Lives!$A$2:$C$35, 2, 0))) * 12) + (IF(ISBLANK(Q355), 0, IF(ISNA(VLOOKUP(Q355, Wages!$A$2:$C$17, 2, 0)), Q355, VLOOKUP(Q355, Wages!$A$2:$C$17, 2, 0))) * IF(ISBLANK(N355), 0, IF(ISNA(VLOOKUP(N355, Crews!$A$2:$C$28, 2, 0)), N355, VLOOKUP(N355, Crews!$A$2:$C$28, 2, 0))))) * 400</f>
        <v>29913.6</v>
      </c>
      <c r="K355" s="3" t="s">
        <v>744</v>
      </c>
      <c r="L355" s="1" t="s">
        <v>745</v>
      </c>
      <c r="M355" s="1" t="n">
        <v>0</v>
      </c>
      <c r="N355" s="1" t="s">
        <v>590</v>
      </c>
      <c r="O355" s="1" t="n">
        <v>0.6</v>
      </c>
      <c r="P355" s="1"/>
      <c r="Q355" s="5" t="s">
        <v>284</v>
      </c>
      <c r="R355" s="1" t="s">
        <v>677</v>
      </c>
      <c r="S355" s="1" t="s">
        <v>677</v>
      </c>
      <c r="T355" s="1" t="s">
        <v>569</v>
      </c>
    </row>
    <row r="356" customFormat="false" ht="15" hidden="false" customHeight="true" outlineLevel="0" collapsed="false">
      <c r="A356" s="1" t="s">
        <v>746</v>
      </c>
      <c r="B356" s="1" t="n">
        <v>1852</v>
      </c>
      <c r="C356" s="1" t="n">
        <v>11</v>
      </c>
      <c r="D356" s="1" t="s">
        <v>29</v>
      </c>
      <c r="E356" s="1" t="s">
        <v>274</v>
      </c>
      <c r="F356" s="1" t="n">
        <v>200</v>
      </c>
      <c r="G356" s="1" t="n">
        <v>20</v>
      </c>
      <c r="H356" s="2" t="n">
        <v>14210000</v>
      </c>
      <c r="I356" s="2" t="n">
        <f aca="false">(((H356 / 800) / IF(ISBLANK(R356), 1000000, IF(ISNA(VLOOKUP(R356, Mileages!$A$2:$C$34, 2, 0)), R356, VLOOKUP(R356, Mileages!$A$2:$C$34, 2, 0)))) + (F356 * IF(ISBLANK(P356), 1, P356) * IF(ISBLANK(T356), 0, IF(ISNA(VLOOKUP(T356, 'Fuel Costs'!$A$2:$C$42, 2, 0)), T356, VLOOKUP(T356, 'Fuel Costs'!$A$2:$C$42, 2, 0))) / IF(ISBLANK(O356), 1, O356))) * 100</f>
        <v>54.22145833</v>
      </c>
      <c r="J356" s="2" t="n">
        <f aca="false">((H356 / 800) / (IF(ISBLANK(S356), 100, IF(ISNA(VLOOKUP(S356, Lives!$A$2:$C$35, 2, 0)), S356, VLOOKUP(S356, Lives!$A$2:$C$35, 2, 0))) * 12) + (IF(ISBLANK(Q356), 0, IF(ISNA(VLOOKUP(Q356, Wages!$A$2:$C$17, 2, 0)), Q356, VLOOKUP(Q356, Wages!$A$2:$C$17, 2, 0))) * IF(ISBLANK(N356), 0, IF(ISNA(VLOOKUP(N356, Crews!$A$2:$C$28, 2, 0)), N356, VLOOKUP(N356, Crews!$A$2:$C$28, 2, 0))))) * 400</f>
        <v>205920.8333</v>
      </c>
      <c r="K356" s="3" t="s">
        <v>747</v>
      </c>
      <c r="L356" s="1" t="s">
        <v>748</v>
      </c>
      <c r="M356" s="1" t="n">
        <v>0</v>
      </c>
      <c r="N356" s="1" t="s">
        <v>323</v>
      </c>
      <c r="O356" s="1" t="n">
        <v>0.75</v>
      </c>
      <c r="P356" s="1" t="n">
        <v>0.25</v>
      </c>
      <c r="Q356" s="1" t="s">
        <v>34</v>
      </c>
      <c r="R356" s="1" t="s">
        <v>574</v>
      </c>
      <c r="S356" s="1" t="s">
        <v>574</v>
      </c>
      <c r="T356" s="1" t="s">
        <v>569</v>
      </c>
    </row>
    <row r="357" customFormat="false" ht="15" hidden="false" customHeight="true" outlineLevel="0" collapsed="false">
      <c r="A357" s="1" t="s">
        <v>749</v>
      </c>
      <c r="B357" s="1" t="n">
        <v>1853</v>
      </c>
      <c r="C357" s="1" t="n">
        <v>4</v>
      </c>
      <c r="D357" s="1" t="s">
        <v>38</v>
      </c>
      <c r="E357" s="1" t="s">
        <v>274</v>
      </c>
      <c r="F357" s="1" t="n">
        <v>127</v>
      </c>
      <c r="G357" s="1" t="n">
        <v>100</v>
      </c>
      <c r="H357" s="2" t="n">
        <f aca="false">8125250*1.5</f>
        <v>12187875</v>
      </c>
      <c r="I357" s="2" t="n">
        <f aca="false">(((H357 / 800) / IF(ISBLANK(R357), 1000000, IF(ISNA(VLOOKUP(R357, Mileages!$A$2:$C$34, 2, 0)), R357, VLOOKUP(R357, Mileages!$A$2:$C$34, 2, 0)))) + (F357 * IF(ISBLANK(P357), 1, P357) * IF(ISBLANK(T357), 0, IF(ISNA(VLOOKUP(T357, 'Fuel Costs'!$A$2:$C$42, 2, 0)), T357, VLOOKUP(T357, 'Fuel Costs'!$A$2:$C$42, 2, 0))) / IF(ISBLANK(O357), 1, O357))) * 100</f>
        <v>204.7234844</v>
      </c>
      <c r="J357" s="2" t="n">
        <f aca="false">((H357 / 800) / (IF(ISBLANK(S357), 100, IF(ISNA(VLOOKUP(S357, Lives!$A$2:$C$35, 2, 0)), S357, VLOOKUP(S357, Lives!$A$2:$C$35, 2, 0))) * 12) + (IF(ISBLANK(Q357), 0, IF(ISNA(VLOOKUP(Q357, Wages!$A$2:$C$17, 2, 0)), Q357, VLOOKUP(Q357, Wages!$A$2:$C$17, 2, 0))) * IF(ISBLANK(N357), 0, IF(ISNA(VLOOKUP(N357, Crews!$A$2:$C$28, 2, 0)), N357, VLOOKUP(N357, Crews!$A$2:$C$28, 2, 0))))) * 400</f>
        <v>34156.5625</v>
      </c>
      <c r="K357" s="3" t="s">
        <v>734</v>
      </c>
      <c r="L357" s="1" t="s">
        <v>750</v>
      </c>
      <c r="M357" s="1" t="n">
        <v>0</v>
      </c>
      <c r="N357" s="1" t="s">
        <v>590</v>
      </c>
      <c r="O357" s="1" t="n">
        <v>0.5</v>
      </c>
      <c r="P357" s="1"/>
      <c r="Q357" s="5" t="s">
        <v>284</v>
      </c>
      <c r="R357" s="1" t="s">
        <v>677</v>
      </c>
      <c r="S357" s="1" t="s">
        <v>677</v>
      </c>
      <c r="T357" s="1" t="s">
        <v>569</v>
      </c>
    </row>
    <row r="358" customFormat="false" ht="15" hidden="false" customHeight="true" outlineLevel="0" collapsed="false">
      <c r="A358" s="1" t="s">
        <v>751</v>
      </c>
      <c r="B358" s="1" t="n">
        <v>1853</v>
      </c>
      <c r="C358" s="1" t="n">
        <v>5</v>
      </c>
      <c r="D358" s="1" t="s">
        <v>29</v>
      </c>
      <c r="E358" s="1" t="s">
        <v>274</v>
      </c>
      <c r="F358" s="1" t="n">
        <v>3550</v>
      </c>
      <c r="G358" s="1" t="n">
        <v>20</v>
      </c>
      <c r="H358" s="2" t="n">
        <f aca="false">10483200*8</f>
        <v>83865600</v>
      </c>
      <c r="I358" s="2" t="n">
        <f aca="false">(((H358 / 800) / IF(ISBLANK(R358), 1000000, IF(ISNA(VLOOKUP(R358, Mileages!$A$2:$C$34, 2, 0)), R358, VLOOKUP(R358, Mileages!$A$2:$C$34, 2, 0)))) + (F358 * IF(ISBLANK(P358), 1, P358) * IF(ISBLANK(T358), 0, IF(ISNA(VLOOKUP(T358, 'Fuel Costs'!$A$2:$C$42, 2, 0)), T358, VLOOKUP(T358, 'Fuel Costs'!$A$2:$C$42, 2, 0))) / IF(ISBLANK(O358), 1, O358))) * 100</f>
        <v>762.5749333</v>
      </c>
      <c r="J358" s="2" t="n">
        <f aca="false">((H358 / 800) / (IF(ISBLANK(S358), 100, IF(ISNA(VLOOKUP(S358, Lives!$A$2:$C$35, 2, 0)), S358, VLOOKUP(S358, Lives!$A$2:$C$35, 2, 0))) * 12) + (IF(ISBLANK(Q358), 0, IF(ISNA(VLOOKUP(Q358, Wages!$A$2:$C$17, 2, 0)), Q358, VLOOKUP(Q358, Wages!$A$2:$C$17, 2, 0))) * IF(ISBLANK(N358), 0, IF(ISNA(VLOOKUP(N358, Crews!$A$2:$C$28, 2, 0)), N358, VLOOKUP(N358, Crews!$A$2:$C$28, 2, 0))))) * 400</f>
        <v>634944</v>
      </c>
      <c r="K358" s="3" t="s">
        <v>752</v>
      </c>
      <c r="L358" s="1" t="s">
        <v>753</v>
      </c>
      <c r="M358" s="1" t="n">
        <v>0</v>
      </c>
      <c r="N358" s="1" t="s">
        <v>754</v>
      </c>
      <c r="O358" s="1" t="n">
        <v>0.75</v>
      </c>
      <c r="P358" s="1" t="n">
        <v>0.2</v>
      </c>
      <c r="Q358" s="1" t="s">
        <v>34</v>
      </c>
      <c r="R358" s="1" t="s">
        <v>574</v>
      </c>
      <c r="S358" s="1" t="s">
        <v>574</v>
      </c>
      <c r="T358" s="1" t="s">
        <v>569</v>
      </c>
    </row>
    <row r="359" customFormat="false" ht="15" hidden="false" customHeight="true" outlineLevel="0" collapsed="false">
      <c r="A359" s="1" t="s">
        <v>755</v>
      </c>
      <c r="B359" s="1" t="n">
        <v>1853</v>
      </c>
      <c r="C359" s="1" t="n">
        <v>5</v>
      </c>
      <c r="D359" s="1" t="s">
        <v>29</v>
      </c>
      <c r="E359" s="1"/>
      <c r="F359" s="1"/>
      <c r="G359" s="1" t="n">
        <v>25</v>
      </c>
      <c r="H359" s="2"/>
      <c r="I359" s="2"/>
      <c r="J359" s="2"/>
      <c r="K359" s="1" t="s">
        <v>756</v>
      </c>
      <c r="L359" s="1" t="s">
        <v>757</v>
      </c>
      <c r="M359" s="1" t="n">
        <v>0</v>
      </c>
      <c r="N359" s="1"/>
      <c r="O359" s="1"/>
      <c r="P359" s="1"/>
      <c r="Q359" s="1"/>
      <c r="R359" s="1"/>
      <c r="S359" s="1"/>
      <c r="T359" s="1"/>
    </row>
    <row r="360" customFormat="false" ht="15" hidden="false" customHeight="true" outlineLevel="0" collapsed="false">
      <c r="A360" s="1" t="s">
        <v>758</v>
      </c>
      <c r="B360" s="1" t="n">
        <v>1853</v>
      </c>
      <c r="C360" s="1" t="n">
        <v>5</v>
      </c>
      <c r="D360" s="1" t="s">
        <v>29</v>
      </c>
      <c r="E360" s="1"/>
      <c r="F360" s="1"/>
      <c r="G360" s="1" t="n">
        <v>25</v>
      </c>
      <c r="H360" s="2"/>
      <c r="I360" s="2"/>
      <c r="J360" s="2"/>
      <c r="K360" s="1"/>
      <c r="L360" s="1" t="s">
        <v>757</v>
      </c>
      <c r="M360" s="1" t="n">
        <v>1</v>
      </c>
      <c r="N360" s="1"/>
      <c r="O360" s="1"/>
      <c r="P360" s="1"/>
      <c r="Q360" s="1"/>
      <c r="R360" s="1"/>
      <c r="S360" s="1"/>
      <c r="T360" s="1"/>
    </row>
    <row r="361" customFormat="false" ht="15" hidden="false" customHeight="true" outlineLevel="0" collapsed="false">
      <c r="A361" s="1" t="s">
        <v>759</v>
      </c>
      <c r="B361" s="1" t="n">
        <v>1853</v>
      </c>
      <c r="C361" s="1" t="n">
        <v>5</v>
      </c>
      <c r="D361" s="1" t="s">
        <v>29</v>
      </c>
      <c r="E361" s="1"/>
      <c r="F361" s="1"/>
      <c r="G361" s="1" t="n">
        <v>25</v>
      </c>
      <c r="H361" s="2"/>
      <c r="I361" s="2"/>
      <c r="J361" s="2"/>
      <c r="K361" s="1"/>
      <c r="L361" s="1" t="s">
        <v>757</v>
      </c>
      <c r="M361" s="1" t="n">
        <v>2</v>
      </c>
      <c r="N361" s="1"/>
      <c r="O361" s="1"/>
      <c r="P361" s="1"/>
      <c r="Q361" s="1"/>
      <c r="R361" s="1"/>
      <c r="S361" s="1"/>
      <c r="T361" s="1"/>
    </row>
    <row r="362" customFormat="false" ht="15" hidden="false" customHeight="true" outlineLevel="0" collapsed="false">
      <c r="A362" s="1" t="s">
        <v>760</v>
      </c>
      <c r="B362" s="1" t="n">
        <v>1853</v>
      </c>
      <c r="C362" s="1" t="n">
        <v>5</v>
      </c>
      <c r="D362" s="1" t="s">
        <v>29</v>
      </c>
      <c r="E362" s="1"/>
      <c r="F362" s="1"/>
      <c r="G362" s="1" t="n">
        <v>25</v>
      </c>
      <c r="H362" s="2"/>
      <c r="I362" s="2"/>
      <c r="J362" s="2"/>
      <c r="K362" s="1"/>
      <c r="L362" s="1" t="s">
        <v>757</v>
      </c>
      <c r="M362" s="1" t="n">
        <v>3</v>
      </c>
      <c r="N362" s="1"/>
      <c r="O362" s="1"/>
      <c r="P362" s="1"/>
      <c r="Q362" s="1"/>
      <c r="R362" s="1"/>
      <c r="S362" s="1"/>
      <c r="T362" s="1"/>
    </row>
    <row r="363" customFormat="false" ht="15" hidden="false" customHeight="true" outlineLevel="0" collapsed="false">
      <c r="A363" s="1" t="s">
        <v>761</v>
      </c>
      <c r="B363" s="1" t="n">
        <v>1853</v>
      </c>
      <c r="C363" s="1" t="n">
        <v>5</v>
      </c>
      <c r="D363" s="1" t="s">
        <v>29</v>
      </c>
      <c r="E363" s="1"/>
      <c r="F363" s="1"/>
      <c r="G363" s="1" t="n">
        <v>25</v>
      </c>
      <c r="H363" s="2"/>
      <c r="I363" s="2"/>
      <c r="J363" s="2"/>
      <c r="K363" s="1"/>
      <c r="L363" s="1" t="s">
        <v>757</v>
      </c>
      <c r="M363" s="1" t="n">
        <v>4</v>
      </c>
      <c r="N363" s="1"/>
      <c r="O363" s="1"/>
      <c r="P363" s="1"/>
      <c r="Q363" s="1"/>
      <c r="R363" s="1"/>
      <c r="S363" s="1"/>
      <c r="T363" s="1"/>
    </row>
    <row r="364" customFormat="false" ht="15" hidden="false" customHeight="true" outlineLevel="0" collapsed="false">
      <c r="A364" s="1" t="s">
        <v>762</v>
      </c>
      <c r="B364" s="1" t="n">
        <v>1853</v>
      </c>
      <c r="C364" s="1" t="n">
        <v>5</v>
      </c>
      <c r="D364" s="1" t="s">
        <v>29</v>
      </c>
      <c r="E364" s="1"/>
      <c r="F364" s="1"/>
      <c r="G364" s="1" t="n">
        <v>25</v>
      </c>
      <c r="H364" s="2"/>
      <c r="I364" s="2"/>
      <c r="J364" s="2"/>
      <c r="K364" s="1"/>
      <c r="L364" s="1" t="s">
        <v>757</v>
      </c>
      <c r="M364" s="1" t="n">
        <v>5</v>
      </c>
      <c r="N364" s="1"/>
      <c r="O364" s="1"/>
      <c r="P364" s="1"/>
      <c r="Q364" s="1"/>
      <c r="R364" s="1"/>
      <c r="S364" s="1"/>
      <c r="T364" s="1"/>
    </row>
    <row r="365" customFormat="false" ht="15" hidden="false" customHeight="true" outlineLevel="0" collapsed="false">
      <c r="A365" s="1" t="s">
        <v>763</v>
      </c>
      <c r="B365" s="1" t="n">
        <v>1853</v>
      </c>
      <c r="C365" s="1" t="n">
        <v>5</v>
      </c>
      <c r="D365" s="1" t="s">
        <v>29</v>
      </c>
      <c r="E365" s="1"/>
      <c r="F365" s="1"/>
      <c r="G365" s="1" t="n">
        <v>25</v>
      </c>
      <c r="H365" s="2"/>
      <c r="I365" s="2"/>
      <c r="J365" s="2"/>
      <c r="K365" s="1"/>
      <c r="L365" s="1" t="s">
        <v>757</v>
      </c>
      <c r="M365" s="1" t="n">
        <v>6</v>
      </c>
      <c r="N365" s="1"/>
      <c r="O365" s="1"/>
      <c r="P365" s="1"/>
      <c r="Q365" s="1"/>
      <c r="R365" s="1"/>
      <c r="S365" s="1"/>
      <c r="T365" s="1"/>
    </row>
    <row r="366" customFormat="false" ht="15" hidden="false" customHeight="true" outlineLevel="0" collapsed="false">
      <c r="A366" s="1" t="s">
        <v>764</v>
      </c>
      <c r="B366" s="1" t="n">
        <v>1854</v>
      </c>
      <c r="C366" s="1" t="n">
        <v>1</v>
      </c>
      <c r="D366" s="1" t="s">
        <v>38</v>
      </c>
      <c r="E366" s="1" t="s">
        <v>274</v>
      </c>
      <c r="F366" s="1" t="n">
        <v>96</v>
      </c>
      <c r="G366" s="1" t="n">
        <v>83</v>
      </c>
      <c r="H366" s="2" t="n">
        <v>7500000</v>
      </c>
      <c r="I366" s="2" t="n">
        <f aca="false">(((H366 / 800) / IF(ISBLANK(R366), 1000000, IF(ISNA(VLOOKUP(R366, Mileages!$A$2:$C$34, 2, 0)), R366, VLOOKUP(R366, Mileages!$A$2:$C$34, 2, 0)))) + (F366 * IF(ISBLANK(P366), 1, P366) * IF(ISBLANK(T366), 0, IF(ISNA(VLOOKUP(T366, 'Fuel Costs'!$A$2:$C$42, 2, 0)), T366, VLOOKUP(T366, 'Fuel Costs'!$A$2:$C$42, 2, 0))) / IF(ISBLANK(O366), 1, O366))) * 100</f>
        <v>128.9375</v>
      </c>
      <c r="J366" s="2" t="n">
        <f aca="false">((H366 / 800) / (IF(ISBLANK(S366), 100, IF(ISNA(VLOOKUP(S366, Lives!$A$2:$C$35, 2, 0)), S366, VLOOKUP(S366, Lives!$A$2:$C$35, 2, 0))) * 12) + (IF(ISBLANK(Q366), 0, IF(ISNA(VLOOKUP(Q366, Wages!$A$2:$C$17, 2, 0)), Q366, VLOOKUP(Q366, Wages!$A$2:$C$17, 2, 0))) * IF(ISBLANK(N366), 0, IF(ISNA(VLOOKUP(N366, Crews!$A$2:$C$28, 2, 0)), N366, VLOOKUP(N366, Crews!$A$2:$C$28, 2, 0))))) * 400</f>
        <v>30250</v>
      </c>
      <c r="K366" s="3" t="s">
        <v>765</v>
      </c>
      <c r="L366" s="1" t="s">
        <v>766</v>
      </c>
      <c r="M366" s="1" t="n">
        <v>0</v>
      </c>
      <c r="N366" s="1" t="s">
        <v>590</v>
      </c>
      <c r="O366" s="1" t="n">
        <v>0.6</v>
      </c>
      <c r="P366" s="1"/>
      <c r="Q366" s="5" t="s">
        <v>284</v>
      </c>
      <c r="R366" s="1" t="s">
        <v>677</v>
      </c>
      <c r="S366" s="1" t="s">
        <v>677</v>
      </c>
      <c r="T366" s="1" t="s">
        <v>569</v>
      </c>
    </row>
    <row r="367" customFormat="false" ht="15" hidden="false" customHeight="true" outlineLevel="0" collapsed="false">
      <c r="A367" s="1" t="s">
        <v>767</v>
      </c>
      <c r="B367" s="1" t="n">
        <v>1854</v>
      </c>
      <c r="C367" s="1" t="n">
        <v>11</v>
      </c>
      <c r="D367" s="1" t="s">
        <v>38</v>
      </c>
      <c r="E367" s="1" t="s">
        <v>274</v>
      </c>
      <c r="F367" s="1" t="n">
        <v>117</v>
      </c>
      <c r="G367" s="1" t="n">
        <v>92</v>
      </c>
      <c r="H367" s="2" t="n">
        <v>4750000</v>
      </c>
      <c r="I367" s="2" t="n">
        <f aca="false">(((H367 / 800) / IF(ISBLANK(R367), 1000000, IF(ISNA(VLOOKUP(R367, Mileages!$A$2:$C$34, 2, 0)), R367, VLOOKUP(R367, Mileages!$A$2:$C$34, 2, 0)))) + (F367 * IF(ISBLANK(P367), 1, P367) * IF(ISBLANK(T367), 0, IF(ISNA(VLOOKUP(T367, 'Fuel Costs'!$A$2:$C$42, 2, 0)), T367, VLOOKUP(T367, 'Fuel Costs'!$A$2:$C$42, 2, 0))) / IF(ISBLANK(O367), 1, O367))) * 100</f>
        <v>187.79375</v>
      </c>
      <c r="J367" s="2" t="n">
        <f aca="false">((H367 / 800) / (IF(ISBLANK(S367), 100, IF(ISNA(VLOOKUP(S367, Lives!$A$2:$C$35, 2, 0)), S367, VLOOKUP(S367, Lives!$A$2:$C$35, 2, 0))) * 12) + (IF(ISBLANK(Q367), 0, IF(ISNA(VLOOKUP(Q367, Wages!$A$2:$C$17, 2, 0)), Q367, VLOOKUP(Q367, Wages!$A$2:$C$17, 2, 0))) * IF(ISBLANK(N367), 0, IF(ISNA(VLOOKUP(N367, Crews!$A$2:$C$28, 2, 0)), N367, VLOOKUP(N367, Crews!$A$2:$C$28, 2, 0))))) * 400</f>
        <v>27958.33333</v>
      </c>
      <c r="K367" s="3" t="s">
        <v>768</v>
      </c>
      <c r="L367" s="1" t="s">
        <v>769</v>
      </c>
      <c r="M367" s="1" t="n">
        <v>0</v>
      </c>
      <c r="N367" s="1" t="s">
        <v>590</v>
      </c>
      <c r="O367" s="1" t="n">
        <v>0.5</v>
      </c>
      <c r="P367" s="1"/>
      <c r="Q367" s="5" t="s">
        <v>284</v>
      </c>
      <c r="R367" s="1" t="s">
        <v>677</v>
      </c>
      <c r="S367" s="1" t="s">
        <v>677</v>
      </c>
      <c r="T367" s="1" t="s">
        <v>569</v>
      </c>
    </row>
    <row r="368" customFormat="false" ht="15" hidden="false" customHeight="true" outlineLevel="0" collapsed="false">
      <c r="A368" s="1" t="s">
        <v>770</v>
      </c>
      <c r="B368" s="1" t="n">
        <v>1855</v>
      </c>
      <c r="C368" s="1" t="n">
        <v>1</v>
      </c>
      <c r="D368" s="1" t="s">
        <v>38</v>
      </c>
      <c r="E368" s="1"/>
      <c r="F368" s="1"/>
      <c r="G368" s="1" t="n">
        <v>135</v>
      </c>
      <c r="H368" s="2" t="n">
        <v>187000</v>
      </c>
      <c r="I368" s="2" t="n">
        <f aca="false">(((H368 / 800) / IF(ISBLANK(R368), 1000000, IF(ISNA(VLOOKUP(R368, Mileages!$A$2:$C$34, 2, 0)), R368, VLOOKUP(R368, Mileages!$A$2:$C$34, 2, 0)))) + (F368 * IF(ISBLANK(P368), 1, P368) * IF(ISBLANK(T368), 0, IF(ISNA(VLOOKUP(T368, 'Fuel Costs'!$A$2:$C$42, 2, 0)), T368, VLOOKUP(T368, 'Fuel Costs'!$A$2:$C$42, 2, 0))) / IF(ISBLANK(O368), 1, O368))) * 100</f>
        <v>0.01947916667</v>
      </c>
      <c r="J368" s="2" t="n">
        <f aca="false">((H368 / 800) / (IF(ISBLANK(S368), 100, IF(ISNA(VLOOKUP(S368, Lives!$A$2:$C$35, 2, 0)), S368, VLOOKUP(S368, Lives!$A$2:$C$35, 2, 0))) * 12) + (IF(ISBLANK(Q368), 0, IF(ISNA(VLOOKUP(Q368, Wages!$A$2:$C$17, 2, 0)), Q368, VLOOKUP(Q368, Wages!$A$2:$C$17, 2, 0))) * IF(ISBLANK(N368), 0, IF(ISNA(VLOOKUP(N368, Crews!$A$2:$C$28, 2, 0)), N368, VLOOKUP(N368, Crews!$A$2:$C$28, 2, 0))))) * 400</f>
        <v>155.8333333</v>
      </c>
      <c r="K368" s="3" t="s">
        <v>771</v>
      </c>
      <c r="L368" s="1" t="s">
        <v>772</v>
      </c>
      <c r="M368" s="1" t="n">
        <v>0</v>
      </c>
      <c r="N368" s="1"/>
      <c r="O368" s="1"/>
      <c r="P368" s="1"/>
      <c r="Q368" s="1"/>
      <c r="R368" s="1" t="s">
        <v>689</v>
      </c>
      <c r="S368" s="1" t="s">
        <v>375</v>
      </c>
      <c r="T368" s="1"/>
    </row>
    <row r="369" customFormat="false" ht="15" hidden="false" customHeight="true" outlineLevel="0" collapsed="false">
      <c r="A369" s="1" t="s">
        <v>773</v>
      </c>
      <c r="B369" s="1" t="n">
        <v>1855</v>
      </c>
      <c r="C369" s="1" t="n">
        <v>1</v>
      </c>
      <c r="D369" s="1" t="s">
        <v>38</v>
      </c>
      <c r="E369" s="1"/>
      <c r="F369" s="1"/>
      <c r="G369" s="1" t="n">
        <v>135</v>
      </c>
      <c r="H369" s="2" t="n">
        <v>191000</v>
      </c>
      <c r="I369" s="2" t="n">
        <f aca="false">(((H369 / 800) / IF(ISBLANK(R369), 1000000, IF(ISNA(VLOOKUP(R369, Mileages!$A$2:$C$34, 2, 0)), R369, VLOOKUP(R369, Mileages!$A$2:$C$34, 2, 0)))) + (F369 * IF(ISBLANK(P369), 1, P369) * IF(ISBLANK(T369), 0, IF(ISNA(VLOOKUP(T369, 'Fuel Costs'!$A$2:$C$42, 2, 0)), T369, VLOOKUP(T369, 'Fuel Costs'!$A$2:$C$42, 2, 0))) / IF(ISBLANK(O369), 1, O369))) * 100</f>
        <v>0.01989583333</v>
      </c>
      <c r="J369" s="2" t="n">
        <f aca="false">((H369 / 800) / (IF(ISBLANK(S369), 100, IF(ISNA(VLOOKUP(S369, Lives!$A$2:$C$35, 2, 0)), S369, VLOOKUP(S369, Lives!$A$2:$C$35, 2, 0))) * 12) + (IF(ISBLANK(Q369), 0, IF(ISNA(VLOOKUP(Q369, Wages!$A$2:$C$17, 2, 0)), Q369, VLOOKUP(Q369, Wages!$A$2:$C$17, 2, 0))) * IF(ISBLANK(N369), 0, IF(ISNA(VLOOKUP(N369, Crews!$A$2:$C$28, 2, 0)), N369, VLOOKUP(N369, Crews!$A$2:$C$28, 2, 0))))) * 400</f>
        <v>159.1666667</v>
      </c>
      <c r="K369" s="1"/>
      <c r="L369" s="1" t="s">
        <v>772</v>
      </c>
      <c r="M369" s="1" t="n">
        <v>1</v>
      </c>
      <c r="N369" s="1"/>
      <c r="O369" s="1"/>
      <c r="P369" s="1"/>
      <c r="Q369" s="1"/>
      <c r="R369" s="1" t="s">
        <v>689</v>
      </c>
      <c r="S369" s="1" t="s">
        <v>375</v>
      </c>
      <c r="T369" s="1"/>
    </row>
    <row r="370" customFormat="false" ht="15" hidden="false" customHeight="true" outlineLevel="0" collapsed="false">
      <c r="A370" s="1" t="s">
        <v>774</v>
      </c>
      <c r="B370" s="1" t="n">
        <v>1855</v>
      </c>
      <c r="C370" s="1" t="n">
        <v>1</v>
      </c>
      <c r="D370" s="1" t="s">
        <v>38</v>
      </c>
      <c r="E370" s="1"/>
      <c r="F370" s="1"/>
      <c r="G370" s="1" t="n">
        <v>135</v>
      </c>
      <c r="H370" s="2" t="n">
        <v>189500</v>
      </c>
      <c r="I370" s="2" t="n">
        <f aca="false">(((H370 / 800) / IF(ISBLANK(R370), 1000000, IF(ISNA(VLOOKUP(R370, Mileages!$A$2:$C$34, 2, 0)), R370, VLOOKUP(R370, Mileages!$A$2:$C$34, 2, 0)))) + (F370 * IF(ISBLANK(P370), 1, P370) * IF(ISBLANK(T370), 0, IF(ISNA(VLOOKUP(T370, 'Fuel Costs'!$A$2:$C$42, 2, 0)), T370, VLOOKUP(T370, 'Fuel Costs'!$A$2:$C$42, 2, 0))) / IF(ISBLANK(O370), 1, O370))) * 100</f>
        <v>0.01973958333</v>
      </c>
      <c r="J370" s="2" t="n">
        <f aca="false">((H370 / 800) / (IF(ISBLANK(S370), 100, IF(ISNA(VLOOKUP(S370, Lives!$A$2:$C$35, 2, 0)), S370, VLOOKUP(S370, Lives!$A$2:$C$35, 2, 0))) * 12) + (IF(ISBLANK(Q370), 0, IF(ISNA(VLOOKUP(Q370, Wages!$A$2:$C$17, 2, 0)), Q370, VLOOKUP(Q370, Wages!$A$2:$C$17, 2, 0))) * IF(ISBLANK(N370), 0, IF(ISNA(VLOOKUP(N370, Crews!$A$2:$C$28, 2, 0)), N370, VLOOKUP(N370, Crews!$A$2:$C$28, 2, 0))))) * 400</f>
        <v>157.9166667</v>
      </c>
      <c r="K370" s="1"/>
      <c r="L370" s="1" t="s">
        <v>772</v>
      </c>
      <c r="M370" s="1" t="n">
        <v>2</v>
      </c>
      <c r="N370" s="1"/>
      <c r="O370" s="1"/>
      <c r="P370" s="1"/>
      <c r="Q370" s="1"/>
      <c r="R370" s="1" t="s">
        <v>689</v>
      </c>
      <c r="S370" s="1" t="s">
        <v>375</v>
      </c>
      <c r="T370" s="1"/>
    </row>
    <row r="371" customFormat="false" ht="15" hidden="false" customHeight="true" outlineLevel="0" collapsed="false">
      <c r="A371" s="1" t="s">
        <v>775</v>
      </c>
      <c r="B371" s="1" t="n">
        <v>1855</v>
      </c>
      <c r="C371" s="1" t="n">
        <v>1</v>
      </c>
      <c r="D371" s="1" t="s">
        <v>38</v>
      </c>
      <c r="E371" s="1"/>
      <c r="F371" s="1"/>
      <c r="G371" s="1" t="n">
        <v>135</v>
      </c>
      <c r="H371" s="2" t="n">
        <v>180000</v>
      </c>
      <c r="I371" s="2" t="n">
        <f aca="false">(((H371 / 800) / IF(ISBLANK(R371), 1000000, IF(ISNA(VLOOKUP(R371, Mileages!$A$2:$C$34, 2, 0)), R371, VLOOKUP(R371, Mileages!$A$2:$C$34, 2, 0)))) + (F371 * IF(ISBLANK(P371), 1, P371) * IF(ISBLANK(T371), 0, IF(ISNA(VLOOKUP(T371, 'Fuel Costs'!$A$2:$C$42, 2, 0)), T371, VLOOKUP(T371, 'Fuel Costs'!$A$2:$C$42, 2, 0))) / IF(ISBLANK(O371), 1, O371))) * 100</f>
        <v>0.01875</v>
      </c>
      <c r="J371" s="2" t="n">
        <f aca="false">((H371 / 800) / (IF(ISBLANK(S371), 100, IF(ISNA(VLOOKUP(S371, Lives!$A$2:$C$35, 2, 0)), S371, VLOOKUP(S371, Lives!$A$2:$C$35, 2, 0))) * 12) + (IF(ISBLANK(Q371), 0, IF(ISNA(VLOOKUP(Q371, Wages!$A$2:$C$17, 2, 0)), Q371, VLOOKUP(Q371, Wages!$A$2:$C$17, 2, 0))) * IF(ISBLANK(N371), 0, IF(ISNA(VLOOKUP(N371, Crews!$A$2:$C$28, 2, 0)), N371, VLOOKUP(N371, Crews!$A$2:$C$28, 2, 0))))) * 400</f>
        <v>150</v>
      </c>
      <c r="K371" s="1"/>
      <c r="L371" s="1" t="s">
        <v>772</v>
      </c>
      <c r="M371" s="1" t="n">
        <v>3</v>
      </c>
      <c r="N371" s="1"/>
      <c r="O371" s="1"/>
      <c r="P371" s="1"/>
      <c r="Q371" s="1"/>
      <c r="R371" s="1" t="s">
        <v>689</v>
      </c>
      <c r="S371" s="1" t="s">
        <v>375</v>
      </c>
      <c r="T371" s="1"/>
    </row>
    <row r="372" customFormat="false" ht="15" hidden="false" customHeight="true" outlineLevel="0" collapsed="false">
      <c r="A372" s="1" t="s">
        <v>776</v>
      </c>
      <c r="B372" s="1" t="n">
        <v>1855</v>
      </c>
      <c r="C372" s="1" t="n">
        <v>1</v>
      </c>
      <c r="D372" s="1" t="s">
        <v>38</v>
      </c>
      <c r="E372" s="1"/>
      <c r="F372" s="1"/>
      <c r="G372" s="1" t="n">
        <v>135</v>
      </c>
      <c r="H372" s="2" t="n">
        <v>192000</v>
      </c>
      <c r="I372" s="2" t="n">
        <f aca="false">(((H372 / 800) / IF(ISBLANK(R372), 1000000, IF(ISNA(VLOOKUP(R372, Mileages!$A$2:$C$34, 2, 0)), R372, VLOOKUP(R372, Mileages!$A$2:$C$34, 2, 0)))) + (F372 * IF(ISBLANK(P372), 1, P372) * IF(ISBLANK(T372), 0, IF(ISNA(VLOOKUP(T372, 'Fuel Costs'!$A$2:$C$42, 2, 0)), T372, VLOOKUP(T372, 'Fuel Costs'!$A$2:$C$42, 2, 0))) / IF(ISBLANK(O372), 1, O372))) * 100</f>
        <v>0.02</v>
      </c>
      <c r="J372" s="2" t="n">
        <f aca="false">((H372 / 800) / (IF(ISBLANK(S372), 100, IF(ISNA(VLOOKUP(S372, Lives!$A$2:$C$35, 2, 0)), S372, VLOOKUP(S372, Lives!$A$2:$C$35, 2, 0))) * 12) + (IF(ISBLANK(Q372), 0, IF(ISNA(VLOOKUP(Q372, Wages!$A$2:$C$17, 2, 0)), Q372, VLOOKUP(Q372, Wages!$A$2:$C$17, 2, 0))) * IF(ISBLANK(N372), 0, IF(ISNA(VLOOKUP(N372, Crews!$A$2:$C$28, 2, 0)), N372, VLOOKUP(N372, Crews!$A$2:$C$28, 2, 0))))) * 400</f>
        <v>4960</v>
      </c>
      <c r="K372" s="1" t="s">
        <v>777</v>
      </c>
      <c r="L372" s="1" t="s">
        <v>772</v>
      </c>
      <c r="M372" s="1" t="n">
        <v>4</v>
      </c>
      <c r="N372" s="1" t="s">
        <v>25</v>
      </c>
      <c r="O372" s="1"/>
      <c r="P372" s="1"/>
      <c r="Q372" s="1" t="s">
        <v>378</v>
      </c>
      <c r="R372" s="1" t="s">
        <v>689</v>
      </c>
      <c r="S372" s="1" t="s">
        <v>375</v>
      </c>
      <c r="T372" s="1"/>
    </row>
    <row r="373" customFormat="false" ht="15" hidden="false" customHeight="true" outlineLevel="0" collapsed="false">
      <c r="A373" s="1" t="s">
        <v>778</v>
      </c>
      <c r="B373" s="1" t="n">
        <v>1855</v>
      </c>
      <c r="C373" s="1" t="n">
        <v>1</v>
      </c>
      <c r="D373" s="1" t="s">
        <v>38</v>
      </c>
      <c r="E373" s="1"/>
      <c r="F373" s="1"/>
      <c r="G373" s="1" t="n">
        <v>135</v>
      </c>
      <c r="H373" s="2" t="n">
        <v>187000</v>
      </c>
      <c r="I373" s="2" t="n">
        <f aca="false">(((H373 / 800) / IF(ISBLANK(R373), 1000000, IF(ISNA(VLOOKUP(R373, Mileages!$A$2:$C$34, 2, 0)), R373, VLOOKUP(R373, Mileages!$A$2:$C$34, 2, 0)))) + (F373 * IF(ISBLANK(P373), 1, P373) * IF(ISBLANK(T373), 0, IF(ISNA(VLOOKUP(T373, 'Fuel Costs'!$A$2:$C$42, 2, 0)), T373, VLOOKUP(T373, 'Fuel Costs'!$A$2:$C$42, 2, 0))) / IF(ISBLANK(O373), 1, O373))) * 100</f>
        <v>0.01947916667</v>
      </c>
      <c r="J373" s="2" t="n">
        <f aca="false">((H373 / 800) / (IF(ISBLANK(S373), 100, IF(ISNA(VLOOKUP(S373, Lives!$A$2:$C$35, 2, 0)), S373, VLOOKUP(S373, Lives!$A$2:$C$35, 2, 0))) * 12) + (IF(ISBLANK(Q373), 0, IF(ISNA(VLOOKUP(Q373, Wages!$A$2:$C$17, 2, 0)), Q373, VLOOKUP(Q373, Wages!$A$2:$C$17, 2, 0))) * IF(ISBLANK(N373), 0, IF(ISNA(VLOOKUP(N373, Crews!$A$2:$C$28, 2, 0)), N373, VLOOKUP(N373, Crews!$A$2:$C$28, 2, 0))))) * 400</f>
        <v>4955.833333</v>
      </c>
      <c r="K373" s="1"/>
      <c r="L373" s="1" t="s">
        <v>772</v>
      </c>
      <c r="M373" s="1" t="n">
        <v>5</v>
      </c>
      <c r="N373" s="1" t="s">
        <v>25</v>
      </c>
      <c r="O373" s="1"/>
      <c r="P373" s="1"/>
      <c r="Q373" s="1" t="s">
        <v>378</v>
      </c>
      <c r="R373" s="1" t="s">
        <v>689</v>
      </c>
      <c r="S373" s="1" t="s">
        <v>375</v>
      </c>
      <c r="T373" s="1"/>
    </row>
    <row r="374" customFormat="false" ht="15" hidden="false" customHeight="true" outlineLevel="0" collapsed="false">
      <c r="A374" s="1" t="s">
        <v>779</v>
      </c>
      <c r="B374" s="1" t="n">
        <v>1855</v>
      </c>
      <c r="C374" s="1" t="n">
        <v>1</v>
      </c>
      <c r="D374" s="1" t="s">
        <v>38</v>
      </c>
      <c r="E374" s="1"/>
      <c r="F374" s="1"/>
      <c r="G374" s="1" t="n">
        <v>135</v>
      </c>
      <c r="H374" s="2" t="n">
        <v>187000</v>
      </c>
      <c r="I374" s="2" t="n">
        <f aca="false">(((H374 / 800) / IF(ISBLANK(R374), 1000000, IF(ISNA(VLOOKUP(R374, Mileages!$A$2:$C$34, 2, 0)), R374, VLOOKUP(R374, Mileages!$A$2:$C$34, 2, 0)))) + (F374 * IF(ISBLANK(P374), 1, P374) * IF(ISBLANK(T374), 0, IF(ISNA(VLOOKUP(T374, 'Fuel Costs'!$A$2:$C$42, 2, 0)), T374, VLOOKUP(T374, 'Fuel Costs'!$A$2:$C$42, 2, 0))) / IF(ISBLANK(O374), 1, O374))) * 100</f>
        <v>0.01947916667</v>
      </c>
      <c r="J374" s="2" t="n">
        <f aca="false">((H374 / 800) / (IF(ISBLANK(S374), 100, IF(ISNA(VLOOKUP(S374, Lives!$A$2:$C$35, 2, 0)), S374, VLOOKUP(S374, Lives!$A$2:$C$35, 2, 0))) * 12) + (IF(ISBLANK(Q374), 0, IF(ISNA(VLOOKUP(Q374, Wages!$A$2:$C$17, 2, 0)), Q374, VLOOKUP(Q374, Wages!$A$2:$C$17, 2, 0))) * IF(ISBLANK(N374), 0, IF(ISNA(VLOOKUP(N374, Crews!$A$2:$C$28, 2, 0)), N374, VLOOKUP(N374, Crews!$A$2:$C$28, 2, 0))))) * 400</f>
        <v>4955.833333</v>
      </c>
      <c r="K374" s="1"/>
      <c r="L374" s="1" t="s">
        <v>772</v>
      </c>
      <c r="M374" s="1" t="n">
        <v>6</v>
      </c>
      <c r="N374" s="1" t="s">
        <v>25</v>
      </c>
      <c r="O374" s="1"/>
      <c r="P374" s="1"/>
      <c r="Q374" s="1" t="s">
        <v>378</v>
      </c>
      <c r="R374" s="1" t="s">
        <v>689</v>
      </c>
      <c r="S374" s="1" t="s">
        <v>375</v>
      </c>
      <c r="T374" s="1"/>
    </row>
    <row r="375" customFormat="false" ht="15" hidden="false" customHeight="true" outlineLevel="0" collapsed="false">
      <c r="A375" s="1" t="s">
        <v>780</v>
      </c>
      <c r="B375" s="1" t="n">
        <v>1855</v>
      </c>
      <c r="C375" s="1" t="n">
        <v>1</v>
      </c>
      <c r="D375" s="1" t="s">
        <v>38</v>
      </c>
      <c r="E375" s="1"/>
      <c r="F375" s="1"/>
      <c r="G375" s="1" t="n">
        <v>135</v>
      </c>
      <c r="H375" s="2" t="n">
        <v>144000</v>
      </c>
      <c r="I375" s="2" t="n">
        <f aca="false">(((H375 / 800) / IF(ISBLANK(R375), 1000000, IF(ISNA(VLOOKUP(R375, Mileages!$A$2:$C$34, 2, 0)), R375, VLOOKUP(R375, Mileages!$A$2:$C$34, 2, 0)))) + (F375 * IF(ISBLANK(P375), 1, P375) * IF(ISBLANK(T375), 0, IF(ISNA(VLOOKUP(T375, 'Fuel Costs'!$A$2:$C$42, 2, 0)), T375, VLOOKUP(T375, 'Fuel Costs'!$A$2:$C$42, 2, 0))) / IF(ISBLANK(O375), 1, O375))) * 100</f>
        <v>0.015</v>
      </c>
      <c r="J375" s="2" t="n">
        <f aca="false">((H375 / 800) / (IF(ISBLANK(S375), 100, IF(ISNA(VLOOKUP(S375, Lives!$A$2:$C$35, 2, 0)), S375, VLOOKUP(S375, Lives!$A$2:$C$35, 2, 0))) * 12) + (IF(ISBLANK(Q375), 0, IF(ISNA(VLOOKUP(Q375, Wages!$A$2:$C$17, 2, 0)), Q375, VLOOKUP(Q375, Wages!$A$2:$C$17, 2, 0))) * IF(ISBLANK(N375), 0, IF(ISNA(VLOOKUP(N375, Crews!$A$2:$C$28, 2, 0)), N375, VLOOKUP(N375, Crews!$A$2:$C$28, 2, 0))))) * 400</f>
        <v>120</v>
      </c>
      <c r="K375" s="1"/>
      <c r="L375" s="1" t="s">
        <v>772</v>
      </c>
      <c r="M375" s="1" t="n">
        <v>7</v>
      </c>
      <c r="N375" s="1"/>
      <c r="O375" s="1"/>
      <c r="P375" s="1"/>
      <c r="Q375" s="1"/>
      <c r="R375" s="1" t="s">
        <v>689</v>
      </c>
      <c r="S375" s="1" t="s">
        <v>375</v>
      </c>
      <c r="T375" s="1"/>
    </row>
    <row r="376" customFormat="false" ht="15" hidden="false" customHeight="true" outlineLevel="0" collapsed="false">
      <c r="A376" s="1" t="s">
        <v>781</v>
      </c>
      <c r="B376" s="1" t="n">
        <v>1855</v>
      </c>
      <c r="C376" s="1" t="n">
        <v>1</v>
      </c>
      <c r="D376" s="1" t="s">
        <v>38</v>
      </c>
      <c r="E376" s="1"/>
      <c r="F376" s="1"/>
      <c r="G376" s="1" t="n">
        <v>135</v>
      </c>
      <c r="H376" s="2" t="n">
        <v>144000</v>
      </c>
      <c r="I376" s="2" t="n">
        <f aca="false">(((H376 / 800) / IF(ISBLANK(R376), 1000000, IF(ISNA(VLOOKUP(R376, Mileages!$A$2:$C$34, 2, 0)), R376, VLOOKUP(R376, Mileages!$A$2:$C$34, 2, 0)))) + (F376 * IF(ISBLANK(P376), 1, P376) * IF(ISBLANK(T376), 0, IF(ISNA(VLOOKUP(T376, 'Fuel Costs'!$A$2:$C$42, 2, 0)), T376, VLOOKUP(T376, 'Fuel Costs'!$A$2:$C$42, 2, 0))) / IF(ISBLANK(O376), 1, O376))) * 100</f>
        <v>0.015</v>
      </c>
      <c r="J376" s="2" t="n">
        <f aca="false">((H376 / 800) / (IF(ISBLANK(S376), 100, IF(ISNA(VLOOKUP(S376, Lives!$A$2:$C$35, 2, 0)), S376, VLOOKUP(S376, Lives!$A$2:$C$35, 2, 0))) * 12) + (IF(ISBLANK(Q376), 0, IF(ISNA(VLOOKUP(Q376, Wages!$A$2:$C$17, 2, 0)), Q376, VLOOKUP(Q376, Wages!$A$2:$C$17, 2, 0))) * IF(ISBLANK(N376), 0, IF(ISNA(VLOOKUP(N376, Crews!$A$2:$C$28, 2, 0)), N376, VLOOKUP(N376, Crews!$A$2:$C$28, 2, 0))))) * 400</f>
        <v>60</v>
      </c>
      <c r="K376" s="1"/>
      <c r="L376" s="1" t="s">
        <v>772</v>
      </c>
      <c r="M376" s="1" t="n">
        <v>8</v>
      </c>
      <c r="N376" s="1"/>
      <c r="O376" s="1"/>
      <c r="P376" s="1"/>
      <c r="Q376" s="1"/>
      <c r="R376" s="1" t="s">
        <v>689</v>
      </c>
      <c r="S376" s="5" t="s">
        <v>389</v>
      </c>
      <c r="T376" s="1"/>
    </row>
    <row r="377" customFormat="false" ht="15" hidden="false" customHeight="true" outlineLevel="0" collapsed="false">
      <c r="A377" s="1" t="s">
        <v>782</v>
      </c>
      <c r="B377" s="1" t="n">
        <v>1855</v>
      </c>
      <c r="C377" s="1" t="n">
        <v>1</v>
      </c>
      <c r="D377" s="1" t="s">
        <v>38</v>
      </c>
      <c r="E377" s="1"/>
      <c r="F377" s="1"/>
      <c r="G377" s="1" t="n">
        <v>56</v>
      </c>
      <c r="H377" s="2" t="n">
        <v>100000</v>
      </c>
      <c r="I377" s="2" t="n">
        <f aca="false">(((H377 / 800) / IF(ISBLANK(R377), 1000000, IF(ISNA(VLOOKUP(R377, Mileages!$A$2:$C$34, 2, 0)), R377, VLOOKUP(R377, Mileages!$A$2:$C$34, 2, 0)))) + (F377 * IF(ISBLANK(P377), 1, P377) * IF(ISBLANK(T377), 0, IF(ISNA(VLOOKUP(T377, 'Fuel Costs'!$A$2:$C$42, 2, 0)), T377, VLOOKUP(T377, 'Fuel Costs'!$A$2:$C$42, 2, 0))) / IF(ISBLANK(O377), 1, O377))) * 100</f>
        <v>0.01041666667</v>
      </c>
      <c r="J377" s="2" t="n">
        <f aca="false">((H377 / 800) / (IF(ISBLANK(S377), 100, IF(ISNA(VLOOKUP(S377, Lives!$A$2:$C$35, 2, 0)), S377, VLOOKUP(S377, Lives!$A$2:$C$35, 2, 0))) * 12) + (IF(ISBLANK(Q377), 0, IF(ISNA(VLOOKUP(Q377, Wages!$A$2:$C$17, 2, 0)), Q377, VLOOKUP(Q377, Wages!$A$2:$C$17, 2, 0))) * IF(ISBLANK(N377), 0, IF(ISNA(VLOOKUP(N377, Crews!$A$2:$C$28, 2, 0)), N377, VLOOKUP(N377, Crews!$A$2:$C$28, 2, 0))))) * 400</f>
        <v>83.33333333</v>
      </c>
      <c r="K377" s="3" t="s">
        <v>783</v>
      </c>
      <c r="L377" s="1" t="s">
        <v>784</v>
      </c>
      <c r="M377" s="1" t="n">
        <v>0</v>
      </c>
      <c r="N377" s="1"/>
      <c r="O377" s="1"/>
      <c r="P377" s="1"/>
      <c r="Q377" s="1"/>
      <c r="R377" s="1" t="s">
        <v>689</v>
      </c>
      <c r="S377" s="1" t="s">
        <v>785</v>
      </c>
      <c r="T377" s="1"/>
    </row>
    <row r="378" customFormat="false" ht="15" hidden="false" customHeight="true" outlineLevel="0" collapsed="false">
      <c r="A378" s="1" t="s">
        <v>786</v>
      </c>
      <c r="B378" s="1" t="n">
        <v>1855</v>
      </c>
      <c r="C378" s="1" t="n">
        <v>2</v>
      </c>
      <c r="D378" s="1" t="s">
        <v>38</v>
      </c>
      <c r="E378" s="1"/>
      <c r="F378" s="1"/>
      <c r="G378" s="1" t="n">
        <v>56</v>
      </c>
      <c r="H378" s="2" t="n">
        <v>100000</v>
      </c>
      <c r="I378" s="2" t="n">
        <f aca="false">(((H378 / 800) / IF(ISBLANK(R378), 1000000, IF(ISNA(VLOOKUP(R378, Mileages!$A$2:$C$34, 2, 0)), R378, VLOOKUP(R378, Mileages!$A$2:$C$34, 2, 0)))) + (F378 * IF(ISBLANK(P378), 1, P378) * IF(ISBLANK(T378), 0, IF(ISNA(VLOOKUP(T378, 'Fuel Costs'!$A$2:$C$42, 2, 0)), T378, VLOOKUP(T378, 'Fuel Costs'!$A$2:$C$42, 2, 0))) / IF(ISBLANK(O378), 1, O378))) * 100</f>
        <v>0.01041666667</v>
      </c>
      <c r="J378" s="2" t="n">
        <f aca="false">((H378 / 800) / (IF(ISBLANK(S378), 100, IF(ISNA(VLOOKUP(S378, Lives!$A$2:$C$35, 2, 0)), S378, VLOOKUP(S378, Lives!$A$2:$C$35, 2, 0))) * 12) + (IF(ISBLANK(Q378), 0, IF(ISNA(VLOOKUP(Q378, Wages!$A$2:$C$17, 2, 0)), Q378, VLOOKUP(Q378, Wages!$A$2:$C$17, 2, 0))) * IF(ISBLANK(N378), 0, IF(ISNA(VLOOKUP(N378, Crews!$A$2:$C$28, 2, 0)), N378, VLOOKUP(N378, Crews!$A$2:$C$28, 2, 0))))) * 400</f>
        <v>83.33333333</v>
      </c>
      <c r="K378" s="3" t="s">
        <v>787</v>
      </c>
      <c r="L378" s="1" t="s">
        <v>788</v>
      </c>
      <c r="M378" s="1" t="n">
        <v>0</v>
      </c>
      <c r="N378" s="1"/>
      <c r="O378" s="1"/>
      <c r="P378" s="1"/>
      <c r="Q378" s="1"/>
      <c r="R378" s="1" t="s">
        <v>689</v>
      </c>
      <c r="S378" s="1" t="s">
        <v>785</v>
      </c>
      <c r="T378" s="1"/>
    </row>
    <row r="379" customFormat="false" ht="15" hidden="false" customHeight="true" outlineLevel="0" collapsed="false">
      <c r="A379" s="1" t="s">
        <v>789</v>
      </c>
      <c r="B379" s="1" t="n">
        <v>1855</v>
      </c>
      <c r="C379" s="1" t="n">
        <v>2</v>
      </c>
      <c r="D379" s="1" t="s">
        <v>38</v>
      </c>
      <c r="E379" s="1" t="s">
        <v>274</v>
      </c>
      <c r="F379" s="1" t="n">
        <v>144</v>
      </c>
      <c r="G379" s="1" t="n">
        <v>95</v>
      </c>
      <c r="H379" s="2" t="n">
        <f aca="false">4550000*2</f>
        <v>9100000</v>
      </c>
      <c r="I379" s="2" t="n">
        <f aca="false">(((H379 / 800) / IF(ISBLANK(R379), 1000000, IF(ISNA(VLOOKUP(R379, Mileages!$A$2:$C$34, 2, 0)), R379, VLOOKUP(R379, Mileages!$A$2:$C$34, 2, 0)))) + (F379 * IF(ISBLANK(P379), 1, P379) * IF(ISBLANK(T379), 0, IF(ISNA(VLOOKUP(T379, 'Fuel Costs'!$A$2:$C$42, 2, 0)), T379, VLOOKUP(T379, 'Fuel Costs'!$A$2:$C$42, 2, 0))) / IF(ISBLANK(O379), 1, O379))) * 100</f>
        <v>231.5375</v>
      </c>
      <c r="J379" s="2" t="n">
        <f aca="false">((H379 / 800) / (IF(ISBLANK(S379), 100, IF(ISNA(VLOOKUP(S379, Lives!$A$2:$C$35, 2, 0)), S379, VLOOKUP(S379, Lives!$A$2:$C$35, 2, 0))) * 12) + (IF(ISBLANK(Q379), 0, IF(ISNA(VLOOKUP(Q379, Wages!$A$2:$C$17, 2, 0)), Q379, VLOOKUP(Q379, Wages!$A$2:$C$17, 2, 0))) * IF(ISBLANK(N379), 0, IF(ISNA(VLOOKUP(N379, Crews!$A$2:$C$28, 2, 0)), N379, VLOOKUP(N379, Crews!$A$2:$C$28, 2, 0))))) * 400</f>
        <v>31583.33333</v>
      </c>
      <c r="K379" s="3" t="s">
        <v>790</v>
      </c>
      <c r="L379" s="1" t="s">
        <v>791</v>
      </c>
      <c r="M379" s="1" t="n">
        <v>0</v>
      </c>
      <c r="N379" s="1" t="s">
        <v>590</v>
      </c>
      <c r="O379" s="1" t="n">
        <v>0.5</v>
      </c>
      <c r="P379" s="1"/>
      <c r="Q379" s="5" t="s">
        <v>284</v>
      </c>
      <c r="R379" s="1" t="s">
        <v>677</v>
      </c>
      <c r="S379" s="1" t="s">
        <v>677</v>
      </c>
      <c r="T379" s="1" t="s">
        <v>569</v>
      </c>
    </row>
    <row r="380" customFormat="false" ht="15" hidden="false" customHeight="true" outlineLevel="0" collapsed="false">
      <c r="A380" s="1" t="s">
        <v>792</v>
      </c>
      <c r="B380" s="1" t="n">
        <v>1855</v>
      </c>
      <c r="C380" s="1" t="n">
        <v>2</v>
      </c>
      <c r="D380" s="1" t="s">
        <v>38</v>
      </c>
      <c r="E380" s="1"/>
      <c r="F380" s="1"/>
      <c r="G380" s="1" t="n">
        <v>56</v>
      </c>
      <c r="H380" s="2" t="n">
        <v>130000</v>
      </c>
      <c r="I380" s="2" t="n">
        <f aca="false">(((H380 / 800) / IF(ISBLANK(R380), 1000000, IF(ISNA(VLOOKUP(R380, Mileages!$A$2:$C$34, 2, 0)), R380, VLOOKUP(R380, Mileages!$A$2:$C$34, 2, 0)))) + (F380 * IF(ISBLANK(P380), 1, P380) * IF(ISBLANK(T380), 0, IF(ISNA(VLOOKUP(T380, 'Fuel Costs'!$A$2:$C$42, 2, 0)), T380, VLOOKUP(T380, 'Fuel Costs'!$A$2:$C$42, 2, 0))) / IF(ISBLANK(O380), 1, O380))) * 100</f>
        <v>0.01354166667</v>
      </c>
      <c r="J380" s="2" t="n">
        <f aca="false">((H380 / 800) / (IF(ISBLANK(S380), 100, IF(ISNA(VLOOKUP(S380, Lives!$A$2:$C$35, 2, 0)), S380, VLOOKUP(S380, Lives!$A$2:$C$35, 2, 0))) * 12) + (IF(ISBLANK(Q380), 0, IF(ISNA(VLOOKUP(Q380, Wages!$A$2:$C$17, 2, 0)), Q380, VLOOKUP(Q380, Wages!$A$2:$C$17, 2, 0))) * IF(ISBLANK(N380), 0, IF(ISNA(VLOOKUP(N380, Crews!$A$2:$C$28, 2, 0)), N380, VLOOKUP(N380, Crews!$A$2:$C$28, 2, 0))))) * 400</f>
        <v>4854.166667</v>
      </c>
      <c r="K380" s="3" t="s">
        <v>793</v>
      </c>
      <c r="L380" s="1" t="s">
        <v>794</v>
      </c>
      <c r="M380" s="1" t="n">
        <v>0</v>
      </c>
      <c r="N380" s="1" t="s">
        <v>25</v>
      </c>
      <c r="O380" s="1"/>
      <c r="P380" s="1"/>
      <c r="Q380" s="1" t="s">
        <v>378</v>
      </c>
      <c r="R380" s="1" t="s">
        <v>689</v>
      </c>
      <c r="S380" s="5" t="s">
        <v>389</v>
      </c>
      <c r="T380" s="1"/>
    </row>
    <row r="381" customFormat="false" ht="15" hidden="false" customHeight="true" outlineLevel="0" collapsed="false">
      <c r="A381" s="1" t="s">
        <v>795</v>
      </c>
      <c r="B381" s="1" t="n">
        <v>1855</v>
      </c>
      <c r="C381" s="1" t="n">
        <v>2</v>
      </c>
      <c r="D381" s="1" t="s">
        <v>38</v>
      </c>
      <c r="E381" s="1" t="s">
        <v>274</v>
      </c>
      <c r="F381" s="1" t="n">
        <v>144</v>
      </c>
      <c r="G381" s="1" t="n">
        <v>85</v>
      </c>
      <c r="H381" s="2" t="n">
        <f aca="false">4550000*2</f>
        <v>9100000</v>
      </c>
      <c r="I381" s="2" t="n">
        <f aca="false">(((H381 / 800) / IF(ISBLANK(R381), 1000000, IF(ISNA(VLOOKUP(R381, Mileages!$A$2:$C$34, 2, 0)), R381, VLOOKUP(R381, Mileages!$A$2:$C$34, 2, 0)))) + (F381 * IF(ISBLANK(P381), 1, P381) * IF(ISBLANK(T381), 0, IF(ISNA(VLOOKUP(T381, 'Fuel Costs'!$A$2:$C$42, 2, 0)), T381, VLOOKUP(T381, 'Fuel Costs'!$A$2:$C$42, 2, 0))) / IF(ISBLANK(O381), 1, O381))) * 100</f>
        <v>193.1375</v>
      </c>
      <c r="J381" s="2" t="n">
        <f aca="false">((H381 / 800) / (IF(ISBLANK(S381), 100, IF(ISNA(VLOOKUP(S381, Lives!$A$2:$C$35, 2, 0)), S381, VLOOKUP(S381, Lives!$A$2:$C$35, 2, 0))) * 12) + (IF(ISBLANK(Q381), 0, IF(ISNA(VLOOKUP(Q381, Wages!$A$2:$C$17, 2, 0)), Q381, VLOOKUP(Q381, Wages!$A$2:$C$17, 2, 0))) * IF(ISBLANK(N381), 0, IF(ISNA(VLOOKUP(N381, Crews!$A$2:$C$28, 2, 0)), N381, VLOOKUP(N381, Crews!$A$2:$C$28, 2, 0))))) * 400</f>
        <v>31583.33333</v>
      </c>
      <c r="K381" s="3" t="s">
        <v>796</v>
      </c>
      <c r="L381" s="1" t="s">
        <v>797</v>
      </c>
      <c r="M381" s="1" t="n">
        <v>0</v>
      </c>
      <c r="N381" s="1" t="s">
        <v>590</v>
      </c>
      <c r="O381" s="1" t="n">
        <v>0.6</v>
      </c>
      <c r="P381" s="1"/>
      <c r="Q381" s="5" t="s">
        <v>284</v>
      </c>
      <c r="R381" s="1" t="s">
        <v>677</v>
      </c>
      <c r="S381" s="1" t="s">
        <v>677</v>
      </c>
      <c r="T381" s="1" t="s">
        <v>569</v>
      </c>
    </row>
    <row r="382" customFormat="false" ht="15" hidden="false" customHeight="true" outlineLevel="0" collapsed="false">
      <c r="A382" s="1" t="s">
        <v>798</v>
      </c>
      <c r="B382" s="1" t="n">
        <v>1855</v>
      </c>
      <c r="C382" s="1" t="n">
        <v>3</v>
      </c>
      <c r="D382" s="1" t="s">
        <v>38</v>
      </c>
      <c r="E382" s="1" t="s">
        <v>274</v>
      </c>
      <c r="F382" s="1" t="n">
        <v>151</v>
      </c>
      <c r="G382" s="1" t="n">
        <v>100</v>
      </c>
      <c r="H382" s="2" t="n">
        <v>12350000</v>
      </c>
      <c r="I382" s="2" t="n">
        <f aca="false">(((H382 / 800) / IF(ISBLANK(R382), 1000000, IF(ISNA(VLOOKUP(R382, Mileages!$A$2:$C$34, 2, 0)), R382, VLOOKUP(R382, Mileages!$A$2:$C$34, 2, 0)))) + (F382 * IF(ISBLANK(P382), 1, P382) * IF(ISBLANK(T382), 0, IF(ISNA(VLOOKUP(T382, 'Fuel Costs'!$A$2:$C$42, 2, 0)), T382, VLOOKUP(T382, 'Fuel Costs'!$A$2:$C$42, 2, 0))) / IF(ISBLANK(O382), 1, O382))) * 100</f>
        <v>243.14375</v>
      </c>
      <c r="J382" s="2" t="n">
        <f aca="false">((H382 / 800) / (IF(ISBLANK(S382), 100, IF(ISNA(VLOOKUP(S382, Lives!$A$2:$C$35, 2, 0)), S382, VLOOKUP(S382, Lives!$A$2:$C$35, 2, 0))) * 12) + (IF(ISBLANK(Q382), 0, IF(ISNA(VLOOKUP(Q382, Wages!$A$2:$C$17, 2, 0)), Q382, VLOOKUP(Q382, Wages!$A$2:$C$17, 2, 0))) * IF(ISBLANK(N382), 0, IF(ISNA(VLOOKUP(N382, Crews!$A$2:$C$28, 2, 0)), N382, VLOOKUP(N382, Crews!$A$2:$C$28, 2, 0))))) * 400</f>
        <v>34291.66667</v>
      </c>
      <c r="K382" s="3" t="s">
        <v>799</v>
      </c>
      <c r="L382" s="1" t="s">
        <v>800</v>
      </c>
      <c r="M382" s="1" t="n">
        <v>0</v>
      </c>
      <c r="N382" s="1" t="s">
        <v>590</v>
      </c>
      <c r="O382" s="1" t="n">
        <v>0.5</v>
      </c>
      <c r="P382" s="1"/>
      <c r="Q382" s="5" t="s">
        <v>284</v>
      </c>
      <c r="R382" s="1" t="s">
        <v>677</v>
      </c>
      <c r="S382" s="1" t="s">
        <v>677</v>
      </c>
      <c r="T382" s="1" t="s">
        <v>569</v>
      </c>
    </row>
    <row r="383" customFormat="false" ht="15" hidden="false" customHeight="true" outlineLevel="0" collapsed="false">
      <c r="A383" s="1" t="s">
        <v>801</v>
      </c>
      <c r="B383" s="1" t="n">
        <v>1855</v>
      </c>
      <c r="C383" s="1" t="n">
        <v>3</v>
      </c>
      <c r="D383" s="1" t="s">
        <v>38</v>
      </c>
      <c r="E383" s="1"/>
      <c r="F383" s="1"/>
      <c r="G383" s="1" t="n">
        <v>56</v>
      </c>
      <c r="H383" s="2" t="n">
        <v>100000</v>
      </c>
      <c r="I383" s="2" t="n">
        <f aca="false">(((H383 / 800) / IF(ISBLANK(R383), 1000000, IF(ISNA(VLOOKUP(R383, Mileages!$A$2:$C$34, 2, 0)), R383, VLOOKUP(R383, Mileages!$A$2:$C$34, 2, 0)))) + (F383 * IF(ISBLANK(P383), 1, P383) * IF(ISBLANK(T383), 0, IF(ISNA(VLOOKUP(T383, 'Fuel Costs'!$A$2:$C$42, 2, 0)), T383, VLOOKUP(T383, 'Fuel Costs'!$A$2:$C$42, 2, 0))) / IF(ISBLANK(O383), 1, O383))) * 100</f>
        <v>0.01041666667</v>
      </c>
      <c r="J383" s="2" t="n">
        <f aca="false">((H383 / 800) / (IF(ISBLANK(S383), 100, IF(ISNA(VLOOKUP(S383, Lives!$A$2:$C$35, 2, 0)), S383, VLOOKUP(S383, Lives!$A$2:$C$35, 2, 0))) * 12) + (IF(ISBLANK(Q383), 0, IF(ISNA(VLOOKUP(Q383, Wages!$A$2:$C$17, 2, 0)), Q383, VLOOKUP(Q383, Wages!$A$2:$C$17, 2, 0))) * IF(ISBLANK(N383), 0, IF(ISNA(VLOOKUP(N383, Crews!$A$2:$C$28, 2, 0)), N383, VLOOKUP(N383, Crews!$A$2:$C$28, 2, 0))))) * 400</f>
        <v>41.66666667</v>
      </c>
      <c r="K383" s="3" t="s">
        <v>802</v>
      </c>
      <c r="L383" s="1" t="s">
        <v>803</v>
      </c>
      <c r="M383" s="1" t="n">
        <v>0</v>
      </c>
      <c r="N383" s="1"/>
      <c r="O383" s="1"/>
      <c r="P383" s="1"/>
      <c r="Q383" s="1"/>
      <c r="R383" s="1" t="s">
        <v>689</v>
      </c>
      <c r="S383" s="5" t="s">
        <v>389</v>
      </c>
      <c r="T383" s="1"/>
    </row>
    <row r="384" customFormat="false" ht="15" hidden="false" customHeight="true" outlineLevel="0" collapsed="false">
      <c r="A384" s="1" t="s">
        <v>804</v>
      </c>
      <c r="B384" s="1" t="n">
        <v>1855</v>
      </c>
      <c r="C384" s="1" t="n">
        <v>5</v>
      </c>
      <c r="D384" s="1" t="s">
        <v>38</v>
      </c>
      <c r="E384" s="1"/>
      <c r="F384" s="1"/>
      <c r="G384" s="1" t="n">
        <v>56</v>
      </c>
      <c r="H384" s="2" t="n">
        <v>100000</v>
      </c>
      <c r="I384" s="2" t="n">
        <f aca="false">(((H384 / 800) / IF(ISBLANK(R384), 1000000, IF(ISNA(VLOOKUP(R384, Mileages!$A$2:$C$34, 2, 0)), R384, VLOOKUP(R384, Mileages!$A$2:$C$34, 2, 0)))) + (F384 * IF(ISBLANK(P384), 1, P384) * IF(ISBLANK(T384), 0, IF(ISNA(VLOOKUP(T384, 'Fuel Costs'!$A$2:$C$42, 2, 0)), T384, VLOOKUP(T384, 'Fuel Costs'!$A$2:$C$42, 2, 0))) / IF(ISBLANK(O384), 1, O384))) * 100</f>
        <v>0.01041666667</v>
      </c>
      <c r="J384" s="2" t="n">
        <f aca="false">((H384 / 800) / (IF(ISBLANK(S384), 100, IF(ISNA(VLOOKUP(S384, Lives!$A$2:$C$35, 2, 0)), S384, VLOOKUP(S384, Lives!$A$2:$C$35, 2, 0))) * 12) + (IF(ISBLANK(Q384), 0, IF(ISNA(VLOOKUP(Q384, Wages!$A$2:$C$17, 2, 0)), Q384, VLOOKUP(Q384, Wages!$A$2:$C$17, 2, 0))) * IF(ISBLANK(N384), 0, IF(ISNA(VLOOKUP(N384, Crews!$A$2:$C$28, 2, 0)), N384, VLOOKUP(N384, Crews!$A$2:$C$28, 2, 0))))) * 400</f>
        <v>41.66666667</v>
      </c>
      <c r="K384" s="3" t="s">
        <v>805</v>
      </c>
      <c r="L384" s="1" t="s">
        <v>806</v>
      </c>
      <c r="M384" s="1" t="n">
        <v>0</v>
      </c>
      <c r="N384" s="1"/>
      <c r="O384" s="1"/>
      <c r="P384" s="1"/>
      <c r="Q384" s="1"/>
      <c r="R384" s="1" t="s">
        <v>689</v>
      </c>
      <c r="S384" s="5" t="s">
        <v>389</v>
      </c>
      <c r="T384" s="1"/>
    </row>
    <row r="385" customFormat="false" ht="15" hidden="false" customHeight="true" outlineLevel="0" collapsed="false">
      <c r="A385" s="1" t="s">
        <v>807</v>
      </c>
      <c r="B385" s="1" t="n">
        <v>1855</v>
      </c>
      <c r="C385" s="1" t="n">
        <v>6</v>
      </c>
      <c r="D385" s="1" t="s">
        <v>38</v>
      </c>
      <c r="E385" s="1"/>
      <c r="F385" s="1"/>
      <c r="G385" s="1" t="n">
        <v>56</v>
      </c>
      <c r="H385" s="2" t="n">
        <v>100000</v>
      </c>
      <c r="I385" s="2" t="n">
        <f aca="false">(((H385 / 800) / IF(ISBLANK(R385), 1000000, IF(ISNA(VLOOKUP(R385, Mileages!$A$2:$C$34, 2, 0)), R385, VLOOKUP(R385, Mileages!$A$2:$C$34, 2, 0)))) + (F385 * IF(ISBLANK(P385), 1, P385) * IF(ISBLANK(T385), 0, IF(ISNA(VLOOKUP(T385, 'Fuel Costs'!$A$2:$C$42, 2, 0)), T385, VLOOKUP(T385, 'Fuel Costs'!$A$2:$C$42, 2, 0))) / IF(ISBLANK(O385), 1, O385))) * 100</f>
        <v>0.01041666667</v>
      </c>
      <c r="J385" s="2" t="n">
        <f aca="false">((H385 / 800) / (IF(ISBLANK(S385), 100, IF(ISNA(VLOOKUP(S385, Lives!$A$2:$C$35, 2, 0)), S385, VLOOKUP(S385, Lives!$A$2:$C$35, 2, 0))) * 12) + (IF(ISBLANK(Q385), 0, IF(ISNA(VLOOKUP(Q385, Wages!$A$2:$C$17, 2, 0)), Q385, VLOOKUP(Q385, Wages!$A$2:$C$17, 2, 0))) * IF(ISBLANK(N385), 0, IF(ISNA(VLOOKUP(N385, Crews!$A$2:$C$28, 2, 0)), N385, VLOOKUP(N385, Crews!$A$2:$C$28, 2, 0))))) * 400</f>
        <v>41.66666667</v>
      </c>
      <c r="K385" s="3" t="s">
        <v>802</v>
      </c>
      <c r="L385" s="1" t="s">
        <v>808</v>
      </c>
      <c r="M385" s="1" t="n">
        <v>0</v>
      </c>
      <c r="N385" s="1"/>
      <c r="O385" s="1"/>
      <c r="P385" s="1"/>
      <c r="Q385" s="1"/>
      <c r="R385" s="1" t="s">
        <v>689</v>
      </c>
      <c r="S385" s="5" t="s">
        <v>389</v>
      </c>
      <c r="T385" s="1"/>
    </row>
    <row r="386" customFormat="false" ht="15" hidden="false" customHeight="true" outlineLevel="0" collapsed="false">
      <c r="A386" s="1" t="s">
        <v>809</v>
      </c>
      <c r="B386" s="1" t="n">
        <v>1855</v>
      </c>
      <c r="C386" s="1" t="n">
        <v>8</v>
      </c>
      <c r="D386" s="1" t="s">
        <v>38</v>
      </c>
      <c r="E386" s="1" t="s">
        <v>274</v>
      </c>
      <c r="F386" s="1" t="n">
        <v>95</v>
      </c>
      <c r="G386" s="1" t="n">
        <v>78</v>
      </c>
      <c r="H386" s="2" t="n">
        <v>7010000</v>
      </c>
      <c r="I386" s="2" t="n">
        <f aca="false">(((H386 / 800) / IF(ISBLANK(R386), 1000000, IF(ISNA(VLOOKUP(R386, Mileages!$A$2:$C$34, 2, 0)), R386, VLOOKUP(R386, Mileages!$A$2:$C$34, 2, 0)))) + (F386 * IF(ISBLANK(P386), 1, P386) * IF(ISBLANK(T386), 0, IF(ISNA(VLOOKUP(T386, 'Fuel Costs'!$A$2:$C$42, 2, 0)), T386, VLOOKUP(T386, 'Fuel Costs'!$A$2:$C$42, 2, 0))) / IF(ISBLANK(O386), 1, O386))) * 100</f>
        <v>127.5429167</v>
      </c>
      <c r="J386" s="2" t="n">
        <f aca="false">((H386 / 800) / (IF(ISBLANK(S386), 100, IF(ISNA(VLOOKUP(S386, Lives!$A$2:$C$35, 2, 0)), S386, VLOOKUP(S386, Lives!$A$2:$C$35, 2, 0))) * 12) + (IF(ISBLANK(Q386), 0, IF(ISNA(VLOOKUP(Q386, Wages!$A$2:$C$17, 2, 0)), Q386, VLOOKUP(Q386, Wages!$A$2:$C$17, 2, 0))) * IF(ISBLANK(N386), 0, IF(ISNA(VLOOKUP(N386, Crews!$A$2:$C$28, 2, 0)), N386, VLOOKUP(N386, Crews!$A$2:$C$28, 2, 0))))) * 400</f>
        <v>29841.66667</v>
      </c>
      <c r="K386" s="3" t="s">
        <v>810</v>
      </c>
      <c r="L386" s="1" t="s">
        <v>811</v>
      </c>
      <c r="M386" s="1" t="n">
        <v>0</v>
      </c>
      <c r="N386" s="1" t="s">
        <v>590</v>
      </c>
      <c r="O386" s="1" t="n">
        <v>0.6</v>
      </c>
      <c r="P386" s="1"/>
      <c r="Q386" s="5" t="s">
        <v>284</v>
      </c>
      <c r="R386" s="1" t="s">
        <v>677</v>
      </c>
      <c r="S386" s="1" t="s">
        <v>677</v>
      </c>
      <c r="T386" s="1" t="s">
        <v>569</v>
      </c>
    </row>
    <row r="387" customFormat="false" ht="15" hidden="false" customHeight="true" outlineLevel="0" collapsed="false">
      <c r="A387" s="1" t="s">
        <v>812</v>
      </c>
      <c r="B387" s="1" t="n">
        <v>1856</v>
      </c>
      <c r="C387" s="1" t="n">
        <v>4</v>
      </c>
      <c r="D387" s="1" t="s">
        <v>38</v>
      </c>
      <c r="E387" s="1" t="s">
        <v>274</v>
      </c>
      <c r="F387" s="1" t="n">
        <v>156</v>
      </c>
      <c r="G387" s="1" t="n">
        <v>113</v>
      </c>
      <c r="H387" s="2" t="n">
        <f aca="false">7975000*2</f>
        <v>15950000</v>
      </c>
      <c r="I387" s="2" t="n">
        <f aca="false">(((H387 / 800) / IF(ISBLANK(R387), 1000000, IF(ISNA(VLOOKUP(R387, Mileages!$A$2:$C$34, 2, 0)), R387, VLOOKUP(R387, Mileages!$A$2:$C$34, 2, 0)))) + (F387 * IF(ISBLANK(P387), 1, P387) * IF(ISBLANK(T387), 0, IF(ISNA(VLOOKUP(T387, 'Fuel Costs'!$A$2:$C$42, 2, 0)), T387, VLOOKUP(T387, 'Fuel Costs'!$A$2:$C$42, 2, 0))) / IF(ISBLANK(O387), 1, O387))) * 100</f>
        <v>251.59375</v>
      </c>
      <c r="J387" s="2" t="n">
        <f aca="false">((H387 / 800) / (IF(ISBLANK(S387), 100, IF(ISNA(VLOOKUP(S387, Lives!$A$2:$C$35, 2, 0)), S387, VLOOKUP(S387, Lives!$A$2:$C$35, 2, 0))) * 12) + (IF(ISBLANK(Q387), 0, IF(ISNA(VLOOKUP(Q387, Wages!$A$2:$C$17, 2, 0)), Q387, VLOOKUP(Q387, Wages!$A$2:$C$17, 2, 0))) * IF(ISBLANK(N387), 0, IF(ISNA(VLOOKUP(N387, Crews!$A$2:$C$28, 2, 0)), N387, VLOOKUP(N387, Crews!$A$2:$C$28, 2, 0))))) * 400</f>
        <v>37291.66667</v>
      </c>
      <c r="K387" s="3" t="s">
        <v>813</v>
      </c>
      <c r="L387" s="1" t="s">
        <v>814</v>
      </c>
      <c r="M387" s="1" t="n">
        <v>0</v>
      </c>
      <c r="N387" s="1" t="s">
        <v>590</v>
      </c>
      <c r="O387" s="1" t="n">
        <v>0.5</v>
      </c>
      <c r="P387" s="1"/>
      <c r="Q387" s="5" t="s">
        <v>284</v>
      </c>
      <c r="R387" s="1" t="s">
        <v>677</v>
      </c>
      <c r="S387" s="1" t="s">
        <v>677</v>
      </c>
      <c r="T387" s="1" t="s">
        <v>569</v>
      </c>
    </row>
    <row r="388" customFormat="false" ht="15" hidden="false" customHeight="true" outlineLevel="0" collapsed="false">
      <c r="A388" s="1" t="s">
        <v>815</v>
      </c>
      <c r="B388" s="1" t="n">
        <v>1856</v>
      </c>
      <c r="C388" s="1" t="n">
        <v>5</v>
      </c>
      <c r="D388" s="1" t="s">
        <v>29</v>
      </c>
      <c r="E388" s="1" t="s">
        <v>274</v>
      </c>
      <c r="F388" s="1" t="n">
        <v>200</v>
      </c>
      <c r="G388" s="1" t="n">
        <v>15</v>
      </c>
      <c r="H388" s="2" t="n">
        <v>11000000</v>
      </c>
      <c r="I388" s="2" t="n">
        <f aca="false">(((H388 / 800) / IF(ISBLANK(R388), 1000000, IF(ISNA(VLOOKUP(R388, Mileages!$A$2:$C$34, 2, 0)), R388, VLOOKUP(R388, Mileages!$A$2:$C$34, 2, 0)))) + (F388 * IF(ISBLANK(P388), 1, P388) * IF(ISBLANK(T388), 0, IF(ISNA(VLOOKUP(T388, 'Fuel Costs'!$A$2:$C$42, 2, 0)), T388, VLOOKUP(T388, 'Fuel Costs'!$A$2:$C$42, 2, 0))) / IF(ISBLANK(O388), 1, O388))) * 100</f>
        <v>107.3541667</v>
      </c>
      <c r="J388" s="2" t="n">
        <f aca="false">((H388 / 800) / (IF(ISBLANK(S388), 100, IF(ISNA(VLOOKUP(S388, Lives!$A$2:$C$35, 2, 0)), S388, VLOOKUP(S388, Lives!$A$2:$C$35, 2, 0))) * 12) + (IF(ISBLANK(Q388), 0, IF(ISNA(VLOOKUP(Q388, Wages!$A$2:$C$17, 2, 0)), Q388, VLOOKUP(Q388, Wages!$A$2:$C$17, 2, 0))) * IF(ISBLANK(N388), 0, IF(ISNA(VLOOKUP(N388, Crews!$A$2:$C$28, 2, 0)), N388, VLOOKUP(N388, Crews!$A$2:$C$28, 2, 0))))) * 400</f>
        <v>20583.33333</v>
      </c>
      <c r="K388" s="3" t="s">
        <v>816</v>
      </c>
      <c r="L388" s="1" t="s">
        <v>817</v>
      </c>
      <c r="M388" s="1" t="n">
        <v>0</v>
      </c>
      <c r="N388" s="1" t="s">
        <v>33</v>
      </c>
      <c r="O388" s="1" t="n">
        <v>0.75</v>
      </c>
      <c r="P388" s="1" t="n">
        <v>0.5</v>
      </c>
      <c r="Q388" s="1" t="s">
        <v>34</v>
      </c>
      <c r="R388" s="1" t="s">
        <v>574</v>
      </c>
      <c r="S388" s="1" t="s">
        <v>574</v>
      </c>
      <c r="T388" s="1" t="s">
        <v>569</v>
      </c>
    </row>
    <row r="389" customFormat="false" ht="15" hidden="false" customHeight="true" outlineLevel="0" collapsed="false">
      <c r="A389" s="1" t="s">
        <v>818</v>
      </c>
      <c r="B389" s="1" t="n">
        <v>1856</v>
      </c>
      <c r="C389" s="1" t="n">
        <v>5</v>
      </c>
      <c r="D389" s="1" t="s">
        <v>29</v>
      </c>
      <c r="E389" s="1" t="s">
        <v>274</v>
      </c>
      <c r="F389" s="1" t="n">
        <v>200</v>
      </c>
      <c r="G389" s="1" t="n">
        <v>15</v>
      </c>
      <c r="H389" s="2" t="n">
        <v>11000000</v>
      </c>
      <c r="I389" s="2" t="n">
        <f aca="false">(((H389 / 800) / IF(ISBLANK(R389), 1000000, IF(ISNA(VLOOKUP(R389, Mileages!$A$2:$C$34, 2, 0)), R389, VLOOKUP(R389, Mileages!$A$2:$C$34, 2, 0)))) + (F389 * IF(ISBLANK(P389), 1, P389) * IF(ISBLANK(T389), 0, IF(ISNA(VLOOKUP(T389, 'Fuel Costs'!$A$2:$C$42, 2, 0)), T389, VLOOKUP(T389, 'Fuel Costs'!$A$2:$C$42, 2, 0))) / IF(ISBLANK(O389), 1, O389))) * 100</f>
        <v>107.3541667</v>
      </c>
      <c r="J389" s="2" t="n">
        <f aca="false">((H389 / 800) / (IF(ISBLANK(S389), 100, IF(ISNA(VLOOKUP(S389, Lives!$A$2:$C$35, 2, 0)), S389, VLOOKUP(S389, Lives!$A$2:$C$35, 2, 0))) * 12) + (IF(ISBLANK(Q389), 0, IF(ISNA(VLOOKUP(Q389, Wages!$A$2:$C$17, 2, 0)), Q389, VLOOKUP(Q389, Wages!$A$2:$C$17, 2, 0))) * IF(ISBLANK(N389), 0, IF(ISNA(VLOOKUP(N389, Crews!$A$2:$C$28, 2, 0)), N389, VLOOKUP(N389, Crews!$A$2:$C$28, 2, 0))))) * 400</f>
        <v>20583.33333</v>
      </c>
      <c r="K389" s="3" t="s">
        <v>816</v>
      </c>
      <c r="L389" s="1" t="s">
        <v>817</v>
      </c>
      <c r="M389" s="1" t="n">
        <v>1</v>
      </c>
      <c r="N389" s="1" t="s">
        <v>33</v>
      </c>
      <c r="O389" s="1" t="n">
        <v>0.75</v>
      </c>
      <c r="P389" s="1" t="n">
        <v>0.5</v>
      </c>
      <c r="Q389" s="1" t="s">
        <v>34</v>
      </c>
      <c r="R389" s="1" t="s">
        <v>574</v>
      </c>
      <c r="S389" s="1" t="s">
        <v>574</v>
      </c>
      <c r="T389" s="1" t="s">
        <v>569</v>
      </c>
    </row>
    <row r="390" customFormat="false" ht="15" hidden="false" customHeight="true" outlineLevel="0" collapsed="false">
      <c r="A390" s="1" t="s">
        <v>819</v>
      </c>
      <c r="B390" s="1" t="n">
        <v>1856</v>
      </c>
      <c r="C390" s="1" t="n">
        <v>5</v>
      </c>
      <c r="D390" s="1" t="s">
        <v>29</v>
      </c>
      <c r="E390" s="1" t="s">
        <v>274</v>
      </c>
      <c r="F390" s="1" t="n">
        <v>200</v>
      </c>
      <c r="G390" s="1" t="n">
        <v>15</v>
      </c>
      <c r="H390" s="2" t="n">
        <v>11000000</v>
      </c>
      <c r="I390" s="2" t="n">
        <f aca="false">(((H390 / 800) / IF(ISBLANK(R390), 1000000, IF(ISNA(VLOOKUP(R390, Mileages!$A$2:$C$34, 2, 0)), R390, VLOOKUP(R390, Mileages!$A$2:$C$34, 2, 0)))) + (F390 * IF(ISBLANK(P390), 1, P390) * IF(ISBLANK(T390), 0, IF(ISNA(VLOOKUP(T390, 'Fuel Costs'!$A$2:$C$42, 2, 0)), T390, VLOOKUP(T390, 'Fuel Costs'!$A$2:$C$42, 2, 0))) / IF(ISBLANK(O390), 1, O390))) * 100</f>
        <v>107.3541667</v>
      </c>
      <c r="J390" s="2" t="n">
        <f aca="false">((H390 / 800) / (IF(ISBLANK(S390), 100, IF(ISNA(VLOOKUP(S390, Lives!$A$2:$C$35, 2, 0)), S390, VLOOKUP(S390, Lives!$A$2:$C$35, 2, 0))) * 12) + (IF(ISBLANK(Q390), 0, IF(ISNA(VLOOKUP(Q390, Wages!$A$2:$C$17, 2, 0)), Q390, VLOOKUP(Q390, Wages!$A$2:$C$17, 2, 0))) * IF(ISBLANK(N390), 0, IF(ISNA(VLOOKUP(N390, Crews!$A$2:$C$28, 2, 0)), N390, VLOOKUP(N390, Crews!$A$2:$C$28, 2, 0))))) * 400</f>
        <v>20583.33333</v>
      </c>
      <c r="K390" s="3" t="s">
        <v>816</v>
      </c>
      <c r="L390" s="1" t="s">
        <v>817</v>
      </c>
      <c r="M390" s="1" t="n">
        <v>2</v>
      </c>
      <c r="N390" s="1" t="s">
        <v>33</v>
      </c>
      <c r="O390" s="1" t="n">
        <v>0.75</v>
      </c>
      <c r="P390" s="1" t="n">
        <v>0.5</v>
      </c>
      <c r="Q390" s="1" t="s">
        <v>34</v>
      </c>
      <c r="R390" s="1" t="s">
        <v>574</v>
      </c>
      <c r="S390" s="1" t="s">
        <v>574</v>
      </c>
      <c r="T390" s="1" t="s">
        <v>569</v>
      </c>
    </row>
    <row r="391" customFormat="false" ht="15" hidden="false" customHeight="true" outlineLevel="0" collapsed="false">
      <c r="A391" s="1" t="s">
        <v>820</v>
      </c>
      <c r="B391" s="1" t="n">
        <v>1856</v>
      </c>
      <c r="C391" s="1" t="n">
        <v>5</v>
      </c>
      <c r="D391" s="1" t="s">
        <v>29</v>
      </c>
      <c r="E391" s="1" t="s">
        <v>274</v>
      </c>
      <c r="F391" s="1" t="n">
        <v>200</v>
      </c>
      <c r="G391" s="1" t="n">
        <v>15</v>
      </c>
      <c r="H391" s="2" t="n">
        <v>11000000</v>
      </c>
      <c r="I391" s="2" t="n">
        <f aca="false">(((H391 / 800) / IF(ISBLANK(R391), 1000000, IF(ISNA(VLOOKUP(R391, Mileages!$A$2:$C$34, 2, 0)), R391, VLOOKUP(R391, Mileages!$A$2:$C$34, 2, 0)))) + (F391 * IF(ISBLANK(P391), 1, P391) * IF(ISBLANK(T391), 0, IF(ISNA(VLOOKUP(T391, 'Fuel Costs'!$A$2:$C$42, 2, 0)), T391, VLOOKUP(T391, 'Fuel Costs'!$A$2:$C$42, 2, 0))) / IF(ISBLANK(O391), 1, O391))) * 100</f>
        <v>107.3541667</v>
      </c>
      <c r="J391" s="2" t="n">
        <f aca="false">((H391 / 800) / (IF(ISBLANK(S391), 100, IF(ISNA(VLOOKUP(S391, Lives!$A$2:$C$35, 2, 0)), S391, VLOOKUP(S391, Lives!$A$2:$C$35, 2, 0))) * 12) + (IF(ISBLANK(Q391), 0, IF(ISNA(VLOOKUP(Q391, Wages!$A$2:$C$17, 2, 0)), Q391, VLOOKUP(Q391, Wages!$A$2:$C$17, 2, 0))) * IF(ISBLANK(N391), 0, IF(ISNA(VLOOKUP(N391, Crews!$A$2:$C$28, 2, 0)), N391, VLOOKUP(N391, Crews!$A$2:$C$28, 2, 0))))) * 400</f>
        <v>20583.33333</v>
      </c>
      <c r="K391" s="3" t="s">
        <v>816</v>
      </c>
      <c r="L391" s="1" t="s">
        <v>817</v>
      </c>
      <c r="M391" s="1" t="n">
        <v>3</v>
      </c>
      <c r="N391" s="1" t="s">
        <v>33</v>
      </c>
      <c r="O391" s="1" t="n">
        <v>0.75</v>
      </c>
      <c r="P391" s="1" t="n">
        <v>0.5</v>
      </c>
      <c r="Q391" s="1" t="s">
        <v>34</v>
      </c>
      <c r="R391" s="1" t="s">
        <v>574</v>
      </c>
      <c r="S391" s="1" t="s">
        <v>574</v>
      </c>
      <c r="T391" s="1" t="s">
        <v>569</v>
      </c>
    </row>
    <row r="392" customFormat="false" ht="15" hidden="false" customHeight="true" outlineLevel="0" collapsed="false">
      <c r="A392" s="1" t="s">
        <v>821</v>
      </c>
      <c r="B392" s="1" t="n">
        <v>1856</v>
      </c>
      <c r="C392" s="1" t="n">
        <v>5</v>
      </c>
      <c r="D392" s="1" t="s">
        <v>29</v>
      </c>
      <c r="E392" s="1" t="s">
        <v>274</v>
      </c>
      <c r="F392" s="1" t="n">
        <v>200</v>
      </c>
      <c r="G392" s="1" t="n">
        <v>15</v>
      </c>
      <c r="H392" s="2" t="n">
        <v>11000000</v>
      </c>
      <c r="I392" s="2" t="n">
        <f aca="false">(((H392 / 800) / IF(ISBLANK(R392), 1000000, IF(ISNA(VLOOKUP(R392, Mileages!$A$2:$C$34, 2, 0)), R392, VLOOKUP(R392, Mileages!$A$2:$C$34, 2, 0)))) + (F392 * IF(ISBLANK(P392), 1, P392) * IF(ISBLANK(T392), 0, IF(ISNA(VLOOKUP(T392, 'Fuel Costs'!$A$2:$C$42, 2, 0)), T392, VLOOKUP(T392, 'Fuel Costs'!$A$2:$C$42, 2, 0))) / IF(ISBLANK(O392), 1, O392))) * 100</f>
        <v>107.3541667</v>
      </c>
      <c r="J392" s="2" t="n">
        <f aca="false">((H392 / 800) / (IF(ISBLANK(S392), 100, IF(ISNA(VLOOKUP(S392, Lives!$A$2:$C$35, 2, 0)), S392, VLOOKUP(S392, Lives!$A$2:$C$35, 2, 0))) * 12) + (IF(ISBLANK(Q392), 0, IF(ISNA(VLOOKUP(Q392, Wages!$A$2:$C$17, 2, 0)), Q392, VLOOKUP(Q392, Wages!$A$2:$C$17, 2, 0))) * IF(ISBLANK(N392), 0, IF(ISNA(VLOOKUP(N392, Crews!$A$2:$C$28, 2, 0)), N392, VLOOKUP(N392, Crews!$A$2:$C$28, 2, 0))))) * 400</f>
        <v>20583.33333</v>
      </c>
      <c r="K392" s="3" t="s">
        <v>816</v>
      </c>
      <c r="L392" s="1" t="s">
        <v>817</v>
      </c>
      <c r="M392" s="1" t="n">
        <v>4</v>
      </c>
      <c r="N392" s="1" t="s">
        <v>33</v>
      </c>
      <c r="O392" s="1" t="n">
        <v>0.75</v>
      </c>
      <c r="P392" s="1" t="n">
        <v>0.5</v>
      </c>
      <c r="Q392" s="1" t="s">
        <v>34</v>
      </c>
      <c r="R392" s="1" t="s">
        <v>574</v>
      </c>
      <c r="S392" s="1" t="s">
        <v>574</v>
      </c>
      <c r="T392" s="1" t="s">
        <v>569</v>
      </c>
    </row>
    <row r="393" customFormat="false" ht="15" hidden="false" customHeight="true" outlineLevel="0" collapsed="false">
      <c r="A393" s="1" t="s">
        <v>822</v>
      </c>
      <c r="B393" s="1" t="n">
        <v>1856</v>
      </c>
      <c r="C393" s="1" t="n">
        <v>5</v>
      </c>
      <c r="D393" s="1" t="s">
        <v>29</v>
      </c>
      <c r="E393" s="1" t="s">
        <v>274</v>
      </c>
      <c r="F393" s="1" t="n">
        <v>200</v>
      </c>
      <c r="G393" s="1" t="n">
        <v>15</v>
      </c>
      <c r="H393" s="2" t="n">
        <v>11000000</v>
      </c>
      <c r="I393" s="2" t="n">
        <f aca="false">(((H393 / 800) / IF(ISBLANK(R393), 1000000, IF(ISNA(VLOOKUP(R393, Mileages!$A$2:$C$34, 2, 0)), R393, VLOOKUP(R393, Mileages!$A$2:$C$34, 2, 0)))) + (F393 * IF(ISBLANK(P393), 1, P393) * IF(ISBLANK(T393), 0, IF(ISNA(VLOOKUP(T393, 'Fuel Costs'!$A$2:$C$42, 2, 0)), T393, VLOOKUP(T393, 'Fuel Costs'!$A$2:$C$42, 2, 0))) / IF(ISBLANK(O393), 1, O393))) * 100</f>
        <v>107.3541667</v>
      </c>
      <c r="J393" s="2" t="n">
        <f aca="false">((H393 / 800) / (IF(ISBLANK(S393), 100, IF(ISNA(VLOOKUP(S393, Lives!$A$2:$C$35, 2, 0)), S393, VLOOKUP(S393, Lives!$A$2:$C$35, 2, 0))) * 12) + (IF(ISBLANK(Q393), 0, IF(ISNA(VLOOKUP(Q393, Wages!$A$2:$C$17, 2, 0)), Q393, VLOOKUP(Q393, Wages!$A$2:$C$17, 2, 0))) * IF(ISBLANK(N393), 0, IF(ISNA(VLOOKUP(N393, Crews!$A$2:$C$28, 2, 0)), N393, VLOOKUP(N393, Crews!$A$2:$C$28, 2, 0))))) * 400</f>
        <v>20583.33333</v>
      </c>
      <c r="K393" s="3" t="s">
        <v>816</v>
      </c>
      <c r="L393" s="1" t="s">
        <v>817</v>
      </c>
      <c r="M393" s="1" t="n">
        <v>5</v>
      </c>
      <c r="N393" s="1" t="s">
        <v>33</v>
      </c>
      <c r="O393" s="1" t="n">
        <v>0.75</v>
      </c>
      <c r="P393" s="1" t="n">
        <v>0.5</v>
      </c>
      <c r="Q393" s="1" t="s">
        <v>34</v>
      </c>
      <c r="R393" s="1" t="s">
        <v>574</v>
      </c>
      <c r="S393" s="1" t="s">
        <v>574</v>
      </c>
      <c r="T393" s="1" t="s">
        <v>569</v>
      </c>
    </row>
    <row r="394" customFormat="false" ht="15" hidden="false" customHeight="true" outlineLevel="0" collapsed="false">
      <c r="A394" s="1" t="s">
        <v>823</v>
      </c>
      <c r="B394" s="1" t="n">
        <v>1856</v>
      </c>
      <c r="C394" s="1" t="n">
        <v>8</v>
      </c>
      <c r="D394" s="1" t="s">
        <v>38</v>
      </c>
      <c r="E394" s="1" t="s">
        <v>274</v>
      </c>
      <c r="F394" s="1" t="n">
        <v>72</v>
      </c>
      <c r="G394" s="1" t="n">
        <v>78</v>
      </c>
      <c r="H394" s="2" t="n">
        <v>7790000</v>
      </c>
      <c r="I394" s="2" t="n">
        <f aca="false">(((H394 / 800) / IF(ISBLANK(R394), 1000000, IF(ISNA(VLOOKUP(R394, Mileages!$A$2:$C$34, 2, 0)), R394, VLOOKUP(R394, Mileages!$A$2:$C$34, 2, 0)))) + (F394 * IF(ISBLANK(P394), 1, P394) * IF(ISBLANK(T394), 0, IF(ISNA(VLOOKUP(T394, 'Fuel Costs'!$A$2:$C$42, 2, 0)), T394, VLOOKUP(T394, 'Fuel Costs'!$A$2:$C$42, 2, 0))) / IF(ISBLANK(O394), 1, O394))) * 100</f>
        <v>116.17375</v>
      </c>
      <c r="J394" s="2" t="n">
        <f aca="false">((H394 / 800) / (IF(ISBLANK(S394), 100, IF(ISNA(VLOOKUP(S394, Lives!$A$2:$C$35, 2, 0)), S394, VLOOKUP(S394, Lives!$A$2:$C$35, 2, 0))) * 12) + (IF(ISBLANK(Q394), 0, IF(ISNA(VLOOKUP(Q394, Wages!$A$2:$C$17, 2, 0)), Q394, VLOOKUP(Q394, Wages!$A$2:$C$17, 2, 0))) * IF(ISBLANK(N394), 0, IF(ISNA(VLOOKUP(N394, Crews!$A$2:$C$28, 2, 0)), N394, VLOOKUP(N394, Crews!$A$2:$C$28, 2, 0))))) * 400</f>
        <v>30491.66667</v>
      </c>
      <c r="K394" s="3" t="s">
        <v>824</v>
      </c>
      <c r="L394" s="1" t="s">
        <v>825</v>
      </c>
      <c r="M394" s="1" t="n">
        <v>0</v>
      </c>
      <c r="N394" s="1" t="s">
        <v>590</v>
      </c>
      <c r="O394" s="1" t="n">
        <v>0.5</v>
      </c>
      <c r="P394" s="1"/>
      <c r="Q394" s="5" t="s">
        <v>284</v>
      </c>
      <c r="R394" s="1" t="s">
        <v>677</v>
      </c>
      <c r="S394" s="1" t="s">
        <v>677</v>
      </c>
      <c r="T394" s="1" t="s">
        <v>569</v>
      </c>
    </row>
    <row r="395" customFormat="false" ht="15" hidden="false" customHeight="true" outlineLevel="0" collapsed="false">
      <c r="A395" s="1" t="s">
        <v>826</v>
      </c>
      <c r="B395" s="1" t="n">
        <v>1857</v>
      </c>
      <c r="C395" s="1" t="n">
        <v>1</v>
      </c>
      <c r="D395" s="1" t="s">
        <v>21</v>
      </c>
      <c r="E395" s="1"/>
      <c r="F395" s="1"/>
      <c r="G395" s="1" t="n">
        <v>20</v>
      </c>
      <c r="H395" s="2" t="n">
        <v>20000</v>
      </c>
      <c r="I395" s="2" t="n">
        <f aca="false">(((H395 / 800) / IF(ISBLANK(R395), 1000000, IF(ISNA(VLOOKUP(R395, Mileages!$A$2:$C$34, 2, 0)), R395, VLOOKUP(R395, Mileages!$A$2:$C$34, 2, 0)))) + (F395 * IF(ISBLANK(P395), 1, P395) * IF(ISBLANK(T395), 0, IF(ISNA(VLOOKUP(T395, 'Fuel Costs'!$A$2:$C$42, 2, 0)), T395, VLOOKUP(T395, 'Fuel Costs'!$A$2:$C$42, 2, 0))) / IF(ISBLANK(O395), 1, O395))) * 100</f>
        <v>0.003125</v>
      </c>
      <c r="J395" s="2" t="n">
        <f aca="false">((H395 / 800) / (IF(ISBLANK(S395), 100, IF(ISNA(VLOOKUP(S395, Lives!$A$2:$C$35, 2, 0)), S395, VLOOKUP(S395, Lives!$A$2:$C$35, 2, 0))) * 12) + (IF(ISBLANK(Q395), 0, IF(ISNA(VLOOKUP(Q395, Wages!$A$2:$C$17, 2, 0)), Q395, VLOOKUP(Q395, Wages!$A$2:$C$17, 2, 0))) * IF(ISBLANK(N395), 0, IF(ISNA(VLOOKUP(N395, Crews!$A$2:$C$28, 2, 0)), N395, VLOOKUP(N395, Crews!$A$2:$C$28, 2, 0))))) * 400</f>
        <v>10.41666667</v>
      </c>
      <c r="K395" s="1"/>
      <c r="L395" s="1" t="s">
        <v>827</v>
      </c>
      <c r="M395" s="1" t="n">
        <v>0</v>
      </c>
      <c r="N395" s="1"/>
      <c r="O395" s="1"/>
      <c r="P395" s="1"/>
      <c r="Q395" s="1"/>
      <c r="R395" s="1" t="s">
        <v>828</v>
      </c>
      <c r="S395" s="1" t="s">
        <v>829</v>
      </c>
      <c r="T395" s="1"/>
    </row>
    <row r="396" customFormat="false" ht="15" hidden="false" customHeight="true" outlineLevel="0" collapsed="false">
      <c r="A396" s="1" t="s">
        <v>830</v>
      </c>
      <c r="B396" s="1" t="n">
        <v>1857</v>
      </c>
      <c r="C396" s="1" t="n">
        <v>1</v>
      </c>
      <c r="D396" s="1" t="s">
        <v>21</v>
      </c>
      <c r="E396" s="1"/>
      <c r="F396" s="1"/>
      <c r="G396" s="1" t="n">
        <v>20</v>
      </c>
      <c r="H396" s="2" t="n">
        <v>20000</v>
      </c>
      <c r="I396" s="2" t="n">
        <f aca="false">(((H396 / 800) / IF(ISBLANK(R396), 1000000, IF(ISNA(VLOOKUP(R396, Mileages!$A$2:$C$34, 2, 0)), R396, VLOOKUP(R396, Mileages!$A$2:$C$34, 2, 0)))) + (F396 * IF(ISBLANK(P396), 1, P396) * IF(ISBLANK(T396), 0, IF(ISNA(VLOOKUP(T396, 'Fuel Costs'!$A$2:$C$42, 2, 0)), T396, VLOOKUP(T396, 'Fuel Costs'!$A$2:$C$42, 2, 0))) / IF(ISBLANK(O396), 1, O396))) * 100</f>
        <v>0.003125</v>
      </c>
      <c r="J396" s="2" t="n">
        <f aca="false">((H396 / 800) / (IF(ISBLANK(S396), 100, IF(ISNA(VLOOKUP(S396, Lives!$A$2:$C$35, 2, 0)), S396, VLOOKUP(S396, Lives!$A$2:$C$35, 2, 0))) * 12) + (IF(ISBLANK(Q396), 0, IF(ISNA(VLOOKUP(Q396, Wages!$A$2:$C$17, 2, 0)), Q396, VLOOKUP(Q396, Wages!$A$2:$C$17, 2, 0))) * IF(ISBLANK(N396), 0, IF(ISNA(VLOOKUP(N396, Crews!$A$2:$C$28, 2, 0)), N396, VLOOKUP(N396, Crews!$A$2:$C$28, 2, 0))))) * 400</f>
        <v>10.41666667</v>
      </c>
      <c r="K396" s="1"/>
      <c r="L396" s="1" t="s">
        <v>827</v>
      </c>
      <c r="M396" s="1" t="n">
        <v>1</v>
      </c>
      <c r="N396" s="1"/>
      <c r="O396" s="1"/>
      <c r="P396" s="1"/>
      <c r="Q396" s="1"/>
      <c r="R396" s="1" t="s">
        <v>828</v>
      </c>
      <c r="S396" s="1" t="s">
        <v>829</v>
      </c>
      <c r="T396" s="1"/>
    </row>
    <row r="397" customFormat="false" ht="15" hidden="false" customHeight="true" outlineLevel="0" collapsed="false">
      <c r="A397" s="1" t="s">
        <v>831</v>
      </c>
      <c r="B397" s="1" t="n">
        <v>1857</v>
      </c>
      <c r="C397" s="1" t="n">
        <v>1</v>
      </c>
      <c r="D397" s="1" t="s">
        <v>21</v>
      </c>
      <c r="E397" s="1"/>
      <c r="F397" s="1"/>
      <c r="G397" s="1" t="n">
        <v>20</v>
      </c>
      <c r="H397" s="2" t="n">
        <v>20000</v>
      </c>
      <c r="I397" s="2" t="n">
        <f aca="false">(((H397 / 800) / IF(ISBLANK(R397), 1000000, IF(ISNA(VLOOKUP(R397, Mileages!$A$2:$C$34, 2, 0)), R397, VLOOKUP(R397, Mileages!$A$2:$C$34, 2, 0)))) + (F397 * IF(ISBLANK(P397), 1, P397) * IF(ISBLANK(T397), 0, IF(ISNA(VLOOKUP(T397, 'Fuel Costs'!$A$2:$C$42, 2, 0)), T397, VLOOKUP(T397, 'Fuel Costs'!$A$2:$C$42, 2, 0))) / IF(ISBLANK(O397), 1, O397))) * 100</f>
        <v>0.003125</v>
      </c>
      <c r="J397" s="2" t="n">
        <f aca="false">((H397 / 800) / (IF(ISBLANK(S397), 100, IF(ISNA(VLOOKUP(S397, Lives!$A$2:$C$35, 2, 0)), S397, VLOOKUP(S397, Lives!$A$2:$C$35, 2, 0))) * 12) + (IF(ISBLANK(Q397), 0, IF(ISNA(VLOOKUP(Q397, Wages!$A$2:$C$17, 2, 0)), Q397, VLOOKUP(Q397, Wages!$A$2:$C$17, 2, 0))) * IF(ISBLANK(N397), 0, IF(ISNA(VLOOKUP(N397, Crews!$A$2:$C$28, 2, 0)), N397, VLOOKUP(N397, Crews!$A$2:$C$28, 2, 0))))) * 400</f>
        <v>10.41666667</v>
      </c>
      <c r="K397" s="1"/>
      <c r="L397" s="1" t="s">
        <v>827</v>
      </c>
      <c r="M397" s="1" t="n">
        <v>2</v>
      </c>
      <c r="N397" s="1"/>
      <c r="O397" s="1"/>
      <c r="P397" s="1"/>
      <c r="Q397" s="1"/>
      <c r="R397" s="1" t="s">
        <v>828</v>
      </c>
      <c r="S397" s="1" t="s">
        <v>829</v>
      </c>
      <c r="T397" s="1"/>
    </row>
    <row r="398" customFormat="false" ht="15" hidden="false" customHeight="true" outlineLevel="0" collapsed="false">
      <c r="A398" s="1" t="s">
        <v>832</v>
      </c>
      <c r="B398" s="1" t="n">
        <v>1857</v>
      </c>
      <c r="C398" s="1" t="n">
        <v>1</v>
      </c>
      <c r="D398" s="1" t="s">
        <v>21</v>
      </c>
      <c r="E398" s="1"/>
      <c r="F398" s="1"/>
      <c r="G398" s="1" t="n">
        <v>20</v>
      </c>
      <c r="H398" s="2" t="n">
        <v>20000</v>
      </c>
      <c r="I398" s="2" t="n">
        <f aca="false">(((H398 / 800) / IF(ISBLANK(R398), 1000000, IF(ISNA(VLOOKUP(R398, Mileages!$A$2:$C$34, 2, 0)), R398, VLOOKUP(R398, Mileages!$A$2:$C$34, 2, 0)))) + (F398 * IF(ISBLANK(P398), 1, P398) * IF(ISBLANK(T398), 0, IF(ISNA(VLOOKUP(T398, 'Fuel Costs'!$A$2:$C$42, 2, 0)), T398, VLOOKUP(T398, 'Fuel Costs'!$A$2:$C$42, 2, 0))) / IF(ISBLANK(O398), 1, O398))) * 100</f>
        <v>0.003125</v>
      </c>
      <c r="J398" s="2" t="n">
        <f aca="false">((H398 / 800) / (IF(ISBLANK(S398), 100, IF(ISNA(VLOOKUP(S398, Lives!$A$2:$C$35, 2, 0)), S398, VLOOKUP(S398, Lives!$A$2:$C$35, 2, 0))) * 12) + (IF(ISBLANK(Q398), 0, IF(ISNA(VLOOKUP(Q398, Wages!$A$2:$C$17, 2, 0)), Q398, VLOOKUP(Q398, Wages!$A$2:$C$17, 2, 0))) * IF(ISBLANK(N398), 0, IF(ISNA(VLOOKUP(N398, Crews!$A$2:$C$28, 2, 0)), N398, VLOOKUP(N398, Crews!$A$2:$C$28, 2, 0))))) * 400</f>
        <v>10.41666667</v>
      </c>
      <c r="K398" s="1"/>
      <c r="L398" s="1" t="s">
        <v>827</v>
      </c>
      <c r="M398" s="1" t="n">
        <v>3</v>
      </c>
      <c r="N398" s="1"/>
      <c r="O398" s="1"/>
      <c r="P398" s="1"/>
      <c r="Q398" s="1"/>
      <c r="R398" s="1" t="s">
        <v>828</v>
      </c>
      <c r="S398" s="1" t="s">
        <v>829</v>
      </c>
      <c r="T398" s="1"/>
    </row>
    <row r="399" customFormat="false" ht="15" hidden="false" customHeight="true" outlineLevel="0" collapsed="false">
      <c r="A399" s="1" t="s">
        <v>833</v>
      </c>
      <c r="B399" s="1" t="n">
        <v>1857</v>
      </c>
      <c r="C399" s="1" t="n">
        <v>1</v>
      </c>
      <c r="D399" s="1" t="s">
        <v>21</v>
      </c>
      <c r="E399" s="1"/>
      <c r="F399" s="1"/>
      <c r="G399" s="1" t="n">
        <v>20</v>
      </c>
      <c r="H399" s="2" t="n">
        <v>20000</v>
      </c>
      <c r="I399" s="2" t="n">
        <f aca="false">(((H399 / 800) / IF(ISBLANK(R399), 1000000, IF(ISNA(VLOOKUP(R399, Mileages!$A$2:$C$34, 2, 0)), R399, VLOOKUP(R399, Mileages!$A$2:$C$34, 2, 0)))) + (F399 * IF(ISBLANK(P399), 1, P399) * IF(ISBLANK(T399), 0, IF(ISNA(VLOOKUP(T399, 'Fuel Costs'!$A$2:$C$42, 2, 0)), T399, VLOOKUP(T399, 'Fuel Costs'!$A$2:$C$42, 2, 0))) / IF(ISBLANK(O399), 1, O399))) * 100</f>
        <v>0.003125</v>
      </c>
      <c r="J399" s="2" t="n">
        <f aca="false">((H399 / 800) / (IF(ISBLANK(S399), 100, IF(ISNA(VLOOKUP(S399, Lives!$A$2:$C$35, 2, 0)), S399, VLOOKUP(S399, Lives!$A$2:$C$35, 2, 0))) * 12) + (IF(ISBLANK(Q399), 0, IF(ISNA(VLOOKUP(Q399, Wages!$A$2:$C$17, 2, 0)), Q399, VLOOKUP(Q399, Wages!$A$2:$C$17, 2, 0))) * IF(ISBLANK(N399), 0, IF(ISNA(VLOOKUP(N399, Crews!$A$2:$C$28, 2, 0)), N399, VLOOKUP(N399, Crews!$A$2:$C$28, 2, 0))))) * 400</f>
        <v>10.41666667</v>
      </c>
      <c r="K399" s="1"/>
      <c r="L399" s="1" t="s">
        <v>827</v>
      </c>
      <c r="M399" s="1" t="n">
        <v>4</v>
      </c>
      <c r="N399" s="1"/>
      <c r="O399" s="1"/>
      <c r="P399" s="1"/>
      <c r="Q399" s="1"/>
      <c r="R399" s="1" t="s">
        <v>828</v>
      </c>
      <c r="S399" s="1" t="s">
        <v>829</v>
      </c>
      <c r="T399" s="1"/>
    </row>
    <row r="400" customFormat="false" ht="15" hidden="false" customHeight="true" outlineLevel="0" collapsed="false">
      <c r="A400" s="1" t="s">
        <v>834</v>
      </c>
      <c r="B400" s="1" t="n">
        <v>1857</v>
      </c>
      <c r="C400" s="1" t="n">
        <v>1</v>
      </c>
      <c r="D400" s="1" t="s">
        <v>21</v>
      </c>
      <c r="E400" s="1"/>
      <c r="F400" s="1"/>
      <c r="G400" s="1" t="n">
        <v>20</v>
      </c>
      <c r="H400" s="2" t="n">
        <v>20000</v>
      </c>
      <c r="I400" s="2" t="n">
        <f aca="false">(((H400 / 800) / IF(ISBLANK(R400), 1000000, IF(ISNA(VLOOKUP(R400, Mileages!$A$2:$C$34, 2, 0)), R400, VLOOKUP(R400, Mileages!$A$2:$C$34, 2, 0)))) + (F400 * IF(ISBLANK(P400), 1, P400) * IF(ISBLANK(T400), 0, IF(ISNA(VLOOKUP(T400, 'Fuel Costs'!$A$2:$C$42, 2, 0)), T400, VLOOKUP(T400, 'Fuel Costs'!$A$2:$C$42, 2, 0))) / IF(ISBLANK(O400), 1, O400))) * 100</f>
        <v>0.003125</v>
      </c>
      <c r="J400" s="2" t="n">
        <f aca="false">((H400 / 800) / (IF(ISBLANK(S400), 100, IF(ISNA(VLOOKUP(S400, Lives!$A$2:$C$35, 2, 0)), S400, VLOOKUP(S400, Lives!$A$2:$C$35, 2, 0))) * 12) + (IF(ISBLANK(Q400), 0, IF(ISNA(VLOOKUP(Q400, Wages!$A$2:$C$17, 2, 0)), Q400, VLOOKUP(Q400, Wages!$A$2:$C$17, 2, 0))) * IF(ISBLANK(N400), 0, IF(ISNA(VLOOKUP(N400, Crews!$A$2:$C$28, 2, 0)), N400, VLOOKUP(N400, Crews!$A$2:$C$28, 2, 0))))) * 400</f>
        <v>10.41666667</v>
      </c>
      <c r="K400" s="1"/>
      <c r="L400" s="1" t="s">
        <v>827</v>
      </c>
      <c r="M400" s="1" t="n">
        <v>5</v>
      </c>
      <c r="N400" s="1"/>
      <c r="O400" s="1"/>
      <c r="P400" s="1"/>
      <c r="Q400" s="1"/>
      <c r="R400" s="1" t="s">
        <v>828</v>
      </c>
      <c r="S400" s="1" t="s">
        <v>829</v>
      </c>
      <c r="T400" s="1"/>
    </row>
    <row r="401" customFormat="false" ht="15" hidden="false" customHeight="true" outlineLevel="0" collapsed="false">
      <c r="A401" s="1" t="s">
        <v>835</v>
      </c>
      <c r="B401" s="1" t="n">
        <v>1857</v>
      </c>
      <c r="C401" s="1" t="n">
        <v>6</v>
      </c>
      <c r="D401" s="1" t="s">
        <v>21</v>
      </c>
      <c r="E401" s="1" t="s">
        <v>274</v>
      </c>
      <c r="F401" s="1" t="n">
        <v>8</v>
      </c>
      <c r="G401" s="1" t="n">
        <v>15</v>
      </c>
      <c r="H401" s="2" t="n">
        <f aca="false">64000*50</f>
        <v>3200000</v>
      </c>
      <c r="I401" s="2" t="n">
        <f aca="false">(((H401 / 800) / IF(ISBLANK(R401), 1000000, IF(ISNA(VLOOKUP(R401, Mileages!$A$2:$C$34, 2, 0)), R401, VLOOKUP(R401, Mileages!$A$2:$C$34, 2, 0)))) + (F401 * IF(ISBLANK(P401), 1, P401) * IF(ISBLANK(T401), 0, IF(ISNA(VLOOKUP(T401, 'Fuel Costs'!$A$2:$C$42, 2, 0)), T401, VLOOKUP(T401, 'Fuel Costs'!$A$2:$C$42, 2, 0))) / IF(ISBLANK(O401), 1, O401))) * 100</f>
        <v>19.08571429</v>
      </c>
      <c r="J401" s="2" t="n">
        <f aca="false">((H401 / 800) / (IF(ISBLANK(S401), 100, IF(ISNA(VLOOKUP(S401, Lives!$A$2:$C$35, 2, 0)), S401, VLOOKUP(S401, Lives!$A$2:$C$35, 2, 0))) * 12) + (IF(ISBLANK(Q401), 0, IF(ISNA(VLOOKUP(Q401, Wages!$A$2:$C$17, 2, 0)), Q401, VLOOKUP(Q401, Wages!$A$2:$C$17, 2, 0))) * IF(ISBLANK(N401), 0, IF(ISNA(VLOOKUP(N401, Crews!$A$2:$C$28, 2, 0)), N401, VLOOKUP(N401, Crews!$A$2:$C$28, 2, 0))))) * 400</f>
        <v>13666.66667</v>
      </c>
      <c r="K401" s="1"/>
      <c r="L401" s="1" t="s">
        <v>836</v>
      </c>
      <c r="M401" s="1" t="n">
        <v>0</v>
      </c>
      <c r="N401" s="1" t="s">
        <v>837</v>
      </c>
      <c r="O401" s="1" t="n">
        <v>0.35</v>
      </c>
      <c r="P401" s="1"/>
      <c r="Q401" s="1" t="s">
        <v>837</v>
      </c>
      <c r="R401" s="1" t="s">
        <v>837</v>
      </c>
      <c r="S401" s="1" t="s">
        <v>837</v>
      </c>
      <c r="T401" s="1" t="s">
        <v>569</v>
      </c>
    </row>
    <row r="402" customFormat="false" ht="15" hidden="false" customHeight="true" outlineLevel="0" collapsed="false">
      <c r="A402" s="1" t="s">
        <v>838</v>
      </c>
      <c r="B402" s="1" t="n">
        <v>1858</v>
      </c>
      <c r="C402" s="1" t="n">
        <v>1</v>
      </c>
      <c r="D402" s="1" t="s">
        <v>29</v>
      </c>
      <c r="E402" s="1" t="s">
        <v>274</v>
      </c>
      <c r="F402" s="1" t="n">
        <v>5400</v>
      </c>
      <c r="G402" s="1" t="n">
        <v>26</v>
      </c>
      <c r="H402" s="2" t="n">
        <f aca="false">133056000*4</f>
        <v>532224000</v>
      </c>
      <c r="I402" s="2" t="n">
        <f aca="false">(((H402 / 800) / IF(ISBLANK(R402), 1000000, IF(ISNA(VLOOKUP(R402, Mileages!$A$2:$C$34, 2, 0)), R402, VLOOKUP(R402, Mileages!$A$2:$C$34, 2, 0)))) + (F402 * IF(ISBLANK(P402), 1, P402) * IF(ISBLANK(T402), 0, IF(ISNA(VLOOKUP(T402, 'Fuel Costs'!$A$2:$C$42, 2, 0)), T402, VLOOKUP(T402, 'Fuel Costs'!$A$2:$C$42, 2, 0))) / IF(ISBLANK(O402), 1, O402))) * 100</f>
        <v>573.264</v>
      </c>
      <c r="J402" s="2" t="n">
        <f aca="false">((H402 / 800) / (IF(ISBLANK(S402), 100, IF(ISNA(VLOOKUP(S402, Lives!$A$2:$C$35, 2, 0)), S402, VLOOKUP(S402, Lives!$A$2:$C$35, 2, 0))) * 12) + (IF(ISBLANK(Q402), 0, IF(ISNA(VLOOKUP(Q402, Wages!$A$2:$C$17, 2, 0)), Q402, VLOOKUP(Q402, Wages!$A$2:$C$17, 2, 0))) * IF(ISBLANK(N402), 0, IF(ISNA(VLOOKUP(N402, Crews!$A$2:$C$28, 2, 0)), N402, VLOOKUP(N402, Crews!$A$2:$C$28, 2, 0))))) * 400</f>
        <v>1893760</v>
      </c>
      <c r="K402" s="3" t="s">
        <v>839</v>
      </c>
      <c r="L402" s="1" t="s">
        <v>840</v>
      </c>
      <c r="M402" s="1" t="n">
        <v>0</v>
      </c>
      <c r="N402" s="1" t="n">
        <v>418</v>
      </c>
      <c r="O402" s="1" t="n">
        <v>1</v>
      </c>
      <c r="P402" s="1" t="n">
        <v>0.125</v>
      </c>
      <c r="Q402" s="1" t="s">
        <v>34</v>
      </c>
      <c r="R402" s="1" t="s">
        <v>574</v>
      </c>
      <c r="S402" s="1" t="s">
        <v>574</v>
      </c>
      <c r="T402" s="1" t="s">
        <v>569</v>
      </c>
    </row>
    <row r="403" customFormat="false" ht="15" hidden="false" customHeight="true" outlineLevel="0" collapsed="false">
      <c r="A403" s="1" t="s">
        <v>841</v>
      </c>
      <c r="B403" s="1" t="n">
        <v>1858</v>
      </c>
      <c r="C403" s="1" t="n">
        <v>1</v>
      </c>
      <c r="D403" s="1" t="s">
        <v>29</v>
      </c>
      <c r="E403" s="1"/>
      <c r="F403" s="1"/>
      <c r="G403" s="1" t="n">
        <v>26</v>
      </c>
      <c r="H403" s="2"/>
      <c r="I403" s="2"/>
      <c r="J403" s="2"/>
      <c r="K403" s="1"/>
      <c r="L403" s="1" t="s">
        <v>840</v>
      </c>
      <c r="M403" s="1" t="n">
        <v>1</v>
      </c>
      <c r="N403" s="1"/>
      <c r="O403" s="1"/>
      <c r="P403" s="1"/>
      <c r="Q403" s="1"/>
      <c r="R403" s="1"/>
      <c r="S403" s="1"/>
      <c r="T403" s="1"/>
    </row>
    <row r="404" customFormat="false" ht="15" hidden="false" customHeight="true" outlineLevel="0" collapsed="false">
      <c r="A404" s="1" t="s">
        <v>842</v>
      </c>
      <c r="B404" s="1" t="n">
        <v>1858</v>
      </c>
      <c r="C404" s="1" t="n">
        <v>8</v>
      </c>
      <c r="D404" s="1" t="s">
        <v>38</v>
      </c>
      <c r="E404" s="1" t="s">
        <v>274</v>
      </c>
      <c r="F404" s="1"/>
      <c r="G404" s="1" t="n">
        <v>82</v>
      </c>
      <c r="H404" s="2" t="n">
        <v>0</v>
      </c>
      <c r="I404" s="2" t="n">
        <f aca="false">(((H404 / 800) / IF(ISBLANK(R404), 1000000, IF(ISNA(VLOOKUP(R404, Mileages!$A$2:$C$34, 2, 0)), R404, VLOOKUP(R404, Mileages!$A$2:$C$34, 2, 0)))) + (F404 * IF(ISBLANK(P404), 1, P404) * IF(ISBLANK(T404), 0, IF(ISNA(VLOOKUP(T404, 'Fuel Costs'!$A$2:$C$42, 2, 0)), T404, VLOOKUP(T404, 'Fuel Costs'!$A$2:$C$42, 2, 0))) / IF(ISBLANK(O404), 1, O404))) * 100</f>
        <v>0</v>
      </c>
      <c r="J404" s="2" t="n">
        <f aca="false">((H404 / 800) / (IF(ISBLANK(S404), 100, IF(ISNA(VLOOKUP(S404, Lives!$A$2:$C$35, 2, 0)), S404, VLOOKUP(S404, Lives!$A$2:$C$35, 2, 0))) * 12) + (IF(ISBLANK(Q404), 0, IF(ISNA(VLOOKUP(Q404, Wages!$A$2:$C$17, 2, 0)), Q404, VLOOKUP(Q404, Wages!$A$2:$C$17, 2, 0))) * IF(ISBLANK(N404), 0, IF(ISNA(VLOOKUP(N404, Crews!$A$2:$C$28, 2, 0)), N404, VLOOKUP(N404, Crews!$A$2:$C$28, 2, 0))))) * 400</f>
        <v>0</v>
      </c>
      <c r="K404" s="1" t="s">
        <v>605</v>
      </c>
      <c r="L404" s="1" t="s">
        <v>843</v>
      </c>
      <c r="M404" s="1" t="n">
        <v>0</v>
      </c>
      <c r="N404" s="1"/>
      <c r="O404" s="1"/>
      <c r="P404" s="1"/>
      <c r="Q404" s="1"/>
      <c r="R404" s="1"/>
      <c r="S404" s="1"/>
      <c r="T404" s="1"/>
    </row>
    <row r="405" customFormat="false" ht="15" hidden="false" customHeight="true" outlineLevel="0" collapsed="false">
      <c r="A405" s="1" t="s">
        <v>844</v>
      </c>
      <c r="B405" s="1" t="n">
        <v>1858</v>
      </c>
      <c r="C405" s="1" t="n">
        <v>9</v>
      </c>
      <c r="D405" s="1" t="s">
        <v>38</v>
      </c>
      <c r="E405" s="1" t="s">
        <v>274</v>
      </c>
      <c r="F405" s="1" t="n">
        <v>167</v>
      </c>
      <c r="G405" s="1" t="n">
        <v>82</v>
      </c>
      <c r="H405" s="2" t="n">
        <f aca="false">3165000*2.5</f>
        <v>7912500</v>
      </c>
      <c r="I405" s="2" t="n">
        <f aca="false">(((H405 / 800) / IF(ISBLANK(R405), 1000000, IF(ISNA(VLOOKUP(R405, Mileages!$A$2:$C$34, 2, 0)), R405, VLOOKUP(R405, Mileages!$A$2:$C$34, 2, 0)))) + (F405 * IF(ISBLANK(P405), 1, P405) * IF(ISBLANK(T405), 0, IF(ISNA(VLOOKUP(T405, 'Fuel Costs'!$A$2:$C$42, 2, 0)), T405, VLOOKUP(T405, 'Fuel Costs'!$A$2:$C$42, 2, 0))) / IF(ISBLANK(O405), 1, O405))) * 100</f>
        <v>223.6557292</v>
      </c>
      <c r="J405" s="2" t="n">
        <f aca="false">((H405 / 800) / (IF(ISBLANK(S405), 100, IF(ISNA(VLOOKUP(S405, Lives!$A$2:$C$35, 2, 0)), S405, VLOOKUP(S405, Lives!$A$2:$C$35, 2, 0))) * 12) + (IF(ISBLANK(Q405), 0, IF(ISNA(VLOOKUP(Q405, Wages!$A$2:$C$17, 2, 0)), Q405, VLOOKUP(Q405, Wages!$A$2:$C$17, 2, 0))) * IF(ISBLANK(N405), 0, IF(ISNA(VLOOKUP(N405, Crews!$A$2:$C$28, 2, 0)), N405, VLOOKUP(N405, Crews!$A$2:$C$28, 2, 0))))) * 400</f>
        <v>30593.75</v>
      </c>
      <c r="K405" s="3" t="s">
        <v>845</v>
      </c>
      <c r="L405" s="1" t="s">
        <v>846</v>
      </c>
      <c r="M405" s="1" t="n">
        <v>0</v>
      </c>
      <c r="N405" s="1" t="s">
        <v>590</v>
      </c>
      <c r="O405" s="1" t="n">
        <v>0.6</v>
      </c>
      <c r="P405" s="1"/>
      <c r="Q405" s="5" t="s">
        <v>284</v>
      </c>
      <c r="R405" s="1" t="s">
        <v>677</v>
      </c>
      <c r="S405" s="1" t="s">
        <v>677</v>
      </c>
      <c r="T405" s="1" t="s">
        <v>569</v>
      </c>
    </row>
    <row r="406" customFormat="false" ht="15" hidden="false" customHeight="true" outlineLevel="0" collapsed="false">
      <c r="A406" s="1" t="s">
        <v>847</v>
      </c>
      <c r="B406" s="1" t="n">
        <v>1859</v>
      </c>
      <c r="C406" s="1" t="n">
        <v>4</v>
      </c>
      <c r="D406" s="1" t="s">
        <v>38</v>
      </c>
      <c r="E406" s="1" t="s">
        <v>274</v>
      </c>
      <c r="F406" s="1"/>
      <c r="G406" s="1" t="n">
        <v>113</v>
      </c>
      <c r="H406" s="2" t="n">
        <v>0</v>
      </c>
      <c r="I406" s="2" t="n">
        <f aca="false">(((H406 / 800) / IF(ISBLANK(R406), 1000000, IF(ISNA(VLOOKUP(R406, Mileages!$A$2:$C$34, 2, 0)), R406, VLOOKUP(R406, Mileages!$A$2:$C$34, 2, 0)))) + (F406 * IF(ISBLANK(P406), 1, P406) * IF(ISBLANK(T406), 0, IF(ISNA(VLOOKUP(T406, 'Fuel Costs'!$A$2:$C$42, 2, 0)), T406, VLOOKUP(T406, 'Fuel Costs'!$A$2:$C$42, 2, 0))) / IF(ISBLANK(O406), 1, O406))) * 100</f>
        <v>0</v>
      </c>
      <c r="J406" s="2" t="n">
        <f aca="false">((H406 / 800) / (IF(ISBLANK(S406), 100, IF(ISNA(VLOOKUP(S406, Lives!$A$2:$C$35, 2, 0)), S406, VLOOKUP(S406, Lives!$A$2:$C$35, 2, 0))) * 12) + (IF(ISBLANK(Q406), 0, IF(ISNA(VLOOKUP(Q406, Wages!$A$2:$C$17, 2, 0)), Q406, VLOOKUP(Q406, Wages!$A$2:$C$17, 2, 0))) * IF(ISBLANK(N406), 0, IF(ISNA(VLOOKUP(N406, Crews!$A$2:$C$28, 2, 0)), N406, VLOOKUP(N406, Crews!$A$2:$C$28, 2, 0))))) * 400</f>
        <v>0</v>
      </c>
      <c r="K406" s="1" t="s">
        <v>605</v>
      </c>
      <c r="L406" s="1" t="s">
        <v>814</v>
      </c>
      <c r="M406" s="1" t="n">
        <v>1</v>
      </c>
      <c r="N406" s="1"/>
      <c r="O406" s="1"/>
      <c r="P406" s="1"/>
      <c r="Q406" s="1"/>
      <c r="R406" s="1"/>
      <c r="S406" s="1"/>
      <c r="T406" s="1"/>
    </row>
    <row r="407" customFormat="false" ht="15" hidden="false" customHeight="true" outlineLevel="0" collapsed="false">
      <c r="A407" s="1" t="s">
        <v>848</v>
      </c>
      <c r="B407" s="1" t="n">
        <v>1859</v>
      </c>
      <c r="C407" s="1" t="n">
        <v>4</v>
      </c>
      <c r="D407" s="1" t="s">
        <v>38</v>
      </c>
      <c r="E407" s="1" t="s">
        <v>274</v>
      </c>
      <c r="F407" s="1" t="n">
        <v>135</v>
      </c>
      <c r="G407" s="1" t="n">
        <v>75</v>
      </c>
      <c r="H407" s="2" t="n">
        <f aca="false">3750000*2</f>
        <v>7500000</v>
      </c>
      <c r="I407" s="2" t="n">
        <f aca="false">(((H407 / 800) / IF(ISBLANK(R407), 1000000, IF(ISNA(VLOOKUP(R407, Mileages!$A$2:$C$34, 2, 0)), R407, VLOOKUP(R407, Mileages!$A$2:$C$34, 2, 0)))) + (F407 * IF(ISBLANK(P407), 1, P407) * IF(ISBLANK(T407), 0, IF(ISNA(VLOOKUP(T407, 'Fuel Costs'!$A$2:$C$42, 2, 0)), T407, VLOOKUP(T407, 'Fuel Costs'!$A$2:$C$42, 2, 0))) / IF(ISBLANK(O407), 1, O407))) * 100</f>
        <v>216.9375</v>
      </c>
      <c r="J407" s="2" t="n">
        <f aca="false">((H407 / 800) / (IF(ISBLANK(S407), 100, IF(ISNA(VLOOKUP(S407, Lives!$A$2:$C$35, 2, 0)), S407, VLOOKUP(S407, Lives!$A$2:$C$35, 2, 0))) * 12) + (IF(ISBLANK(Q407), 0, IF(ISNA(VLOOKUP(Q407, Wages!$A$2:$C$17, 2, 0)), Q407, VLOOKUP(Q407, Wages!$A$2:$C$17, 2, 0))) * IF(ISBLANK(N407), 0, IF(ISNA(VLOOKUP(N407, Crews!$A$2:$C$28, 2, 0)), N407, VLOOKUP(N407, Crews!$A$2:$C$28, 2, 0))))) * 400</f>
        <v>30250</v>
      </c>
      <c r="K407" s="3" t="s">
        <v>849</v>
      </c>
      <c r="L407" s="1" t="s">
        <v>850</v>
      </c>
      <c r="M407" s="1" t="n">
        <v>0</v>
      </c>
      <c r="N407" s="1" t="s">
        <v>590</v>
      </c>
      <c r="O407" s="1" t="n">
        <v>0.5</v>
      </c>
      <c r="P407" s="1"/>
      <c r="Q407" s="5" t="s">
        <v>284</v>
      </c>
      <c r="R407" s="1" t="s">
        <v>677</v>
      </c>
      <c r="S407" s="1" t="s">
        <v>677</v>
      </c>
      <c r="T407" s="1" t="s">
        <v>569</v>
      </c>
    </row>
    <row r="408" customFormat="false" ht="15" hidden="false" customHeight="true" outlineLevel="0" collapsed="false">
      <c r="A408" s="1" t="s">
        <v>851</v>
      </c>
      <c r="B408" s="1" t="n">
        <v>1859</v>
      </c>
      <c r="C408" s="1" t="n">
        <v>6</v>
      </c>
      <c r="D408" s="1" t="s">
        <v>38</v>
      </c>
      <c r="E408" s="1" t="s">
        <v>274</v>
      </c>
      <c r="F408" s="1" t="n">
        <v>89</v>
      </c>
      <c r="G408" s="1" t="n">
        <v>80</v>
      </c>
      <c r="H408" s="2" t="n">
        <f aca="false">7200000*0.75</f>
        <v>5400000</v>
      </c>
      <c r="I408" s="2" t="n">
        <f aca="false">(((H408 / 800) / IF(ISBLANK(R408), 1000000, IF(ISNA(VLOOKUP(R408, Mileages!$A$2:$C$34, 2, 0)), R408, VLOOKUP(R408, Mileages!$A$2:$C$34, 2, 0)))) + (F408 * IF(ISBLANK(P408), 1, P408) * IF(ISBLANK(T408), 0, IF(ISNA(VLOOKUP(T408, 'Fuel Costs'!$A$2:$C$42, 2, 0)), T408, VLOOKUP(T408, 'Fuel Costs'!$A$2:$C$42, 2, 0))) / IF(ISBLANK(O408), 1, O408))) * 100</f>
        <v>143.075</v>
      </c>
      <c r="J408" s="2" t="n">
        <f aca="false">((H408 / 800) / (IF(ISBLANK(S408), 100, IF(ISNA(VLOOKUP(S408, Lives!$A$2:$C$35, 2, 0)), S408, VLOOKUP(S408, Lives!$A$2:$C$35, 2, 0))) * 12) + (IF(ISBLANK(Q408), 0, IF(ISNA(VLOOKUP(Q408, Wages!$A$2:$C$17, 2, 0)), Q408, VLOOKUP(Q408, Wages!$A$2:$C$17, 2, 0))) * IF(ISBLANK(N408), 0, IF(ISNA(VLOOKUP(N408, Crews!$A$2:$C$28, 2, 0)), N408, VLOOKUP(N408, Crews!$A$2:$C$28, 2, 0))))) * 400</f>
        <v>28500</v>
      </c>
      <c r="K408" s="3" t="s">
        <v>852</v>
      </c>
      <c r="L408" s="1" t="s">
        <v>853</v>
      </c>
      <c r="M408" s="1" t="n">
        <v>0</v>
      </c>
      <c r="N408" s="1" t="s">
        <v>590</v>
      </c>
      <c r="O408" s="1" t="n">
        <v>0.5</v>
      </c>
      <c r="P408" s="1"/>
      <c r="Q408" s="5" t="s">
        <v>284</v>
      </c>
      <c r="R408" s="1" t="s">
        <v>677</v>
      </c>
      <c r="S408" s="1" t="s">
        <v>677</v>
      </c>
      <c r="T408" s="1" t="s">
        <v>569</v>
      </c>
    </row>
    <row r="409" customFormat="false" ht="15" hidden="false" customHeight="true" outlineLevel="0" collapsed="false">
      <c r="A409" s="1" t="s">
        <v>854</v>
      </c>
      <c r="B409" s="1" t="n">
        <v>1859</v>
      </c>
      <c r="C409" s="1" t="n">
        <v>10</v>
      </c>
      <c r="D409" s="1" t="s">
        <v>38</v>
      </c>
      <c r="E409" s="1"/>
      <c r="F409" s="1"/>
      <c r="G409" s="1" t="n">
        <v>145</v>
      </c>
      <c r="H409" s="2" t="n">
        <v>250000</v>
      </c>
      <c r="I409" s="2" t="n">
        <f aca="false">(((H409 / 800) / IF(ISBLANK(R409), 1000000, IF(ISNA(VLOOKUP(R409, Mileages!$A$2:$C$34, 2, 0)), R409, VLOOKUP(R409, Mileages!$A$2:$C$34, 2, 0)))) + (F409 * IF(ISBLANK(P409), 1, P409) * IF(ISBLANK(T409), 0, IF(ISNA(VLOOKUP(T409, 'Fuel Costs'!$A$2:$C$42, 2, 0)), T409, VLOOKUP(T409, 'Fuel Costs'!$A$2:$C$42, 2, 0))) / IF(ISBLANK(O409), 1, O409))) * 100</f>
        <v>0.02604166667</v>
      </c>
      <c r="J409" s="2" t="n">
        <f aca="false">((H409 / 800) / (IF(ISBLANK(S409), 100, IF(ISNA(VLOOKUP(S409, Lives!$A$2:$C$35, 2, 0)), S409, VLOOKUP(S409, Lives!$A$2:$C$35, 2, 0))) * 12) + (IF(ISBLANK(Q409), 0, IF(ISNA(VLOOKUP(Q409, Wages!$A$2:$C$17, 2, 0)), Q409, VLOOKUP(Q409, Wages!$A$2:$C$17, 2, 0))) * IF(ISBLANK(N409), 0, IF(ISNA(VLOOKUP(N409, Crews!$A$2:$C$28, 2, 0)), N409, VLOOKUP(N409, Crews!$A$2:$C$28, 2, 0))))) * 400</f>
        <v>297.6190476</v>
      </c>
      <c r="K409" s="1"/>
      <c r="L409" s="1" t="s">
        <v>855</v>
      </c>
      <c r="M409" s="1" t="n">
        <v>0</v>
      </c>
      <c r="N409" s="1"/>
      <c r="O409" s="1"/>
      <c r="P409" s="1"/>
      <c r="Q409" s="1"/>
      <c r="R409" s="1" t="s">
        <v>689</v>
      </c>
      <c r="S409" s="1" t="s">
        <v>856</v>
      </c>
      <c r="T409" s="1"/>
    </row>
    <row r="410" customFormat="false" ht="15" hidden="false" customHeight="true" outlineLevel="0" collapsed="false">
      <c r="A410" s="1" t="s">
        <v>857</v>
      </c>
      <c r="B410" s="1" t="n">
        <v>1859</v>
      </c>
      <c r="C410" s="1" t="n">
        <v>10</v>
      </c>
      <c r="D410" s="1" t="s">
        <v>38</v>
      </c>
      <c r="E410" s="1"/>
      <c r="F410" s="1"/>
      <c r="G410" s="1" t="n">
        <v>145</v>
      </c>
      <c r="H410" s="2" t="n">
        <v>290000</v>
      </c>
      <c r="I410" s="2" t="n">
        <f aca="false">(((H410 / 800) / IF(ISBLANK(R410), 1000000, IF(ISNA(VLOOKUP(R410, Mileages!$A$2:$C$34, 2, 0)), R410, VLOOKUP(R410, Mileages!$A$2:$C$34, 2, 0)))) + (F410 * IF(ISBLANK(P410), 1, P410) * IF(ISBLANK(T410), 0, IF(ISNA(VLOOKUP(T410, 'Fuel Costs'!$A$2:$C$42, 2, 0)), T410, VLOOKUP(T410, 'Fuel Costs'!$A$2:$C$42, 2, 0))) / IF(ISBLANK(O410), 1, O410))) * 100</f>
        <v>0.03020833333</v>
      </c>
      <c r="J410" s="2" t="n">
        <f aca="false">((H410 / 800) / (IF(ISBLANK(S410), 100, IF(ISNA(VLOOKUP(S410, Lives!$A$2:$C$35, 2, 0)), S410, VLOOKUP(S410, Lives!$A$2:$C$35, 2, 0))) * 12) + (IF(ISBLANK(Q410), 0, IF(ISNA(VLOOKUP(Q410, Wages!$A$2:$C$17, 2, 0)), Q410, VLOOKUP(Q410, Wages!$A$2:$C$17, 2, 0))) * IF(ISBLANK(N410), 0, IF(ISNA(VLOOKUP(N410, Crews!$A$2:$C$28, 2, 0)), N410, VLOOKUP(N410, Crews!$A$2:$C$28, 2, 0))))) * 400</f>
        <v>345.2380952</v>
      </c>
      <c r="K410" s="1"/>
      <c r="L410" s="1" t="s">
        <v>855</v>
      </c>
      <c r="M410" s="1" t="n">
        <v>1</v>
      </c>
      <c r="N410" s="1"/>
      <c r="O410" s="1"/>
      <c r="P410" s="1"/>
      <c r="Q410" s="1"/>
      <c r="R410" s="1" t="s">
        <v>689</v>
      </c>
      <c r="S410" s="1" t="s">
        <v>856</v>
      </c>
      <c r="T410" s="1"/>
    </row>
    <row r="411" customFormat="false" ht="15" hidden="false" customHeight="true" outlineLevel="0" collapsed="false">
      <c r="A411" s="1" t="s">
        <v>858</v>
      </c>
      <c r="B411" s="1" t="n">
        <v>1859</v>
      </c>
      <c r="C411" s="1" t="n">
        <v>10</v>
      </c>
      <c r="D411" s="1" t="s">
        <v>38</v>
      </c>
      <c r="E411" s="1"/>
      <c r="F411" s="1"/>
      <c r="G411" s="1" t="n">
        <v>145</v>
      </c>
      <c r="H411" s="2" t="n">
        <v>315000</v>
      </c>
      <c r="I411" s="2" t="n">
        <f aca="false">(((H411 / 800) / IF(ISBLANK(R411), 1000000, IF(ISNA(VLOOKUP(R411, Mileages!$A$2:$C$34, 2, 0)), R411, VLOOKUP(R411, Mileages!$A$2:$C$34, 2, 0)))) + (F411 * IF(ISBLANK(P411), 1, P411) * IF(ISBLANK(T411), 0, IF(ISNA(VLOOKUP(T411, 'Fuel Costs'!$A$2:$C$42, 2, 0)), T411, VLOOKUP(T411, 'Fuel Costs'!$A$2:$C$42, 2, 0))) / IF(ISBLANK(O411), 1, O411))) * 100</f>
        <v>0.0328125</v>
      </c>
      <c r="J411" s="2" t="n">
        <f aca="false">((H411 / 800) / (IF(ISBLANK(S411), 100, IF(ISNA(VLOOKUP(S411, Lives!$A$2:$C$35, 2, 0)), S411, VLOOKUP(S411, Lives!$A$2:$C$35, 2, 0))) * 12) + (IF(ISBLANK(Q411), 0, IF(ISNA(VLOOKUP(Q411, Wages!$A$2:$C$17, 2, 0)), Q411, VLOOKUP(Q411, Wages!$A$2:$C$17, 2, 0))) * IF(ISBLANK(N411), 0, IF(ISNA(VLOOKUP(N411, Crews!$A$2:$C$28, 2, 0)), N411, VLOOKUP(N411, Crews!$A$2:$C$28, 2, 0))))) * 400</f>
        <v>375</v>
      </c>
      <c r="K411" s="1"/>
      <c r="L411" s="1" t="s">
        <v>855</v>
      </c>
      <c r="M411" s="1" t="n">
        <v>2</v>
      </c>
      <c r="N411" s="1"/>
      <c r="O411" s="1"/>
      <c r="P411" s="1"/>
      <c r="Q411" s="1"/>
      <c r="R411" s="1" t="s">
        <v>689</v>
      </c>
      <c r="S411" s="1" t="s">
        <v>856</v>
      </c>
      <c r="T411" s="1"/>
    </row>
    <row r="412" customFormat="false" ht="15" hidden="false" customHeight="true" outlineLevel="0" collapsed="false">
      <c r="A412" s="1" t="s">
        <v>859</v>
      </c>
      <c r="B412" s="1" t="n">
        <v>1859</v>
      </c>
      <c r="C412" s="1" t="n">
        <v>10</v>
      </c>
      <c r="D412" s="1" t="s">
        <v>38</v>
      </c>
      <c r="E412" s="1"/>
      <c r="F412" s="1"/>
      <c r="G412" s="1" t="n">
        <v>145</v>
      </c>
      <c r="H412" s="2" t="n">
        <v>200000</v>
      </c>
      <c r="I412" s="2" t="n">
        <f aca="false">(((H412 / 800) / IF(ISBLANK(R412), 1000000, IF(ISNA(VLOOKUP(R412, Mileages!$A$2:$C$34, 2, 0)), R412, VLOOKUP(R412, Mileages!$A$2:$C$34, 2, 0)))) + (F412 * IF(ISBLANK(P412), 1, P412) * IF(ISBLANK(T412), 0, IF(ISNA(VLOOKUP(T412, 'Fuel Costs'!$A$2:$C$42, 2, 0)), T412, VLOOKUP(T412, 'Fuel Costs'!$A$2:$C$42, 2, 0))) / IF(ISBLANK(O412), 1, O412))) * 100</f>
        <v>0.02083333333</v>
      </c>
      <c r="J412" s="2" t="n">
        <f aca="false">((H412 / 800) / (IF(ISBLANK(S412), 100, IF(ISNA(VLOOKUP(S412, Lives!$A$2:$C$35, 2, 0)), S412, VLOOKUP(S412, Lives!$A$2:$C$35, 2, 0))) * 12) + (IF(ISBLANK(Q412), 0, IF(ISNA(VLOOKUP(Q412, Wages!$A$2:$C$17, 2, 0)), Q412, VLOOKUP(Q412, Wages!$A$2:$C$17, 2, 0))) * IF(ISBLANK(N412), 0, IF(ISNA(VLOOKUP(N412, Crews!$A$2:$C$28, 2, 0)), N412, VLOOKUP(N412, Crews!$A$2:$C$28, 2, 0))))) * 400</f>
        <v>238.0952381</v>
      </c>
      <c r="K412" s="1" t="s">
        <v>860</v>
      </c>
      <c r="L412" s="1" t="s">
        <v>855</v>
      </c>
      <c r="M412" s="1" t="n">
        <v>3</v>
      </c>
      <c r="N412" s="1"/>
      <c r="O412" s="1"/>
      <c r="P412" s="1"/>
      <c r="Q412" s="1"/>
      <c r="R412" s="1" t="s">
        <v>689</v>
      </c>
      <c r="S412" s="1" t="s">
        <v>856</v>
      </c>
      <c r="T412" s="1"/>
    </row>
    <row r="413" customFormat="false" ht="15" hidden="false" customHeight="true" outlineLevel="0" collapsed="false">
      <c r="A413" s="1" t="s">
        <v>861</v>
      </c>
      <c r="B413" s="1" t="n">
        <v>1859</v>
      </c>
      <c r="C413" s="1" t="n">
        <v>10</v>
      </c>
      <c r="D413" s="1" t="s">
        <v>38</v>
      </c>
      <c r="E413" s="1"/>
      <c r="F413" s="1"/>
      <c r="G413" s="1" t="n">
        <v>145</v>
      </c>
      <c r="H413" s="2" t="n">
        <v>200000</v>
      </c>
      <c r="I413" s="2" t="n">
        <f aca="false">(((H413 / 800) / IF(ISBLANK(R413), 1000000, IF(ISNA(VLOOKUP(R413, Mileages!$A$2:$C$34, 2, 0)), R413, VLOOKUP(R413, Mileages!$A$2:$C$34, 2, 0)))) + (F413 * IF(ISBLANK(P413), 1, P413) * IF(ISBLANK(T413), 0, IF(ISNA(VLOOKUP(T413, 'Fuel Costs'!$A$2:$C$42, 2, 0)), T413, VLOOKUP(T413, 'Fuel Costs'!$A$2:$C$42, 2, 0))) / IF(ISBLANK(O413), 1, O413))) * 100</f>
        <v>0.02083333333</v>
      </c>
      <c r="J413" s="2" t="n">
        <f aca="false">((H413 / 800) / (IF(ISBLANK(S413), 100, IF(ISNA(VLOOKUP(S413, Lives!$A$2:$C$35, 2, 0)), S413, VLOOKUP(S413, Lives!$A$2:$C$35, 2, 0))) * 12) + (IF(ISBLANK(Q413), 0, IF(ISNA(VLOOKUP(Q413, Wages!$A$2:$C$17, 2, 0)), Q413, VLOOKUP(Q413, Wages!$A$2:$C$17, 2, 0))) * IF(ISBLANK(N413), 0, IF(ISNA(VLOOKUP(N413, Crews!$A$2:$C$28, 2, 0)), N413, VLOOKUP(N413, Crews!$A$2:$C$28, 2, 0))))) * 400</f>
        <v>5038.095238</v>
      </c>
      <c r="K413" s="1"/>
      <c r="L413" s="1" t="s">
        <v>855</v>
      </c>
      <c r="M413" s="1" t="n">
        <v>4</v>
      </c>
      <c r="N413" s="1" t="s">
        <v>25</v>
      </c>
      <c r="O413" s="1"/>
      <c r="P413" s="1"/>
      <c r="Q413" s="1" t="s">
        <v>378</v>
      </c>
      <c r="R413" s="1" t="s">
        <v>689</v>
      </c>
      <c r="S413" s="1" t="s">
        <v>856</v>
      </c>
      <c r="T413" s="1"/>
    </row>
    <row r="414" customFormat="false" ht="15" hidden="false" customHeight="true" outlineLevel="0" collapsed="false">
      <c r="A414" s="1" t="s">
        <v>862</v>
      </c>
      <c r="B414" s="1" t="n">
        <v>1859</v>
      </c>
      <c r="C414" s="1" t="n">
        <v>10</v>
      </c>
      <c r="D414" s="1" t="s">
        <v>38</v>
      </c>
      <c r="E414" s="1"/>
      <c r="F414" s="1"/>
      <c r="G414" s="1" t="n">
        <v>145</v>
      </c>
      <c r="H414" s="2" t="n">
        <v>200000</v>
      </c>
      <c r="I414" s="2" t="n">
        <f aca="false">(((H414 / 800) / IF(ISBLANK(R414), 1000000, IF(ISNA(VLOOKUP(R414, Mileages!$A$2:$C$34, 2, 0)), R414, VLOOKUP(R414, Mileages!$A$2:$C$34, 2, 0)))) + (F414 * IF(ISBLANK(P414), 1, P414) * IF(ISBLANK(T414), 0, IF(ISNA(VLOOKUP(T414, 'Fuel Costs'!$A$2:$C$42, 2, 0)), T414, VLOOKUP(T414, 'Fuel Costs'!$A$2:$C$42, 2, 0))) / IF(ISBLANK(O414), 1, O414))) * 100</f>
        <v>0.02083333333</v>
      </c>
      <c r="J414" s="2" t="n">
        <f aca="false">((H414 / 800) / (IF(ISBLANK(S414), 100, IF(ISNA(VLOOKUP(S414, Lives!$A$2:$C$35, 2, 0)), S414, VLOOKUP(S414, Lives!$A$2:$C$35, 2, 0))) * 12) + (IF(ISBLANK(Q414), 0, IF(ISNA(VLOOKUP(Q414, Wages!$A$2:$C$17, 2, 0)), Q414, VLOOKUP(Q414, Wages!$A$2:$C$17, 2, 0))) * IF(ISBLANK(N414), 0, IF(ISNA(VLOOKUP(N414, Crews!$A$2:$C$28, 2, 0)), N414, VLOOKUP(N414, Crews!$A$2:$C$28, 2, 0))))) * 400</f>
        <v>5038.095238</v>
      </c>
      <c r="K414" s="1"/>
      <c r="L414" s="1" t="s">
        <v>855</v>
      </c>
      <c r="M414" s="1" t="n">
        <v>5</v>
      </c>
      <c r="N414" s="1" t="s">
        <v>25</v>
      </c>
      <c r="O414" s="1"/>
      <c r="P414" s="1"/>
      <c r="Q414" s="1" t="s">
        <v>378</v>
      </c>
      <c r="R414" s="1" t="s">
        <v>689</v>
      </c>
      <c r="S414" s="1" t="s">
        <v>856</v>
      </c>
      <c r="T414" s="1"/>
    </row>
    <row r="415" customFormat="false" ht="15" hidden="false" customHeight="true" outlineLevel="0" collapsed="false">
      <c r="A415" s="1" t="s">
        <v>863</v>
      </c>
      <c r="B415" s="1" t="n">
        <v>1859</v>
      </c>
      <c r="C415" s="1" t="n">
        <v>10</v>
      </c>
      <c r="D415" s="1" t="s">
        <v>38</v>
      </c>
      <c r="E415" s="1"/>
      <c r="F415" s="1"/>
      <c r="G415" s="1" t="n">
        <v>145</v>
      </c>
      <c r="H415" s="2" t="n">
        <v>200000</v>
      </c>
      <c r="I415" s="2" t="n">
        <f aca="false">(((H415 / 800) / IF(ISBLANK(R415), 1000000, IF(ISNA(VLOOKUP(R415, Mileages!$A$2:$C$34, 2, 0)), R415, VLOOKUP(R415, Mileages!$A$2:$C$34, 2, 0)))) + (F415 * IF(ISBLANK(P415), 1, P415) * IF(ISBLANK(T415), 0, IF(ISNA(VLOOKUP(T415, 'Fuel Costs'!$A$2:$C$42, 2, 0)), T415, VLOOKUP(T415, 'Fuel Costs'!$A$2:$C$42, 2, 0))) / IF(ISBLANK(O415), 1, O415))) * 100</f>
        <v>0.02083333333</v>
      </c>
      <c r="J415" s="2" t="n">
        <f aca="false">((H415 / 800) / (IF(ISBLANK(S415), 100, IF(ISNA(VLOOKUP(S415, Lives!$A$2:$C$35, 2, 0)), S415, VLOOKUP(S415, Lives!$A$2:$C$35, 2, 0))) * 12) + (IF(ISBLANK(Q415), 0, IF(ISNA(VLOOKUP(Q415, Wages!$A$2:$C$17, 2, 0)), Q415, VLOOKUP(Q415, Wages!$A$2:$C$17, 2, 0))) * IF(ISBLANK(N415), 0, IF(ISNA(VLOOKUP(N415, Crews!$A$2:$C$28, 2, 0)), N415, VLOOKUP(N415, Crews!$A$2:$C$28, 2, 0))))) * 400</f>
        <v>238.0952381</v>
      </c>
      <c r="K415" s="1"/>
      <c r="L415" s="1" t="s">
        <v>855</v>
      </c>
      <c r="M415" s="1" t="n">
        <v>6</v>
      </c>
      <c r="N415" s="1"/>
      <c r="O415" s="1"/>
      <c r="P415" s="1"/>
      <c r="Q415" s="1"/>
      <c r="R415" s="1" t="s">
        <v>689</v>
      </c>
      <c r="S415" s="1" t="s">
        <v>856</v>
      </c>
      <c r="T415" s="1"/>
    </row>
    <row r="416" customFormat="false" ht="15" hidden="false" customHeight="true" outlineLevel="0" collapsed="false">
      <c r="A416" s="1" t="s">
        <v>864</v>
      </c>
      <c r="B416" s="1" t="n">
        <v>1859</v>
      </c>
      <c r="C416" s="1" t="n">
        <v>10</v>
      </c>
      <c r="D416" s="1" t="s">
        <v>38</v>
      </c>
      <c r="E416" s="1"/>
      <c r="F416" s="1"/>
      <c r="G416" s="1" t="n">
        <v>145</v>
      </c>
      <c r="H416" s="2" t="n">
        <v>200000</v>
      </c>
      <c r="I416" s="2" t="n">
        <f aca="false">(((H416 / 800) / IF(ISBLANK(R416), 1000000, IF(ISNA(VLOOKUP(R416, Mileages!$A$2:$C$34, 2, 0)), R416, VLOOKUP(R416, Mileages!$A$2:$C$34, 2, 0)))) + (F416 * IF(ISBLANK(P416), 1, P416) * IF(ISBLANK(T416), 0, IF(ISNA(VLOOKUP(T416, 'Fuel Costs'!$A$2:$C$42, 2, 0)), T416, VLOOKUP(T416, 'Fuel Costs'!$A$2:$C$42, 2, 0))) / IF(ISBLANK(O416), 1, O416))) * 100</f>
        <v>0.02083333333</v>
      </c>
      <c r="J416" s="2" t="n">
        <f aca="false">((H416 / 800) / (IF(ISBLANK(S416), 100, IF(ISNA(VLOOKUP(S416, Lives!$A$2:$C$35, 2, 0)), S416, VLOOKUP(S416, Lives!$A$2:$C$35, 2, 0))) * 12) + (IF(ISBLANK(Q416), 0, IF(ISNA(VLOOKUP(Q416, Wages!$A$2:$C$17, 2, 0)), Q416, VLOOKUP(Q416, Wages!$A$2:$C$17, 2, 0))) * IF(ISBLANK(N416), 0, IF(ISNA(VLOOKUP(N416, Crews!$A$2:$C$28, 2, 0)), N416, VLOOKUP(N416, Crews!$A$2:$C$28, 2, 0))))) * 400</f>
        <v>83.33333333</v>
      </c>
      <c r="K416" s="1"/>
      <c r="L416" s="1" t="s">
        <v>855</v>
      </c>
      <c r="M416" s="1" t="n">
        <v>7</v>
      </c>
      <c r="N416" s="1"/>
      <c r="O416" s="1"/>
      <c r="P416" s="1"/>
      <c r="Q416" s="1"/>
      <c r="R416" s="1" t="s">
        <v>689</v>
      </c>
      <c r="S416" s="5" t="s">
        <v>389</v>
      </c>
      <c r="T416" s="1"/>
    </row>
    <row r="417" customFormat="false" ht="15" hidden="false" customHeight="true" outlineLevel="0" collapsed="false">
      <c r="A417" s="1" t="s">
        <v>865</v>
      </c>
      <c r="B417" s="1" t="n">
        <v>1859</v>
      </c>
      <c r="C417" s="1" t="n">
        <v>10</v>
      </c>
      <c r="D417" s="1" t="s">
        <v>38</v>
      </c>
      <c r="E417" s="1"/>
      <c r="F417" s="1"/>
      <c r="G417" s="1" t="n">
        <v>145</v>
      </c>
      <c r="H417" s="2" t="n">
        <v>200000</v>
      </c>
      <c r="I417" s="2" t="n">
        <f aca="false">(((H417 / 800) / IF(ISBLANK(R417), 1000000, IF(ISNA(VLOOKUP(R417, Mileages!$A$2:$C$34, 2, 0)), R417, VLOOKUP(R417, Mileages!$A$2:$C$34, 2, 0)))) + (F417 * IF(ISBLANK(P417), 1, P417) * IF(ISBLANK(T417), 0, IF(ISNA(VLOOKUP(T417, 'Fuel Costs'!$A$2:$C$42, 2, 0)), T417, VLOOKUP(T417, 'Fuel Costs'!$A$2:$C$42, 2, 0))) / IF(ISBLANK(O417), 1, O417))) * 100</f>
        <v>0.02083333333</v>
      </c>
      <c r="J417" s="2" t="n">
        <f aca="false">((H417 / 800) / (IF(ISBLANK(S417), 100, IF(ISNA(VLOOKUP(S417, Lives!$A$2:$C$35, 2, 0)), S417, VLOOKUP(S417, Lives!$A$2:$C$35, 2, 0))) * 12) + (IF(ISBLANK(Q417), 0, IF(ISNA(VLOOKUP(Q417, Wages!$A$2:$C$17, 2, 0)), Q417, VLOOKUP(Q417, Wages!$A$2:$C$17, 2, 0))) * IF(ISBLANK(N417), 0, IF(ISNA(VLOOKUP(N417, Crews!$A$2:$C$28, 2, 0)), N417, VLOOKUP(N417, Crews!$A$2:$C$28, 2, 0))))) * 400</f>
        <v>24083.33333</v>
      </c>
      <c r="K417" s="1"/>
      <c r="L417" s="1" t="s">
        <v>855</v>
      </c>
      <c r="M417" s="1" t="n">
        <v>8</v>
      </c>
      <c r="N417" s="1" t="s">
        <v>551</v>
      </c>
      <c r="O417" s="1"/>
      <c r="P417" s="1"/>
      <c r="Q417" s="1" t="s">
        <v>551</v>
      </c>
      <c r="R417" s="1" t="s">
        <v>689</v>
      </c>
      <c r="S417" s="1" t="s">
        <v>389</v>
      </c>
      <c r="T417" s="1"/>
    </row>
    <row r="418" customFormat="false" ht="15" hidden="false" customHeight="true" outlineLevel="0" collapsed="false">
      <c r="A418" s="1" t="s">
        <v>866</v>
      </c>
      <c r="B418" s="1" t="n">
        <v>1859</v>
      </c>
      <c r="C418" s="1" t="n">
        <v>10</v>
      </c>
      <c r="D418" s="1" t="s">
        <v>38</v>
      </c>
      <c r="E418" s="1"/>
      <c r="F418" s="1"/>
      <c r="G418" s="1" t="n">
        <v>145</v>
      </c>
      <c r="H418" s="2" t="n">
        <v>170000</v>
      </c>
      <c r="I418" s="2" t="n">
        <f aca="false">(((H418 / 800) / IF(ISBLANK(R418), 1000000, IF(ISNA(VLOOKUP(R418, Mileages!$A$2:$C$34, 2, 0)), R418, VLOOKUP(R418, Mileages!$A$2:$C$34, 2, 0)))) + (F418 * IF(ISBLANK(P418), 1, P418) * IF(ISBLANK(T418), 0, IF(ISNA(VLOOKUP(T418, 'Fuel Costs'!$A$2:$C$42, 2, 0)), T418, VLOOKUP(T418, 'Fuel Costs'!$A$2:$C$42, 2, 0))) / IF(ISBLANK(O418), 1, O418))) * 100</f>
        <v>0.01770833333</v>
      </c>
      <c r="J418" s="2" t="n">
        <f aca="false">((H418 / 800) / (IF(ISBLANK(S418), 100, IF(ISNA(VLOOKUP(S418, Lives!$A$2:$C$35, 2, 0)), S418, VLOOKUP(S418, Lives!$A$2:$C$35, 2, 0))) * 12) + (IF(ISBLANK(Q418), 0, IF(ISNA(VLOOKUP(Q418, Wages!$A$2:$C$17, 2, 0)), Q418, VLOOKUP(Q418, Wages!$A$2:$C$17, 2, 0))) * IF(ISBLANK(N418), 0, IF(ISNA(VLOOKUP(N418, Crews!$A$2:$C$28, 2, 0)), N418, VLOOKUP(N418, Crews!$A$2:$C$28, 2, 0))))) * 400</f>
        <v>70.83333333</v>
      </c>
      <c r="K418" s="1"/>
      <c r="L418" s="1" t="s">
        <v>855</v>
      </c>
      <c r="M418" s="1" t="n">
        <v>9</v>
      </c>
      <c r="N418" s="1"/>
      <c r="O418" s="1"/>
      <c r="P418" s="1"/>
      <c r="Q418" s="1"/>
      <c r="R418" s="1" t="s">
        <v>689</v>
      </c>
      <c r="S418" s="5" t="s">
        <v>389</v>
      </c>
      <c r="T418" s="1"/>
    </row>
    <row r="419" customFormat="false" ht="15" hidden="false" customHeight="true" outlineLevel="0" collapsed="false">
      <c r="A419" s="1" t="s">
        <v>867</v>
      </c>
      <c r="B419" s="1" t="n">
        <v>1859</v>
      </c>
      <c r="C419" s="1" t="n">
        <v>10</v>
      </c>
      <c r="D419" s="1" t="s">
        <v>38</v>
      </c>
      <c r="E419" s="1"/>
      <c r="F419" s="1"/>
      <c r="G419" s="1" t="n">
        <v>145</v>
      </c>
      <c r="H419" s="2" t="n">
        <v>170000</v>
      </c>
      <c r="I419" s="2" t="n">
        <f aca="false">(((H419 / 800) / IF(ISBLANK(R419), 1000000, IF(ISNA(VLOOKUP(R419, Mileages!$A$2:$C$34, 2, 0)), R419, VLOOKUP(R419, Mileages!$A$2:$C$34, 2, 0)))) + (F419 * IF(ISBLANK(P419), 1, P419) * IF(ISBLANK(T419), 0, IF(ISNA(VLOOKUP(T419, 'Fuel Costs'!$A$2:$C$42, 2, 0)), T419, VLOOKUP(T419, 'Fuel Costs'!$A$2:$C$42, 2, 0))) / IF(ISBLANK(O419), 1, O419))) * 100</f>
        <v>0.01770833333</v>
      </c>
      <c r="J419" s="2" t="n">
        <f aca="false">((H419 / 800) / (IF(ISBLANK(S419), 100, IF(ISNA(VLOOKUP(S419, Lives!$A$2:$C$35, 2, 0)), S419, VLOOKUP(S419, Lives!$A$2:$C$35, 2, 0))) * 12) + (IF(ISBLANK(Q419), 0, IF(ISNA(VLOOKUP(Q419, Wages!$A$2:$C$17, 2, 0)), Q419, VLOOKUP(Q419, Wages!$A$2:$C$17, 2, 0))) * IF(ISBLANK(N419), 0, IF(ISNA(VLOOKUP(N419, Crews!$A$2:$C$28, 2, 0)), N419, VLOOKUP(N419, Crews!$A$2:$C$28, 2, 0))))) * 400</f>
        <v>70.83333333</v>
      </c>
      <c r="K419" s="1"/>
      <c r="L419" s="1" t="s">
        <v>855</v>
      </c>
      <c r="M419" s="1" t="n">
        <v>10</v>
      </c>
      <c r="N419" s="1"/>
      <c r="O419" s="1"/>
      <c r="P419" s="1"/>
      <c r="Q419" s="1"/>
      <c r="R419" s="1" t="s">
        <v>689</v>
      </c>
      <c r="S419" s="5" t="s">
        <v>389</v>
      </c>
      <c r="T419" s="1"/>
    </row>
    <row r="420" customFormat="false" ht="15" hidden="false" customHeight="true" outlineLevel="0" collapsed="false">
      <c r="A420" s="1" t="s">
        <v>868</v>
      </c>
      <c r="B420" s="1" t="n">
        <v>1859</v>
      </c>
      <c r="C420" s="1" t="n">
        <v>11</v>
      </c>
      <c r="D420" s="1" t="s">
        <v>38</v>
      </c>
      <c r="E420" s="1" t="s">
        <v>274</v>
      </c>
      <c r="F420" s="1"/>
      <c r="G420" s="1" t="n">
        <v>117</v>
      </c>
      <c r="H420" s="2" t="n">
        <v>0</v>
      </c>
      <c r="I420" s="2" t="n">
        <f aca="false">(((H420 / 800) / IF(ISBLANK(R420), 1000000, IF(ISNA(VLOOKUP(R420, Mileages!$A$2:$C$34, 2, 0)), R420, VLOOKUP(R420, Mileages!$A$2:$C$34, 2, 0)))) + (F420 * IF(ISBLANK(P420), 1, P420) * IF(ISBLANK(T420), 0, IF(ISNA(VLOOKUP(T420, 'Fuel Costs'!$A$2:$C$42, 2, 0)), T420, VLOOKUP(T420, 'Fuel Costs'!$A$2:$C$42, 2, 0))) / IF(ISBLANK(O420), 1, O420))) * 100</f>
        <v>0</v>
      </c>
      <c r="J420" s="2" t="n">
        <f aca="false">((H420 / 800) / (IF(ISBLANK(S420), 100, IF(ISNA(VLOOKUP(S420, Lives!$A$2:$C$35, 2, 0)), S420, VLOOKUP(S420, Lives!$A$2:$C$35, 2, 0))) * 12) + (IF(ISBLANK(Q420), 0, IF(ISNA(VLOOKUP(Q420, Wages!$A$2:$C$17, 2, 0)), Q420, VLOOKUP(Q420, Wages!$A$2:$C$17, 2, 0))) * IF(ISBLANK(N420), 0, IF(ISNA(VLOOKUP(N420, Crews!$A$2:$C$28, 2, 0)), N420, VLOOKUP(N420, Crews!$A$2:$C$28, 2, 0))))) * 400</f>
        <v>0</v>
      </c>
      <c r="K420" s="1" t="s">
        <v>605</v>
      </c>
      <c r="L420" s="1" t="s">
        <v>869</v>
      </c>
      <c r="M420" s="1" t="n">
        <v>0</v>
      </c>
      <c r="N420" s="1"/>
      <c r="O420" s="1"/>
      <c r="P420" s="1"/>
      <c r="Q420" s="1"/>
      <c r="R420" s="1"/>
      <c r="S420" s="1"/>
      <c r="T420" s="1"/>
    </row>
    <row r="421" customFormat="false" ht="15" hidden="false" customHeight="true" outlineLevel="0" collapsed="false">
      <c r="A421" s="1" t="s">
        <v>870</v>
      </c>
      <c r="B421" s="1" t="n">
        <v>1859</v>
      </c>
      <c r="C421" s="1" t="n">
        <v>11</v>
      </c>
      <c r="D421" s="1" t="s">
        <v>38</v>
      </c>
      <c r="E421" s="1" t="s">
        <v>274</v>
      </c>
      <c r="F421" s="1" t="n">
        <v>173</v>
      </c>
      <c r="G421" s="1" t="n">
        <v>117</v>
      </c>
      <c r="H421" s="2" t="n">
        <f aca="false">7603200*2</f>
        <v>15206400</v>
      </c>
      <c r="I421" s="2" t="n">
        <f aca="false">(((H421 / 800) / IF(ISBLANK(R421), 1000000, IF(ISNA(VLOOKUP(R421, Mileages!$A$2:$C$34, 2, 0)), R421, VLOOKUP(R421, Mileages!$A$2:$C$34, 2, 0)))) + (F421 * IF(ISBLANK(P421), 1, P421) * IF(ISBLANK(T421), 0, IF(ISNA(VLOOKUP(T421, 'Fuel Costs'!$A$2:$C$42, 2, 0)), T421, VLOOKUP(T421, 'Fuel Costs'!$A$2:$C$42, 2, 0))) / IF(ISBLANK(O421), 1, O421))) * 100</f>
        <v>278.7008</v>
      </c>
      <c r="J421" s="2" t="n">
        <f aca="false">((H421 / 800) / (IF(ISBLANK(S421), 100, IF(ISNA(VLOOKUP(S421, Lives!$A$2:$C$35, 2, 0)), S421, VLOOKUP(S421, Lives!$A$2:$C$35, 2, 0))) * 12) + (IF(ISBLANK(Q421), 0, IF(ISNA(VLOOKUP(Q421, Wages!$A$2:$C$17, 2, 0)), Q421, VLOOKUP(Q421, Wages!$A$2:$C$17, 2, 0))) * IF(ISBLANK(N421), 0, IF(ISNA(VLOOKUP(N421, Crews!$A$2:$C$28, 2, 0)), N421, VLOOKUP(N421, Crews!$A$2:$C$28, 2, 0))))) * 400</f>
        <v>36672</v>
      </c>
      <c r="K421" s="3" t="s">
        <v>871</v>
      </c>
      <c r="L421" s="1" t="s">
        <v>872</v>
      </c>
      <c r="M421" s="1" t="n">
        <v>0</v>
      </c>
      <c r="N421" s="1" t="s">
        <v>590</v>
      </c>
      <c r="O421" s="1" t="n">
        <v>0.5</v>
      </c>
      <c r="P421" s="1"/>
      <c r="Q421" s="5" t="s">
        <v>284</v>
      </c>
      <c r="R421" s="1" t="s">
        <v>677</v>
      </c>
      <c r="S421" s="1" t="s">
        <v>677</v>
      </c>
      <c r="T421" s="1" t="s">
        <v>569</v>
      </c>
    </row>
    <row r="422" customFormat="false" ht="15" hidden="false" customHeight="true" outlineLevel="0" collapsed="false">
      <c r="A422" s="1" t="s">
        <v>873</v>
      </c>
      <c r="B422" s="1" t="n">
        <v>1860</v>
      </c>
      <c r="C422" s="1" t="n">
        <v>1</v>
      </c>
      <c r="D422" s="1" t="s">
        <v>38</v>
      </c>
      <c r="E422" s="1" t="s">
        <v>274</v>
      </c>
      <c r="F422" s="1"/>
      <c r="G422" s="1" t="n">
        <v>130</v>
      </c>
      <c r="H422" s="2" t="n">
        <v>0</v>
      </c>
      <c r="I422" s="2" t="n">
        <f aca="false">(((H422 / 800) / IF(ISBLANK(R422), 1000000, IF(ISNA(VLOOKUP(R422, Mileages!$A$2:$C$34, 2, 0)), R422, VLOOKUP(R422, Mileages!$A$2:$C$34, 2, 0)))) + (F422 * IF(ISBLANK(P422), 1, P422) * IF(ISBLANK(T422), 0, IF(ISNA(VLOOKUP(T422, 'Fuel Costs'!$A$2:$C$42, 2, 0)), T422, VLOOKUP(T422, 'Fuel Costs'!$A$2:$C$42, 2, 0))) / IF(ISBLANK(O422), 1, O422))) * 100</f>
        <v>0</v>
      </c>
      <c r="J422" s="2" t="n">
        <f aca="false">((H422 / 800) / (IF(ISBLANK(S422), 100, IF(ISNA(VLOOKUP(S422, Lives!$A$2:$C$35, 2, 0)), S422, VLOOKUP(S422, Lives!$A$2:$C$35, 2, 0))) * 12) + (IF(ISBLANK(Q422), 0, IF(ISNA(VLOOKUP(Q422, Wages!$A$2:$C$17, 2, 0)), Q422, VLOOKUP(Q422, Wages!$A$2:$C$17, 2, 0))) * IF(ISBLANK(N422), 0, IF(ISNA(VLOOKUP(N422, Crews!$A$2:$C$28, 2, 0)), N422, VLOOKUP(N422, Crews!$A$2:$C$28, 2, 0))))) * 400</f>
        <v>0</v>
      </c>
      <c r="K422" s="1" t="s">
        <v>605</v>
      </c>
      <c r="L422" s="1" t="s">
        <v>874</v>
      </c>
      <c r="M422" s="1" t="n">
        <v>0</v>
      </c>
      <c r="N422" s="1"/>
      <c r="O422" s="1"/>
      <c r="P422" s="1"/>
      <c r="Q422" s="1"/>
      <c r="R422" s="1"/>
      <c r="S422" s="1"/>
      <c r="T422" s="1"/>
    </row>
    <row r="423" customFormat="false" ht="15" hidden="false" customHeight="true" outlineLevel="0" collapsed="false">
      <c r="A423" s="1" t="s">
        <v>875</v>
      </c>
      <c r="B423" s="1" t="n">
        <v>1860</v>
      </c>
      <c r="C423" s="1" t="n">
        <v>1</v>
      </c>
      <c r="D423" s="1" t="s">
        <v>876</v>
      </c>
      <c r="E423" s="1" t="s">
        <v>22</v>
      </c>
      <c r="F423" s="1" t="n">
        <v>1</v>
      </c>
      <c r="G423" s="1" t="n">
        <v>10</v>
      </c>
      <c r="H423" s="2" t="n">
        <v>45000</v>
      </c>
      <c r="I423" s="2" t="n">
        <f aca="false">(((H423 / 800) / IF(ISBLANK(R423), 1000000, IF(ISNA(VLOOKUP(R423, Mileages!$A$2:$C$34, 2, 0)), R423, VLOOKUP(R423, Mileages!$A$2:$C$34, 2, 0)))) + (F423 * IF(ISBLANK(P423), 1, P423) * IF(ISBLANK(T423), 0, IF(ISNA(VLOOKUP(T423, 'Fuel Costs'!$A$2:$C$42, 2, 0)), T423, VLOOKUP(T423, 'Fuel Costs'!$A$2:$C$42, 2, 0))) / IF(ISBLANK(O423), 1, O423))) * 100</f>
        <v>2.500000006</v>
      </c>
      <c r="J423" s="2" t="n">
        <f aca="false">((H423 / 800) / (IF(ISBLANK(S423), 100, IF(ISNA(VLOOKUP(S423, Lives!$A$2:$C$35, 2, 0)), S423, VLOOKUP(S423, Lives!$A$2:$C$35, 2, 0))) * 12) + (IF(ISBLANK(Q423), 0, IF(ISNA(VLOOKUP(Q423, Wages!$A$2:$C$17, 2, 0)), Q423, VLOOKUP(Q423, Wages!$A$2:$C$17, 2, 0))) * IF(ISBLANK(N423), 0, IF(ISNA(VLOOKUP(N423, Crews!$A$2:$C$28, 2, 0)), N423, VLOOKUP(N423, Crews!$A$2:$C$28, 2, 0))))) * 400</f>
        <v>93.75</v>
      </c>
      <c r="K423" s="1" t="s">
        <v>151</v>
      </c>
      <c r="L423" s="1" t="s">
        <v>877</v>
      </c>
      <c r="M423" s="1" t="n">
        <v>0</v>
      </c>
      <c r="N423" s="1"/>
      <c r="O423" s="1"/>
      <c r="P423" s="1"/>
      <c r="Q423" s="1"/>
      <c r="R423" s="5" t="s">
        <v>87</v>
      </c>
      <c r="S423" s="5" t="s">
        <v>87</v>
      </c>
      <c r="T423" s="5" t="s">
        <v>87</v>
      </c>
    </row>
    <row r="424" customFormat="false" ht="15" hidden="false" customHeight="true" outlineLevel="0" collapsed="false">
      <c r="A424" s="1" t="s">
        <v>878</v>
      </c>
      <c r="B424" s="1" t="n">
        <v>1860</v>
      </c>
      <c r="C424" s="1" t="n">
        <v>1</v>
      </c>
      <c r="D424" s="1" t="s">
        <v>876</v>
      </c>
      <c r="E424" s="1" t="s">
        <v>22</v>
      </c>
      <c r="F424" s="1" t="n">
        <v>2</v>
      </c>
      <c r="G424" s="1" t="n">
        <v>10</v>
      </c>
      <c r="H424" s="2" t="n">
        <v>90000</v>
      </c>
      <c r="I424" s="2" t="n">
        <f aca="false">(((H424 / 800) / IF(ISBLANK(R424), 1000000, IF(ISNA(VLOOKUP(R424, Mileages!$A$2:$C$34, 2, 0)), R424, VLOOKUP(R424, Mileages!$A$2:$C$34, 2, 0)))) + (F424 * IF(ISBLANK(P424), 1, P424) * IF(ISBLANK(T424), 0, IF(ISNA(VLOOKUP(T424, 'Fuel Costs'!$A$2:$C$42, 2, 0)), T424, VLOOKUP(T424, 'Fuel Costs'!$A$2:$C$42, 2, 0))) / IF(ISBLANK(O424), 1, O424))) * 100</f>
        <v>5.000000011</v>
      </c>
      <c r="J424" s="2" t="n">
        <f aca="false">((H424 / 800) / (IF(ISBLANK(S424), 100, IF(ISNA(VLOOKUP(S424, Lives!$A$2:$C$35, 2, 0)), S424, VLOOKUP(S424, Lives!$A$2:$C$35, 2, 0))) * 12) + (IF(ISBLANK(Q424), 0, IF(ISNA(VLOOKUP(Q424, Wages!$A$2:$C$17, 2, 0)), Q424, VLOOKUP(Q424, Wages!$A$2:$C$17, 2, 0))) * IF(ISBLANK(N424), 0, IF(ISNA(VLOOKUP(N424, Crews!$A$2:$C$28, 2, 0)), N424, VLOOKUP(N424, Crews!$A$2:$C$28, 2, 0))))) * 400</f>
        <v>187.5</v>
      </c>
      <c r="K424" s="3" t="s">
        <v>879</v>
      </c>
      <c r="L424" s="1" t="s">
        <v>877</v>
      </c>
      <c r="M424" s="1" t="n">
        <v>1</v>
      </c>
      <c r="N424" s="1"/>
      <c r="O424" s="1"/>
      <c r="P424" s="1"/>
      <c r="Q424" s="1"/>
      <c r="R424" s="5" t="s">
        <v>87</v>
      </c>
      <c r="S424" s="5" t="s">
        <v>87</v>
      </c>
      <c r="T424" s="5" t="s">
        <v>87</v>
      </c>
    </row>
    <row r="425" customFormat="false" ht="15" hidden="false" customHeight="true" outlineLevel="0" collapsed="false">
      <c r="A425" s="1" t="s">
        <v>880</v>
      </c>
      <c r="B425" s="1" t="n">
        <v>1860</v>
      </c>
      <c r="C425" s="1" t="n">
        <v>1</v>
      </c>
      <c r="D425" s="1" t="s">
        <v>876</v>
      </c>
      <c r="E425" s="1" t="s">
        <v>22</v>
      </c>
      <c r="F425" s="1" t="n">
        <v>1</v>
      </c>
      <c r="G425" s="1" t="n">
        <v>10</v>
      </c>
      <c r="H425" s="2" t="n">
        <v>80000</v>
      </c>
      <c r="I425" s="2" t="n">
        <f aca="false">(((H425 / 800) / IF(ISBLANK(R425), 1000000, IF(ISNA(VLOOKUP(R425, Mileages!$A$2:$C$34, 2, 0)), R425, VLOOKUP(R425, Mileages!$A$2:$C$34, 2, 0)))) + (F425 * IF(ISBLANK(P425), 1, P425) * IF(ISBLANK(T425), 0, IF(ISNA(VLOOKUP(T425, 'Fuel Costs'!$A$2:$C$42, 2, 0)), T425, VLOOKUP(T425, 'Fuel Costs'!$A$2:$C$42, 2, 0))) / IF(ISBLANK(O425), 1, O425))) * 100</f>
        <v>2.50000001</v>
      </c>
      <c r="J425" s="2" t="n">
        <f aca="false">((H425 / 800) / (IF(ISBLANK(S425), 100, IF(ISNA(VLOOKUP(S425, Lives!$A$2:$C$35, 2, 0)), S425, VLOOKUP(S425, Lives!$A$2:$C$35, 2, 0))) * 12) + (IF(ISBLANK(Q425), 0, IF(ISNA(VLOOKUP(Q425, Wages!$A$2:$C$17, 2, 0)), Q425, VLOOKUP(Q425, Wages!$A$2:$C$17, 2, 0))) * IF(ISBLANK(N425), 0, IF(ISNA(VLOOKUP(N425, Crews!$A$2:$C$28, 2, 0)), N425, VLOOKUP(N425, Crews!$A$2:$C$28, 2, 0))))) * 400</f>
        <v>166.6666667</v>
      </c>
      <c r="K425" s="3" t="s">
        <v>191</v>
      </c>
      <c r="L425" s="1" t="s">
        <v>881</v>
      </c>
      <c r="M425" s="1" t="n">
        <v>0</v>
      </c>
      <c r="N425" s="1"/>
      <c r="O425" s="1"/>
      <c r="P425" s="1"/>
      <c r="Q425" s="1"/>
      <c r="R425" s="5" t="s">
        <v>87</v>
      </c>
      <c r="S425" s="5" t="s">
        <v>87</v>
      </c>
      <c r="T425" s="5" t="s">
        <v>87</v>
      </c>
    </row>
    <row r="426" customFormat="false" ht="15" hidden="false" customHeight="true" outlineLevel="0" collapsed="false">
      <c r="A426" s="1" t="s">
        <v>882</v>
      </c>
      <c r="B426" s="1" t="n">
        <v>1860</v>
      </c>
      <c r="C426" s="1" t="n">
        <v>1</v>
      </c>
      <c r="D426" s="1" t="s">
        <v>876</v>
      </c>
      <c r="E426" s="1" t="s">
        <v>22</v>
      </c>
      <c r="F426" s="1" t="n">
        <v>2</v>
      </c>
      <c r="G426" s="1" t="n">
        <v>10</v>
      </c>
      <c r="H426" s="2" t="n">
        <v>160000</v>
      </c>
      <c r="I426" s="2" t="n">
        <f aca="false">(((H426 / 800) / IF(ISBLANK(R426), 1000000, IF(ISNA(VLOOKUP(R426, Mileages!$A$2:$C$34, 2, 0)), R426, VLOOKUP(R426, Mileages!$A$2:$C$34, 2, 0)))) + (F426 * IF(ISBLANK(P426), 1, P426) * IF(ISBLANK(T426), 0, IF(ISNA(VLOOKUP(T426, 'Fuel Costs'!$A$2:$C$42, 2, 0)), T426, VLOOKUP(T426, 'Fuel Costs'!$A$2:$C$42, 2, 0))) / IF(ISBLANK(O426), 1, O426))) * 100</f>
        <v>5.00000002</v>
      </c>
      <c r="J426" s="2" t="n">
        <f aca="false">((H426 / 800) / (IF(ISBLANK(S426), 100, IF(ISNA(VLOOKUP(S426, Lives!$A$2:$C$35, 2, 0)), S426, VLOOKUP(S426, Lives!$A$2:$C$35, 2, 0))) * 12) + (IF(ISBLANK(Q426), 0, IF(ISNA(VLOOKUP(Q426, Wages!$A$2:$C$17, 2, 0)), Q426, VLOOKUP(Q426, Wages!$A$2:$C$17, 2, 0))) * IF(ISBLANK(N426), 0, IF(ISNA(VLOOKUP(N426, Crews!$A$2:$C$28, 2, 0)), N426, VLOOKUP(N426, Crews!$A$2:$C$28, 2, 0))))) * 400</f>
        <v>333.3333333</v>
      </c>
      <c r="K426" s="3" t="s">
        <v>879</v>
      </c>
      <c r="L426" s="1" t="s">
        <v>881</v>
      </c>
      <c r="M426" s="1" t="n">
        <v>1</v>
      </c>
      <c r="N426" s="1"/>
      <c r="O426" s="1"/>
      <c r="P426" s="1"/>
      <c r="Q426" s="1"/>
      <c r="R426" s="5" t="s">
        <v>87</v>
      </c>
      <c r="S426" s="5" t="s">
        <v>87</v>
      </c>
      <c r="T426" s="5" t="s">
        <v>87</v>
      </c>
    </row>
    <row r="427" customFormat="false" ht="15" hidden="false" customHeight="true" outlineLevel="0" collapsed="false">
      <c r="A427" s="1" t="s">
        <v>883</v>
      </c>
      <c r="B427" s="1" t="n">
        <v>1860</v>
      </c>
      <c r="C427" s="1" t="n">
        <v>1</v>
      </c>
      <c r="D427" s="1" t="s">
        <v>876</v>
      </c>
      <c r="E427" s="1" t="s">
        <v>22</v>
      </c>
      <c r="F427" s="1" t="n">
        <v>1</v>
      </c>
      <c r="G427" s="1" t="n">
        <v>11</v>
      </c>
      <c r="H427" s="2" t="n">
        <v>60000</v>
      </c>
      <c r="I427" s="2" t="n">
        <f aca="false">(((H427 / 800) / IF(ISBLANK(R427), 1000000, IF(ISNA(VLOOKUP(R427, Mileages!$A$2:$C$34, 2, 0)), R427, VLOOKUP(R427, Mileages!$A$2:$C$34, 2, 0)))) + (F427 * IF(ISBLANK(P427), 1, P427) * IF(ISBLANK(T427), 0, IF(ISNA(VLOOKUP(T427, 'Fuel Costs'!$A$2:$C$42, 2, 0)), T427, VLOOKUP(T427, 'Fuel Costs'!$A$2:$C$42, 2, 0))) / IF(ISBLANK(O427), 1, O427))) * 100</f>
        <v>2.500000008</v>
      </c>
      <c r="J427" s="2" t="n">
        <f aca="false">((H427 / 800) / (IF(ISBLANK(S427), 100, IF(ISNA(VLOOKUP(S427, Lives!$A$2:$C$35, 2, 0)), S427, VLOOKUP(S427, Lives!$A$2:$C$35, 2, 0))) * 12) + (IF(ISBLANK(Q427), 0, IF(ISNA(VLOOKUP(Q427, Wages!$A$2:$C$17, 2, 0)), Q427, VLOOKUP(Q427, Wages!$A$2:$C$17, 2, 0))) * IF(ISBLANK(N427), 0, IF(ISNA(VLOOKUP(N427, Crews!$A$2:$C$28, 2, 0)), N427, VLOOKUP(N427, Crews!$A$2:$C$28, 2, 0))))) * 400</f>
        <v>125</v>
      </c>
      <c r="K427" s="1" t="s">
        <v>335</v>
      </c>
      <c r="L427" s="1" t="s">
        <v>884</v>
      </c>
      <c r="M427" s="1" t="n">
        <v>0</v>
      </c>
      <c r="N427" s="1"/>
      <c r="O427" s="1"/>
      <c r="P427" s="1"/>
      <c r="Q427" s="1"/>
      <c r="R427" s="5" t="s">
        <v>87</v>
      </c>
      <c r="S427" s="5" t="s">
        <v>87</v>
      </c>
      <c r="T427" s="5" t="s">
        <v>87</v>
      </c>
    </row>
    <row r="428" customFormat="false" ht="15" hidden="false" customHeight="true" outlineLevel="0" collapsed="false">
      <c r="A428" s="1" t="s">
        <v>885</v>
      </c>
      <c r="B428" s="1" t="n">
        <v>1860</v>
      </c>
      <c r="C428" s="1" t="n">
        <v>1</v>
      </c>
      <c r="D428" s="1" t="s">
        <v>876</v>
      </c>
      <c r="E428" s="1" t="s">
        <v>22</v>
      </c>
      <c r="F428" s="1" t="n">
        <v>2</v>
      </c>
      <c r="G428" s="1" t="n">
        <v>11</v>
      </c>
      <c r="H428" s="2" t="n">
        <v>120000</v>
      </c>
      <c r="I428" s="2" t="n">
        <f aca="false">(((H428 / 800) / IF(ISBLANK(R428), 1000000, IF(ISNA(VLOOKUP(R428, Mileages!$A$2:$C$34, 2, 0)), R428, VLOOKUP(R428, Mileages!$A$2:$C$34, 2, 0)))) + (F428 * IF(ISBLANK(P428), 1, P428) * IF(ISBLANK(T428), 0, IF(ISNA(VLOOKUP(T428, 'Fuel Costs'!$A$2:$C$42, 2, 0)), T428, VLOOKUP(T428, 'Fuel Costs'!$A$2:$C$42, 2, 0))) / IF(ISBLANK(O428), 1, O428))) * 100</f>
        <v>5.000000015</v>
      </c>
      <c r="J428" s="2" t="n">
        <f aca="false">((H428 / 800) / (IF(ISBLANK(S428), 100, IF(ISNA(VLOOKUP(S428, Lives!$A$2:$C$35, 2, 0)), S428, VLOOKUP(S428, Lives!$A$2:$C$35, 2, 0))) * 12) + (IF(ISBLANK(Q428), 0, IF(ISNA(VLOOKUP(Q428, Wages!$A$2:$C$17, 2, 0)), Q428, VLOOKUP(Q428, Wages!$A$2:$C$17, 2, 0))) * IF(ISBLANK(N428), 0, IF(ISNA(VLOOKUP(N428, Crews!$A$2:$C$28, 2, 0)), N428, VLOOKUP(N428, Crews!$A$2:$C$28, 2, 0))))) * 400</f>
        <v>250</v>
      </c>
      <c r="K428" s="1"/>
      <c r="L428" s="1" t="s">
        <v>884</v>
      </c>
      <c r="M428" s="1" t="n">
        <v>1</v>
      </c>
      <c r="N428" s="1"/>
      <c r="O428" s="1"/>
      <c r="P428" s="1"/>
      <c r="Q428" s="1"/>
      <c r="R428" s="5" t="s">
        <v>87</v>
      </c>
      <c r="S428" s="5" t="s">
        <v>87</v>
      </c>
      <c r="T428" s="5" t="s">
        <v>87</v>
      </c>
    </row>
    <row r="429" customFormat="false" ht="15" hidden="false" customHeight="true" outlineLevel="0" collapsed="false">
      <c r="A429" s="1" t="s">
        <v>886</v>
      </c>
      <c r="B429" s="1" t="n">
        <v>1860</v>
      </c>
      <c r="C429" s="1" t="n">
        <v>2</v>
      </c>
      <c r="D429" s="1" t="s">
        <v>29</v>
      </c>
      <c r="E429" s="1" t="s">
        <v>274</v>
      </c>
      <c r="F429" s="1" t="n">
        <v>1000</v>
      </c>
      <c r="G429" s="1" t="n">
        <v>26</v>
      </c>
      <c r="H429" s="2" t="n">
        <v>44928000</v>
      </c>
      <c r="I429" s="2" t="n">
        <f aca="false">(((H429 / 800) / IF(ISBLANK(R429), 1000000, IF(ISNA(VLOOKUP(R429, Mileages!$A$2:$C$34, 2, 0)), R429, VLOOKUP(R429, Mileages!$A$2:$C$34, 2, 0)))) + (F429 * IF(ISBLANK(P429), 1, P429) * IF(ISBLANK(T429), 0, IF(ISNA(VLOOKUP(T429, 'Fuel Costs'!$A$2:$C$42, 2, 0)), T429, VLOOKUP(T429, 'Fuel Costs'!$A$2:$C$42, 2, 0))) / IF(ISBLANK(O429), 1, O429))) * 100</f>
        <v>50.808</v>
      </c>
      <c r="J429" s="2" t="n">
        <f aca="false">((H429 / 800) / (IF(ISBLANK(S429), 100, IF(ISNA(VLOOKUP(S429, Lives!$A$2:$C$35, 2, 0)), S429, VLOOKUP(S429, Lives!$A$2:$C$35, 2, 0))) * 12) + (IF(ISBLANK(Q429), 0, IF(ISNA(VLOOKUP(Q429, Wages!$A$2:$C$17, 2, 0)), Q429, VLOOKUP(Q429, Wages!$A$2:$C$17, 2, 0))) * IF(ISBLANK(N429), 0, IF(ISNA(VLOOKUP(N429, Crews!$A$2:$C$28, 2, 0)), N429, VLOOKUP(N429, Crews!$A$2:$C$28, 2, 0))))) * 400</f>
        <v>218720</v>
      </c>
      <c r="K429" s="3" t="s">
        <v>887</v>
      </c>
      <c r="L429" s="1" t="s">
        <v>888</v>
      </c>
      <c r="M429" s="1" t="n">
        <v>0</v>
      </c>
      <c r="N429" s="1" t="s">
        <v>323</v>
      </c>
      <c r="O429" s="1" t="n">
        <v>1</v>
      </c>
      <c r="P429" s="1" t="n">
        <v>0.08</v>
      </c>
      <c r="Q429" s="1" t="s">
        <v>34</v>
      </c>
      <c r="R429" s="1" t="s">
        <v>574</v>
      </c>
      <c r="S429" s="1" t="s">
        <v>574</v>
      </c>
      <c r="T429" s="1" t="s">
        <v>889</v>
      </c>
    </row>
    <row r="430" customFormat="false" ht="15" hidden="false" customHeight="true" outlineLevel="0" collapsed="false">
      <c r="A430" s="1" t="s">
        <v>890</v>
      </c>
      <c r="B430" s="1" t="n">
        <v>1860</v>
      </c>
      <c r="C430" s="1" t="n">
        <v>4</v>
      </c>
      <c r="D430" s="1" t="s">
        <v>38</v>
      </c>
      <c r="E430" s="1" t="s">
        <v>274</v>
      </c>
      <c r="F430" s="1" t="n">
        <v>201</v>
      </c>
      <c r="G430" s="1" t="n">
        <v>115</v>
      </c>
      <c r="H430" s="2" t="n">
        <v>12400000</v>
      </c>
      <c r="I430" s="2" t="n">
        <f aca="false">(((H430 / 800) / IF(ISBLANK(R430), 1000000, IF(ISNA(VLOOKUP(R430, Mileages!$A$2:$C$34, 2, 0)), R430, VLOOKUP(R430, Mileages!$A$2:$C$34, 2, 0)))) + (F430 * IF(ISBLANK(P430), 1, P430) * IF(ISBLANK(T430), 0, IF(ISNA(VLOOKUP(T430, 'Fuel Costs'!$A$2:$C$42, 2, 0)), T430, VLOOKUP(T430, 'Fuel Costs'!$A$2:$C$42, 2, 0))) / IF(ISBLANK(O430), 1, O430))) * 100</f>
        <v>242.75</v>
      </c>
      <c r="J430" s="2" t="n">
        <f aca="false">((H430 / 800) / (IF(ISBLANK(S430), 100, IF(ISNA(VLOOKUP(S430, Lives!$A$2:$C$35, 2, 0)), S430, VLOOKUP(S430, Lives!$A$2:$C$35, 2, 0))) * 12) + (IF(ISBLANK(Q430), 0, IF(ISNA(VLOOKUP(Q430, Wages!$A$2:$C$17, 2, 0)), Q430, VLOOKUP(Q430, Wages!$A$2:$C$17, 2, 0))) * IF(ISBLANK(N430), 0, IF(ISNA(VLOOKUP(N430, Crews!$A$2:$C$28, 2, 0)), N430, VLOOKUP(N430, Crews!$A$2:$C$28, 2, 0))))) * 400</f>
        <v>34333.33333</v>
      </c>
      <c r="K430" s="3" t="s">
        <v>891</v>
      </c>
      <c r="L430" s="1" t="s">
        <v>892</v>
      </c>
      <c r="M430" s="1" t="n">
        <v>0</v>
      </c>
      <c r="N430" s="1" t="s">
        <v>590</v>
      </c>
      <c r="O430" s="1" t="n">
        <v>0.5</v>
      </c>
      <c r="P430" s="1"/>
      <c r="Q430" s="5" t="s">
        <v>284</v>
      </c>
      <c r="R430" s="1" t="s">
        <v>677</v>
      </c>
      <c r="S430" s="1" t="s">
        <v>677</v>
      </c>
      <c r="T430" s="1" t="s">
        <v>889</v>
      </c>
    </row>
    <row r="431" customFormat="false" ht="15" hidden="false" customHeight="true" outlineLevel="0" collapsed="false">
      <c r="A431" s="1" t="s">
        <v>893</v>
      </c>
      <c r="B431" s="1" t="n">
        <v>1860</v>
      </c>
      <c r="C431" s="1" t="n">
        <v>8</v>
      </c>
      <c r="D431" s="1" t="s">
        <v>876</v>
      </c>
      <c r="E431" s="1"/>
      <c r="F431" s="1"/>
      <c r="G431" s="1" t="n">
        <v>16</v>
      </c>
      <c r="H431" s="2" t="n">
        <v>250000</v>
      </c>
      <c r="I431" s="2" t="n">
        <f aca="false">(((H431 / 800) / IF(ISBLANK(R431), 1000000, IF(ISNA(VLOOKUP(R431, Mileages!$A$2:$C$34, 2, 0)), R431, VLOOKUP(R431, Mileages!$A$2:$C$34, 2, 0)))) + (F431 * IF(ISBLANK(P431), 1, P431) * IF(ISBLANK(T431), 0, IF(ISNA(VLOOKUP(T431, 'Fuel Costs'!$A$2:$C$42, 2, 0)), T431, VLOOKUP(T431, 'Fuel Costs'!$A$2:$C$42, 2, 0))) / IF(ISBLANK(O431), 1, O431))) * 100</f>
        <v>0.02604166667</v>
      </c>
      <c r="J431" s="2" t="n">
        <f aca="false">((H431 / 800) / (IF(ISBLANK(S431), 100, IF(ISNA(VLOOKUP(S431, Lives!$A$2:$C$35, 2, 0)), S431, VLOOKUP(S431, Lives!$A$2:$C$35, 2, 0))) * 12) + (IF(ISBLANK(Q431), 0, IF(ISNA(VLOOKUP(Q431, Wages!$A$2:$C$17, 2, 0)), Q431, VLOOKUP(Q431, Wages!$A$2:$C$17, 2, 0))) * IF(ISBLANK(N431), 0, IF(ISNA(VLOOKUP(N431, Crews!$A$2:$C$28, 2, 0)), N431, VLOOKUP(N431, Crews!$A$2:$C$28, 2, 0))))) * 400</f>
        <v>6297.619048</v>
      </c>
      <c r="K431" s="1"/>
      <c r="L431" s="1" t="s">
        <v>894</v>
      </c>
      <c r="M431" s="1" t="n">
        <v>0</v>
      </c>
      <c r="N431" s="1" t="s">
        <v>895</v>
      </c>
      <c r="O431" s="1"/>
      <c r="P431" s="1"/>
      <c r="Q431" s="1" t="s">
        <v>895</v>
      </c>
      <c r="R431" s="1" t="s">
        <v>689</v>
      </c>
      <c r="S431" s="1" t="s">
        <v>856</v>
      </c>
      <c r="T431" s="1"/>
    </row>
    <row r="432" customFormat="false" ht="15" hidden="false" customHeight="true" outlineLevel="0" collapsed="false">
      <c r="A432" s="1" t="s">
        <v>896</v>
      </c>
      <c r="B432" s="1" t="n">
        <v>1860</v>
      </c>
      <c r="C432" s="1" t="n">
        <v>8</v>
      </c>
      <c r="D432" s="1" t="s">
        <v>876</v>
      </c>
      <c r="E432" s="1"/>
      <c r="F432" s="1"/>
      <c r="G432" s="1" t="n">
        <v>16</v>
      </c>
      <c r="H432" s="2" t="n">
        <v>100000</v>
      </c>
      <c r="I432" s="2" t="n">
        <f aca="false">(((H432 / 800) / IF(ISBLANK(R432), 1000000, IF(ISNA(VLOOKUP(R432, Mileages!$A$2:$C$34, 2, 0)), R432, VLOOKUP(R432, Mileages!$A$2:$C$34, 2, 0)))) + (F432 * IF(ISBLANK(P432), 1, P432) * IF(ISBLANK(T432), 0, IF(ISNA(VLOOKUP(T432, 'Fuel Costs'!$A$2:$C$42, 2, 0)), T432, VLOOKUP(T432, 'Fuel Costs'!$A$2:$C$42, 2, 0))) / IF(ISBLANK(O432), 1, O432))) * 100</f>
        <v>0.01041666667</v>
      </c>
      <c r="J432" s="2" t="n">
        <f aca="false">((H432 / 800) / (IF(ISBLANK(S432), 100, IF(ISNA(VLOOKUP(S432, Lives!$A$2:$C$35, 2, 0)), S432, VLOOKUP(S432, Lives!$A$2:$C$35, 2, 0))) * 12) + (IF(ISBLANK(Q432), 0, IF(ISNA(VLOOKUP(Q432, Wages!$A$2:$C$17, 2, 0)), Q432, VLOOKUP(Q432, Wages!$A$2:$C$17, 2, 0))) * IF(ISBLANK(N432), 0, IF(ISNA(VLOOKUP(N432, Crews!$A$2:$C$28, 2, 0)), N432, VLOOKUP(N432, Crews!$A$2:$C$28, 2, 0))))) * 400</f>
        <v>6119.047619</v>
      </c>
      <c r="K432" s="1"/>
      <c r="L432" s="1" t="s">
        <v>897</v>
      </c>
      <c r="M432" s="1" t="n">
        <v>0</v>
      </c>
      <c r="N432" s="1" t="s">
        <v>895</v>
      </c>
      <c r="O432" s="1"/>
      <c r="P432" s="1"/>
      <c r="Q432" s="1" t="s">
        <v>895</v>
      </c>
      <c r="R432" s="1" t="s">
        <v>689</v>
      </c>
      <c r="S432" s="1" t="s">
        <v>856</v>
      </c>
      <c r="T432" s="1"/>
    </row>
    <row r="433" customFormat="false" ht="15" hidden="false" customHeight="true" outlineLevel="0" collapsed="false">
      <c r="A433" s="1" t="s">
        <v>898</v>
      </c>
      <c r="B433" s="1" t="n">
        <v>1861</v>
      </c>
      <c r="C433" s="1" t="n">
        <v>7</v>
      </c>
      <c r="D433" s="1" t="s">
        <v>38</v>
      </c>
      <c r="E433" s="1" t="s">
        <v>274</v>
      </c>
      <c r="F433" s="1" t="n">
        <v>206</v>
      </c>
      <c r="G433" s="1" t="n">
        <v>117</v>
      </c>
      <c r="H433" s="2" t="n">
        <f aca="false">8645250*2</f>
        <v>17290500</v>
      </c>
      <c r="I433" s="2" t="n">
        <f aca="false">(((H433 / 800) / IF(ISBLANK(R433), 1000000, IF(ISNA(VLOOKUP(R433, Mileages!$A$2:$C$34, 2, 0)), R433, VLOOKUP(R433, Mileages!$A$2:$C$34, 2, 0)))) + (F433 * IF(ISBLANK(P433), 1, P433) * IF(ISBLANK(T433), 0, IF(ISNA(VLOOKUP(T433, 'Fuel Costs'!$A$2:$C$42, 2, 0)), T433, VLOOKUP(T433, 'Fuel Costs'!$A$2:$C$42, 2, 0))) / IF(ISBLANK(O433), 1, O433))) * 100</f>
        <v>249.3613125</v>
      </c>
      <c r="J433" s="2" t="n">
        <f aca="false">((H433 / 800) / (IF(ISBLANK(S433), 100, IF(ISNA(VLOOKUP(S433, Lives!$A$2:$C$35, 2, 0)), S433, VLOOKUP(S433, Lives!$A$2:$C$35, 2, 0))) * 12) + (IF(ISBLANK(Q433), 0, IF(ISNA(VLOOKUP(Q433, Wages!$A$2:$C$17, 2, 0)), Q433, VLOOKUP(Q433, Wages!$A$2:$C$17, 2, 0))) * IF(ISBLANK(N433), 0, IF(ISNA(VLOOKUP(N433, Crews!$A$2:$C$28, 2, 0)), N433, VLOOKUP(N433, Crews!$A$2:$C$28, 2, 0))))) * 400</f>
        <v>38408.75</v>
      </c>
      <c r="K433" s="3" t="s">
        <v>899</v>
      </c>
      <c r="L433" s="1" t="s">
        <v>900</v>
      </c>
      <c r="M433" s="1" t="n">
        <v>0</v>
      </c>
      <c r="N433" s="1" t="s">
        <v>590</v>
      </c>
      <c r="O433" s="1" t="n">
        <v>0.5</v>
      </c>
      <c r="P433" s="1"/>
      <c r="Q433" s="5" t="s">
        <v>284</v>
      </c>
      <c r="R433" s="1" t="s">
        <v>677</v>
      </c>
      <c r="S433" s="1" t="s">
        <v>677</v>
      </c>
      <c r="T433" s="1" t="s">
        <v>889</v>
      </c>
    </row>
    <row r="434" customFormat="false" ht="15" hidden="false" customHeight="true" outlineLevel="0" collapsed="false">
      <c r="A434" s="1" t="s">
        <v>901</v>
      </c>
      <c r="B434" s="1" t="n">
        <v>1862</v>
      </c>
      <c r="C434" s="1" t="n">
        <v>2</v>
      </c>
      <c r="D434" s="1" t="s">
        <v>38</v>
      </c>
      <c r="E434" s="1" t="s">
        <v>274</v>
      </c>
      <c r="F434" s="1" t="n">
        <v>170</v>
      </c>
      <c r="G434" s="1" t="n">
        <v>112</v>
      </c>
      <c r="H434" s="2" t="n">
        <f aca="false">9000000*2</f>
        <v>18000000</v>
      </c>
      <c r="I434" s="2" t="n">
        <f aca="false">(((H434 / 800) / IF(ISBLANK(R434), 1000000, IF(ISNA(VLOOKUP(R434, Mileages!$A$2:$C$34, 2, 0)), R434, VLOOKUP(R434, Mileages!$A$2:$C$34, 2, 0)))) + (F434 * IF(ISBLANK(P434), 1, P434) * IF(ISBLANK(T434), 0, IF(ISNA(VLOOKUP(T434, 'Fuel Costs'!$A$2:$C$42, 2, 0)), T434, VLOOKUP(T434, 'Fuel Costs'!$A$2:$C$42, 2, 0))) / IF(ISBLANK(O434), 1, O434))) * 100</f>
        <v>206.25</v>
      </c>
      <c r="J434" s="2" t="n">
        <f aca="false">((H434 / 800) / (IF(ISBLANK(S434), 100, IF(ISNA(VLOOKUP(S434, Lives!$A$2:$C$35, 2, 0)), S434, VLOOKUP(S434, Lives!$A$2:$C$35, 2, 0))) * 12) + (IF(ISBLANK(Q434), 0, IF(ISNA(VLOOKUP(Q434, Wages!$A$2:$C$17, 2, 0)), Q434, VLOOKUP(Q434, Wages!$A$2:$C$17, 2, 0))) * IF(ISBLANK(N434), 0, IF(ISNA(VLOOKUP(N434, Crews!$A$2:$C$28, 2, 0)), N434, VLOOKUP(N434, Crews!$A$2:$C$28, 2, 0))))) * 400</f>
        <v>39000</v>
      </c>
      <c r="K434" s="3" t="s">
        <v>849</v>
      </c>
      <c r="L434" s="1" t="s">
        <v>902</v>
      </c>
      <c r="M434" s="1" t="n">
        <v>0</v>
      </c>
      <c r="N434" s="1" t="s">
        <v>590</v>
      </c>
      <c r="O434" s="1" t="n">
        <v>0.5</v>
      </c>
      <c r="P434" s="1"/>
      <c r="Q434" s="5" t="s">
        <v>284</v>
      </c>
      <c r="R434" s="1" t="s">
        <v>677</v>
      </c>
      <c r="S434" s="1" t="s">
        <v>677</v>
      </c>
      <c r="T434" s="1" t="s">
        <v>889</v>
      </c>
    </row>
    <row r="435" customFormat="false" ht="15" hidden="false" customHeight="true" outlineLevel="0" collapsed="false">
      <c r="A435" s="1" t="s">
        <v>903</v>
      </c>
      <c r="B435" s="1" t="n">
        <v>1862</v>
      </c>
      <c r="C435" s="1" t="n">
        <v>5</v>
      </c>
      <c r="D435" s="1" t="s">
        <v>38</v>
      </c>
      <c r="E435" s="1" t="s">
        <v>274</v>
      </c>
      <c r="F435" s="1" t="n">
        <v>101</v>
      </c>
      <c r="G435" s="1" t="n">
        <v>84</v>
      </c>
      <c r="H435" s="2" t="n">
        <v>8100000</v>
      </c>
      <c r="I435" s="2" t="n">
        <f aca="false">(((H435 / 800) / IF(ISBLANK(R435), 1000000, IF(ISNA(VLOOKUP(R435, Mileages!$A$2:$C$34, 2, 0)), R435, VLOOKUP(R435, Mileages!$A$2:$C$34, 2, 0)))) + (F435 * IF(ISBLANK(P435), 1, P435) * IF(ISBLANK(T435), 0, IF(ISNA(VLOOKUP(T435, 'Fuel Costs'!$A$2:$C$42, 2, 0)), T435, VLOOKUP(T435, 'Fuel Costs'!$A$2:$C$42, 2, 0))) / IF(ISBLANK(O435), 1, O435))) * 100</f>
        <v>102.0125</v>
      </c>
      <c r="J435" s="2" t="n">
        <f aca="false">((H435 / 800) / (IF(ISBLANK(S435), 100, IF(ISNA(VLOOKUP(S435, Lives!$A$2:$C$35, 2, 0)), S435, VLOOKUP(S435, Lives!$A$2:$C$35, 2, 0))) * 12) + (IF(ISBLANK(Q435), 0, IF(ISNA(VLOOKUP(Q435, Wages!$A$2:$C$17, 2, 0)), Q435, VLOOKUP(Q435, Wages!$A$2:$C$17, 2, 0))) * IF(ISBLANK(N435), 0, IF(ISNA(VLOOKUP(N435, Crews!$A$2:$C$28, 2, 0)), N435, VLOOKUP(N435, Crews!$A$2:$C$28, 2, 0))))) * 400</f>
        <v>30750</v>
      </c>
      <c r="K435" s="3" t="s">
        <v>904</v>
      </c>
      <c r="L435" s="1" t="s">
        <v>905</v>
      </c>
      <c r="M435" s="1" t="n">
        <v>0</v>
      </c>
      <c r="N435" s="1" t="s">
        <v>590</v>
      </c>
      <c r="O435" s="1" t="n">
        <v>0.6</v>
      </c>
      <c r="P435" s="1"/>
      <c r="Q435" s="5" t="s">
        <v>284</v>
      </c>
      <c r="R435" s="1" t="s">
        <v>677</v>
      </c>
      <c r="S435" s="1" t="s">
        <v>677</v>
      </c>
      <c r="T435" s="1" t="s">
        <v>889</v>
      </c>
    </row>
    <row r="436" customFormat="false" ht="15" hidden="false" customHeight="true" outlineLevel="0" collapsed="false">
      <c r="A436" s="1" t="s">
        <v>906</v>
      </c>
      <c r="B436" s="1" t="n">
        <v>1863</v>
      </c>
      <c r="C436" s="1" t="n">
        <v>1</v>
      </c>
      <c r="D436" s="1" t="s">
        <v>38</v>
      </c>
      <c r="E436" s="1"/>
      <c r="F436" s="1"/>
      <c r="G436" s="1" t="n">
        <v>130</v>
      </c>
      <c r="H436" s="2" t="n">
        <v>320000</v>
      </c>
      <c r="I436" s="2" t="n">
        <f aca="false">(((H436 / 800) / IF(ISBLANK(R436), 1000000, IF(ISNA(VLOOKUP(R436, Mileages!$A$2:$C$34, 2, 0)), R436, VLOOKUP(R436, Mileages!$A$2:$C$34, 2, 0)))) + (F436 * IF(ISBLANK(P436), 1, P436) * IF(ISBLANK(T436), 0, IF(ISNA(VLOOKUP(T436, 'Fuel Costs'!$A$2:$C$42, 2, 0)), T436, VLOOKUP(T436, 'Fuel Costs'!$A$2:$C$42, 2, 0))) / IF(ISBLANK(O436), 1, O436))) * 100</f>
        <v>0.03333333333</v>
      </c>
      <c r="J436" s="2" t="n">
        <f aca="false">((H436 / 800) / (IF(ISBLANK(S436), 100, IF(ISNA(VLOOKUP(S436, Lives!$A$2:$C$35, 2, 0)), S436, VLOOKUP(S436, Lives!$A$2:$C$35, 2, 0))) * 12) + (IF(ISBLANK(Q436), 0, IF(ISNA(VLOOKUP(Q436, Wages!$A$2:$C$17, 2, 0)), Q436, VLOOKUP(Q436, Wages!$A$2:$C$17, 2, 0))) * IF(ISBLANK(N436), 0, IF(ISNA(VLOOKUP(N436, Crews!$A$2:$C$28, 2, 0)), N436, VLOOKUP(N436, Crews!$A$2:$C$28, 2, 0))))) * 400</f>
        <v>380.952381</v>
      </c>
      <c r="K436" s="1"/>
      <c r="L436" s="1" t="s">
        <v>907</v>
      </c>
      <c r="M436" s="1" t="n">
        <v>0</v>
      </c>
      <c r="N436" s="1"/>
      <c r="O436" s="1"/>
      <c r="P436" s="1"/>
      <c r="Q436" s="1"/>
      <c r="R436" s="1" t="s">
        <v>689</v>
      </c>
      <c r="S436" s="1" t="s">
        <v>856</v>
      </c>
      <c r="T436" s="1"/>
    </row>
    <row r="437" customFormat="false" ht="15" hidden="false" customHeight="true" outlineLevel="0" collapsed="false">
      <c r="A437" s="1" t="s">
        <v>908</v>
      </c>
      <c r="B437" s="1" t="n">
        <v>1863</v>
      </c>
      <c r="C437" s="1" t="n">
        <v>1</v>
      </c>
      <c r="D437" s="1" t="s">
        <v>38</v>
      </c>
      <c r="E437" s="1"/>
      <c r="F437" s="1"/>
      <c r="G437" s="1" t="n">
        <v>130</v>
      </c>
      <c r="H437" s="2" t="n">
        <v>325000</v>
      </c>
      <c r="I437" s="2" t="n">
        <f aca="false">(((H437 / 800) / IF(ISBLANK(R437), 1000000, IF(ISNA(VLOOKUP(R437, Mileages!$A$2:$C$34, 2, 0)), R437, VLOOKUP(R437, Mileages!$A$2:$C$34, 2, 0)))) + (F437 * IF(ISBLANK(P437), 1, P437) * IF(ISBLANK(T437), 0, IF(ISNA(VLOOKUP(T437, 'Fuel Costs'!$A$2:$C$42, 2, 0)), T437, VLOOKUP(T437, 'Fuel Costs'!$A$2:$C$42, 2, 0))) / IF(ISBLANK(O437), 1, O437))) * 100</f>
        <v>0.03385416667</v>
      </c>
      <c r="J437" s="2" t="n">
        <f aca="false">((H437 / 800) / (IF(ISBLANK(S437), 100, IF(ISNA(VLOOKUP(S437, Lives!$A$2:$C$35, 2, 0)), S437, VLOOKUP(S437, Lives!$A$2:$C$35, 2, 0))) * 12) + (IF(ISBLANK(Q437), 0, IF(ISNA(VLOOKUP(Q437, Wages!$A$2:$C$17, 2, 0)), Q437, VLOOKUP(Q437, Wages!$A$2:$C$17, 2, 0))) * IF(ISBLANK(N437), 0, IF(ISNA(VLOOKUP(N437, Crews!$A$2:$C$28, 2, 0)), N437, VLOOKUP(N437, Crews!$A$2:$C$28, 2, 0))))) * 400</f>
        <v>386.9047619</v>
      </c>
      <c r="K437" s="1"/>
      <c r="L437" s="1" t="s">
        <v>907</v>
      </c>
      <c r="M437" s="1" t="n">
        <v>1</v>
      </c>
      <c r="N437" s="1"/>
      <c r="O437" s="1"/>
      <c r="P437" s="1"/>
      <c r="Q437" s="1"/>
      <c r="R437" s="1" t="s">
        <v>689</v>
      </c>
      <c r="S437" s="1" t="s">
        <v>856</v>
      </c>
      <c r="T437" s="1"/>
    </row>
    <row r="438" customFormat="false" ht="15" hidden="false" customHeight="true" outlineLevel="0" collapsed="false">
      <c r="A438" s="1" t="s">
        <v>909</v>
      </c>
      <c r="B438" s="1" t="n">
        <v>1863</v>
      </c>
      <c r="C438" s="1" t="n">
        <v>1</v>
      </c>
      <c r="D438" s="1" t="s">
        <v>38</v>
      </c>
      <c r="E438" s="1"/>
      <c r="F438" s="1"/>
      <c r="G438" s="1" t="n">
        <v>130</v>
      </c>
      <c r="H438" s="2" t="n">
        <v>330000</v>
      </c>
      <c r="I438" s="2" t="n">
        <f aca="false">(((H438 / 800) / IF(ISBLANK(R438), 1000000, IF(ISNA(VLOOKUP(R438, Mileages!$A$2:$C$34, 2, 0)), R438, VLOOKUP(R438, Mileages!$A$2:$C$34, 2, 0)))) + (F438 * IF(ISBLANK(P438), 1, P438) * IF(ISBLANK(T438), 0, IF(ISNA(VLOOKUP(T438, 'Fuel Costs'!$A$2:$C$42, 2, 0)), T438, VLOOKUP(T438, 'Fuel Costs'!$A$2:$C$42, 2, 0))) / IF(ISBLANK(O438), 1, O438))) * 100</f>
        <v>0.034375</v>
      </c>
      <c r="J438" s="2" t="n">
        <f aca="false">((H438 / 800) / (IF(ISBLANK(S438), 100, IF(ISNA(VLOOKUP(S438, Lives!$A$2:$C$35, 2, 0)), S438, VLOOKUP(S438, Lives!$A$2:$C$35, 2, 0))) * 12) + (IF(ISBLANK(Q438), 0, IF(ISNA(VLOOKUP(Q438, Wages!$A$2:$C$17, 2, 0)), Q438, VLOOKUP(Q438, Wages!$A$2:$C$17, 2, 0))) * IF(ISBLANK(N438), 0, IF(ISNA(VLOOKUP(N438, Crews!$A$2:$C$28, 2, 0)), N438, VLOOKUP(N438, Crews!$A$2:$C$28, 2, 0))))) * 400</f>
        <v>392.8571429</v>
      </c>
      <c r="K438" s="1"/>
      <c r="L438" s="1" t="s">
        <v>907</v>
      </c>
      <c r="M438" s="1" t="n">
        <v>2</v>
      </c>
      <c r="N438" s="1"/>
      <c r="O438" s="1"/>
      <c r="P438" s="1"/>
      <c r="Q438" s="1"/>
      <c r="R438" s="1" t="s">
        <v>689</v>
      </c>
      <c r="S438" s="1" t="s">
        <v>856</v>
      </c>
      <c r="T438" s="1"/>
    </row>
    <row r="439" customFormat="false" ht="15" hidden="false" customHeight="true" outlineLevel="0" collapsed="false">
      <c r="A439" s="1" t="s">
        <v>910</v>
      </c>
      <c r="B439" s="1" t="n">
        <v>1863</v>
      </c>
      <c r="C439" s="1" t="n">
        <v>1</v>
      </c>
      <c r="D439" s="1" t="s">
        <v>38</v>
      </c>
      <c r="E439" s="1"/>
      <c r="F439" s="1"/>
      <c r="G439" s="1" t="n">
        <v>130</v>
      </c>
      <c r="H439" s="2" t="n">
        <v>310000</v>
      </c>
      <c r="I439" s="2" t="n">
        <f aca="false">(((H439 / 800) / IF(ISBLANK(R439), 1000000, IF(ISNA(VLOOKUP(R439, Mileages!$A$2:$C$34, 2, 0)), R439, VLOOKUP(R439, Mileages!$A$2:$C$34, 2, 0)))) + (F439 * IF(ISBLANK(P439), 1, P439) * IF(ISBLANK(T439), 0, IF(ISNA(VLOOKUP(T439, 'Fuel Costs'!$A$2:$C$42, 2, 0)), T439, VLOOKUP(T439, 'Fuel Costs'!$A$2:$C$42, 2, 0))) / IF(ISBLANK(O439), 1, O439))) * 100</f>
        <v>0.03229166667</v>
      </c>
      <c r="J439" s="2" t="n">
        <f aca="false">((H439 / 800) / (IF(ISBLANK(S439), 100, IF(ISNA(VLOOKUP(S439, Lives!$A$2:$C$35, 2, 0)), S439, VLOOKUP(S439, Lives!$A$2:$C$35, 2, 0))) * 12) + (IF(ISBLANK(Q439), 0, IF(ISNA(VLOOKUP(Q439, Wages!$A$2:$C$17, 2, 0)), Q439, VLOOKUP(Q439, Wages!$A$2:$C$17, 2, 0))) * IF(ISBLANK(N439), 0, IF(ISNA(VLOOKUP(N439, Crews!$A$2:$C$28, 2, 0)), N439, VLOOKUP(N439, Crews!$A$2:$C$28, 2, 0))))) * 400</f>
        <v>5169.047619</v>
      </c>
      <c r="K439" s="1"/>
      <c r="L439" s="1" t="s">
        <v>907</v>
      </c>
      <c r="M439" s="1" t="n">
        <v>3</v>
      </c>
      <c r="N439" s="1" t="s">
        <v>25</v>
      </c>
      <c r="O439" s="1"/>
      <c r="P439" s="1"/>
      <c r="Q439" s="1" t="s">
        <v>378</v>
      </c>
      <c r="R439" s="1" t="s">
        <v>689</v>
      </c>
      <c r="S439" s="1" t="s">
        <v>856</v>
      </c>
      <c r="T439" s="1"/>
    </row>
    <row r="440" customFormat="false" ht="15" hidden="false" customHeight="true" outlineLevel="0" collapsed="false">
      <c r="A440" s="1" t="s">
        <v>911</v>
      </c>
      <c r="B440" s="1" t="n">
        <v>1863</v>
      </c>
      <c r="C440" s="1" t="n">
        <v>1</v>
      </c>
      <c r="D440" s="1" t="s">
        <v>38</v>
      </c>
      <c r="E440" s="1"/>
      <c r="F440" s="1"/>
      <c r="G440" s="1" t="n">
        <v>130</v>
      </c>
      <c r="H440" s="2" t="n">
        <v>310000</v>
      </c>
      <c r="I440" s="2" t="n">
        <f aca="false">(((H440 / 800) / IF(ISBLANK(R440), 1000000, IF(ISNA(VLOOKUP(R440, Mileages!$A$2:$C$34, 2, 0)), R440, VLOOKUP(R440, Mileages!$A$2:$C$34, 2, 0)))) + (F440 * IF(ISBLANK(P440), 1, P440) * IF(ISBLANK(T440), 0, IF(ISNA(VLOOKUP(T440, 'Fuel Costs'!$A$2:$C$42, 2, 0)), T440, VLOOKUP(T440, 'Fuel Costs'!$A$2:$C$42, 2, 0))) / IF(ISBLANK(O440), 1, O440))) * 100</f>
        <v>0.03229166667</v>
      </c>
      <c r="J440" s="2" t="n">
        <f aca="false">((H440 / 800) / (IF(ISBLANK(S440), 100, IF(ISNA(VLOOKUP(S440, Lives!$A$2:$C$35, 2, 0)), S440, VLOOKUP(S440, Lives!$A$2:$C$35, 2, 0))) * 12) + (IF(ISBLANK(Q440), 0, IF(ISNA(VLOOKUP(Q440, Wages!$A$2:$C$17, 2, 0)), Q440, VLOOKUP(Q440, Wages!$A$2:$C$17, 2, 0))) * IF(ISBLANK(N440), 0, IF(ISNA(VLOOKUP(N440, Crews!$A$2:$C$28, 2, 0)), N440, VLOOKUP(N440, Crews!$A$2:$C$28, 2, 0))))) * 400</f>
        <v>5169.047619</v>
      </c>
      <c r="K440" s="1"/>
      <c r="L440" s="1" t="s">
        <v>907</v>
      </c>
      <c r="M440" s="1" t="n">
        <v>4</v>
      </c>
      <c r="N440" s="1" t="s">
        <v>25</v>
      </c>
      <c r="O440" s="1"/>
      <c r="P440" s="1"/>
      <c r="Q440" s="1" t="s">
        <v>378</v>
      </c>
      <c r="R440" s="1" t="s">
        <v>689</v>
      </c>
      <c r="S440" s="1" t="s">
        <v>856</v>
      </c>
      <c r="T440" s="1"/>
    </row>
    <row r="441" customFormat="false" ht="15" hidden="false" customHeight="true" outlineLevel="0" collapsed="false">
      <c r="A441" s="1" t="s">
        <v>912</v>
      </c>
      <c r="B441" s="1" t="n">
        <v>1863</v>
      </c>
      <c r="C441" s="1" t="n">
        <v>2</v>
      </c>
      <c r="D441" s="1" t="s">
        <v>38</v>
      </c>
      <c r="E441" s="1" t="s">
        <v>274</v>
      </c>
      <c r="F441" s="1" t="n">
        <v>145</v>
      </c>
      <c r="G441" s="1" t="n">
        <v>83</v>
      </c>
      <c r="H441" s="2" t="n">
        <v>7750000</v>
      </c>
      <c r="I441" s="2" t="n">
        <f aca="false">(((H441 / 800) / IF(ISBLANK(R441), 1000000, IF(ISNA(VLOOKUP(R441, Mileages!$A$2:$C$34, 2, 0)), R441, VLOOKUP(R441, Mileages!$A$2:$C$34, 2, 0)))) + (F441 * IF(ISBLANK(P441), 1, P441) * IF(ISBLANK(T441), 0, IF(ISNA(VLOOKUP(T441, 'Fuel Costs'!$A$2:$C$42, 2, 0)), T441, VLOOKUP(T441, 'Fuel Costs'!$A$2:$C$42, 2, 0))) / IF(ISBLANK(O441), 1, O441))) * 100</f>
        <v>174.96875</v>
      </c>
      <c r="J441" s="2" t="n">
        <f aca="false">((H441 / 800) / (IF(ISBLANK(S441), 100, IF(ISNA(VLOOKUP(S441, Lives!$A$2:$C$35, 2, 0)), S441, VLOOKUP(S441, Lives!$A$2:$C$35, 2, 0))) * 12) + (IF(ISBLANK(Q441), 0, IF(ISNA(VLOOKUP(Q441, Wages!$A$2:$C$17, 2, 0)), Q441, VLOOKUP(Q441, Wages!$A$2:$C$17, 2, 0))) * IF(ISBLANK(N441), 0, IF(ISNA(VLOOKUP(N441, Crews!$A$2:$C$28, 2, 0)), N441, VLOOKUP(N441, Crews!$A$2:$C$28, 2, 0))))) * 400</f>
        <v>30458.33333</v>
      </c>
      <c r="K441" s="3" t="s">
        <v>849</v>
      </c>
      <c r="L441" s="1" t="s">
        <v>727</v>
      </c>
      <c r="M441" s="1" t="n">
        <v>0</v>
      </c>
      <c r="N441" s="1" t="s">
        <v>590</v>
      </c>
      <c r="O441" s="1" t="n">
        <v>0.5</v>
      </c>
      <c r="P441" s="1"/>
      <c r="Q441" s="5" t="s">
        <v>284</v>
      </c>
      <c r="R441" s="1" t="s">
        <v>677</v>
      </c>
      <c r="S441" s="1" t="s">
        <v>677</v>
      </c>
      <c r="T441" s="1" t="s">
        <v>889</v>
      </c>
    </row>
    <row r="442" customFormat="false" ht="15" hidden="false" customHeight="true" outlineLevel="0" collapsed="false">
      <c r="A442" s="1" t="s">
        <v>913</v>
      </c>
      <c r="B442" s="1" t="n">
        <v>1863</v>
      </c>
      <c r="C442" s="1" t="n">
        <v>4</v>
      </c>
      <c r="D442" s="1" t="s">
        <v>38</v>
      </c>
      <c r="E442" s="1" t="s">
        <v>274</v>
      </c>
      <c r="F442" s="1" t="n">
        <v>174</v>
      </c>
      <c r="G442" s="1" t="n">
        <v>110</v>
      </c>
      <c r="H442" s="2" t="n">
        <f aca="false">8800000*2</f>
        <v>17600000</v>
      </c>
      <c r="I442" s="2" t="n">
        <f aca="false">(((H442 / 800) / IF(ISBLANK(R442), 1000000, IF(ISNA(VLOOKUP(R442, Mileages!$A$2:$C$34, 2, 0)), R442, VLOOKUP(R442, Mileages!$A$2:$C$34, 2, 0)))) + (F442 * IF(ISBLANK(P442), 1, P442) * IF(ISBLANK(T442), 0, IF(ISNA(VLOOKUP(T442, 'Fuel Costs'!$A$2:$C$42, 2, 0)), T442, VLOOKUP(T442, 'Fuel Costs'!$A$2:$C$42, 2, 0))) / IF(ISBLANK(O442), 1, O442))) * 100</f>
        <v>211</v>
      </c>
      <c r="J442" s="2" t="n">
        <f aca="false">((H442 / 800) / (IF(ISBLANK(S442), 100, IF(ISNA(VLOOKUP(S442, Lives!$A$2:$C$35, 2, 0)), S442, VLOOKUP(S442, Lives!$A$2:$C$35, 2, 0))) * 12) + (IF(ISBLANK(Q442), 0, IF(ISNA(VLOOKUP(Q442, Wages!$A$2:$C$17, 2, 0)), Q442, VLOOKUP(Q442, Wages!$A$2:$C$17, 2, 0))) * IF(ISBLANK(N442), 0, IF(ISNA(VLOOKUP(N442, Crews!$A$2:$C$28, 2, 0)), N442, VLOOKUP(N442, Crews!$A$2:$C$28, 2, 0))))) * 400</f>
        <v>38666.66667</v>
      </c>
      <c r="K442" s="3" t="s">
        <v>914</v>
      </c>
      <c r="L442" s="1" t="s">
        <v>915</v>
      </c>
      <c r="M442" s="1" t="n">
        <v>0</v>
      </c>
      <c r="N442" s="1" t="s">
        <v>590</v>
      </c>
      <c r="O442" s="1" t="n">
        <v>0.5</v>
      </c>
      <c r="P442" s="1"/>
      <c r="Q442" s="5" t="s">
        <v>284</v>
      </c>
      <c r="R442" s="1" t="s">
        <v>677</v>
      </c>
      <c r="S442" s="1" t="s">
        <v>677</v>
      </c>
      <c r="T442" s="1" t="s">
        <v>889</v>
      </c>
    </row>
    <row r="443" customFormat="false" ht="15" hidden="false" customHeight="true" outlineLevel="0" collapsed="false">
      <c r="A443" s="1" t="s">
        <v>916</v>
      </c>
      <c r="B443" s="1" t="n">
        <v>1863</v>
      </c>
      <c r="C443" s="1" t="n">
        <v>4</v>
      </c>
      <c r="D443" s="1" t="s">
        <v>38</v>
      </c>
      <c r="E443" s="1" t="s">
        <v>274</v>
      </c>
      <c r="F443" s="1"/>
      <c r="G443" s="1" t="n">
        <v>110</v>
      </c>
      <c r="H443" s="2" t="n">
        <v>0</v>
      </c>
      <c r="I443" s="2" t="n">
        <f aca="false">(((H443 / 800) / IF(ISBLANK(R443), 1000000, IF(ISNA(VLOOKUP(R443, Mileages!$A$2:$C$34, 2, 0)), R443, VLOOKUP(R443, Mileages!$A$2:$C$34, 2, 0)))) + (F443 * IF(ISBLANK(P443), 1, P443) * IF(ISBLANK(T443), 0, IF(ISNA(VLOOKUP(T443, 'Fuel Costs'!$A$2:$C$42, 2, 0)), T443, VLOOKUP(T443, 'Fuel Costs'!$A$2:$C$42, 2, 0))) / IF(ISBLANK(O443), 1, O443))) * 100</f>
        <v>0</v>
      </c>
      <c r="J443" s="2" t="n">
        <f aca="false">((H443 / 800) / (IF(ISBLANK(S443), 100, IF(ISNA(VLOOKUP(S443, Lives!$A$2:$C$35, 2, 0)), S443, VLOOKUP(S443, Lives!$A$2:$C$35, 2, 0))) * 12) + (IF(ISBLANK(Q443), 0, IF(ISNA(VLOOKUP(Q443, Wages!$A$2:$C$17, 2, 0)), Q443, VLOOKUP(Q443, Wages!$A$2:$C$17, 2, 0))) * IF(ISBLANK(N443), 0, IF(ISNA(VLOOKUP(N443, Crews!$A$2:$C$28, 2, 0)), N443, VLOOKUP(N443, Crews!$A$2:$C$28, 2, 0))))) * 400</f>
        <v>0</v>
      </c>
      <c r="K443" s="1"/>
      <c r="L443" s="1" t="s">
        <v>915</v>
      </c>
      <c r="M443" s="1" t="n">
        <v>1</v>
      </c>
      <c r="N443" s="1"/>
      <c r="O443" s="1"/>
      <c r="P443" s="1"/>
      <c r="Q443" s="1"/>
      <c r="R443" s="1"/>
      <c r="S443" s="1"/>
      <c r="T443" s="1"/>
    </row>
    <row r="444" customFormat="false" ht="15" hidden="false" customHeight="true" outlineLevel="0" collapsed="false">
      <c r="A444" s="1" t="s">
        <v>917</v>
      </c>
      <c r="B444" s="1" t="n">
        <v>1863</v>
      </c>
      <c r="C444" s="1" t="n">
        <v>7</v>
      </c>
      <c r="D444" s="1" t="s">
        <v>157</v>
      </c>
      <c r="E444" s="1"/>
      <c r="F444" s="1"/>
      <c r="G444" s="1" t="n">
        <v>60</v>
      </c>
      <c r="H444" s="2" t="n">
        <v>275000</v>
      </c>
      <c r="I444" s="2" t="n">
        <f aca="false">(((H444 / 800) / IF(ISBLANK(R444), 1000000, IF(ISNA(VLOOKUP(R444, Mileages!$A$2:$C$34, 2, 0)), R444, VLOOKUP(R444, Mileages!$A$2:$C$34, 2, 0)))) + (F444 * IF(ISBLANK(P444), 1, P444) * IF(ISBLANK(T444), 0, IF(ISNA(VLOOKUP(T444, 'Fuel Costs'!$A$2:$C$42, 2, 0)), T444, VLOOKUP(T444, 'Fuel Costs'!$A$2:$C$42, 2, 0))) / IF(ISBLANK(O444), 1, O444))) * 100</f>
        <v>0.02864583333</v>
      </c>
      <c r="J444" s="2" t="n">
        <f aca="false">((H444 / 800) / (IF(ISBLANK(S444), 100, IF(ISNA(VLOOKUP(S444, Lives!$A$2:$C$35, 2, 0)), S444, VLOOKUP(S444, Lives!$A$2:$C$35, 2, 0))) * 12) + (IF(ISBLANK(Q444), 0, IF(ISNA(VLOOKUP(Q444, Wages!$A$2:$C$17, 2, 0)), Q444, VLOOKUP(Q444, Wages!$A$2:$C$17, 2, 0))) * IF(ISBLANK(N444), 0, IF(ISNA(VLOOKUP(N444, Crews!$A$2:$C$28, 2, 0)), N444, VLOOKUP(N444, Crews!$A$2:$C$28, 2, 0))))) * 400</f>
        <v>327.3809524</v>
      </c>
      <c r="K444" s="3" t="s">
        <v>918</v>
      </c>
      <c r="L444" s="1" t="s">
        <v>919</v>
      </c>
      <c r="M444" s="1" t="n">
        <v>0</v>
      </c>
      <c r="N444" s="1"/>
      <c r="O444" s="1"/>
      <c r="P444" s="1"/>
      <c r="Q444" s="1"/>
      <c r="R444" s="1" t="s">
        <v>689</v>
      </c>
      <c r="S444" s="1" t="s">
        <v>856</v>
      </c>
      <c r="T444" s="1"/>
    </row>
    <row r="445" customFormat="false" ht="15" hidden="false" customHeight="true" outlineLevel="0" collapsed="false">
      <c r="A445" s="1" t="s">
        <v>920</v>
      </c>
      <c r="B445" s="1" t="n">
        <v>1863</v>
      </c>
      <c r="C445" s="1" t="n">
        <v>8</v>
      </c>
      <c r="D445" s="1" t="s">
        <v>157</v>
      </c>
      <c r="E445" s="1" t="s">
        <v>274</v>
      </c>
      <c r="F445" s="1" t="n">
        <v>14</v>
      </c>
      <c r="G445" s="1" t="n">
        <v>45</v>
      </c>
      <c r="H445" s="2" t="n">
        <v>1726769</v>
      </c>
      <c r="I445" s="2" t="n">
        <f aca="false">(((H445 / 800) / IF(ISBLANK(R445), 1000000, IF(ISNA(VLOOKUP(R445, Mileages!$A$2:$C$34, 2, 0)), R445, VLOOKUP(R445, Mileages!$A$2:$C$34, 2, 0)))) + (F445 * IF(ISBLANK(P445), 1, P445) * IF(ISBLANK(T445), 0, IF(ISNA(VLOOKUP(T445, 'Fuel Costs'!$A$2:$C$42, 2, 0)), T445, VLOOKUP(T445, 'Fuel Costs'!$A$2:$C$42, 2, 0))) / IF(ISBLANK(O445), 1, O445))) * 100</f>
        <v>11.41584613</v>
      </c>
      <c r="J445" s="2" t="n">
        <f aca="false">((H445 / 800) / (IF(ISBLANK(S445), 100, IF(ISNA(VLOOKUP(S445, Lives!$A$2:$C$35, 2, 0)), S445, VLOOKUP(S445, Lives!$A$2:$C$35, 2, 0))) * 12) + (IF(ISBLANK(Q445), 0, IF(ISNA(VLOOKUP(Q445, Wages!$A$2:$C$17, 2, 0)), Q445, VLOOKUP(Q445, Wages!$A$2:$C$17, 2, 0))) * IF(ISBLANK(N445), 0, IF(ISNA(VLOOKUP(N445, Crews!$A$2:$C$28, 2, 0)), N445, VLOOKUP(N445, Crews!$A$2:$C$28, 2, 0))))) * 400</f>
        <v>17438.97417</v>
      </c>
      <c r="K445" s="3" t="s">
        <v>921</v>
      </c>
      <c r="L445" s="1" t="s">
        <v>922</v>
      </c>
      <c r="M445" s="1" t="n">
        <v>0</v>
      </c>
      <c r="N445" s="1" t="s">
        <v>283</v>
      </c>
      <c r="O445" s="1" t="n">
        <v>0.5</v>
      </c>
      <c r="P445" s="1"/>
      <c r="Q445" s="1" t="s">
        <v>284</v>
      </c>
      <c r="R445" s="1" t="s">
        <v>677</v>
      </c>
      <c r="S445" s="1" t="s">
        <v>677</v>
      </c>
      <c r="T445" s="1" t="s">
        <v>923</v>
      </c>
    </row>
    <row r="446" customFormat="false" ht="15" hidden="false" customHeight="true" outlineLevel="0" collapsed="false">
      <c r="A446" s="1" t="s">
        <v>924</v>
      </c>
      <c r="B446" s="1" t="n">
        <v>1863</v>
      </c>
      <c r="C446" s="1" t="n">
        <v>8</v>
      </c>
      <c r="D446" s="1" t="s">
        <v>157</v>
      </c>
      <c r="E446" s="1" t="s">
        <v>274</v>
      </c>
      <c r="F446" s="1"/>
      <c r="G446" s="1" t="n">
        <v>45</v>
      </c>
      <c r="H446" s="2" t="n">
        <v>0</v>
      </c>
      <c r="I446" s="2" t="n">
        <v>0</v>
      </c>
      <c r="J446" s="2"/>
      <c r="K446" s="3" t="s">
        <v>925</v>
      </c>
      <c r="L446" s="1" t="s">
        <v>922</v>
      </c>
      <c r="M446" s="1" t="n">
        <v>1</v>
      </c>
      <c r="N446" s="1"/>
      <c r="O446" s="1"/>
      <c r="P446" s="1"/>
      <c r="Q446" s="1"/>
      <c r="R446" s="1" t="s">
        <v>689</v>
      </c>
      <c r="S446" s="1"/>
      <c r="T446" s="1"/>
    </row>
    <row r="447" customFormat="false" ht="15" hidden="false" customHeight="true" outlineLevel="0" collapsed="false">
      <c r="A447" s="1" t="s">
        <v>926</v>
      </c>
      <c r="B447" s="1" t="n">
        <v>1863</v>
      </c>
      <c r="C447" s="1" t="n">
        <v>11</v>
      </c>
      <c r="D447" s="1" t="s">
        <v>38</v>
      </c>
      <c r="E447" s="1" t="s">
        <v>274</v>
      </c>
      <c r="F447" s="1" t="n">
        <v>149</v>
      </c>
      <c r="G447" s="1" t="n">
        <v>85</v>
      </c>
      <c r="H447" s="2" t="n">
        <v>7310000</v>
      </c>
      <c r="I447" s="2" t="n">
        <f aca="false">(((H447 / 800) / IF(ISBLANK(R447), 1000000, IF(ISNA(VLOOKUP(R447, Mileages!$A$2:$C$34, 2, 0)), R447, VLOOKUP(R447, Mileages!$A$2:$C$34, 2, 0)))) + (F447 * IF(ISBLANK(P447), 1, P447) * IF(ISBLANK(T447), 0, IF(ISNA(VLOOKUP(T447, 'Fuel Costs'!$A$2:$C$42, 2, 0)), T447, VLOOKUP(T447, 'Fuel Costs'!$A$2:$C$42, 2, 0))) / IF(ISBLANK(O447), 1, O447))) * 100</f>
        <v>149.91375</v>
      </c>
      <c r="J447" s="2" t="n">
        <f aca="false">((H447 / 800) / (IF(ISBLANK(S447), 100, IF(ISNA(VLOOKUP(S447, Lives!$A$2:$C$35, 2, 0)), S447, VLOOKUP(S447, Lives!$A$2:$C$35, 2, 0))) * 12) + (IF(ISBLANK(Q447), 0, IF(ISNA(VLOOKUP(Q447, Wages!$A$2:$C$17, 2, 0)), Q447, VLOOKUP(Q447, Wages!$A$2:$C$17, 2, 0))) * IF(ISBLANK(N447), 0, IF(ISNA(VLOOKUP(N447, Crews!$A$2:$C$28, 2, 0)), N447, VLOOKUP(N447, Crews!$A$2:$C$28, 2, 0))))) * 400</f>
        <v>30091.66667</v>
      </c>
      <c r="K447" s="3" t="s">
        <v>927</v>
      </c>
      <c r="L447" s="1" t="s">
        <v>928</v>
      </c>
      <c r="M447" s="1" t="n">
        <v>0</v>
      </c>
      <c r="N447" s="1" t="s">
        <v>590</v>
      </c>
      <c r="O447" s="1" t="n">
        <v>0.6</v>
      </c>
      <c r="P447" s="1"/>
      <c r="Q447" s="5" t="s">
        <v>284</v>
      </c>
      <c r="R447" s="1" t="s">
        <v>677</v>
      </c>
      <c r="S447" s="1" t="s">
        <v>677</v>
      </c>
      <c r="T447" s="1" t="s">
        <v>889</v>
      </c>
    </row>
    <row r="448" customFormat="false" ht="15" hidden="false" customHeight="true" outlineLevel="0" collapsed="false">
      <c r="A448" s="1" t="s">
        <v>929</v>
      </c>
      <c r="B448" s="1" t="n">
        <v>1863</v>
      </c>
      <c r="C448" s="1" t="n">
        <v>12</v>
      </c>
      <c r="D448" s="1" t="s">
        <v>38</v>
      </c>
      <c r="E448" s="1" t="s">
        <v>274</v>
      </c>
      <c r="F448" s="1" t="n">
        <v>273</v>
      </c>
      <c r="G448" s="1" t="n">
        <v>85</v>
      </c>
      <c r="H448" s="2" t="n">
        <f aca="false">6651000*2</f>
        <v>13302000</v>
      </c>
      <c r="I448" s="2" t="n">
        <f aca="false">(((H448 / 800) / IF(ISBLANK(R448), 1000000, IF(ISNA(VLOOKUP(R448, Mileages!$A$2:$C$34, 2, 0)), R448, VLOOKUP(R448, Mileages!$A$2:$C$34, 2, 0)))) + (F448 * IF(ISBLANK(P448), 1, P448) * IF(ISBLANK(T448), 0, IF(ISNA(VLOOKUP(T448, 'Fuel Costs'!$A$2:$C$42, 2, 0)), T448, VLOOKUP(T448, 'Fuel Costs'!$A$2:$C$42, 2, 0))) / IF(ISBLANK(O448), 1, O448))) * 100</f>
        <v>274.66275</v>
      </c>
      <c r="J448" s="2" t="n">
        <f aca="false">((H448 / 800) / (IF(ISBLANK(S448), 100, IF(ISNA(VLOOKUP(S448, Lives!$A$2:$C$35, 2, 0)), S448, VLOOKUP(S448, Lives!$A$2:$C$35, 2, 0))) * 12) + (IF(ISBLANK(Q448), 0, IF(ISNA(VLOOKUP(Q448, Wages!$A$2:$C$17, 2, 0)), Q448, VLOOKUP(Q448, Wages!$A$2:$C$17, 2, 0))) * IF(ISBLANK(N448), 0, IF(ISNA(VLOOKUP(N448, Crews!$A$2:$C$28, 2, 0)), N448, VLOOKUP(N448, Crews!$A$2:$C$28, 2, 0))))) * 400</f>
        <v>35085</v>
      </c>
      <c r="K448" s="3" t="s">
        <v>930</v>
      </c>
      <c r="L448" s="1" t="s">
        <v>931</v>
      </c>
      <c r="M448" s="1" t="n">
        <v>0</v>
      </c>
      <c r="N448" s="1" t="s">
        <v>590</v>
      </c>
      <c r="O448" s="1" t="n">
        <v>0.6</v>
      </c>
      <c r="P448" s="1"/>
      <c r="Q448" s="5" t="s">
        <v>284</v>
      </c>
      <c r="R448" s="1" t="s">
        <v>677</v>
      </c>
      <c r="S448" s="1" t="s">
        <v>677</v>
      </c>
      <c r="T448" s="1" t="s">
        <v>889</v>
      </c>
    </row>
    <row r="449" customFormat="false" ht="15" hidden="false" customHeight="true" outlineLevel="0" collapsed="false">
      <c r="A449" s="1" t="s">
        <v>932</v>
      </c>
      <c r="B449" s="1" t="n">
        <v>1863</v>
      </c>
      <c r="C449" s="1" t="n">
        <v>12</v>
      </c>
      <c r="D449" s="1" t="s">
        <v>38</v>
      </c>
      <c r="E449" s="1"/>
      <c r="F449" s="1" t="n">
        <v>0</v>
      </c>
      <c r="G449" s="1" t="n">
        <v>145</v>
      </c>
      <c r="H449" s="2" t="n">
        <v>0</v>
      </c>
      <c r="I449" s="2" t="n">
        <f aca="false">(((H449 / 800) / IF(ISBLANK(R449), 1000000, IF(ISNA(VLOOKUP(R449, Mileages!$A$2:$C$34, 2, 0)), R449, VLOOKUP(R449, Mileages!$A$2:$C$34, 2, 0)))) + (F449 * IF(ISBLANK(P449), 1, P449) * IF(ISBLANK(T449), 0, IF(ISNA(VLOOKUP(T449, 'Fuel Costs'!$A$2:$C$42, 2, 0)), T449, VLOOKUP(T449, 'Fuel Costs'!$A$2:$C$42, 2, 0))) / IF(ISBLANK(O449), 1, O449))) * 100</f>
        <v>0</v>
      </c>
      <c r="J449" s="2" t="n">
        <f aca="false">((H449 / 800) / (IF(ISBLANK(S449), 100, IF(ISNA(VLOOKUP(S449, Lives!$A$2:$C$35, 2, 0)), S449, VLOOKUP(S449, Lives!$A$2:$C$35, 2, 0))) * 12) + (IF(ISBLANK(Q449), 0, IF(ISNA(VLOOKUP(Q449, Wages!$A$2:$C$17, 2, 0)), Q449, VLOOKUP(Q449, Wages!$A$2:$C$17, 2, 0))) * IF(ISBLANK(N449), 0, IF(ISNA(VLOOKUP(N449, Crews!$A$2:$C$28, 2, 0)), N449, VLOOKUP(N449, Crews!$A$2:$C$28, 2, 0))))) * 400</f>
        <v>0</v>
      </c>
      <c r="K449" s="1"/>
      <c r="L449" s="1" t="s">
        <v>933</v>
      </c>
      <c r="M449" s="1" t="n">
        <v>0</v>
      </c>
      <c r="N449" s="1"/>
      <c r="O449" s="1"/>
      <c r="P449" s="1"/>
      <c r="Q449" s="1"/>
      <c r="R449" s="1"/>
      <c r="S449" s="1"/>
      <c r="T449" s="1"/>
    </row>
    <row r="450" customFormat="false" ht="15" hidden="false" customHeight="true" outlineLevel="0" collapsed="false">
      <c r="A450" s="1" t="s">
        <v>934</v>
      </c>
      <c r="B450" s="1" t="n">
        <v>1864</v>
      </c>
      <c r="C450" s="1" t="n">
        <v>1</v>
      </c>
      <c r="D450" s="1" t="s">
        <v>29</v>
      </c>
      <c r="E450" s="1" t="s">
        <v>274</v>
      </c>
      <c r="F450" s="1" t="n">
        <v>1000</v>
      </c>
      <c r="G450" s="1" t="n">
        <v>25</v>
      </c>
      <c r="H450" s="2" t="n">
        <f aca="false">273750*20</f>
        <v>5475000</v>
      </c>
      <c r="I450" s="2" t="n">
        <f aca="false">(((H450 / 800) / IF(ISBLANK(R450), 1000000, IF(ISNA(VLOOKUP(R450, Mileages!$A$2:$C$34, 2, 0)), R450, VLOOKUP(R450, Mileages!$A$2:$C$34, 2, 0)))) + (F450 * IF(ISBLANK(P450), 1, P450) * IF(ISBLANK(T450), 0, IF(ISNA(VLOOKUP(T450, 'Fuel Costs'!$A$2:$C$42, 2, 0)), T450, VLOOKUP(T450, 'Fuel Costs'!$A$2:$C$42, 2, 0))) / IF(ISBLANK(O450), 1, O450))) * 100</f>
        <v>14.1421875</v>
      </c>
      <c r="J450" s="2" t="n">
        <f aca="false">((H450 / 800) / (IF(ISBLANK(S450), 100, IF(ISNA(VLOOKUP(S450, Lives!$A$2:$C$35, 2, 0)), S450, VLOOKUP(S450, Lives!$A$2:$C$35, 2, 0))) * 12) + (IF(ISBLANK(Q450), 0, IF(ISNA(VLOOKUP(Q450, Wages!$A$2:$C$17, 2, 0)), Q450, VLOOKUP(Q450, Wages!$A$2:$C$17, 2, 0))) * IF(ISBLANK(N450), 0, IF(ISNA(VLOOKUP(N450, Crews!$A$2:$C$28, 2, 0)), N450, VLOOKUP(N450, Crews!$A$2:$C$28, 2, 0))))) * 400</f>
        <v>18281.25</v>
      </c>
      <c r="K450" s="3" t="s">
        <v>935</v>
      </c>
      <c r="L450" s="1" t="s">
        <v>936</v>
      </c>
      <c r="M450" s="1" t="n">
        <v>1</v>
      </c>
      <c r="N450" s="1" t="s">
        <v>33</v>
      </c>
      <c r="O450" s="1" t="n">
        <v>1</v>
      </c>
      <c r="P450" s="1" t="n">
        <v>0.023</v>
      </c>
      <c r="Q450" s="1" t="s">
        <v>34</v>
      </c>
      <c r="R450" s="1" t="s">
        <v>574</v>
      </c>
      <c r="S450" s="1" t="s">
        <v>574</v>
      </c>
      <c r="T450" s="1" t="s">
        <v>889</v>
      </c>
    </row>
    <row r="451" customFormat="false" ht="15" hidden="false" customHeight="true" outlineLevel="0" collapsed="false">
      <c r="A451" s="1" t="s">
        <v>937</v>
      </c>
      <c r="B451" s="1" t="n">
        <v>1864</v>
      </c>
      <c r="C451" s="1" t="n">
        <v>2</v>
      </c>
      <c r="D451" s="1" t="s">
        <v>38</v>
      </c>
      <c r="E451" s="1" t="s">
        <v>274</v>
      </c>
      <c r="F451" s="1" t="n">
        <v>170</v>
      </c>
      <c r="G451" s="1" t="n">
        <v>122</v>
      </c>
      <c r="H451" s="2" t="n">
        <f aca="false">6972000*3</f>
        <v>20916000</v>
      </c>
      <c r="I451" s="2" t="n">
        <f aca="false">(((H451 / 800) / IF(ISBLANK(R451), 1000000, IF(ISNA(VLOOKUP(R451, Mileages!$A$2:$C$34, 2, 0)), R451, VLOOKUP(R451, Mileages!$A$2:$C$34, 2, 0)))) + (F451 * IF(ISBLANK(P451), 1, P451) * IF(ISBLANK(T451), 0, IF(ISNA(VLOOKUP(T451, 'Fuel Costs'!$A$2:$C$42, 2, 0)), T451, VLOOKUP(T451, 'Fuel Costs'!$A$2:$C$42, 2, 0))) / IF(ISBLANK(O451), 1, O451))) * 100</f>
        <v>206.6145</v>
      </c>
      <c r="J451" s="2" t="n">
        <f aca="false">((H451 / 800) / (IF(ISBLANK(S451), 100, IF(ISNA(VLOOKUP(S451, Lives!$A$2:$C$35, 2, 0)), S451, VLOOKUP(S451, Lives!$A$2:$C$35, 2, 0))) * 12) + (IF(ISBLANK(Q451), 0, IF(ISNA(VLOOKUP(Q451, Wages!$A$2:$C$17, 2, 0)), Q451, VLOOKUP(Q451, Wages!$A$2:$C$17, 2, 0))) * IF(ISBLANK(N451), 0, IF(ISNA(VLOOKUP(N451, Crews!$A$2:$C$28, 2, 0)), N451, VLOOKUP(N451, Crews!$A$2:$C$28, 2, 0))))) * 400</f>
        <v>41430</v>
      </c>
      <c r="K451" s="3" t="s">
        <v>938</v>
      </c>
      <c r="L451" s="1" t="s">
        <v>939</v>
      </c>
      <c r="M451" s="1" t="n">
        <v>0</v>
      </c>
      <c r="N451" s="1" t="s">
        <v>590</v>
      </c>
      <c r="O451" s="1" t="n">
        <v>0.5</v>
      </c>
      <c r="P451" s="1"/>
      <c r="Q451" s="5" t="s">
        <v>284</v>
      </c>
      <c r="R451" s="1" t="s">
        <v>677</v>
      </c>
      <c r="S451" s="1" t="s">
        <v>677</v>
      </c>
      <c r="T451" s="1" t="s">
        <v>889</v>
      </c>
    </row>
    <row r="452" customFormat="false" ht="15" hidden="false" customHeight="true" outlineLevel="0" collapsed="false">
      <c r="A452" s="1" t="s">
        <v>940</v>
      </c>
      <c r="B452" s="1" t="n">
        <v>1864</v>
      </c>
      <c r="C452" s="1" t="n">
        <v>6</v>
      </c>
      <c r="D452" s="1" t="s">
        <v>38</v>
      </c>
      <c r="E452" s="1" t="s">
        <v>274</v>
      </c>
      <c r="F452" s="1" t="n">
        <v>208</v>
      </c>
      <c r="G452" s="1" t="n">
        <v>95</v>
      </c>
      <c r="H452" s="2" t="n">
        <v>8750000</v>
      </c>
      <c r="I452" s="2" t="n">
        <f aca="false">(((H452 / 800) / IF(ISBLANK(R452), 1000000, IF(ISNA(VLOOKUP(R452, Mileages!$A$2:$C$34, 2, 0)), R452, VLOOKUP(R452, Mileages!$A$2:$C$34, 2, 0)))) + (F452 * IF(ISBLANK(P452), 1, P452) * IF(ISBLANK(T452), 0, IF(ISNA(VLOOKUP(T452, 'Fuel Costs'!$A$2:$C$42, 2, 0)), T452, VLOOKUP(T452, 'Fuel Costs'!$A$2:$C$42, 2, 0))) / IF(ISBLANK(O452), 1, O452))) * 100</f>
        <v>250.69375</v>
      </c>
      <c r="J452" s="2" t="n">
        <f aca="false">((H452 / 800) / (IF(ISBLANK(S452), 100, IF(ISNA(VLOOKUP(S452, Lives!$A$2:$C$35, 2, 0)), S452, VLOOKUP(S452, Lives!$A$2:$C$35, 2, 0))) * 12) + (IF(ISBLANK(Q452), 0, IF(ISNA(VLOOKUP(Q452, Wages!$A$2:$C$17, 2, 0)), Q452, VLOOKUP(Q452, Wages!$A$2:$C$17, 2, 0))) * IF(ISBLANK(N452), 0, IF(ISNA(VLOOKUP(N452, Crews!$A$2:$C$28, 2, 0)), N452, VLOOKUP(N452, Crews!$A$2:$C$28, 2, 0))))) * 400</f>
        <v>31291.66667</v>
      </c>
      <c r="K452" s="3" t="s">
        <v>941</v>
      </c>
      <c r="L452" s="1" t="s">
        <v>942</v>
      </c>
      <c r="M452" s="1" t="n">
        <v>0</v>
      </c>
      <c r="N452" s="1" t="s">
        <v>590</v>
      </c>
      <c r="O452" s="1" t="n">
        <v>0.5</v>
      </c>
      <c r="P452" s="1"/>
      <c r="Q452" s="5" t="s">
        <v>284</v>
      </c>
      <c r="R452" s="1" t="s">
        <v>677</v>
      </c>
      <c r="S452" s="1" t="s">
        <v>677</v>
      </c>
      <c r="T452" s="1" t="s">
        <v>889</v>
      </c>
    </row>
    <row r="453" customFormat="false" ht="15" hidden="false" customHeight="true" outlineLevel="0" collapsed="false">
      <c r="A453" s="1" t="s">
        <v>943</v>
      </c>
      <c r="B453" s="1" t="n">
        <v>1864</v>
      </c>
      <c r="C453" s="1" t="n">
        <v>6</v>
      </c>
      <c r="D453" s="1" t="s">
        <v>38</v>
      </c>
      <c r="E453" s="1" t="s">
        <v>274</v>
      </c>
      <c r="F453" s="1" t="n">
        <v>138</v>
      </c>
      <c r="G453" s="1" t="n">
        <v>115</v>
      </c>
      <c r="H453" s="2" t="n">
        <f aca="false">7960000*2</f>
        <v>15920000</v>
      </c>
      <c r="I453" s="2" t="n">
        <f aca="false">(((H453 / 800) / IF(ISBLANK(R453), 1000000, IF(ISNA(VLOOKUP(R453, Mileages!$A$2:$C$34, 2, 0)), R453, VLOOKUP(R453, Mileages!$A$2:$C$34, 2, 0)))) + (F453 * IF(ISBLANK(P453), 1, P453) * IF(ISBLANK(T453), 0, IF(ISNA(VLOOKUP(T453, 'Fuel Costs'!$A$2:$C$42, 2, 0)), T453, VLOOKUP(T453, 'Fuel Costs'!$A$2:$C$42, 2, 0))) / IF(ISBLANK(O453), 1, O453))) * 100</f>
        <v>167.59</v>
      </c>
      <c r="J453" s="2" t="n">
        <f aca="false">((H453 / 800) / (IF(ISBLANK(S453), 100, IF(ISNA(VLOOKUP(S453, Lives!$A$2:$C$35, 2, 0)), S453, VLOOKUP(S453, Lives!$A$2:$C$35, 2, 0))) * 12) + (IF(ISBLANK(Q453), 0, IF(ISNA(VLOOKUP(Q453, Wages!$A$2:$C$17, 2, 0)), Q453, VLOOKUP(Q453, Wages!$A$2:$C$17, 2, 0))) * IF(ISBLANK(N453), 0, IF(ISNA(VLOOKUP(N453, Crews!$A$2:$C$28, 2, 0)), N453, VLOOKUP(N453, Crews!$A$2:$C$28, 2, 0))))) * 400</f>
        <v>37266.66667</v>
      </c>
      <c r="K453" s="3" t="s">
        <v>944</v>
      </c>
      <c r="L453" s="1" t="s">
        <v>945</v>
      </c>
      <c r="M453" s="1" t="n">
        <v>0</v>
      </c>
      <c r="N453" s="1" t="s">
        <v>590</v>
      </c>
      <c r="O453" s="1" t="n">
        <v>0.5</v>
      </c>
      <c r="P453" s="1"/>
      <c r="Q453" s="5" t="s">
        <v>284</v>
      </c>
      <c r="R453" s="1" t="s">
        <v>677</v>
      </c>
      <c r="S453" s="1" t="s">
        <v>677</v>
      </c>
      <c r="T453" s="1" t="s">
        <v>889</v>
      </c>
    </row>
    <row r="454" customFormat="false" ht="15" hidden="false" customHeight="true" outlineLevel="0" collapsed="false">
      <c r="A454" s="1" t="s">
        <v>946</v>
      </c>
      <c r="B454" s="1" t="n">
        <v>1864</v>
      </c>
      <c r="C454" s="1" t="n">
        <v>10</v>
      </c>
      <c r="D454" s="1" t="s">
        <v>38</v>
      </c>
      <c r="E454" s="1" t="s">
        <v>274</v>
      </c>
      <c r="F454" s="1" t="n">
        <v>151</v>
      </c>
      <c r="G454" s="1" t="n">
        <v>120</v>
      </c>
      <c r="H454" s="2" t="n">
        <f aca="false">8750000*2</f>
        <v>17500000</v>
      </c>
      <c r="I454" s="2" t="n">
        <f aca="false">(((H454 / 800) / IF(ISBLANK(R454), 1000000, IF(ISNA(VLOOKUP(R454, Mileages!$A$2:$C$34, 2, 0)), R454, VLOOKUP(R454, Mileages!$A$2:$C$34, 2, 0)))) + (F454 * IF(ISBLANK(P454), 1, P454) * IF(ISBLANK(T454), 0, IF(ISNA(VLOOKUP(T454, 'Fuel Costs'!$A$2:$C$42, 2, 0)), T454, VLOOKUP(T454, 'Fuel Costs'!$A$2:$C$42, 2, 0))) / IF(ISBLANK(O454), 1, O454))) * 100</f>
        <v>183.3875</v>
      </c>
      <c r="J454" s="2" t="n">
        <f aca="false">((H454 / 800) / (IF(ISBLANK(S454), 100, IF(ISNA(VLOOKUP(S454, Lives!$A$2:$C$35, 2, 0)), S454, VLOOKUP(S454, Lives!$A$2:$C$35, 2, 0))) * 12) + (IF(ISBLANK(Q454), 0, IF(ISNA(VLOOKUP(Q454, Wages!$A$2:$C$17, 2, 0)), Q454, VLOOKUP(Q454, Wages!$A$2:$C$17, 2, 0))) * IF(ISBLANK(N454), 0, IF(ISNA(VLOOKUP(N454, Crews!$A$2:$C$28, 2, 0)), N454, VLOOKUP(N454, Crews!$A$2:$C$28, 2, 0))))) * 400</f>
        <v>38583.33333</v>
      </c>
      <c r="K454" s="3" t="s">
        <v>849</v>
      </c>
      <c r="L454" s="1" t="s">
        <v>947</v>
      </c>
      <c r="M454" s="1" t="n">
        <v>0</v>
      </c>
      <c r="N454" s="1" t="s">
        <v>590</v>
      </c>
      <c r="O454" s="1" t="n">
        <v>0.5</v>
      </c>
      <c r="P454" s="1"/>
      <c r="Q454" s="5" t="s">
        <v>284</v>
      </c>
      <c r="R454" s="1" t="s">
        <v>677</v>
      </c>
      <c r="S454" s="1" t="s">
        <v>677</v>
      </c>
      <c r="T454" s="1" t="s">
        <v>889</v>
      </c>
    </row>
    <row r="455" customFormat="false" ht="15" hidden="false" customHeight="true" outlineLevel="0" collapsed="false">
      <c r="A455" s="1" t="s">
        <v>948</v>
      </c>
      <c r="B455" s="1" t="n">
        <v>1865</v>
      </c>
      <c r="C455" s="1" t="n">
        <v>3</v>
      </c>
      <c r="D455" s="1" t="s">
        <v>38</v>
      </c>
      <c r="E455" s="1"/>
      <c r="F455" s="1"/>
      <c r="G455" s="1" t="n">
        <v>80</v>
      </c>
      <c r="H455" s="2" t="n">
        <v>90000</v>
      </c>
      <c r="I455" s="2" t="n">
        <f aca="false">(((H455 / 800) / IF(ISBLANK(R455), 1000000, IF(ISNA(VLOOKUP(R455, Mileages!$A$2:$C$34, 2, 0)), R455, VLOOKUP(R455, Mileages!$A$2:$C$34, 2, 0)))) + (F455 * IF(ISBLANK(P455), 1, P455) * IF(ISBLANK(T455), 0, IF(ISNA(VLOOKUP(T455, 'Fuel Costs'!$A$2:$C$42, 2, 0)), T455, VLOOKUP(T455, 'Fuel Costs'!$A$2:$C$42, 2, 0))) / IF(ISBLANK(O455), 1, O455))) * 100</f>
        <v>0.009375</v>
      </c>
      <c r="J455" s="2" t="n">
        <f aca="false">((H455 / 800) / (IF(ISBLANK(S455), 100, IF(ISNA(VLOOKUP(S455, Lives!$A$2:$C$35, 2, 0)), S455, VLOOKUP(S455, Lives!$A$2:$C$35, 2, 0))) * 12) + (IF(ISBLANK(Q455), 0, IF(ISNA(VLOOKUP(Q455, Wages!$A$2:$C$17, 2, 0)), Q455, VLOOKUP(Q455, Wages!$A$2:$C$17, 2, 0))) * IF(ISBLANK(N455), 0, IF(ISNA(VLOOKUP(N455, Crews!$A$2:$C$28, 2, 0)), N455, VLOOKUP(N455, Crews!$A$2:$C$28, 2, 0))))) * 400</f>
        <v>37.5</v>
      </c>
      <c r="K455" s="1" t="s">
        <v>949</v>
      </c>
      <c r="L455" s="1" t="s">
        <v>950</v>
      </c>
      <c r="M455" s="1" t="n">
        <v>0</v>
      </c>
      <c r="N455" s="1"/>
      <c r="O455" s="1"/>
      <c r="P455" s="1"/>
      <c r="Q455" s="1"/>
      <c r="R455" s="1" t="s">
        <v>689</v>
      </c>
      <c r="S455" s="5" t="s">
        <v>389</v>
      </c>
      <c r="T455" s="1"/>
    </row>
    <row r="456" customFormat="false" ht="15" hidden="false" customHeight="true" outlineLevel="0" collapsed="false">
      <c r="A456" s="1" t="s">
        <v>951</v>
      </c>
      <c r="B456" s="1" t="n">
        <v>1866</v>
      </c>
      <c r="C456" s="1" t="n">
        <v>4</v>
      </c>
      <c r="D456" s="1" t="s">
        <v>29</v>
      </c>
      <c r="E456" s="1"/>
      <c r="F456" s="1"/>
      <c r="G456" s="1" t="n">
        <v>25</v>
      </c>
      <c r="H456" s="2" t="n">
        <v>0</v>
      </c>
      <c r="I456" s="2" t="n">
        <v>0</v>
      </c>
      <c r="J456" s="2"/>
      <c r="K456" s="1"/>
      <c r="L456" s="1" t="s">
        <v>279</v>
      </c>
      <c r="M456" s="1" t="n">
        <v>5</v>
      </c>
      <c r="N456" s="1"/>
      <c r="O456" s="1"/>
      <c r="P456" s="1"/>
      <c r="Q456" s="1"/>
      <c r="R456" s="1"/>
      <c r="S456" s="1"/>
      <c r="T456" s="1"/>
    </row>
    <row r="457" customFormat="false" ht="15" hidden="false" customHeight="true" outlineLevel="0" collapsed="false">
      <c r="A457" s="1" t="s">
        <v>952</v>
      </c>
      <c r="B457" s="1" t="n">
        <v>1866</v>
      </c>
      <c r="C457" s="1" t="n">
        <v>2</v>
      </c>
      <c r="D457" s="1" t="s">
        <v>38</v>
      </c>
      <c r="E457" s="1" t="s">
        <v>274</v>
      </c>
      <c r="F457" s="1" t="n">
        <v>167</v>
      </c>
      <c r="G457" s="1" t="n">
        <v>115</v>
      </c>
      <c r="H457" s="2" t="n">
        <f aca="false">6972000*2</f>
        <v>13944000</v>
      </c>
      <c r="I457" s="2" t="n">
        <f aca="false">(((H457 / 800) / IF(ISBLANK(R457), 1000000, IF(ISNA(VLOOKUP(R457, Mileages!$A$2:$C$34, 2, 0)), R457, VLOOKUP(R457, Mileages!$A$2:$C$34, 2, 0)))) + (F457 * IF(ISBLANK(P457), 1, P457) * IF(ISBLANK(T457), 0, IF(ISNA(VLOOKUP(T457, 'Fuel Costs'!$A$2:$C$42, 2, 0)), T457, VLOOKUP(T457, 'Fuel Costs'!$A$2:$C$42, 2, 0))) / IF(ISBLANK(O457), 1, O457))) * 100</f>
        <v>202.143</v>
      </c>
      <c r="J457" s="2" t="n">
        <f aca="false">((H457 / 800) / (IF(ISBLANK(S457), 100, IF(ISNA(VLOOKUP(S457, Lives!$A$2:$C$35, 2, 0)), S457, VLOOKUP(S457, Lives!$A$2:$C$35, 2, 0))) * 12) + (IF(ISBLANK(Q457), 0, IF(ISNA(VLOOKUP(Q457, Wages!$A$2:$C$17, 2, 0)), Q457, VLOOKUP(Q457, Wages!$A$2:$C$17, 2, 0))) * IF(ISBLANK(N457), 0, IF(ISNA(VLOOKUP(N457, Crews!$A$2:$C$28, 2, 0)), N457, VLOOKUP(N457, Crews!$A$2:$C$28, 2, 0))))) * 400</f>
        <v>35620</v>
      </c>
      <c r="K457" s="3" t="s">
        <v>953</v>
      </c>
      <c r="L457" s="1" t="s">
        <v>954</v>
      </c>
      <c r="M457" s="1" t="n">
        <v>0</v>
      </c>
      <c r="N457" s="1" t="s">
        <v>590</v>
      </c>
      <c r="O457" s="1" t="n">
        <v>0.5</v>
      </c>
      <c r="P457" s="1"/>
      <c r="Q457" s="5" t="s">
        <v>284</v>
      </c>
      <c r="R457" s="1" t="s">
        <v>677</v>
      </c>
      <c r="S457" s="1" t="s">
        <v>677</v>
      </c>
      <c r="T457" s="1" t="s">
        <v>889</v>
      </c>
    </row>
    <row r="458" customFormat="false" ht="15" hidden="false" customHeight="true" outlineLevel="0" collapsed="false">
      <c r="A458" s="1" t="s">
        <v>955</v>
      </c>
      <c r="B458" s="1" t="n">
        <v>1866</v>
      </c>
      <c r="C458" s="1" t="n">
        <v>4</v>
      </c>
      <c r="D458" s="1" t="s">
        <v>29</v>
      </c>
      <c r="E458" s="1" t="s">
        <v>274</v>
      </c>
      <c r="F458" s="1" t="n">
        <v>600</v>
      </c>
      <c r="G458" s="1" t="n">
        <v>25</v>
      </c>
      <c r="H458" s="2" t="n">
        <v>58406400</v>
      </c>
      <c r="I458" s="2" t="n">
        <f aca="false">(((H458 / 800) / IF(ISBLANK(R458), 1000000, IF(ISNA(VLOOKUP(R458, Mileages!$A$2:$C$34, 2, 0)), R458, VLOOKUP(R458, Mileages!$A$2:$C$34, 2, 0)))) + (F458 * IF(ISBLANK(P458), 1, P458) * IF(ISBLANK(T458), 0, IF(ISNA(VLOOKUP(T458, 'Fuel Costs'!$A$2:$C$42, 2, 0)), T458, VLOOKUP(T458, 'Fuel Costs'!$A$2:$C$42, 2, 0))) / IF(ISBLANK(O458), 1, O458))) * 100</f>
        <v>64.8504</v>
      </c>
      <c r="J458" s="2" t="n">
        <f aca="false">((H458 / 800) / (IF(ISBLANK(S458), 100, IF(ISNA(VLOOKUP(S458, Lives!$A$2:$C$35, 2, 0)), S458, VLOOKUP(S458, Lives!$A$2:$C$35, 2, 0))) * 12) + (IF(ISBLANK(Q458), 0, IF(ISNA(VLOOKUP(Q458, Wages!$A$2:$C$17, 2, 0)), Q458, VLOOKUP(Q458, Wages!$A$2:$C$17, 2, 0))) * IF(ISBLANK(N458), 0, IF(ISNA(VLOOKUP(N458, Crews!$A$2:$C$28, 2, 0)), N458, VLOOKUP(N458, Crews!$A$2:$C$28, 2, 0))))) * 400</f>
        <v>224336</v>
      </c>
      <c r="K458" s="3" t="s">
        <v>956</v>
      </c>
      <c r="L458" s="1" t="s">
        <v>957</v>
      </c>
      <c r="M458" s="1" t="n">
        <v>0</v>
      </c>
      <c r="N458" s="1" t="s">
        <v>323</v>
      </c>
      <c r="O458" s="1" t="n">
        <v>1</v>
      </c>
      <c r="P458" s="1" t="n">
        <v>0.17</v>
      </c>
      <c r="Q458" s="1" t="s">
        <v>34</v>
      </c>
      <c r="R458" s="1" t="s">
        <v>574</v>
      </c>
      <c r="S458" s="1" t="s">
        <v>574</v>
      </c>
      <c r="T458" s="1" t="s">
        <v>889</v>
      </c>
    </row>
    <row r="459" customFormat="false" ht="15" hidden="false" customHeight="true" outlineLevel="0" collapsed="false">
      <c r="A459" s="1" t="s">
        <v>958</v>
      </c>
      <c r="B459" s="1" t="n">
        <v>1866</v>
      </c>
      <c r="C459" s="1" t="n">
        <v>5</v>
      </c>
      <c r="D459" s="1" t="s">
        <v>38</v>
      </c>
      <c r="E459" s="1" t="s">
        <v>274</v>
      </c>
      <c r="F459" s="1" t="n">
        <v>163</v>
      </c>
      <c r="G459" s="1" t="n">
        <v>120</v>
      </c>
      <c r="H459" s="2" t="n">
        <f aca="false">8850000*2</f>
        <v>17700000</v>
      </c>
      <c r="I459" s="2" t="n">
        <f aca="false">(((H459 / 800) / IF(ISBLANK(R459), 1000000, IF(ISNA(VLOOKUP(R459, Mileages!$A$2:$C$34, 2, 0)), R459, VLOOKUP(R459, Mileages!$A$2:$C$34, 2, 0)))) + (F459 * IF(ISBLANK(P459), 1, P459) * IF(ISBLANK(T459), 0, IF(ISNA(VLOOKUP(T459, 'Fuel Costs'!$A$2:$C$42, 2, 0)), T459, VLOOKUP(T459, 'Fuel Costs'!$A$2:$C$42, 2, 0))) / IF(ISBLANK(O459), 1, O459))) * 100</f>
        <v>197.8125</v>
      </c>
      <c r="J459" s="2" t="n">
        <f aca="false">((H459 / 800) / (IF(ISBLANK(S459), 100, IF(ISNA(VLOOKUP(S459, Lives!$A$2:$C$35, 2, 0)), S459, VLOOKUP(S459, Lives!$A$2:$C$35, 2, 0))) * 12) + (IF(ISBLANK(Q459), 0, IF(ISNA(VLOOKUP(Q459, Wages!$A$2:$C$17, 2, 0)), Q459, VLOOKUP(Q459, Wages!$A$2:$C$17, 2, 0))) * IF(ISBLANK(N459), 0, IF(ISNA(VLOOKUP(N459, Crews!$A$2:$C$28, 2, 0)), N459, VLOOKUP(N459, Crews!$A$2:$C$28, 2, 0))))) * 400</f>
        <v>38750</v>
      </c>
      <c r="K459" s="3" t="s">
        <v>959</v>
      </c>
      <c r="L459" s="1" t="s">
        <v>960</v>
      </c>
      <c r="M459" s="1" t="n">
        <v>0</v>
      </c>
      <c r="N459" s="1" t="s">
        <v>590</v>
      </c>
      <c r="O459" s="1" t="n">
        <v>0.5</v>
      </c>
      <c r="P459" s="1"/>
      <c r="Q459" s="5" t="s">
        <v>284</v>
      </c>
      <c r="R459" s="1" t="s">
        <v>677</v>
      </c>
      <c r="S459" s="1" t="s">
        <v>677</v>
      </c>
      <c r="T459" s="1" t="s">
        <v>889</v>
      </c>
    </row>
    <row r="460" customFormat="false" ht="15" hidden="false" customHeight="true" outlineLevel="0" collapsed="false">
      <c r="A460" s="1" t="s">
        <v>961</v>
      </c>
      <c r="B460" s="1" t="n">
        <v>1866</v>
      </c>
      <c r="C460" s="1" t="n">
        <v>5</v>
      </c>
      <c r="D460" s="1" t="s">
        <v>38</v>
      </c>
      <c r="E460" s="1" t="s">
        <v>274</v>
      </c>
      <c r="F460" s="1"/>
      <c r="G460" s="1" t="n">
        <v>120</v>
      </c>
      <c r="H460" s="2" t="n">
        <v>0</v>
      </c>
      <c r="I460" s="2" t="n">
        <f aca="false">(((H460 / 800) / IF(ISBLANK(R460), 1000000, IF(ISNA(VLOOKUP(R460, Mileages!$A$2:$C$34, 2, 0)), R460, VLOOKUP(R460, Mileages!$A$2:$C$34, 2, 0)))) + (F460 * IF(ISBLANK(P460), 1, P460) * IF(ISBLANK(T460), 0, IF(ISNA(VLOOKUP(T460, 'Fuel Costs'!$A$2:$C$42, 2, 0)), T460, VLOOKUP(T460, 'Fuel Costs'!$A$2:$C$42, 2, 0))) / IF(ISBLANK(O460), 1, O460))) * 100</f>
        <v>0</v>
      </c>
      <c r="J460" s="2" t="n">
        <f aca="false">((H460 / 800) / (IF(ISBLANK(S460), 100, IF(ISNA(VLOOKUP(S460, Lives!$A$2:$C$35, 2, 0)), S460, VLOOKUP(S460, Lives!$A$2:$C$35, 2, 0))) * 12) + (IF(ISBLANK(Q460), 0, IF(ISNA(VLOOKUP(Q460, Wages!$A$2:$C$17, 2, 0)), Q460, VLOOKUP(Q460, Wages!$A$2:$C$17, 2, 0))) * IF(ISBLANK(N460), 0, IF(ISNA(VLOOKUP(N460, Crews!$A$2:$C$28, 2, 0)), N460, VLOOKUP(N460, Crews!$A$2:$C$28, 2, 0))))) * 400</f>
        <v>0</v>
      </c>
      <c r="K460" s="1"/>
      <c r="L460" s="1" t="s">
        <v>960</v>
      </c>
      <c r="M460" s="1" t="n">
        <v>1</v>
      </c>
      <c r="N460" s="1"/>
      <c r="O460" s="1"/>
      <c r="P460" s="1"/>
      <c r="Q460" s="1"/>
      <c r="R460" s="1"/>
      <c r="S460" s="1"/>
      <c r="T460" s="1"/>
    </row>
    <row r="461" customFormat="false" ht="15" hidden="false" customHeight="true" outlineLevel="0" collapsed="false">
      <c r="A461" s="1" t="s">
        <v>962</v>
      </c>
      <c r="B461" s="1" t="n">
        <v>1866</v>
      </c>
      <c r="C461" s="1" t="n">
        <v>7</v>
      </c>
      <c r="D461" s="1" t="s">
        <v>38</v>
      </c>
      <c r="E461" s="1"/>
      <c r="F461" s="1"/>
      <c r="G461" s="1" t="n">
        <v>135</v>
      </c>
      <c r="H461" s="2" t="n">
        <v>200000</v>
      </c>
      <c r="I461" s="2" t="n">
        <f aca="false">(((H461 / 800) / IF(ISBLANK(R461), 1000000, IF(ISNA(VLOOKUP(R461, Mileages!$A$2:$C$34, 2, 0)), R461, VLOOKUP(R461, Mileages!$A$2:$C$34, 2, 0)))) + (F461 * IF(ISBLANK(P461), 1, P461) * IF(ISBLANK(T461), 0, IF(ISNA(VLOOKUP(T461, 'Fuel Costs'!$A$2:$C$42, 2, 0)), T461, VLOOKUP(T461, 'Fuel Costs'!$A$2:$C$42, 2, 0))) / IF(ISBLANK(O461), 1, O461))) * 100</f>
        <v>0.02083333333</v>
      </c>
      <c r="J461" s="2" t="n">
        <f aca="false">((H461 / 800) / (IF(ISBLANK(S461), 100, IF(ISNA(VLOOKUP(S461, Lives!$A$2:$C$35, 2, 0)), S461, VLOOKUP(S461, Lives!$A$2:$C$35, 2, 0))) * 12) + (IF(ISBLANK(Q461), 0, IF(ISNA(VLOOKUP(Q461, Wages!$A$2:$C$17, 2, 0)), Q461, VLOOKUP(Q461, Wages!$A$2:$C$17, 2, 0))) * IF(ISBLANK(N461), 0, IF(ISNA(VLOOKUP(N461, Crews!$A$2:$C$28, 2, 0)), N461, VLOOKUP(N461, Crews!$A$2:$C$28, 2, 0))))) * 400</f>
        <v>238.0952381</v>
      </c>
      <c r="K461" s="3" t="s">
        <v>963</v>
      </c>
      <c r="L461" s="1" t="s">
        <v>964</v>
      </c>
      <c r="M461" s="1" t="n">
        <v>0</v>
      </c>
      <c r="N461" s="1"/>
      <c r="O461" s="1"/>
      <c r="P461" s="1"/>
      <c r="Q461" s="1"/>
      <c r="R461" s="1" t="s">
        <v>689</v>
      </c>
      <c r="S461" s="1" t="s">
        <v>856</v>
      </c>
      <c r="T461" s="1"/>
    </row>
    <row r="462" customFormat="false" ht="15" hidden="false" customHeight="true" outlineLevel="0" collapsed="false">
      <c r="A462" s="1" t="s">
        <v>965</v>
      </c>
      <c r="B462" s="1" t="n">
        <v>1866</v>
      </c>
      <c r="C462" s="1" t="n">
        <v>7</v>
      </c>
      <c r="D462" s="1" t="s">
        <v>38</v>
      </c>
      <c r="E462" s="1"/>
      <c r="F462" s="1"/>
      <c r="G462" s="1" t="n">
        <v>135</v>
      </c>
      <c r="H462" s="2" t="n">
        <v>200000</v>
      </c>
      <c r="I462" s="2" t="n">
        <f aca="false">(((H462 / 800) / IF(ISBLANK(R462), 1000000, IF(ISNA(VLOOKUP(R462, Mileages!$A$2:$C$34, 2, 0)), R462, VLOOKUP(R462, Mileages!$A$2:$C$34, 2, 0)))) + (F462 * IF(ISBLANK(P462), 1, P462) * IF(ISBLANK(T462), 0, IF(ISNA(VLOOKUP(T462, 'Fuel Costs'!$A$2:$C$42, 2, 0)), T462, VLOOKUP(T462, 'Fuel Costs'!$A$2:$C$42, 2, 0))) / IF(ISBLANK(O462), 1, O462))) * 100</f>
        <v>0.02083333333</v>
      </c>
      <c r="J462" s="2" t="n">
        <f aca="false">((H462 / 800) / (IF(ISBLANK(S462), 100, IF(ISNA(VLOOKUP(S462, Lives!$A$2:$C$35, 2, 0)), S462, VLOOKUP(S462, Lives!$A$2:$C$35, 2, 0))) * 12) + (IF(ISBLANK(Q462), 0, IF(ISNA(VLOOKUP(Q462, Wages!$A$2:$C$17, 2, 0)), Q462, VLOOKUP(Q462, Wages!$A$2:$C$17, 2, 0))) * IF(ISBLANK(N462), 0, IF(ISNA(VLOOKUP(N462, Crews!$A$2:$C$28, 2, 0)), N462, VLOOKUP(N462, Crews!$A$2:$C$28, 2, 0))))) * 400</f>
        <v>238.0952381</v>
      </c>
      <c r="K462" s="1" t="s">
        <v>966</v>
      </c>
      <c r="L462" s="1" t="s">
        <v>964</v>
      </c>
      <c r="M462" s="1" t="n">
        <v>1</v>
      </c>
      <c r="N462" s="1"/>
      <c r="O462" s="1"/>
      <c r="P462" s="1"/>
      <c r="Q462" s="1"/>
      <c r="R462" s="1" t="s">
        <v>689</v>
      </c>
      <c r="S462" s="1" t="s">
        <v>856</v>
      </c>
      <c r="T462" s="1"/>
    </row>
    <row r="463" customFormat="false" ht="15" hidden="false" customHeight="true" outlineLevel="0" collapsed="false">
      <c r="A463" s="1" t="s">
        <v>967</v>
      </c>
      <c r="B463" s="1" t="n">
        <v>1866</v>
      </c>
      <c r="C463" s="1" t="n">
        <v>7</v>
      </c>
      <c r="D463" s="1" t="s">
        <v>38</v>
      </c>
      <c r="E463" s="1"/>
      <c r="F463" s="1"/>
      <c r="G463" s="1" t="n">
        <v>135</v>
      </c>
      <c r="H463" s="2" t="n">
        <v>200000</v>
      </c>
      <c r="I463" s="2" t="n">
        <f aca="false">(((H463 / 800) / IF(ISBLANK(R463), 1000000, IF(ISNA(VLOOKUP(R463, Mileages!$A$2:$C$34, 2, 0)), R463, VLOOKUP(R463, Mileages!$A$2:$C$34, 2, 0)))) + (F463 * IF(ISBLANK(P463), 1, P463) * IF(ISBLANK(T463), 0, IF(ISNA(VLOOKUP(T463, 'Fuel Costs'!$A$2:$C$42, 2, 0)), T463, VLOOKUP(T463, 'Fuel Costs'!$A$2:$C$42, 2, 0))) / IF(ISBLANK(O463), 1, O463))) * 100</f>
        <v>0.02083333333</v>
      </c>
      <c r="J463" s="2" t="n">
        <f aca="false">((H463 / 800) / (IF(ISBLANK(S463), 100, IF(ISNA(VLOOKUP(S463, Lives!$A$2:$C$35, 2, 0)), S463, VLOOKUP(S463, Lives!$A$2:$C$35, 2, 0))) * 12) + (IF(ISBLANK(Q463), 0, IF(ISNA(VLOOKUP(Q463, Wages!$A$2:$C$17, 2, 0)), Q463, VLOOKUP(Q463, Wages!$A$2:$C$17, 2, 0))) * IF(ISBLANK(N463), 0, IF(ISNA(VLOOKUP(N463, Crews!$A$2:$C$28, 2, 0)), N463, VLOOKUP(N463, Crews!$A$2:$C$28, 2, 0))))) * 400</f>
        <v>5038.095238</v>
      </c>
      <c r="K463" s="1"/>
      <c r="L463" s="1" t="s">
        <v>964</v>
      </c>
      <c r="M463" s="1" t="n">
        <v>2</v>
      </c>
      <c r="N463" s="1" t="s">
        <v>25</v>
      </c>
      <c r="O463" s="1"/>
      <c r="P463" s="1"/>
      <c r="Q463" s="1" t="s">
        <v>378</v>
      </c>
      <c r="R463" s="1" t="s">
        <v>689</v>
      </c>
      <c r="S463" s="1" t="s">
        <v>856</v>
      </c>
      <c r="T463" s="1"/>
    </row>
    <row r="464" customFormat="false" ht="15" hidden="false" customHeight="true" outlineLevel="0" collapsed="false">
      <c r="A464" s="1" t="s">
        <v>968</v>
      </c>
      <c r="B464" s="1" t="n">
        <v>1866</v>
      </c>
      <c r="C464" s="1" t="n">
        <v>7</v>
      </c>
      <c r="D464" s="1" t="s">
        <v>38</v>
      </c>
      <c r="E464" s="1"/>
      <c r="F464" s="1"/>
      <c r="G464" s="1" t="n">
        <v>135</v>
      </c>
      <c r="H464" s="2" t="n">
        <v>200000</v>
      </c>
      <c r="I464" s="2" t="n">
        <f aca="false">(((H464 / 800) / IF(ISBLANK(R464), 1000000, IF(ISNA(VLOOKUP(R464, Mileages!$A$2:$C$34, 2, 0)), R464, VLOOKUP(R464, Mileages!$A$2:$C$34, 2, 0)))) + (F464 * IF(ISBLANK(P464), 1, P464) * IF(ISBLANK(T464), 0, IF(ISNA(VLOOKUP(T464, 'Fuel Costs'!$A$2:$C$42, 2, 0)), T464, VLOOKUP(T464, 'Fuel Costs'!$A$2:$C$42, 2, 0))) / IF(ISBLANK(O464), 1, O464))) * 100</f>
        <v>0.02083333333</v>
      </c>
      <c r="J464" s="2" t="n">
        <f aca="false">((H464 / 800) / (IF(ISBLANK(S464), 100, IF(ISNA(VLOOKUP(S464, Lives!$A$2:$C$35, 2, 0)), S464, VLOOKUP(S464, Lives!$A$2:$C$35, 2, 0))) * 12) + (IF(ISBLANK(Q464), 0, IF(ISNA(VLOOKUP(Q464, Wages!$A$2:$C$17, 2, 0)), Q464, VLOOKUP(Q464, Wages!$A$2:$C$17, 2, 0))) * IF(ISBLANK(N464), 0, IF(ISNA(VLOOKUP(N464, Crews!$A$2:$C$28, 2, 0)), N464, VLOOKUP(N464, Crews!$A$2:$C$28, 2, 0))))) * 400</f>
        <v>5038.095238</v>
      </c>
      <c r="K464" s="1"/>
      <c r="L464" s="1" t="s">
        <v>964</v>
      </c>
      <c r="M464" s="1" t="n">
        <v>3</v>
      </c>
      <c r="N464" s="1" t="s">
        <v>25</v>
      </c>
      <c r="O464" s="1"/>
      <c r="P464" s="1"/>
      <c r="Q464" s="1" t="s">
        <v>378</v>
      </c>
      <c r="R464" s="1" t="s">
        <v>689</v>
      </c>
      <c r="S464" s="1" t="s">
        <v>856</v>
      </c>
      <c r="T464" s="1"/>
    </row>
    <row r="465" customFormat="false" ht="15" hidden="false" customHeight="true" outlineLevel="0" collapsed="false">
      <c r="A465" s="1" t="s">
        <v>969</v>
      </c>
      <c r="B465" s="1" t="n">
        <v>1866</v>
      </c>
      <c r="C465" s="1" t="n">
        <v>7</v>
      </c>
      <c r="D465" s="1" t="s">
        <v>38</v>
      </c>
      <c r="E465" s="1"/>
      <c r="F465" s="1"/>
      <c r="G465" s="1" t="n">
        <v>135</v>
      </c>
      <c r="H465" s="2" t="n">
        <v>154000</v>
      </c>
      <c r="I465" s="2" t="n">
        <f aca="false">(((H465 / 800) / IF(ISBLANK(R465), 1000000, IF(ISNA(VLOOKUP(R465, Mileages!$A$2:$C$34, 2, 0)), R465, VLOOKUP(R465, Mileages!$A$2:$C$34, 2, 0)))) + (F465 * IF(ISBLANK(P465), 1, P465) * IF(ISBLANK(T465), 0, IF(ISNA(VLOOKUP(T465, 'Fuel Costs'!$A$2:$C$42, 2, 0)), T465, VLOOKUP(T465, 'Fuel Costs'!$A$2:$C$42, 2, 0))) / IF(ISBLANK(O465), 1, O465))) * 100</f>
        <v>0.01604166667</v>
      </c>
      <c r="J465" s="2" t="n">
        <f aca="false">((H465 / 800) / (IF(ISBLANK(S465), 100, IF(ISNA(VLOOKUP(S465, Lives!$A$2:$C$35, 2, 0)), S465, VLOOKUP(S465, Lives!$A$2:$C$35, 2, 0))) * 12) + (IF(ISBLANK(Q465), 0, IF(ISNA(VLOOKUP(Q465, Wages!$A$2:$C$17, 2, 0)), Q465, VLOOKUP(Q465, Wages!$A$2:$C$17, 2, 0))) * IF(ISBLANK(N465), 0, IF(ISNA(VLOOKUP(N465, Crews!$A$2:$C$28, 2, 0)), N465, VLOOKUP(N465, Crews!$A$2:$C$28, 2, 0))))) * 400</f>
        <v>183.3333333</v>
      </c>
      <c r="K465" s="1"/>
      <c r="L465" s="1" t="s">
        <v>964</v>
      </c>
      <c r="M465" s="1" t="n">
        <v>4</v>
      </c>
      <c r="N465" s="1"/>
      <c r="O465" s="1"/>
      <c r="P465" s="1"/>
      <c r="Q465" s="1"/>
      <c r="R465" s="1" t="s">
        <v>689</v>
      </c>
      <c r="S465" s="1" t="s">
        <v>856</v>
      </c>
      <c r="T465" s="1"/>
    </row>
    <row r="466" customFormat="false" ht="15" hidden="false" customHeight="true" outlineLevel="0" collapsed="false">
      <c r="A466" s="1" t="s">
        <v>970</v>
      </c>
      <c r="B466" s="1" t="n">
        <v>1866</v>
      </c>
      <c r="C466" s="1" t="n">
        <v>7</v>
      </c>
      <c r="D466" s="1" t="s">
        <v>38</v>
      </c>
      <c r="E466" s="1"/>
      <c r="F466" s="1"/>
      <c r="G466" s="1" t="n">
        <v>135</v>
      </c>
      <c r="H466" s="2" t="n">
        <v>154000</v>
      </c>
      <c r="I466" s="2" t="n">
        <f aca="false">(((H466 / 800) / IF(ISBLANK(R466), 1000000, IF(ISNA(VLOOKUP(R466, Mileages!$A$2:$C$34, 2, 0)), R466, VLOOKUP(R466, Mileages!$A$2:$C$34, 2, 0)))) + (F466 * IF(ISBLANK(P466), 1, P466) * IF(ISBLANK(T466), 0, IF(ISNA(VLOOKUP(T466, 'Fuel Costs'!$A$2:$C$42, 2, 0)), T466, VLOOKUP(T466, 'Fuel Costs'!$A$2:$C$42, 2, 0))) / IF(ISBLANK(O466), 1, O466))) * 100</f>
        <v>0.01604166667</v>
      </c>
      <c r="J466" s="2" t="n">
        <f aca="false">((H466 / 800) / (IF(ISBLANK(S466), 100, IF(ISNA(VLOOKUP(S466, Lives!$A$2:$C$35, 2, 0)), S466, VLOOKUP(S466, Lives!$A$2:$C$35, 2, 0))) * 12) + (IF(ISBLANK(Q466), 0, IF(ISNA(VLOOKUP(Q466, Wages!$A$2:$C$17, 2, 0)), Q466, VLOOKUP(Q466, Wages!$A$2:$C$17, 2, 0))) * IF(ISBLANK(N466), 0, IF(ISNA(VLOOKUP(N466, Crews!$A$2:$C$28, 2, 0)), N466, VLOOKUP(N466, Crews!$A$2:$C$28, 2, 0))))) * 400</f>
        <v>64.16666667</v>
      </c>
      <c r="K466" s="1"/>
      <c r="L466" s="1" t="s">
        <v>964</v>
      </c>
      <c r="M466" s="1" t="n">
        <v>5</v>
      </c>
      <c r="N466" s="1"/>
      <c r="O466" s="1"/>
      <c r="P466" s="1"/>
      <c r="Q466" s="1"/>
      <c r="R466" s="1" t="s">
        <v>689</v>
      </c>
      <c r="S466" s="5" t="s">
        <v>389</v>
      </c>
      <c r="T466" s="1"/>
    </row>
    <row r="467" customFormat="false" ht="15" hidden="false" customHeight="true" outlineLevel="0" collapsed="false">
      <c r="A467" s="1" t="s">
        <v>971</v>
      </c>
      <c r="B467" s="1" t="n">
        <v>1866</v>
      </c>
      <c r="C467" s="1" t="n">
        <v>8</v>
      </c>
      <c r="D467" s="1" t="s">
        <v>29</v>
      </c>
      <c r="E467" s="1" t="s">
        <v>274</v>
      </c>
      <c r="F467" s="1" t="n">
        <v>500</v>
      </c>
      <c r="G467" s="1" t="n">
        <v>20</v>
      </c>
      <c r="H467" s="2" t="n">
        <f aca="false">18000000*2</f>
        <v>36000000</v>
      </c>
      <c r="I467" s="2" t="n">
        <f aca="false">(((H467 / 800) / IF(ISBLANK(R467), 1000000, IF(ISNA(VLOOKUP(R467, Mileages!$A$2:$C$34, 2, 0)), R467, VLOOKUP(R467, Mileages!$A$2:$C$34, 2, 0)))) + (F467 * IF(ISBLANK(P467), 1, P467) * IF(ISBLANK(T467), 0, IF(ISNA(VLOOKUP(T467, 'Fuel Costs'!$A$2:$C$42, 2, 0)), T467, VLOOKUP(T467, 'Fuel Costs'!$A$2:$C$42, 2, 0))) / IF(ISBLANK(O467), 1, O467))) * 100</f>
        <v>21.75</v>
      </c>
      <c r="J467" s="2" t="n">
        <f aca="false">((H467 / 800) / (IF(ISBLANK(S467), 100, IF(ISNA(VLOOKUP(S467, Lives!$A$2:$C$35, 2, 0)), S467, VLOOKUP(S467, Lives!$A$2:$C$35, 2, 0))) * 12) + (IF(ISBLANK(Q467), 0, IF(ISNA(VLOOKUP(Q467, Wages!$A$2:$C$17, 2, 0)), Q467, VLOOKUP(Q467, Wages!$A$2:$C$17, 2, 0))) * IF(ISBLANK(N467), 0, IF(ISNA(VLOOKUP(N467, Crews!$A$2:$C$28, 2, 0)), N467, VLOOKUP(N467, Crews!$A$2:$C$28, 2, 0))))) * 400</f>
        <v>215000</v>
      </c>
      <c r="K467" s="1"/>
      <c r="L467" s="1" t="s">
        <v>972</v>
      </c>
      <c r="M467" s="1" t="n">
        <v>0</v>
      </c>
      <c r="N467" s="1" t="s">
        <v>323</v>
      </c>
      <c r="O467" s="1" t="n">
        <v>1</v>
      </c>
      <c r="P467" s="1" t="n">
        <v>0.065</v>
      </c>
      <c r="Q467" s="1" t="s">
        <v>34</v>
      </c>
      <c r="R467" s="1" t="s">
        <v>574</v>
      </c>
      <c r="S467" s="1" t="s">
        <v>574</v>
      </c>
      <c r="T467" s="1" t="s">
        <v>889</v>
      </c>
    </row>
    <row r="468" customFormat="false" ht="15" hidden="false" customHeight="true" outlineLevel="0" collapsed="false">
      <c r="A468" s="1" t="s">
        <v>973</v>
      </c>
      <c r="B468" s="1" t="n">
        <v>1867</v>
      </c>
      <c r="C468" s="1" t="n">
        <v>3</v>
      </c>
      <c r="D468" s="1" t="s">
        <v>38</v>
      </c>
      <c r="E468" s="1" t="s">
        <v>274</v>
      </c>
      <c r="F468" s="1" t="n">
        <v>170</v>
      </c>
      <c r="G468" s="1" t="n">
        <v>100</v>
      </c>
      <c r="H468" s="2" t="n">
        <f aca="false">82820000*0.15</f>
        <v>12423000</v>
      </c>
      <c r="I468" s="2" t="n">
        <f aca="false">(((H468 / 800) / IF(ISBLANK(R468), 1000000, IF(ISNA(VLOOKUP(R468, Mileages!$A$2:$C$34, 2, 0)), R468, VLOOKUP(R468, Mileages!$A$2:$C$34, 2, 0)))) + (F468 * IF(ISBLANK(P468), 1, P468) * IF(ISBLANK(T468), 0, IF(ISNA(VLOOKUP(T468, 'Fuel Costs'!$A$2:$C$42, 2, 0)), T468, VLOOKUP(T468, 'Fuel Costs'!$A$2:$C$42, 2, 0))) / IF(ISBLANK(O468), 1, O468))) * 100</f>
        <v>205.552875</v>
      </c>
      <c r="J468" s="2" t="n">
        <f aca="false">((H468 / 800) / (IF(ISBLANK(S468), 100, IF(ISNA(VLOOKUP(S468, Lives!$A$2:$C$35, 2, 0)), S468, VLOOKUP(S468, Lives!$A$2:$C$35, 2, 0))) * 12) + (IF(ISBLANK(Q468), 0, IF(ISNA(VLOOKUP(Q468, Wages!$A$2:$C$17, 2, 0)), Q468, VLOOKUP(Q468, Wages!$A$2:$C$17, 2, 0))) * IF(ISBLANK(N468), 0, IF(ISNA(VLOOKUP(N468, Crews!$A$2:$C$28, 2, 0)), N468, VLOOKUP(N468, Crews!$A$2:$C$28, 2, 0))))) * 400</f>
        <v>34352.5</v>
      </c>
      <c r="K468" s="3" t="s">
        <v>974</v>
      </c>
      <c r="L468" s="1" t="s">
        <v>975</v>
      </c>
      <c r="M468" s="1" t="n">
        <v>0</v>
      </c>
      <c r="N468" s="1" t="s">
        <v>590</v>
      </c>
      <c r="O468" s="1" t="n">
        <v>0.5</v>
      </c>
      <c r="P468" s="1"/>
      <c r="Q468" s="5" t="s">
        <v>284</v>
      </c>
      <c r="R468" s="1" t="s">
        <v>677</v>
      </c>
      <c r="S468" s="1" t="s">
        <v>677</v>
      </c>
      <c r="T468" s="1" t="s">
        <v>889</v>
      </c>
    </row>
    <row r="469" customFormat="false" ht="15" hidden="false" customHeight="true" outlineLevel="0" collapsed="false">
      <c r="A469" s="1" t="s">
        <v>976</v>
      </c>
      <c r="B469" s="1" t="n">
        <v>1867</v>
      </c>
      <c r="C469" s="1" t="n">
        <v>5</v>
      </c>
      <c r="D469" s="1" t="s">
        <v>38</v>
      </c>
      <c r="E469" s="1" t="s">
        <v>274</v>
      </c>
      <c r="F469" s="1" t="n">
        <v>170</v>
      </c>
      <c r="G469" s="1" t="n">
        <v>120</v>
      </c>
      <c r="H469" s="2" t="n">
        <f aca="false">85920000*0.2</f>
        <v>17184000</v>
      </c>
      <c r="I469" s="2" t="n">
        <f aca="false">(((H469 / 800) / IF(ISBLANK(R469), 1000000, IF(ISNA(VLOOKUP(R469, Mileages!$A$2:$C$34, 2, 0)), R469, VLOOKUP(R469, Mileages!$A$2:$C$34, 2, 0)))) + (F469 * IF(ISBLANK(P469), 1, P469) * IF(ISBLANK(T469), 0, IF(ISNA(VLOOKUP(T469, 'Fuel Costs'!$A$2:$C$42, 2, 0)), T469, VLOOKUP(T469, 'Fuel Costs'!$A$2:$C$42, 2, 0))) / IF(ISBLANK(O469), 1, O469))) * 100</f>
        <v>206.148</v>
      </c>
      <c r="J469" s="2" t="n">
        <f aca="false">((H469 / 800) / (IF(ISBLANK(S469), 100, IF(ISNA(VLOOKUP(S469, Lives!$A$2:$C$35, 2, 0)), S469, VLOOKUP(S469, Lives!$A$2:$C$35, 2, 0))) * 12) + (IF(ISBLANK(Q469), 0, IF(ISNA(VLOOKUP(Q469, Wages!$A$2:$C$17, 2, 0)), Q469, VLOOKUP(Q469, Wages!$A$2:$C$17, 2, 0))) * IF(ISBLANK(N469), 0, IF(ISNA(VLOOKUP(N469, Crews!$A$2:$C$28, 2, 0)), N469, VLOOKUP(N469, Crews!$A$2:$C$28, 2, 0))))) * 400</f>
        <v>38320</v>
      </c>
      <c r="K469" s="3" t="s">
        <v>977</v>
      </c>
      <c r="L469" s="1" t="s">
        <v>978</v>
      </c>
      <c r="M469" s="1" t="n">
        <v>0</v>
      </c>
      <c r="N469" s="1" t="s">
        <v>590</v>
      </c>
      <c r="O469" s="1" t="n">
        <v>0.5</v>
      </c>
      <c r="P469" s="1"/>
      <c r="Q469" s="5" t="s">
        <v>284</v>
      </c>
      <c r="R469" s="1" t="s">
        <v>677</v>
      </c>
      <c r="S469" s="1" t="s">
        <v>677</v>
      </c>
      <c r="T469" s="1" t="s">
        <v>889</v>
      </c>
    </row>
    <row r="470" customFormat="false" ht="15" hidden="false" customHeight="true" outlineLevel="0" collapsed="false">
      <c r="A470" s="1" t="s">
        <v>979</v>
      </c>
      <c r="B470" s="1" t="n">
        <v>1868</v>
      </c>
      <c r="C470" s="1" t="n">
        <v>3</v>
      </c>
      <c r="D470" s="1" t="s">
        <v>38</v>
      </c>
      <c r="E470" s="1" t="s">
        <v>274</v>
      </c>
      <c r="F470" s="1" t="n">
        <v>232</v>
      </c>
      <c r="G470" s="1" t="n">
        <v>74</v>
      </c>
      <c r="H470" s="2" t="n">
        <v>9550000</v>
      </c>
      <c r="I470" s="2" t="n">
        <f aca="false">(((H470 / 800) / IF(ISBLANK(R470), 1000000, IF(ISNA(VLOOKUP(R470, Mileages!$A$2:$C$34, 2, 0)), R470, VLOOKUP(R470, Mileages!$A$2:$C$34, 2, 0)))) + (F470 * IF(ISBLANK(P470), 1, P470) * IF(ISBLANK(T470), 0, IF(ISNA(VLOOKUP(T470, 'Fuel Costs'!$A$2:$C$42, 2, 0)), T470, VLOOKUP(T470, 'Fuel Costs'!$A$2:$C$42, 2, 0))) / IF(ISBLANK(O470), 1, O470))) * 100</f>
        <v>233.19375</v>
      </c>
      <c r="J470" s="2" t="n">
        <f aca="false">((H470 / 800) / (IF(ISBLANK(S470), 100, IF(ISNA(VLOOKUP(S470, Lives!$A$2:$C$35, 2, 0)), S470, VLOOKUP(S470, Lives!$A$2:$C$35, 2, 0))) * 12) + (IF(ISBLANK(Q470), 0, IF(ISNA(VLOOKUP(Q470, Wages!$A$2:$C$17, 2, 0)), Q470, VLOOKUP(Q470, Wages!$A$2:$C$17, 2, 0))) * IF(ISBLANK(N470), 0, IF(ISNA(VLOOKUP(N470, Crews!$A$2:$C$28, 2, 0)), N470, VLOOKUP(N470, Crews!$A$2:$C$28, 2, 0))))) * 400</f>
        <v>31958.33333</v>
      </c>
      <c r="K470" s="3" t="s">
        <v>980</v>
      </c>
      <c r="L470" s="1" t="s">
        <v>981</v>
      </c>
      <c r="M470" s="1" t="n">
        <v>0</v>
      </c>
      <c r="N470" s="1" t="s">
        <v>590</v>
      </c>
      <c r="O470" s="1" t="n">
        <v>0.6</v>
      </c>
      <c r="P470" s="1"/>
      <c r="Q470" s="5" t="s">
        <v>284</v>
      </c>
      <c r="R470" s="1" t="s">
        <v>677</v>
      </c>
      <c r="S470" s="1" t="s">
        <v>677</v>
      </c>
      <c r="T470" s="1" t="s">
        <v>889</v>
      </c>
    </row>
    <row r="471" customFormat="false" ht="15" hidden="false" customHeight="true" outlineLevel="0" collapsed="false">
      <c r="A471" s="1" t="s">
        <v>982</v>
      </c>
      <c r="B471" s="1" t="n">
        <v>1868</v>
      </c>
      <c r="C471" s="1" t="n">
        <v>3</v>
      </c>
      <c r="D471" s="1" t="s">
        <v>38</v>
      </c>
      <c r="E471" s="1" t="s">
        <v>274</v>
      </c>
      <c r="F471" s="1" t="n">
        <v>175</v>
      </c>
      <c r="G471" s="1" t="n">
        <v>130</v>
      </c>
      <c r="H471" s="2" t="n">
        <f aca="false">12750250*1.5</f>
        <v>19125375</v>
      </c>
      <c r="I471" s="2" t="n">
        <f aca="false">(((H471 / 800) / IF(ISBLANK(R471), 1000000, IF(ISNA(VLOOKUP(R471, Mileages!$A$2:$C$34, 2, 0)), R471, VLOOKUP(R471, Mileages!$A$2:$C$34, 2, 0)))) + (F471 * IF(ISBLANK(P471), 1, P471) * IF(ISBLANK(T471), 0, IF(ISNA(VLOOKUP(T471, 'Fuel Costs'!$A$2:$C$42, 2, 0)), T471, VLOOKUP(T471, 'Fuel Costs'!$A$2:$C$42, 2, 0))) / IF(ISBLANK(O471), 1, O471))) * 100</f>
        <v>212.3906719</v>
      </c>
      <c r="J471" s="2" t="n">
        <f aca="false">((H471 / 800) / (IF(ISBLANK(S471), 100, IF(ISNA(VLOOKUP(S471, Lives!$A$2:$C$35, 2, 0)), S471, VLOOKUP(S471, Lives!$A$2:$C$35, 2, 0))) * 12) + (IF(ISBLANK(Q471), 0, IF(ISNA(VLOOKUP(Q471, Wages!$A$2:$C$17, 2, 0)), Q471, VLOOKUP(Q471, Wages!$A$2:$C$17, 2, 0))) * IF(ISBLANK(N471), 0, IF(ISNA(VLOOKUP(N471, Crews!$A$2:$C$28, 2, 0)), N471, VLOOKUP(N471, Crews!$A$2:$C$28, 2, 0))))) * 400</f>
        <v>39937.8125</v>
      </c>
      <c r="K471" s="3" t="s">
        <v>983</v>
      </c>
      <c r="L471" s="1" t="s">
        <v>984</v>
      </c>
      <c r="M471" s="1" t="n">
        <v>0</v>
      </c>
      <c r="N471" s="1" t="s">
        <v>590</v>
      </c>
      <c r="O471" s="1" t="n">
        <v>0.5</v>
      </c>
      <c r="P471" s="1"/>
      <c r="Q471" s="5" t="s">
        <v>284</v>
      </c>
      <c r="R471" s="1" t="s">
        <v>677</v>
      </c>
      <c r="S471" s="1" t="s">
        <v>677</v>
      </c>
      <c r="T471" s="1" t="s">
        <v>889</v>
      </c>
    </row>
    <row r="472" customFormat="false" ht="15" hidden="false" customHeight="true" outlineLevel="0" collapsed="false">
      <c r="A472" s="1" t="s">
        <v>985</v>
      </c>
      <c r="B472" s="1" t="n">
        <v>1868</v>
      </c>
      <c r="C472" s="1" t="n">
        <v>7</v>
      </c>
      <c r="D472" s="1" t="s">
        <v>21</v>
      </c>
      <c r="E472" s="1"/>
      <c r="F472" s="1"/>
      <c r="G472" s="1" t="n">
        <v>11</v>
      </c>
      <c r="H472" s="2" t="n">
        <v>75500</v>
      </c>
      <c r="I472" s="2" t="n">
        <f aca="false">(((H472 / 800) / IF(ISBLANK(R472), 1000000, IF(ISNA(VLOOKUP(R472, Mileages!$A$2:$C$34, 2, 0)), R472, VLOOKUP(R472, Mileages!$A$2:$C$34, 2, 0)))) + (F472 * IF(ISBLANK(P472), 1, P472) * IF(ISBLANK(T472), 0, IF(ISNA(VLOOKUP(T472, 'Fuel Costs'!$A$2:$C$42, 2, 0)), T472, VLOOKUP(T472, 'Fuel Costs'!$A$2:$C$42, 2, 0))) / IF(ISBLANK(O472), 1, O472))) * 100</f>
        <v>0.018875</v>
      </c>
      <c r="J472" s="2" t="n">
        <f aca="false">((H472 / 800) / (IF(ISBLANK(S472), 100, IF(ISNA(VLOOKUP(S472, Lives!$A$2:$C$35, 2, 0)), S472, VLOOKUP(S472, Lives!$A$2:$C$35, 2, 0))) * 12) + (IF(ISBLANK(Q472), 0, IF(ISNA(VLOOKUP(Q472, Wages!$A$2:$C$17, 2, 0)), Q472, VLOOKUP(Q472, Wages!$A$2:$C$17, 2, 0))) * IF(ISBLANK(N472), 0, IF(ISNA(VLOOKUP(N472, Crews!$A$2:$C$28, 2, 0)), N472, VLOOKUP(N472, Crews!$A$2:$C$28, 2, 0))))) * 400</f>
        <v>4831.458333</v>
      </c>
      <c r="K472" s="3" t="s">
        <v>986</v>
      </c>
      <c r="L472" s="1" t="s">
        <v>987</v>
      </c>
      <c r="M472" s="1" t="n">
        <v>0</v>
      </c>
      <c r="N472" s="1" t="s">
        <v>25</v>
      </c>
      <c r="O472" s="1"/>
      <c r="P472" s="1"/>
      <c r="Q472" s="4" t="s">
        <v>41</v>
      </c>
      <c r="R472" s="5" t="s">
        <v>327</v>
      </c>
      <c r="S472" s="4" t="s">
        <v>43</v>
      </c>
      <c r="T472" s="1"/>
    </row>
    <row r="473" customFormat="false" ht="15" hidden="false" customHeight="true" outlineLevel="0" collapsed="false">
      <c r="A473" s="1" t="s">
        <v>988</v>
      </c>
      <c r="B473" s="1" t="n">
        <v>1868</v>
      </c>
      <c r="C473" s="1" t="n">
        <v>10</v>
      </c>
      <c r="D473" s="1" t="s">
        <v>157</v>
      </c>
      <c r="E473" s="1"/>
      <c r="F473" s="1"/>
      <c r="G473" s="1" t="n">
        <v>60</v>
      </c>
      <c r="H473" s="2" t="n">
        <v>280000</v>
      </c>
      <c r="I473" s="2" t="n">
        <f aca="false">(((H473 / 800) / IF(ISBLANK(R473), 1000000, IF(ISNA(VLOOKUP(R473, Mileages!$A$2:$C$34, 2, 0)), R473, VLOOKUP(R473, Mileages!$A$2:$C$34, 2, 0)))) + (F473 * IF(ISBLANK(P473), 1, P473) * IF(ISBLANK(T473), 0, IF(ISNA(VLOOKUP(T473, 'Fuel Costs'!$A$2:$C$42, 2, 0)), T473, VLOOKUP(T473, 'Fuel Costs'!$A$2:$C$42, 2, 0))) / IF(ISBLANK(O473), 1, O473))) * 100</f>
        <v>0.02916666667</v>
      </c>
      <c r="J473" s="2" t="n">
        <f aca="false">((H473 / 800) / (IF(ISBLANK(S473), 100, IF(ISNA(VLOOKUP(S473, Lives!$A$2:$C$35, 2, 0)), S473, VLOOKUP(S473, Lives!$A$2:$C$35, 2, 0))) * 12) + (IF(ISBLANK(Q473), 0, IF(ISNA(VLOOKUP(Q473, Wages!$A$2:$C$17, 2, 0)), Q473, VLOOKUP(Q473, Wages!$A$2:$C$17, 2, 0))) * IF(ISBLANK(N473), 0, IF(ISNA(VLOOKUP(N473, Crews!$A$2:$C$28, 2, 0)), N473, VLOOKUP(N473, Crews!$A$2:$C$28, 2, 0))))) * 400</f>
        <v>333.3333333</v>
      </c>
      <c r="K473" s="3" t="s">
        <v>989</v>
      </c>
      <c r="L473" s="1" t="s">
        <v>990</v>
      </c>
      <c r="M473" s="1" t="n">
        <v>0</v>
      </c>
      <c r="N473" s="1"/>
      <c r="O473" s="1"/>
      <c r="P473" s="1"/>
      <c r="Q473" s="1"/>
      <c r="R473" s="1" t="s">
        <v>689</v>
      </c>
      <c r="S473" s="1" t="s">
        <v>856</v>
      </c>
      <c r="T473" s="1"/>
    </row>
    <row r="474" customFormat="false" ht="15" hidden="false" customHeight="true" outlineLevel="0" collapsed="false">
      <c r="A474" s="1" t="s">
        <v>991</v>
      </c>
      <c r="B474" s="1" t="n">
        <v>1868</v>
      </c>
      <c r="C474" s="1" t="n">
        <v>12</v>
      </c>
      <c r="D474" s="1" t="s">
        <v>38</v>
      </c>
      <c r="E474" s="1" t="s">
        <v>274</v>
      </c>
      <c r="F474" s="1" t="n">
        <v>154</v>
      </c>
      <c r="G474" s="1" t="n">
        <v>85</v>
      </c>
      <c r="H474" s="2" t="n">
        <f aca="false">2200000*3</f>
        <v>6600000</v>
      </c>
      <c r="I474" s="2" t="n">
        <f aca="false">(((H474 / 800) / IF(ISBLANK(R474), 1000000, IF(ISNA(VLOOKUP(R474, Mileages!$A$2:$C$34, 2, 0)), R474, VLOOKUP(R474, Mileages!$A$2:$C$34, 2, 0)))) + (F474 * IF(ISBLANK(P474), 1, P474) * IF(ISBLANK(T474), 0, IF(ISNA(VLOOKUP(T474, 'Fuel Costs'!$A$2:$C$42, 2, 0)), T474, VLOOKUP(T474, 'Fuel Costs'!$A$2:$C$42, 2, 0))) / IF(ISBLANK(O474), 1, O474))) * 100</f>
        <v>154.825</v>
      </c>
      <c r="J474" s="2" t="n">
        <f aca="false">((H474 / 800) / (IF(ISBLANK(S474), 100, IF(ISNA(VLOOKUP(S474, Lives!$A$2:$C$35, 2, 0)), S474, VLOOKUP(S474, Lives!$A$2:$C$35, 2, 0))) * 12) + (IF(ISBLANK(Q474), 0, IF(ISNA(VLOOKUP(Q474, Wages!$A$2:$C$17, 2, 0)), Q474, VLOOKUP(Q474, Wages!$A$2:$C$17, 2, 0))) * IF(ISBLANK(N474), 0, IF(ISNA(VLOOKUP(N474, Crews!$A$2:$C$28, 2, 0)), N474, VLOOKUP(N474, Crews!$A$2:$C$28, 2, 0))))) * 400</f>
        <v>29500</v>
      </c>
      <c r="K474" s="3" t="s">
        <v>992</v>
      </c>
      <c r="L474" s="1" t="s">
        <v>993</v>
      </c>
      <c r="M474" s="1" t="n">
        <v>0</v>
      </c>
      <c r="N474" s="1" t="s">
        <v>590</v>
      </c>
      <c r="O474" s="1" t="n">
        <v>0.6</v>
      </c>
      <c r="P474" s="1"/>
      <c r="Q474" s="5" t="s">
        <v>284</v>
      </c>
      <c r="R474" s="1" t="s">
        <v>677</v>
      </c>
      <c r="S474" s="1" t="s">
        <v>677</v>
      </c>
      <c r="T474" s="1" t="s">
        <v>889</v>
      </c>
    </row>
    <row r="475" customFormat="false" ht="15" hidden="false" customHeight="true" outlineLevel="0" collapsed="false">
      <c r="A475" s="1" t="s">
        <v>994</v>
      </c>
      <c r="B475" s="1" t="n">
        <v>1868</v>
      </c>
      <c r="C475" s="1" t="n">
        <v>12</v>
      </c>
      <c r="D475" s="1" t="s">
        <v>38</v>
      </c>
      <c r="E475" s="1" t="s">
        <v>274</v>
      </c>
      <c r="F475" s="1" t="n">
        <v>176</v>
      </c>
      <c r="G475" s="1" t="n">
        <v>124</v>
      </c>
      <c r="H475" s="2" t="n">
        <f aca="false">9100000*2</f>
        <v>18200000</v>
      </c>
      <c r="I475" s="2" t="n">
        <f aca="false">(((H475 / 800) / IF(ISBLANK(R475), 1000000, IF(ISNA(VLOOKUP(R475, Mileages!$A$2:$C$34, 2, 0)), R475, VLOOKUP(R475, Mileages!$A$2:$C$34, 2, 0)))) + (F475 * IF(ISBLANK(P475), 1, P475) * IF(ISBLANK(T475), 0, IF(ISNA(VLOOKUP(T475, 'Fuel Costs'!$A$2:$C$42, 2, 0)), T475, VLOOKUP(T475, 'Fuel Costs'!$A$2:$C$42, 2, 0))) / IF(ISBLANK(O475), 1, O475))) * 100</f>
        <v>213.475</v>
      </c>
      <c r="J475" s="2" t="n">
        <f aca="false">((H475 / 800) / (IF(ISBLANK(S475), 100, IF(ISNA(VLOOKUP(S475, Lives!$A$2:$C$35, 2, 0)), S475, VLOOKUP(S475, Lives!$A$2:$C$35, 2, 0))) * 12) + (IF(ISBLANK(Q475), 0, IF(ISNA(VLOOKUP(Q475, Wages!$A$2:$C$17, 2, 0)), Q475, VLOOKUP(Q475, Wages!$A$2:$C$17, 2, 0))) * IF(ISBLANK(N475), 0, IF(ISNA(VLOOKUP(N475, Crews!$A$2:$C$28, 2, 0)), N475, VLOOKUP(N475, Crews!$A$2:$C$28, 2, 0))))) * 400</f>
        <v>39166.66667</v>
      </c>
      <c r="K475" s="3" t="s">
        <v>849</v>
      </c>
      <c r="L475" s="1" t="s">
        <v>995</v>
      </c>
      <c r="M475" s="1" t="n">
        <v>0</v>
      </c>
      <c r="N475" s="1" t="s">
        <v>590</v>
      </c>
      <c r="O475" s="1" t="n">
        <v>0.5</v>
      </c>
      <c r="P475" s="1"/>
      <c r="Q475" s="5" t="s">
        <v>284</v>
      </c>
      <c r="R475" s="1" t="s">
        <v>677</v>
      </c>
      <c r="S475" s="1" t="s">
        <v>677</v>
      </c>
      <c r="T475" s="1" t="s">
        <v>889</v>
      </c>
    </row>
    <row r="476" customFormat="false" ht="15" hidden="false" customHeight="true" outlineLevel="0" collapsed="false">
      <c r="A476" s="1" t="s">
        <v>996</v>
      </c>
      <c r="B476" s="1" t="n">
        <v>1869</v>
      </c>
      <c r="C476" s="1" t="n">
        <v>1</v>
      </c>
      <c r="D476" s="1" t="s">
        <v>38</v>
      </c>
      <c r="E476" s="1" t="s">
        <v>274</v>
      </c>
      <c r="F476" s="1" t="n">
        <v>93</v>
      </c>
      <c r="G476" s="1" t="n">
        <v>76</v>
      </c>
      <c r="H476" s="2" t="n">
        <f aca="false">1985000*2</f>
        <v>3970000</v>
      </c>
      <c r="I476" s="2" t="n">
        <f aca="false">(((H476 / 800) / IF(ISBLANK(R476), 1000000, IF(ISNA(VLOOKUP(R476, Mileages!$A$2:$C$34, 2, 0)), R476, VLOOKUP(R476, Mileages!$A$2:$C$34, 2, 0)))) + (F476 * IF(ISBLANK(P476), 1, P476) * IF(ISBLANK(T476), 0, IF(ISNA(VLOOKUP(T476, 'Fuel Costs'!$A$2:$C$42, 2, 0)), T476, VLOOKUP(T476, 'Fuel Costs'!$A$2:$C$42, 2, 0))) / IF(ISBLANK(O476), 1, O476))) * 100</f>
        <v>112.09625</v>
      </c>
      <c r="J476" s="2" t="n">
        <f aca="false">((H476 / 800) / (IF(ISBLANK(S476), 100, IF(ISNA(VLOOKUP(S476, Lives!$A$2:$C$35, 2, 0)), S476, VLOOKUP(S476, Lives!$A$2:$C$35, 2, 0))) * 12) + (IF(ISBLANK(Q476), 0, IF(ISNA(VLOOKUP(Q476, Wages!$A$2:$C$17, 2, 0)), Q476, VLOOKUP(Q476, Wages!$A$2:$C$17, 2, 0))) * IF(ISBLANK(N476), 0, IF(ISNA(VLOOKUP(N476, Crews!$A$2:$C$28, 2, 0)), N476, VLOOKUP(N476, Crews!$A$2:$C$28, 2, 0))))) * 400</f>
        <v>19308.33333</v>
      </c>
      <c r="K476" s="3" t="s">
        <v>997</v>
      </c>
      <c r="L476" s="1" t="s">
        <v>998</v>
      </c>
      <c r="M476" s="1" t="n">
        <v>0</v>
      </c>
      <c r="N476" s="1" t="s">
        <v>283</v>
      </c>
      <c r="O476" s="1" t="n">
        <v>0.5</v>
      </c>
      <c r="P476" s="1"/>
      <c r="Q476" s="5" t="s">
        <v>284</v>
      </c>
      <c r="R476" s="1" t="s">
        <v>677</v>
      </c>
      <c r="S476" s="1" t="s">
        <v>677</v>
      </c>
      <c r="T476" s="1" t="s">
        <v>889</v>
      </c>
    </row>
    <row r="477" customFormat="false" ht="15" hidden="false" customHeight="true" outlineLevel="0" collapsed="false">
      <c r="A477" s="1" t="s">
        <v>999</v>
      </c>
      <c r="B477" s="1" t="n">
        <v>1869</v>
      </c>
      <c r="C477" s="1" t="n">
        <v>1</v>
      </c>
      <c r="D477" s="1" t="s">
        <v>38</v>
      </c>
      <c r="E477" s="1"/>
      <c r="F477" s="1"/>
      <c r="G477" s="1" t="n">
        <v>130</v>
      </c>
      <c r="H477" s="2" t="n">
        <v>220000</v>
      </c>
      <c r="I477" s="2" t="n">
        <f aca="false">(((H477 / 800) / IF(ISBLANK(R477), 1000000, IF(ISNA(VLOOKUP(R477, Mileages!$A$2:$C$34, 2, 0)), R477, VLOOKUP(R477, Mileages!$A$2:$C$34, 2, 0)))) + (F477 * IF(ISBLANK(P477), 1, P477) * IF(ISBLANK(T477), 0, IF(ISNA(VLOOKUP(T477, 'Fuel Costs'!$A$2:$C$42, 2, 0)), T477, VLOOKUP(T477, 'Fuel Costs'!$A$2:$C$42, 2, 0))) / IF(ISBLANK(O477), 1, O477))) * 100</f>
        <v>0.02291666667</v>
      </c>
      <c r="J477" s="2" t="n">
        <f aca="false">((H477 / 800) / (IF(ISBLANK(S477), 100, IF(ISNA(VLOOKUP(S477, Lives!$A$2:$C$35, 2, 0)), S477, VLOOKUP(S477, Lives!$A$2:$C$35, 2, 0))) * 12) + (IF(ISBLANK(Q477), 0, IF(ISNA(VLOOKUP(Q477, Wages!$A$2:$C$17, 2, 0)), Q477, VLOOKUP(Q477, Wages!$A$2:$C$17, 2, 0))) * IF(ISBLANK(N477), 0, IF(ISNA(VLOOKUP(N477, Crews!$A$2:$C$28, 2, 0)), N477, VLOOKUP(N477, Crews!$A$2:$C$28, 2, 0))))) * 400</f>
        <v>261.9047619</v>
      </c>
      <c r="K477" s="1"/>
      <c r="L477" s="1" t="s">
        <v>1000</v>
      </c>
      <c r="M477" s="1" t="n">
        <v>0</v>
      </c>
      <c r="N477" s="1"/>
      <c r="O477" s="1"/>
      <c r="P477" s="1"/>
      <c r="Q477" s="1"/>
      <c r="R477" s="1" t="s">
        <v>689</v>
      </c>
      <c r="S477" s="1" t="s">
        <v>856</v>
      </c>
      <c r="T477" s="1"/>
    </row>
    <row r="478" customFormat="false" ht="15" hidden="false" customHeight="true" outlineLevel="0" collapsed="false">
      <c r="A478" s="1" t="s">
        <v>1001</v>
      </c>
      <c r="B478" s="1" t="n">
        <v>1869</v>
      </c>
      <c r="C478" s="1" t="n">
        <v>1</v>
      </c>
      <c r="D478" s="1" t="s">
        <v>38</v>
      </c>
      <c r="E478" s="1"/>
      <c r="F478" s="1"/>
      <c r="G478" s="1" t="n">
        <v>130</v>
      </c>
      <c r="H478" s="2" t="n">
        <v>210000</v>
      </c>
      <c r="I478" s="2" t="n">
        <f aca="false">(((H478 / 800) / IF(ISBLANK(R478), 1000000, IF(ISNA(VLOOKUP(R478, Mileages!$A$2:$C$34, 2, 0)), R478, VLOOKUP(R478, Mileages!$A$2:$C$34, 2, 0)))) + (F478 * IF(ISBLANK(P478), 1, P478) * IF(ISBLANK(T478), 0, IF(ISNA(VLOOKUP(T478, 'Fuel Costs'!$A$2:$C$42, 2, 0)), T478, VLOOKUP(T478, 'Fuel Costs'!$A$2:$C$42, 2, 0))) / IF(ISBLANK(O478), 1, O478))) * 100</f>
        <v>0.021875</v>
      </c>
      <c r="J478" s="2" t="n">
        <f aca="false">((H478 / 800) / (IF(ISBLANK(S478), 100, IF(ISNA(VLOOKUP(S478, Lives!$A$2:$C$35, 2, 0)), S478, VLOOKUP(S478, Lives!$A$2:$C$35, 2, 0))) * 12) + (IF(ISBLANK(Q478), 0, IF(ISNA(VLOOKUP(Q478, Wages!$A$2:$C$17, 2, 0)), Q478, VLOOKUP(Q478, Wages!$A$2:$C$17, 2, 0))) * IF(ISBLANK(N478), 0, IF(ISNA(VLOOKUP(N478, Crews!$A$2:$C$28, 2, 0)), N478, VLOOKUP(N478, Crews!$A$2:$C$28, 2, 0))))) * 400</f>
        <v>5050</v>
      </c>
      <c r="K478" s="1"/>
      <c r="L478" s="1" t="s">
        <v>1000</v>
      </c>
      <c r="M478" s="1" t="n">
        <v>1</v>
      </c>
      <c r="N478" s="1" t="s">
        <v>25</v>
      </c>
      <c r="O478" s="1"/>
      <c r="P478" s="1"/>
      <c r="Q478" s="1" t="s">
        <v>378</v>
      </c>
      <c r="R478" s="1" t="s">
        <v>689</v>
      </c>
      <c r="S478" s="1" t="s">
        <v>856</v>
      </c>
      <c r="T478" s="1"/>
    </row>
    <row r="479" customFormat="false" ht="15" hidden="false" customHeight="true" outlineLevel="0" collapsed="false">
      <c r="A479" s="1" t="s">
        <v>1002</v>
      </c>
      <c r="B479" s="1" t="n">
        <v>1869</v>
      </c>
      <c r="C479" s="1" t="n">
        <v>1</v>
      </c>
      <c r="D479" s="1" t="s">
        <v>38</v>
      </c>
      <c r="E479" s="1"/>
      <c r="F479" s="1"/>
      <c r="G479" s="1" t="n">
        <v>130</v>
      </c>
      <c r="H479" s="2" t="n">
        <v>210000</v>
      </c>
      <c r="I479" s="2" t="n">
        <f aca="false">(((H479 / 800) / IF(ISBLANK(R479), 1000000, IF(ISNA(VLOOKUP(R479, Mileages!$A$2:$C$34, 2, 0)), R479, VLOOKUP(R479, Mileages!$A$2:$C$34, 2, 0)))) + (F479 * IF(ISBLANK(P479), 1, P479) * IF(ISBLANK(T479), 0, IF(ISNA(VLOOKUP(T479, 'Fuel Costs'!$A$2:$C$42, 2, 0)), T479, VLOOKUP(T479, 'Fuel Costs'!$A$2:$C$42, 2, 0))) / IF(ISBLANK(O479), 1, O479))) * 100</f>
        <v>0.021875</v>
      </c>
      <c r="J479" s="2" t="n">
        <f aca="false">((H479 / 800) / (IF(ISBLANK(S479), 100, IF(ISNA(VLOOKUP(S479, Lives!$A$2:$C$35, 2, 0)), S479, VLOOKUP(S479, Lives!$A$2:$C$35, 2, 0))) * 12) + (IF(ISBLANK(Q479), 0, IF(ISNA(VLOOKUP(Q479, Wages!$A$2:$C$17, 2, 0)), Q479, VLOOKUP(Q479, Wages!$A$2:$C$17, 2, 0))) * IF(ISBLANK(N479), 0, IF(ISNA(VLOOKUP(N479, Crews!$A$2:$C$28, 2, 0)), N479, VLOOKUP(N479, Crews!$A$2:$C$28, 2, 0))))) * 400</f>
        <v>5050</v>
      </c>
      <c r="K479" s="1"/>
      <c r="L479" s="1" t="s">
        <v>1000</v>
      </c>
      <c r="M479" s="1" t="n">
        <v>2</v>
      </c>
      <c r="N479" s="1" t="s">
        <v>25</v>
      </c>
      <c r="O479" s="1"/>
      <c r="P479" s="1"/>
      <c r="Q479" s="1" t="s">
        <v>378</v>
      </c>
      <c r="R479" s="1" t="s">
        <v>689</v>
      </c>
      <c r="S479" s="1" t="s">
        <v>856</v>
      </c>
      <c r="T479" s="1"/>
    </row>
    <row r="480" customFormat="false" ht="15" hidden="false" customHeight="true" outlineLevel="0" collapsed="false">
      <c r="A480" s="1" t="s">
        <v>1003</v>
      </c>
      <c r="B480" s="1" t="n">
        <v>1869</v>
      </c>
      <c r="C480" s="1" t="n">
        <v>4</v>
      </c>
      <c r="D480" s="1" t="s">
        <v>38</v>
      </c>
      <c r="E480" s="1" t="s">
        <v>274</v>
      </c>
      <c r="F480" s="1" t="n">
        <v>190</v>
      </c>
      <c r="G480" s="1" t="n">
        <v>86</v>
      </c>
      <c r="H480" s="2" t="n">
        <v>7015000</v>
      </c>
      <c r="I480" s="2" t="n">
        <f aca="false">(((H480 / 800) / IF(ISBLANK(R480), 1000000, IF(ISNA(VLOOKUP(R480, Mileages!$A$2:$C$34, 2, 0)), R480, VLOOKUP(R480, Mileages!$A$2:$C$34, 2, 0)))) + (F480 * IF(ISBLANK(P480), 1, P480) * IF(ISBLANK(T480), 0, IF(ISNA(VLOOKUP(T480, 'Fuel Costs'!$A$2:$C$42, 2, 0)), T480, VLOOKUP(T480, 'Fuel Costs'!$A$2:$C$42, 2, 0))) / IF(ISBLANK(O480), 1, O480))) * 100</f>
        <v>228.876875</v>
      </c>
      <c r="J480" s="2" t="n">
        <f aca="false">((H480 / 800) / (IF(ISBLANK(S480), 100, IF(ISNA(VLOOKUP(S480, Lives!$A$2:$C$35, 2, 0)), S480, VLOOKUP(S480, Lives!$A$2:$C$35, 2, 0))) * 12) + (IF(ISBLANK(Q480), 0, IF(ISNA(VLOOKUP(Q480, Wages!$A$2:$C$17, 2, 0)), Q480, VLOOKUP(Q480, Wages!$A$2:$C$17, 2, 0))) * IF(ISBLANK(N480), 0, IF(ISNA(VLOOKUP(N480, Crews!$A$2:$C$28, 2, 0)), N480, VLOOKUP(N480, Crews!$A$2:$C$28, 2, 0))))) * 400</f>
        <v>29845.83333</v>
      </c>
      <c r="K480" s="3" t="s">
        <v>1004</v>
      </c>
      <c r="L480" s="1" t="s">
        <v>1005</v>
      </c>
      <c r="M480" s="1" t="n">
        <v>0</v>
      </c>
      <c r="N480" s="1" t="s">
        <v>590</v>
      </c>
      <c r="O480" s="1" t="n">
        <v>0.5</v>
      </c>
      <c r="P480" s="1"/>
      <c r="Q480" s="5" t="s">
        <v>284</v>
      </c>
      <c r="R480" s="1" t="s">
        <v>677</v>
      </c>
      <c r="S480" s="1" t="s">
        <v>677</v>
      </c>
      <c r="T480" s="1" t="s">
        <v>889</v>
      </c>
    </row>
    <row r="481" customFormat="false" ht="15" hidden="false" customHeight="true" outlineLevel="0" collapsed="false">
      <c r="A481" s="1" t="s">
        <v>1006</v>
      </c>
      <c r="B481" s="1" t="n">
        <v>1869</v>
      </c>
      <c r="C481" s="1" t="n">
        <v>10</v>
      </c>
      <c r="D481" s="1" t="s">
        <v>38</v>
      </c>
      <c r="E481" s="1" t="s">
        <v>274</v>
      </c>
      <c r="F481" s="1" t="n">
        <v>192</v>
      </c>
      <c r="G481" s="1" t="n">
        <v>85</v>
      </c>
      <c r="H481" s="2" t="n">
        <f aca="false">5612000*1.5</f>
        <v>8418000</v>
      </c>
      <c r="I481" s="2" t="n">
        <f aca="false">(((H481 / 800) / IF(ISBLANK(R481), 1000000, IF(ISNA(VLOOKUP(R481, Mileages!$A$2:$C$34, 2, 0)), R481, VLOOKUP(R481, Mileages!$A$2:$C$34, 2, 0)))) + (F481 * IF(ISBLANK(P481), 1, P481) * IF(ISBLANK(T481), 0, IF(ISNA(VLOOKUP(T481, 'Fuel Costs'!$A$2:$C$42, 2, 0)), T481, VLOOKUP(T481, 'Fuel Costs'!$A$2:$C$42, 2, 0))) / IF(ISBLANK(O481), 1, O481))) * 100</f>
        <v>231.45225</v>
      </c>
      <c r="J481" s="2" t="n">
        <f aca="false">((H481 / 800) / (IF(ISBLANK(S481), 100, IF(ISNA(VLOOKUP(S481, Lives!$A$2:$C$35, 2, 0)), S481, VLOOKUP(S481, Lives!$A$2:$C$35, 2, 0))) * 12) + (IF(ISBLANK(Q481), 0, IF(ISNA(VLOOKUP(Q481, Wages!$A$2:$C$17, 2, 0)), Q481, VLOOKUP(Q481, Wages!$A$2:$C$17, 2, 0))) * IF(ISBLANK(N481), 0, IF(ISNA(VLOOKUP(N481, Crews!$A$2:$C$28, 2, 0)), N481, VLOOKUP(N481, Crews!$A$2:$C$28, 2, 0))))) * 400</f>
        <v>31015</v>
      </c>
      <c r="K481" s="3" t="s">
        <v>1007</v>
      </c>
      <c r="L481" s="1" t="s">
        <v>1008</v>
      </c>
      <c r="M481" s="1" t="n">
        <v>0</v>
      </c>
      <c r="N481" s="1" t="s">
        <v>590</v>
      </c>
      <c r="O481" s="1" t="n">
        <v>0.5</v>
      </c>
      <c r="P481" s="1"/>
      <c r="Q481" s="5" t="s">
        <v>284</v>
      </c>
      <c r="R481" s="1" t="s">
        <v>677</v>
      </c>
      <c r="S481" s="1" t="s">
        <v>677</v>
      </c>
      <c r="T481" s="1" t="s">
        <v>889</v>
      </c>
    </row>
    <row r="482" customFormat="false" ht="15" hidden="false" customHeight="true" outlineLevel="0" collapsed="false">
      <c r="A482" s="1" t="s">
        <v>1009</v>
      </c>
      <c r="B482" s="1" t="n">
        <v>1869</v>
      </c>
      <c r="C482" s="1" t="n">
        <v>11</v>
      </c>
      <c r="D482" s="1" t="s">
        <v>29</v>
      </c>
      <c r="E482" s="1" t="s">
        <v>274</v>
      </c>
      <c r="F482" s="1" t="n">
        <v>4550</v>
      </c>
      <c r="G482" s="1" t="n">
        <v>20</v>
      </c>
      <c r="H482" s="2" t="n">
        <f aca="false">1780000*100</f>
        <v>178000000</v>
      </c>
      <c r="I482" s="2" t="n">
        <f aca="false">(((H482 / 800) / IF(ISBLANK(R482), 1000000, IF(ISNA(VLOOKUP(R482, Mileages!$A$2:$C$34, 2, 0)), R482, VLOOKUP(R482, Mileages!$A$2:$C$34, 2, 0)))) + (F482 * IF(ISBLANK(P482), 1, P482) * IF(ISBLANK(T482), 0, IF(ISNA(VLOOKUP(T482, 'Fuel Costs'!$A$2:$C$42, 2, 0)), T482, VLOOKUP(T482, 'Fuel Costs'!$A$2:$C$42, 2, 0))) / IF(ISBLANK(O482), 1, O482))) * 100</f>
        <v>939.325</v>
      </c>
      <c r="J482" s="2" t="n">
        <f aca="false">((H482 / 800) / (IF(ISBLANK(S482), 100, IF(ISNA(VLOOKUP(S482, Lives!$A$2:$C$35, 2, 0)), S482, VLOOKUP(S482, Lives!$A$2:$C$35, 2, 0))) * 12) + (IF(ISBLANK(Q482), 0, IF(ISNA(VLOOKUP(Q482, Wages!$A$2:$C$17, 2, 0)), Q482, VLOOKUP(Q482, Wages!$A$2:$C$17, 2, 0))) * IF(ISBLANK(N482), 0, IF(ISNA(VLOOKUP(N482, Crews!$A$2:$C$28, 2, 0)), N482, VLOOKUP(N482, Crews!$A$2:$C$28, 2, 0))))) * 400</f>
        <v>154166.6667</v>
      </c>
      <c r="K482" s="1" t="s">
        <v>31</v>
      </c>
      <c r="L482" s="1" t="s">
        <v>1010</v>
      </c>
      <c r="M482" s="1" t="n">
        <v>0</v>
      </c>
      <c r="N482" s="1" t="s">
        <v>65</v>
      </c>
      <c r="O482" s="1" t="n">
        <v>1</v>
      </c>
      <c r="P482" s="1" t="n">
        <v>0.34</v>
      </c>
      <c r="Q482" s="1" t="s">
        <v>34</v>
      </c>
      <c r="R482" s="1" t="s">
        <v>574</v>
      </c>
      <c r="S482" s="1" t="s">
        <v>574</v>
      </c>
      <c r="T482" s="1" t="s">
        <v>889</v>
      </c>
    </row>
    <row r="483" customFormat="false" ht="15" hidden="false" customHeight="true" outlineLevel="0" collapsed="false">
      <c r="A483" s="1" t="s">
        <v>1011</v>
      </c>
      <c r="B483" s="1" t="n">
        <v>1869</v>
      </c>
      <c r="C483" s="1" t="n">
        <v>11</v>
      </c>
      <c r="D483" s="1" t="s">
        <v>29</v>
      </c>
      <c r="E483" s="1"/>
      <c r="F483" s="1"/>
      <c r="G483" s="1" t="n">
        <v>25</v>
      </c>
      <c r="H483" s="2"/>
      <c r="I483" s="2"/>
      <c r="J483" s="2"/>
      <c r="K483" s="3" t="s">
        <v>1012</v>
      </c>
      <c r="L483" s="1" t="s">
        <v>1013</v>
      </c>
      <c r="M483" s="1" t="n">
        <v>0</v>
      </c>
      <c r="N483" s="1"/>
      <c r="O483" s="1"/>
      <c r="P483" s="1"/>
      <c r="Q483" s="1"/>
      <c r="R483" s="1"/>
      <c r="S483" s="1"/>
      <c r="T483" s="1"/>
    </row>
    <row r="484" customFormat="false" ht="15" hidden="false" customHeight="true" outlineLevel="0" collapsed="false">
      <c r="A484" s="1" t="s">
        <v>1014</v>
      </c>
      <c r="B484" s="1" t="n">
        <v>1869</v>
      </c>
      <c r="C484" s="1" t="n">
        <v>11</v>
      </c>
      <c r="D484" s="1" t="s">
        <v>29</v>
      </c>
      <c r="E484" s="1"/>
      <c r="F484" s="1"/>
      <c r="G484" s="1" t="n">
        <v>25</v>
      </c>
      <c r="H484" s="2"/>
      <c r="I484" s="2"/>
      <c r="J484" s="2"/>
      <c r="K484" s="1" t="s">
        <v>70</v>
      </c>
      <c r="L484" s="1" t="s">
        <v>1013</v>
      </c>
      <c r="M484" s="1" t="n">
        <v>1</v>
      </c>
      <c r="N484" s="1"/>
      <c r="O484" s="1"/>
      <c r="P484" s="1"/>
      <c r="Q484" s="1"/>
      <c r="R484" s="1"/>
      <c r="S484" s="1"/>
      <c r="T484" s="1"/>
    </row>
    <row r="485" customFormat="false" ht="15" hidden="false" customHeight="true" outlineLevel="0" collapsed="false">
      <c r="A485" s="1" t="s">
        <v>1015</v>
      </c>
      <c r="B485" s="1" t="n">
        <v>1869</v>
      </c>
      <c r="C485" s="1" t="n">
        <v>11</v>
      </c>
      <c r="D485" s="1" t="s">
        <v>29</v>
      </c>
      <c r="E485" s="1"/>
      <c r="F485" s="1"/>
      <c r="G485" s="1" t="n">
        <v>25</v>
      </c>
      <c r="H485" s="2"/>
      <c r="I485" s="2"/>
      <c r="J485" s="2"/>
      <c r="K485" s="1" t="s">
        <v>70</v>
      </c>
      <c r="L485" s="1" t="s">
        <v>1013</v>
      </c>
      <c r="M485" s="1" t="n">
        <v>2</v>
      </c>
      <c r="N485" s="1"/>
      <c r="O485" s="1"/>
      <c r="P485" s="1"/>
      <c r="Q485" s="1"/>
      <c r="R485" s="1"/>
      <c r="S485" s="1"/>
      <c r="T485" s="1"/>
    </row>
    <row r="486" customFormat="false" ht="15" hidden="false" customHeight="true" outlineLevel="0" collapsed="false">
      <c r="A486" s="1" t="s">
        <v>1016</v>
      </c>
      <c r="B486" s="1" t="n">
        <v>1869</v>
      </c>
      <c r="C486" s="1" t="n">
        <v>11</v>
      </c>
      <c r="D486" s="1" t="s">
        <v>29</v>
      </c>
      <c r="E486" s="1"/>
      <c r="F486" s="1"/>
      <c r="G486" s="1" t="n">
        <v>25</v>
      </c>
      <c r="H486" s="2"/>
      <c r="I486" s="2"/>
      <c r="J486" s="2"/>
      <c r="K486" s="1" t="s">
        <v>70</v>
      </c>
      <c r="L486" s="1" t="s">
        <v>1013</v>
      </c>
      <c r="M486" s="1" t="n">
        <v>3</v>
      </c>
      <c r="N486" s="1"/>
      <c r="O486" s="1"/>
      <c r="P486" s="1"/>
      <c r="Q486" s="1"/>
      <c r="R486" s="1"/>
      <c r="S486" s="1"/>
      <c r="T486" s="1"/>
    </row>
    <row r="487" customFormat="false" ht="15" hidden="false" customHeight="true" outlineLevel="0" collapsed="false">
      <c r="A487" s="1" t="s">
        <v>1017</v>
      </c>
      <c r="B487" s="1" t="n">
        <v>1869</v>
      </c>
      <c r="C487" s="1" t="n">
        <v>11</v>
      </c>
      <c r="D487" s="1" t="s">
        <v>29</v>
      </c>
      <c r="E487" s="1"/>
      <c r="F487" s="1"/>
      <c r="G487" s="1" t="n">
        <v>25</v>
      </c>
      <c r="H487" s="2"/>
      <c r="I487" s="2"/>
      <c r="J487" s="2"/>
      <c r="K487" s="1" t="s">
        <v>70</v>
      </c>
      <c r="L487" s="1" t="s">
        <v>1013</v>
      </c>
      <c r="M487" s="1" t="n">
        <v>4</v>
      </c>
      <c r="N487" s="1"/>
      <c r="O487" s="1"/>
      <c r="P487" s="1"/>
      <c r="Q487" s="1"/>
      <c r="R487" s="1"/>
      <c r="S487" s="1"/>
      <c r="T487" s="1"/>
    </row>
    <row r="488" customFormat="false" ht="15" hidden="false" customHeight="true" outlineLevel="0" collapsed="false">
      <c r="A488" s="1" t="s">
        <v>1018</v>
      </c>
      <c r="B488" s="1" t="n">
        <v>1869</v>
      </c>
      <c r="C488" s="1" t="n">
        <v>11</v>
      </c>
      <c r="D488" s="1" t="s">
        <v>29</v>
      </c>
      <c r="E488" s="1"/>
      <c r="F488" s="1"/>
      <c r="G488" s="1" t="n">
        <v>25</v>
      </c>
      <c r="H488" s="2"/>
      <c r="I488" s="2"/>
      <c r="J488" s="2"/>
      <c r="K488" s="1" t="s">
        <v>70</v>
      </c>
      <c r="L488" s="1" t="s">
        <v>1013</v>
      </c>
      <c r="M488" s="1" t="n">
        <v>5</v>
      </c>
      <c r="N488" s="1"/>
      <c r="O488" s="1"/>
      <c r="P488" s="1"/>
      <c r="Q488" s="1"/>
      <c r="R488" s="1"/>
      <c r="S488" s="1"/>
      <c r="T488" s="1"/>
    </row>
    <row r="489" customFormat="false" ht="15" hidden="false" customHeight="true" outlineLevel="0" collapsed="false">
      <c r="A489" s="1" t="s">
        <v>1019</v>
      </c>
      <c r="B489" s="1" t="n">
        <v>1870</v>
      </c>
      <c r="C489" s="1" t="n">
        <v>1</v>
      </c>
      <c r="D489" s="1" t="s">
        <v>38</v>
      </c>
      <c r="E489" s="1"/>
      <c r="F489" s="1"/>
      <c r="G489" s="1" t="n">
        <v>145</v>
      </c>
      <c r="H489" s="2" t="n">
        <v>300000</v>
      </c>
      <c r="I489" s="2" t="n">
        <f aca="false">(((H489 / 800) / IF(ISBLANK(R489), 1000000, IF(ISNA(VLOOKUP(R489, Mileages!$A$2:$C$34, 2, 0)), R489, VLOOKUP(R489, Mileages!$A$2:$C$34, 2, 0)))) + (F489 * IF(ISBLANK(P489), 1, P489) * IF(ISBLANK(T489), 0, IF(ISNA(VLOOKUP(T489, 'Fuel Costs'!$A$2:$C$42, 2, 0)), T489, VLOOKUP(T489, 'Fuel Costs'!$A$2:$C$42, 2, 0))) / IF(ISBLANK(O489), 1, O489))) * 100</f>
        <v>0.03125</v>
      </c>
      <c r="J489" s="2" t="n">
        <f aca="false">((H489 / 800) / (IF(ISBLANK(S489), 100, IF(ISNA(VLOOKUP(S489, Lives!$A$2:$C$35, 2, 0)), S489, VLOOKUP(S489, Lives!$A$2:$C$35, 2, 0))) * 12) + (IF(ISBLANK(Q489), 0, IF(ISNA(VLOOKUP(Q489, Wages!$A$2:$C$17, 2, 0)), Q489, VLOOKUP(Q489, Wages!$A$2:$C$17, 2, 0))) * IF(ISBLANK(N489), 0, IF(ISNA(VLOOKUP(N489, Crews!$A$2:$C$28, 2, 0)), N489, VLOOKUP(N489, Crews!$A$2:$C$28, 2, 0))))) * 400</f>
        <v>357.1428571</v>
      </c>
      <c r="K489" s="3" t="s">
        <v>1020</v>
      </c>
      <c r="L489" s="1" t="s">
        <v>1021</v>
      </c>
      <c r="M489" s="1" t="n">
        <v>0</v>
      </c>
      <c r="N489" s="1"/>
      <c r="O489" s="1"/>
      <c r="P489" s="1"/>
      <c r="Q489" s="1"/>
      <c r="R489" s="1" t="s">
        <v>689</v>
      </c>
      <c r="S489" s="1" t="s">
        <v>856</v>
      </c>
      <c r="T489" s="1"/>
    </row>
    <row r="490" customFormat="false" ht="15" hidden="false" customHeight="true" outlineLevel="0" collapsed="false">
      <c r="A490" s="1" t="s">
        <v>1022</v>
      </c>
      <c r="B490" s="1" t="n">
        <v>1870</v>
      </c>
      <c r="C490" s="1" t="n">
        <v>1</v>
      </c>
      <c r="D490" s="1" t="s">
        <v>38</v>
      </c>
      <c r="E490" s="1"/>
      <c r="F490" s="1"/>
      <c r="G490" s="1" t="n">
        <v>145</v>
      </c>
      <c r="H490" s="2" t="n">
        <v>312000</v>
      </c>
      <c r="I490" s="2" t="n">
        <f aca="false">(((H490 / 800) / IF(ISBLANK(R490), 1000000, IF(ISNA(VLOOKUP(R490, Mileages!$A$2:$C$34, 2, 0)), R490, VLOOKUP(R490, Mileages!$A$2:$C$34, 2, 0)))) + (F490 * IF(ISBLANK(P490), 1, P490) * IF(ISBLANK(T490), 0, IF(ISNA(VLOOKUP(T490, 'Fuel Costs'!$A$2:$C$42, 2, 0)), T490, VLOOKUP(T490, 'Fuel Costs'!$A$2:$C$42, 2, 0))) / IF(ISBLANK(O490), 1, O490))) * 100</f>
        <v>0.0325</v>
      </c>
      <c r="J490" s="2" t="n">
        <f aca="false">((H490 / 800) / (IF(ISBLANK(S490), 100, IF(ISNA(VLOOKUP(S490, Lives!$A$2:$C$35, 2, 0)), S490, VLOOKUP(S490, Lives!$A$2:$C$35, 2, 0))) * 12) + (IF(ISBLANK(Q490), 0, IF(ISNA(VLOOKUP(Q490, Wages!$A$2:$C$17, 2, 0)), Q490, VLOOKUP(Q490, Wages!$A$2:$C$17, 2, 0))) * IF(ISBLANK(N490), 0, IF(ISNA(VLOOKUP(N490, Crews!$A$2:$C$28, 2, 0)), N490, VLOOKUP(N490, Crews!$A$2:$C$28, 2, 0))))) * 400</f>
        <v>371.4285714</v>
      </c>
      <c r="K490" s="3" t="s">
        <v>1023</v>
      </c>
      <c r="L490" s="1" t="s">
        <v>1021</v>
      </c>
      <c r="M490" s="1" t="n">
        <v>1</v>
      </c>
      <c r="N490" s="1"/>
      <c r="O490" s="1"/>
      <c r="P490" s="1"/>
      <c r="Q490" s="1"/>
      <c r="R490" s="1" t="s">
        <v>689</v>
      </c>
      <c r="S490" s="1" t="s">
        <v>856</v>
      </c>
      <c r="T490" s="1"/>
    </row>
    <row r="491" customFormat="false" ht="15" hidden="false" customHeight="true" outlineLevel="0" collapsed="false">
      <c r="A491" s="1" t="s">
        <v>1024</v>
      </c>
      <c r="B491" s="1" t="n">
        <v>1870</v>
      </c>
      <c r="C491" s="1" t="n">
        <v>1</v>
      </c>
      <c r="D491" s="1" t="s">
        <v>38</v>
      </c>
      <c r="E491" s="1"/>
      <c r="F491" s="1"/>
      <c r="G491" s="1" t="n">
        <v>145</v>
      </c>
      <c r="H491" s="2" t="n">
        <v>300000</v>
      </c>
      <c r="I491" s="2" t="n">
        <f aca="false">(((H491 / 800) / IF(ISBLANK(R491), 1000000, IF(ISNA(VLOOKUP(R491, Mileages!$A$2:$C$34, 2, 0)), R491, VLOOKUP(R491, Mileages!$A$2:$C$34, 2, 0)))) + (F491 * IF(ISBLANK(P491), 1, P491) * IF(ISBLANK(T491), 0, IF(ISNA(VLOOKUP(T491, 'Fuel Costs'!$A$2:$C$42, 2, 0)), T491, VLOOKUP(T491, 'Fuel Costs'!$A$2:$C$42, 2, 0))) / IF(ISBLANK(O491), 1, O491))) * 100</f>
        <v>0.03125</v>
      </c>
      <c r="J491" s="2" t="n">
        <f aca="false">((H491 / 800) / (IF(ISBLANK(S491), 100, IF(ISNA(VLOOKUP(S491, Lives!$A$2:$C$35, 2, 0)), S491, VLOOKUP(S491, Lives!$A$2:$C$35, 2, 0))) * 12) + (IF(ISBLANK(Q491), 0, IF(ISNA(VLOOKUP(Q491, Wages!$A$2:$C$17, 2, 0)), Q491, VLOOKUP(Q491, Wages!$A$2:$C$17, 2, 0))) * IF(ISBLANK(N491), 0, IF(ISNA(VLOOKUP(N491, Crews!$A$2:$C$28, 2, 0)), N491, VLOOKUP(N491, Crews!$A$2:$C$28, 2, 0))))) * 400</f>
        <v>5157.142857</v>
      </c>
      <c r="K491" s="1"/>
      <c r="L491" s="1" t="s">
        <v>1021</v>
      </c>
      <c r="M491" s="1" t="n">
        <v>2</v>
      </c>
      <c r="N491" s="1" t="s">
        <v>25</v>
      </c>
      <c r="O491" s="1"/>
      <c r="P491" s="1"/>
      <c r="Q491" s="1" t="s">
        <v>378</v>
      </c>
      <c r="R491" s="1" t="s">
        <v>689</v>
      </c>
      <c r="S491" s="1" t="s">
        <v>856</v>
      </c>
      <c r="T491" s="1"/>
    </row>
    <row r="492" customFormat="false" ht="15" hidden="false" customHeight="true" outlineLevel="0" collapsed="false">
      <c r="A492" s="1" t="s">
        <v>1025</v>
      </c>
      <c r="B492" s="1" t="n">
        <v>1870</v>
      </c>
      <c r="C492" s="1" t="n">
        <v>1</v>
      </c>
      <c r="D492" s="1" t="s">
        <v>38</v>
      </c>
      <c r="E492" s="1"/>
      <c r="F492" s="1"/>
      <c r="G492" s="1" t="n">
        <v>145</v>
      </c>
      <c r="H492" s="2" t="n">
        <v>300000</v>
      </c>
      <c r="I492" s="2" t="n">
        <f aca="false">(((H492 / 800) / IF(ISBLANK(R492), 1000000, IF(ISNA(VLOOKUP(R492, Mileages!$A$2:$C$34, 2, 0)), R492, VLOOKUP(R492, Mileages!$A$2:$C$34, 2, 0)))) + (F492 * IF(ISBLANK(P492), 1, P492) * IF(ISBLANK(T492), 0, IF(ISNA(VLOOKUP(T492, 'Fuel Costs'!$A$2:$C$42, 2, 0)), T492, VLOOKUP(T492, 'Fuel Costs'!$A$2:$C$42, 2, 0))) / IF(ISBLANK(O492), 1, O492))) * 100</f>
        <v>0.03125</v>
      </c>
      <c r="J492" s="2" t="n">
        <f aca="false">((H492 / 800) / (IF(ISBLANK(S492), 100, IF(ISNA(VLOOKUP(S492, Lives!$A$2:$C$35, 2, 0)), S492, VLOOKUP(S492, Lives!$A$2:$C$35, 2, 0))) * 12) + (IF(ISBLANK(Q492), 0, IF(ISNA(VLOOKUP(Q492, Wages!$A$2:$C$17, 2, 0)), Q492, VLOOKUP(Q492, Wages!$A$2:$C$17, 2, 0))) * IF(ISBLANK(N492), 0, IF(ISNA(VLOOKUP(N492, Crews!$A$2:$C$28, 2, 0)), N492, VLOOKUP(N492, Crews!$A$2:$C$28, 2, 0))))) * 400</f>
        <v>5157.142857</v>
      </c>
      <c r="K492" s="1"/>
      <c r="L492" s="1" t="s">
        <v>1021</v>
      </c>
      <c r="M492" s="1" t="n">
        <v>3</v>
      </c>
      <c r="N492" s="1" t="s">
        <v>25</v>
      </c>
      <c r="O492" s="1"/>
      <c r="P492" s="1"/>
      <c r="Q492" s="1" t="s">
        <v>378</v>
      </c>
      <c r="R492" s="1" t="s">
        <v>689</v>
      </c>
      <c r="S492" s="1" t="s">
        <v>856</v>
      </c>
      <c r="T492" s="1"/>
    </row>
    <row r="493" customFormat="false" ht="15" hidden="false" customHeight="true" outlineLevel="0" collapsed="false">
      <c r="A493" s="1" t="s">
        <v>1026</v>
      </c>
      <c r="B493" s="1" t="n">
        <v>1870</v>
      </c>
      <c r="C493" s="1" t="n">
        <v>1</v>
      </c>
      <c r="D493" s="1" t="s">
        <v>38</v>
      </c>
      <c r="E493" s="1"/>
      <c r="F493" s="1"/>
      <c r="G493" s="1" t="n">
        <v>145</v>
      </c>
      <c r="H493" s="2" t="n">
        <v>330000</v>
      </c>
      <c r="I493" s="2" t="n">
        <f aca="false">(((H493 / 800) / IF(ISBLANK(R493), 1000000, IF(ISNA(VLOOKUP(R493, Mileages!$A$2:$C$34, 2, 0)), R493, VLOOKUP(R493, Mileages!$A$2:$C$34, 2, 0)))) + (F493 * IF(ISBLANK(P493), 1, P493) * IF(ISBLANK(T493), 0, IF(ISNA(VLOOKUP(T493, 'Fuel Costs'!$A$2:$C$42, 2, 0)), T493, VLOOKUP(T493, 'Fuel Costs'!$A$2:$C$42, 2, 0))) / IF(ISBLANK(O493), 1, O493))) * 100</f>
        <v>0.034375</v>
      </c>
      <c r="J493" s="2" t="n">
        <f aca="false">((H493 / 800) / (IF(ISBLANK(S493), 100, IF(ISNA(VLOOKUP(S493, Lives!$A$2:$C$35, 2, 0)), S493, VLOOKUP(S493, Lives!$A$2:$C$35, 2, 0))) * 12) + (IF(ISBLANK(Q493), 0, IF(ISNA(VLOOKUP(Q493, Wages!$A$2:$C$17, 2, 0)), Q493, VLOOKUP(Q493, Wages!$A$2:$C$17, 2, 0))) * IF(ISBLANK(N493), 0, IF(ISNA(VLOOKUP(N493, Crews!$A$2:$C$28, 2, 0)), N493, VLOOKUP(N493, Crews!$A$2:$C$28, 2, 0))))) * 400</f>
        <v>392.8571429</v>
      </c>
      <c r="K493" s="3" t="s">
        <v>1027</v>
      </c>
      <c r="L493" s="1" t="s">
        <v>1028</v>
      </c>
      <c r="M493" s="1" t="n">
        <v>0</v>
      </c>
      <c r="N493" s="1"/>
      <c r="O493" s="1"/>
      <c r="P493" s="1"/>
      <c r="Q493" s="1"/>
      <c r="R493" s="1" t="s">
        <v>689</v>
      </c>
      <c r="S493" s="1" t="s">
        <v>856</v>
      </c>
      <c r="T493" s="1"/>
    </row>
    <row r="494" customFormat="false" ht="15" hidden="false" customHeight="true" outlineLevel="0" collapsed="false">
      <c r="A494" s="1" t="s">
        <v>1029</v>
      </c>
      <c r="B494" s="1" t="n">
        <v>1870</v>
      </c>
      <c r="C494" s="1" t="n">
        <v>1</v>
      </c>
      <c r="D494" s="1" t="s">
        <v>38</v>
      </c>
      <c r="E494" s="1"/>
      <c r="F494" s="1"/>
      <c r="G494" s="1" t="n">
        <v>145</v>
      </c>
      <c r="H494" s="2" t="n">
        <v>300000</v>
      </c>
      <c r="I494" s="2" t="n">
        <f aca="false">(((H494 / 800) / IF(ISBLANK(R494), 1000000, IF(ISNA(VLOOKUP(R494, Mileages!$A$2:$C$34, 2, 0)), R494, VLOOKUP(R494, Mileages!$A$2:$C$34, 2, 0)))) + (F494 * IF(ISBLANK(P494), 1, P494) * IF(ISBLANK(T494), 0, IF(ISNA(VLOOKUP(T494, 'Fuel Costs'!$A$2:$C$42, 2, 0)), T494, VLOOKUP(T494, 'Fuel Costs'!$A$2:$C$42, 2, 0))) / IF(ISBLANK(O494), 1, O494))) * 100</f>
        <v>0.03125</v>
      </c>
      <c r="J494" s="2" t="n">
        <f aca="false">((H494 / 800) / (IF(ISBLANK(S494), 100, IF(ISNA(VLOOKUP(S494, Lives!$A$2:$C$35, 2, 0)), S494, VLOOKUP(S494, Lives!$A$2:$C$35, 2, 0))) * 12) + (IF(ISBLANK(Q494), 0, IF(ISNA(VLOOKUP(Q494, Wages!$A$2:$C$17, 2, 0)), Q494, VLOOKUP(Q494, Wages!$A$2:$C$17, 2, 0))) * IF(ISBLANK(N494), 0, IF(ISNA(VLOOKUP(N494, Crews!$A$2:$C$28, 2, 0)), N494, VLOOKUP(N494, Crews!$A$2:$C$28, 2, 0))))) * 400</f>
        <v>357.1428571</v>
      </c>
      <c r="K494" s="1"/>
      <c r="L494" s="1" t="s">
        <v>1028</v>
      </c>
      <c r="M494" s="1" t="n">
        <v>1</v>
      </c>
      <c r="N494" s="1"/>
      <c r="O494" s="1"/>
      <c r="P494" s="1"/>
      <c r="Q494" s="1"/>
      <c r="R494" s="1" t="s">
        <v>689</v>
      </c>
      <c r="S494" s="1" t="s">
        <v>856</v>
      </c>
      <c r="T494" s="1"/>
    </row>
    <row r="495" customFormat="false" ht="15" hidden="false" customHeight="true" outlineLevel="0" collapsed="false">
      <c r="A495" s="1" t="s">
        <v>1030</v>
      </c>
      <c r="B495" s="1" t="n">
        <v>1870</v>
      </c>
      <c r="C495" s="1" t="n">
        <v>1</v>
      </c>
      <c r="D495" s="1" t="s">
        <v>38</v>
      </c>
      <c r="E495" s="1"/>
      <c r="F495" s="1"/>
      <c r="G495" s="1" t="n">
        <v>145</v>
      </c>
      <c r="H495" s="2" t="n">
        <v>260000</v>
      </c>
      <c r="I495" s="2" t="n">
        <f aca="false">(((H495 / 800) / IF(ISBLANK(R495), 1000000, IF(ISNA(VLOOKUP(R495, Mileages!$A$2:$C$34, 2, 0)), R495, VLOOKUP(R495, Mileages!$A$2:$C$34, 2, 0)))) + (F495 * IF(ISBLANK(P495), 1, P495) * IF(ISBLANK(T495), 0, IF(ISNA(VLOOKUP(T495, 'Fuel Costs'!$A$2:$C$42, 2, 0)), T495, VLOOKUP(T495, 'Fuel Costs'!$A$2:$C$42, 2, 0))) / IF(ISBLANK(O495), 1, O495))) * 100</f>
        <v>0.02708333333</v>
      </c>
      <c r="J495" s="2" t="n">
        <f aca="false">((H495 / 800) / (IF(ISBLANK(S495), 100, IF(ISNA(VLOOKUP(S495, Lives!$A$2:$C$35, 2, 0)), S495, VLOOKUP(S495, Lives!$A$2:$C$35, 2, 0))) * 12) + (IF(ISBLANK(Q495), 0, IF(ISNA(VLOOKUP(Q495, Wages!$A$2:$C$17, 2, 0)), Q495, VLOOKUP(Q495, Wages!$A$2:$C$17, 2, 0))) * IF(ISBLANK(N495), 0, IF(ISNA(VLOOKUP(N495, Crews!$A$2:$C$28, 2, 0)), N495, VLOOKUP(N495, Crews!$A$2:$C$28, 2, 0))))) * 400</f>
        <v>309.5238095</v>
      </c>
      <c r="K495" s="1"/>
      <c r="L495" s="1" t="s">
        <v>1028</v>
      </c>
      <c r="M495" s="1" t="n">
        <v>2</v>
      </c>
      <c r="N495" s="1"/>
      <c r="O495" s="1"/>
      <c r="P495" s="1"/>
      <c r="Q495" s="1"/>
      <c r="R495" s="1" t="s">
        <v>689</v>
      </c>
      <c r="S495" s="1" t="s">
        <v>856</v>
      </c>
      <c r="T495" s="1"/>
    </row>
    <row r="496" customFormat="false" ht="15" hidden="false" customHeight="true" outlineLevel="0" collapsed="false">
      <c r="A496" s="1" t="s">
        <v>1031</v>
      </c>
      <c r="B496" s="1" t="n">
        <v>1870</v>
      </c>
      <c r="C496" s="1" t="n">
        <v>1</v>
      </c>
      <c r="D496" s="1" t="s">
        <v>38</v>
      </c>
      <c r="E496" s="1"/>
      <c r="F496" s="1"/>
      <c r="G496" s="1" t="n">
        <v>145</v>
      </c>
      <c r="H496" s="2" t="n">
        <v>300000</v>
      </c>
      <c r="I496" s="2" t="n">
        <f aca="false">(((H496 / 800) / IF(ISBLANK(R496), 1000000, IF(ISNA(VLOOKUP(R496, Mileages!$A$2:$C$34, 2, 0)), R496, VLOOKUP(R496, Mileages!$A$2:$C$34, 2, 0)))) + (F496 * IF(ISBLANK(P496), 1, P496) * IF(ISBLANK(T496), 0, IF(ISNA(VLOOKUP(T496, 'Fuel Costs'!$A$2:$C$42, 2, 0)), T496, VLOOKUP(T496, 'Fuel Costs'!$A$2:$C$42, 2, 0))) / IF(ISBLANK(O496), 1, O496))) * 100</f>
        <v>0.03125</v>
      </c>
      <c r="J496" s="2" t="n">
        <f aca="false">((H496 / 800) / (IF(ISBLANK(S496), 100, IF(ISNA(VLOOKUP(S496, Lives!$A$2:$C$35, 2, 0)), S496, VLOOKUP(S496, Lives!$A$2:$C$35, 2, 0))) * 12) + (IF(ISBLANK(Q496), 0, IF(ISNA(VLOOKUP(Q496, Wages!$A$2:$C$17, 2, 0)), Q496, VLOOKUP(Q496, Wages!$A$2:$C$17, 2, 0))) * IF(ISBLANK(N496), 0, IF(ISNA(VLOOKUP(N496, Crews!$A$2:$C$28, 2, 0)), N496, VLOOKUP(N496, Crews!$A$2:$C$28, 2, 0))))) * 400</f>
        <v>5157.142857</v>
      </c>
      <c r="K496" s="1"/>
      <c r="L496" s="1" t="s">
        <v>1028</v>
      </c>
      <c r="M496" s="1" t="n">
        <v>3</v>
      </c>
      <c r="N496" s="1" t="s">
        <v>25</v>
      </c>
      <c r="O496" s="1"/>
      <c r="P496" s="1"/>
      <c r="Q496" s="1" t="s">
        <v>378</v>
      </c>
      <c r="R496" s="1" t="s">
        <v>689</v>
      </c>
      <c r="S496" s="1" t="s">
        <v>856</v>
      </c>
      <c r="T496" s="1"/>
    </row>
    <row r="497" customFormat="false" ht="15" hidden="false" customHeight="true" outlineLevel="0" collapsed="false">
      <c r="A497" s="1" t="s">
        <v>1032</v>
      </c>
      <c r="B497" s="1" t="n">
        <v>1870</v>
      </c>
      <c r="C497" s="1" t="n">
        <v>1</v>
      </c>
      <c r="D497" s="1" t="s">
        <v>38</v>
      </c>
      <c r="E497" s="1"/>
      <c r="F497" s="1"/>
      <c r="G497" s="1" t="n">
        <v>145</v>
      </c>
      <c r="H497" s="2" t="n">
        <v>300000</v>
      </c>
      <c r="I497" s="2" t="n">
        <f aca="false">(((H497 / 800) / IF(ISBLANK(R497), 1000000, IF(ISNA(VLOOKUP(R497, Mileages!$A$2:$C$34, 2, 0)), R497, VLOOKUP(R497, Mileages!$A$2:$C$34, 2, 0)))) + (F497 * IF(ISBLANK(P497), 1, P497) * IF(ISBLANK(T497), 0, IF(ISNA(VLOOKUP(T497, 'Fuel Costs'!$A$2:$C$42, 2, 0)), T497, VLOOKUP(T497, 'Fuel Costs'!$A$2:$C$42, 2, 0))) / IF(ISBLANK(O497), 1, O497))) * 100</f>
        <v>0.03125</v>
      </c>
      <c r="J497" s="2" t="n">
        <f aca="false">((H497 / 800) / (IF(ISBLANK(S497), 100, IF(ISNA(VLOOKUP(S497, Lives!$A$2:$C$35, 2, 0)), S497, VLOOKUP(S497, Lives!$A$2:$C$35, 2, 0))) * 12) + (IF(ISBLANK(Q497), 0, IF(ISNA(VLOOKUP(Q497, Wages!$A$2:$C$17, 2, 0)), Q497, VLOOKUP(Q497, Wages!$A$2:$C$17, 2, 0))) * IF(ISBLANK(N497), 0, IF(ISNA(VLOOKUP(N497, Crews!$A$2:$C$28, 2, 0)), N497, VLOOKUP(N497, Crews!$A$2:$C$28, 2, 0))))) * 400</f>
        <v>125</v>
      </c>
      <c r="K497" s="1"/>
      <c r="L497" s="1" t="s">
        <v>1028</v>
      </c>
      <c r="M497" s="1" t="n">
        <v>4</v>
      </c>
      <c r="N497" s="1"/>
      <c r="O497" s="1"/>
      <c r="P497" s="1"/>
      <c r="Q497" s="1"/>
      <c r="R497" s="1" t="s">
        <v>689</v>
      </c>
      <c r="S497" s="5" t="s">
        <v>389</v>
      </c>
      <c r="T497" s="1"/>
    </row>
    <row r="498" customFormat="false" ht="15" hidden="false" customHeight="true" outlineLevel="0" collapsed="false">
      <c r="A498" s="1" t="s">
        <v>1033</v>
      </c>
      <c r="B498" s="1" t="n">
        <v>1870</v>
      </c>
      <c r="C498" s="1" t="n">
        <v>1</v>
      </c>
      <c r="D498" s="1" t="s">
        <v>38</v>
      </c>
      <c r="E498" s="1"/>
      <c r="F498" s="1"/>
      <c r="G498" s="1" t="n">
        <v>145</v>
      </c>
      <c r="H498" s="2" t="n">
        <v>300000</v>
      </c>
      <c r="I498" s="2" t="n">
        <f aca="false">(((H498 / 800) / IF(ISBLANK(R498), 1000000, IF(ISNA(VLOOKUP(R498, Mileages!$A$2:$C$34, 2, 0)), R498, VLOOKUP(R498, Mileages!$A$2:$C$34, 2, 0)))) + (F498 * IF(ISBLANK(P498), 1, P498) * IF(ISBLANK(T498), 0, IF(ISNA(VLOOKUP(T498, 'Fuel Costs'!$A$2:$C$42, 2, 0)), T498, VLOOKUP(T498, 'Fuel Costs'!$A$2:$C$42, 2, 0))) / IF(ISBLANK(O498), 1, O498))) * 100</f>
        <v>0.03125</v>
      </c>
      <c r="J498" s="2" t="n">
        <f aca="false">((H498 / 800) / (IF(ISBLANK(S498), 100, IF(ISNA(VLOOKUP(S498, Lives!$A$2:$C$35, 2, 0)), S498, VLOOKUP(S498, Lives!$A$2:$C$35, 2, 0))) * 12) + (IF(ISBLANK(Q498), 0, IF(ISNA(VLOOKUP(Q498, Wages!$A$2:$C$17, 2, 0)), Q498, VLOOKUP(Q498, Wages!$A$2:$C$17, 2, 0))) * IF(ISBLANK(N498), 0, IF(ISNA(VLOOKUP(N498, Crews!$A$2:$C$28, 2, 0)), N498, VLOOKUP(N498, Crews!$A$2:$C$28, 2, 0))))) * 400</f>
        <v>24125</v>
      </c>
      <c r="K498" s="1"/>
      <c r="L498" s="1" t="s">
        <v>1028</v>
      </c>
      <c r="M498" s="1" t="n">
        <v>5</v>
      </c>
      <c r="N498" s="1" t="s">
        <v>551</v>
      </c>
      <c r="O498" s="1"/>
      <c r="P498" s="1"/>
      <c r="Q498" s="1" t="s">
        <v>551</v>
      </c>
      <c r="R498" s="1" t="s">
        <v>689</v>
      </c>
      <c r="S498" s="1" t="s">
        <v>389</v>
      </c>
      <c r="T498" s="1"/>
    </row>
    <row r="499" customFormat="false" ht="15" hidden="false" customHeight="true" outlineLevel="0" collapsed="false">
      <c r="A499" s="1" t="s">
        <v>1034</v>
      </c>
      <c r="B499" s="1" t="n">
        <v>1870</v>
      </c>
      <c r="C499" s="1" t="n">
        <v>1</v>
      </c>
      <c r="D499" s="1" t="s">
        <v>38</v>
      </c>
      <c r="E499" s="1"/>
      <c r="F499" s="1"/>
      <c r="G499" s="1" t="n">
        <v>145</v>
      </c>
      <c r="H499" s="2" t="n">
        <v>270000</v>
      </c>
      <c r="I499" s="2" t="n">
        <f aca="false">(((H499 / 800) / IF(ISBLANK(R499), 1000000, IF(ISNA(VLOOKUP(R499, Mileages!$A$2:$C$34, 2, 0)), R499, VLOOKUP(R499, Mileages!$A$2:$C$34, 2, 0)))) + (F499 * IF(ISBLANK(P499), 1, P499) * IF(ISBLANK(T499), 0, IF(ISNA(VLOOKUP(T499, 'Fuel Costs'!$A$2:$C$42, 2, 0)), T499, VLOOKUP(T499, 'Fuel Costs'!$A$2:$C$42, 2, 0))) / IF(ISBLANK(O499), 1, O499))) * 100</f>
        <v>0.028125</v>
      </c>
      <c r="J499" s="2" t="n">
        <f aca="false">((H499 / 800) / (IF(ISBLANK(S499), 100, IF(ISNA(VLOOKUP(S499, Lives!$A$2:$C$35, 2, 0)), S499, VLOOKUP(S499, Lives!$A$2:$C$35, 2, 0))) * 12) + (IF(ISBLANK(Q499), 0, IF(ISNA(VLOOKUP(Q499, Wages!$A$2:$C$17, 2, 0)), Q499, VLOOKUP(Q499, Wages!$A$2:$C$17, 2, 0))) * IF(ISBLANK(N499), 0, IF(ISNA(VLOOKUP(N499, Crews!$A$2:$C$28, 2, 0)), N499, VLOOKUP(N499, Crews!$A$2:$C$28, 2, 0))))) * 400</f>
        <v>321.4285714</v>
      </c>
      <c r="K499" s="1"/>
      <c r="L499" s="1" t="s">
        <v>1028</v>
      </c>
      <c r="M499" s="1" t="n">
        <v>6</v>
      </c>
      <c r="N499" s="1"/>
      <c r="O499" s="1"/>
      <c r="P499" s="1"/>
      <c r="Q499" s="1"/>
      <c r="R499" s="1" t="s">
        <v>689</v>
      </c>
      <c r="S499" s="1" t="s">
        <v>856</v>
      </c>
      <c r="T499" s="1"/>
    </row>
    <row r="500" customFormat="false" ht="15" hidden="false" customHeight="true" outlineLevel="0" collapsed="false">
      <c r="A500" s="1" t="s">
        <v>1035</v>
      </c>
      <c r="B500" s="1" t="n">
        <v>1870</v>
      </c>
      <c r="C500" s="1" t="n">
        <v>1</v>
      </c>
      <c r="D500" s="1" t="s">
        <v>38</v>
      </c>
      <c r="E500" s="1"/>
      <c r="F500" s="1"/>
      <c r="G500" s="1" t="n">
        <v>145</v>
      </c>
      <c r="H500" s="2" t="n">
        <v>270000</v>
      </c>
      <c r="I500" s="2" t="n">
        <f aca="false">(((H500 / 800) / IF(ISBLANK(R500), 1000000, IF(ISNA(VLOOKUP(R500, Mileages!$A$2:$C$34, 2, 0)), R500, VLOOKUP(R500, Mileages!$A$2:$C$34, 2, 0)))) + (F500 * IF(ISBLANK(P500), 1, P500) * IF(ISBLANK(T500), 0, IF(ISNA(VLOOKUP(T500, 'Fuel Costs'!$A$2:$C$42, 2, 0)), T500, VLOOKUP(T500, 'Fuel Costs'!$A$2:$C$42, 2, 0))) / IF(ISBLANK(O500), 1, O500))) * 100</f>
        <v>0.028125</v>
      </c>
      <c r="J500" s="2" t="n">
        <f aca="false">((H500 / 800) / (IF(ISBLANK(S500), 100, IF(ISNA(VLOOKUP(S500, Lives!$A$2:$C$35, 2, 0)), S500, VLOOKUP(S500, Lives!$A$2:$C$35, 2, 0))) * 12) + (IF(ISBLANK(Q500), 0, IF(ISNA(VLOOKUP(Q500, Wages!$A$2:$C$17, 2, 0)), Q500, VLOOKUP(Q500, Wages!$A$2:$C$17, 2, 0))) * IF(ISBLANK(N500), 0, IF(ISNA(VLOOKUP(N500, Crews!$A$2:$C$28, 2, 0)), N500, VLOOKUP(N500, Crews!$A$2:$C$28, 2, 0))))) * 400</f>
        <v>321.4285714</v>
      </c>
      <c r="K500" s="1"/>
      <c r="L500" s="1" t="s">
        <v>1028</v>
      </c>
      <c r="M500" s="1" t="n">
        <v>7</v>
      </c>
      <c r="N500" s="1"/>
      <c r="O500" s="1"/>
      <c r="P500" s="1"/>
      <c r="Q500" s="1"/>
      <c r="R500" s="1" t="s">
        <v>689</v>
      </c>
      <c r="S500" s="1" t="s">
        <v>856</v>
      </c>
      <c r="T500" s="1"/>
    </row>
    <row r="501" customFormat="false" ht="15" hidden="false" customHeight="true" outlineLevel="0" collapsed="false">
      <c r="A501" s="1" t="s">
        <v>1036</v>
      </c>
      <c r="B501" s="1" t="n">
        <v>1870</v>
      </c>
      <c r="C501" s="1" t="n">
        <v>2</v>
      </c>
      <c r="D501" s="1" t="s">
        <v>38</v>
      </c>
      <c r="E501" s="1" t="s">
        <v>274</v>
      </c>
      <c r="F501" s="1" t="n">
        <v>206</v>
      </c>
      <c r="G501" s="1" t="n">
        <v>125</v>
      </c>
      <c r="H501" s="2" t="n">
        <f aca="false">7000000*1.5</f>
        <v>10500000</v>
      </c>
      <c r="I501" s="2" t="n">
        <f aca="false">(((H501 / 800) / IF(ISBLANK(R501), 1000000, IF(ISNA(VLOOKUP(R501, Mileages!$A$2:$C$34, 2, 0)), R501, VLOOKUP(R501, Mileages!$A$2:$C$34, 2, 0)))) + (F501 * IF(ISBLANK(P501), 1, P501) * IF(ISBLANK(T501), 0, IF(ISNA(VLOOKUP(T501, 'Fuel Costs'!$A$2:$C$42, 2, 0)), T501, VLOOKUP(T501, 'Fuel Costs'!$A$2:$C$42, 2, 0))) / IF(ISBLANK(O501), 1, O501))) * 100</f>
        <v>248.5125</v>
      </c>
      <c r="J501" s="2" t="n">
        <f aca="false">((H501 / 800) / (IF(ISBLANK(S501), 100, IF(ISNA(VLOOKUP(S501, Lives!$A$2:$C$35, 2, 0)), S501, VLOOKUP(S501, Lives!$A$2:$C$35, 2, 0))) * 12) + (IF(ISBLANK(Q501), 0, IF(ISNA(VLOOKUP(Q501, Wages!$A$2:$C$17, 2, 0)), Q501, VLOOKUP(Q501, Wages!$A$2:$C$17, 2, 0))) * IF(ISBLANK(N501), 0, IF(ISNA(VLOOKUP(N501, Crews!$A$2:$C$28, 2, 0)), N501, VLOOKUP(N501, Crews!$A$2:$C$28, 2, 0))))) * 400</f>
        <v>32750</v>
      </c>
      <c r="K501" s="3" t="s">
        <v>1037</v>
      </c>
      <c r="L501" s="1" t="s">
        <v>1038</v>
      </c>
      <c r="M501" s="1" t="n">
        <v>0</v>
      </c>
      <c r="N501" s="1" t="s">
        <v>590</v>
      </c>
      <c r="O501" s="1" t="n">
        <v>0.5</v>
      </c>
      <c r="P501" s="1"/>
      <c r="Q501" s="5" t="s">
        <v>284</v>
      </c>
      <c r="R501" s="1" t="s">
        <v>677</v>
      </c>
      <c r="S501" s="1" t="s">
        <v>677</v>
      </c>
      <c r="T501" s="1" t="s">
        <v>889</v>
      </c>
    </row>
    <row r="502" customFormat="false" ht="15" hidden="false" customHeight="true" outlineLevel="0" collapsed="false">
      <c r="A502" s="1" t="s">
        <v>1039</v>
      </c>
      <c r="B502" s="1" t="n">
        <v>1870</v>
      </c>
      <c r="C502" s="1" t="n">
        <v>3</v>
      </c>
      <c r="D502" s="1" t="s">
        <v>38</v>
      </c>
      <c r="E502" s="1"/>
      <c r="F502" s="1" t="n">
        <v>0</v>
      </c>
      <c r="G502" s="1" t="n">
        <v>140</v>
      </c>
      <c r="H502" s="2" t="n">
        <v>0</v>
      </c>
      <c r="I502" s="2" t="n">
        <f aca="false">(((H502 / 800) / IF(ISBLANK(R502), 1000000, IF(ISNA(VLOOKUP(R502, Mileages!$A$2:$C$34, 2, 0)), R502, VLOOKUP(R502, Mileages!$A$2:$C$34, 2, 0)))) + (F502 * IF(ISBLANK(P502), 1, P502) * IF(ISBLANK(T502), 0, IF(ISNA(VLOOKUP(T502, 'Fuel Costs'!$A$2:$C$42, 2, 0)), T502, VLOOKUP(T502, 'Fuel Costs'!$A$2:$C$42, 2, 0))) / IF(ISBLANK(O502), 1, O502))) * 100</f>
        <v>0</v>
      </c>
      <c r="J502" s="2" t="n">
        <f aca="false">((H502 / 800) / (IF(ISBLANK(S502), 100, IF(ISNA(VLOOKUP(S502, Lives!$A$2:$C$35, 2, 0)), S502, VLOOKUP(S502, Lives!$A$2:$C$35, 2, 0))) * 12) + (IF(ISBLANK(Q502), 0, IF(ISNA(VLOOKUP(Q502, Wages!$A$2:$C$17, 2, 0)), Q502, VLOOKUP(Q502, Wages!$A$2:$C$17, 2, 0))) * IF(ISBLANK(N502), 0, IF(ISNA(VLOOKUP(N502, Crews!$A$2:$C$28, 2, 0)), N502, VLOOKUP(N502, Crews!$A$2:$C$28, 2, 0))))) * 400</f>
        <v>0</v>
      </c>
      <c r="K502" s="1"/>
      <c r="L502" s="1" t="s">
        <v>1040</v>
      </c>
      <c r="M502" s="1" t="n">
        <v>0</v>
      </c>
      <c r="N502" s="1"/>
      <c r="O502" s="1"/>
      <c r="P502" s="1"/>
      <c r="Q502" s="1"/>
      <c r="R502" s="1"/>
      <c r="S502" s="1"/>
      <c r="T502" s="1"/>
    </row>
    <row r="503" customFormat="false" ht="15" hidden="false" customHeight="true" outlineLevel="0" collapsed="false">
      <c r="A503" s="1" t="s">
        <v>1041</v>
      </c>
      <c r="B503" s="1" t="n">
        <v>1870</v>
      </c>
      <c r="C503" s="1" t="n">
        <v>3</v>
      </c>
      <c r="D503" s="1" t="s">
        <v>38</v>
      </c>
      <c r="E503" s="1" t="s">
        <v>274</v>
      </c>
      <c r="F503" s="1" t="n">
        <v>203</v>
      </c>
      <c r="G503" s="1" t="n">
        <v>135</v>
      </c>
      <c r="H503" s="2" t="n">
        <f aca="false">13094400*1.5</f>
        <v>19641600</v>
      </c>
      <c r="I503" s="2" t="n">
        <f aca="false">(((H503 / 800) / IF(ISBLANK(R503), 1000000, IF(ISNA(VLOOKUP(R503, Mileages!$A$2:$C$34, 2, 0)), R503, VLOOKUP(R503, Mileages!$A$2:$C$34, 2, 0)))) + (F503 * IF(ISBLANK(P503), 1, P503) * IF(ISBLANK(T503), 0, IF(ISNA(VLOOKUP(T503, 'Fuel Costs'!$A$2:$C$42, 2, 0)), T503, VLOOKUP(T503, 'Fuel Costs'!$A$2:$C$42, 2, 0))) / IF(ISBLANK(O503), 1, O503))) * 100</f>
        <v>246.0552</v>
      </c>
      <c r="J503" s="2" t="n">
        <f aca="false">((H503 / 800) / (IF(ISBLANK(S503), 100, IF(ISNA(VLOOKUP(S503, Lives!$A$2:$C$35, 2, 0)), S503, VLOOKUP(S503, Lives!$A$2:$C$35, 2, 0))) * 12) + (IF(ISBLANK(Q503), 0, IF(ISNA(VLOOKUP(Q503, Wages!$A$2:$C$17, 2, 0)), Q503, VLOOKUP(Q503, Wages!$A$2:$C$17, 2, 0))) * IF(ISBLANK(N503), 0, IF(ISNA(VLOOKUP(N503, Crews!$A$2:$C$28, 2, 0)), N503, VLOOKUP(N503, Crews!$A$2:$C$28, 2, 0))))) * 400</f>
        <v>40368</v>
      </c>
      <c r="K503" s="3" t="s">
        <v>1042</v>
      </c>
      <c r="L503" s="1" t="s">
        <v>1043</v>
      </c>
      <c r="M503" s="1" t="n">
        <v>0</v>
      </c>
      <c r="N503" s="1" t="s">
        <v>590</v>
      </c>
      <c r="O503" s="1" t="n">
        <v>0.5</v>
      </c>
      <c r="P503" s="1"/>
      <c r="Q503" s="5" t="s">
        <v>284</v>
      </c>
      <c r="R503" s="1" t="s">
        <v>677</v>
      </c>
      <c r="S503" s="1" t="s">
        <v>677</v>
      </c>
      <c r="T503" s="1" t="s">
        <v>889</v>
      </c>
    </row>
    <row r="504" customFormat="false" ht="15" hidden="false" customHeight="true" outlineLevel="0" collapsed="false">
      <c r="A504" s="1" t="s">
        <v>1044</v>
      </c>
      <c r="B504" s="1" t="n">
        <v>1871</v>
      </c>
      <c r="C504" s="1" t="n">
        <v>6</v>
      </c>
      <c r="D504" s="1" t="s">
        <v>38</v>
      </c>
      <c r="E504" s="1" t="s">
        <v>274</v>
      </c>
      <c r="F504" s="1" t="n">
        <v>233</v>
      </c>
      <c r="G504" s="1" t="n">
        <v>75</v>
      </c>
      <c r="H504" s="2" t="n">
        <f aca="false">2950000*2.5</f>
        <v>7375000</v>
      </c>
      <c r="I504" s="2" t="n">
        <f aca="false">(((H504 / 800) / IF(ISBLANK(R504), 1000000, IF(ISNA(VLOOKUP(R504, Mileages!$A$2:$C$34, 2, 0)), R504, VLOOKUP(R504, Mileages!$A$2:$C$34, 2, 0)))) + (F504 * IF(ISBLANK(P504), 1, P504) * IF(ISBLANK(T504), 0, IF(ISNA(VLOOKUP(T504, 'Fuel Costs'!$A$2:$C$42, 2, 0)), T504, VLOOKUP(T504, 'Fuel Costs'!$A$2:$C$42, 2, 0))) / IF(ISBLANK(O504), 1, O504))) * 100</f>
        <v>280.521875</v>
      </c>
      <c r="J504" s="2" t="n">
        <f aca="false">((H504 / 800) / (IF(ISBLANK(S504), 100, IF(ISNA(VLOOKUP(S504, Lives!$A$2:$C$35, 2, 0)), S504, VLOOKUP(S504, Lives!$A$2:$C$35, 2, 0))) * 12) + (IF(ISBLANK(Q504), 0, IF(ISNA(VLOOKUP(Q504, Wages!$A$2:$C$17, 2, 0)), Q504, VLOOKUP(Q504, Wages!$A$2:$C$17, 2, 0))) * IF(ISBLANK(N504), 0, IF(ISNA(VLOOKUP(N504, Crews!$A$2:$C$28, 2, 0)), N504, VLOOKUP(N504, Crews!$A$2:$C$28, 2, 0))))) * 400</f>
        <v>30145.83333</v>
      </c>
      <c r="K504" s="3" t="s">
        <v>1045</v>
      </c>
      <c r="L504" s="1" t="s">
        <v>1046</v>
      </c>
      <c r="M504" s="1" t="n">
        <v>0</v>
      </c>
      <c r="N504" s="1" t="s">
        <v>590</v>
      </c>
      <c r="O504" s="1" t="n">
        <v>0.5</v>
      </c>
      <c r="P504" s="1"/>
      <c r="Q504" s="5" t="s">
        <v>284</v>
      </c>
      <c r="R504" s="1" t="s">
        <v>677</v>
      </c>
      <c r="S504" s="1" t="s">
        <v>677</v>
      </c>
      <c r="T504" s="1" t="s">
        <v>889</v>
      </c>
    </row>
    <row r="505" customFormat="false" ht="15" hidden="false" customHeight="true" outlineLevel="0" collapsed="false">
      <c r="A505" s="1" t="s">
        <v>1047</v>
      </c>
      <c r="B505" s="1" t="n">
        <v>1871</v>
      </c>
      <c r="C505" s="1" t="n">
        <v>6</v>
      </c>
      <c r="D505" s="1" t="s">
        <v>38</v>
      </c>
      <c r="E505" s="1" t="s">
        <v>274</v>
      </c>
      <c r="F505" s="1"/>
      <c r="G505" s="1" t="n">
        <v>145</v>
      </c>
      <c r="H505" s="2" t="n">
        <v>0</v>
      </c>
      <c r="I505" s="2" t="n">
        <f aca="false">(((H505 / 800) / IF(ISBLANK(R505), 1000000, IF(ISNA(VLOOKUP(R505, Mileages!$A$2:$C$34, 2, 0)), R505, VLOOKUP(R505, Mileages!$A$2:$C$34, 2, 0)))) + (F505 * IF(ISBLANK(P505), 1, P505) * IF(ISBLANK(T505), 0, IF(ISNA(VLOOKUP(T505, 'Fuel Costs'!$A$2:$C$42, 2, 0)), T505, VLOOKUP(T505, 'Fuel Costs'!$A$2:$C$42, 2, 0))) / IF(ISBLANK(O505), 1, O505))) * 100</f>
        <v>0</v>
      </c>
      <c r="J505" s="2" t="n">
        <f aca="false">((H505 / 800) / (IF(ISBLANK(S505), 100, IF(ISNA(VLOOKUP(S505, Lives!$A$2:$C$35, 2, 0)), S505, VLOOKUP(S505, Lives!$A$2:$C$35, 2, 0))) * 12) + (IF(ISBLANK(Q505), 0, IF(ISNA(VLOOKUP(Q505, Wages!$A$2:$C$17, 2, 0)), Q505, VLOOKUP(Q505, Wages!$A$2:$C$17, 2, 0))) * IF(ISBLANK(N505), 0, IF(ISNA(VLOOKUP(N505, Crews!$A$2:$C$28, 2, 0)), N505, VLOOKUP(N505, Crews!$A$2:$C$28, 2, 0))))) * 400</f>
        <v>0</v>
      </c>
      <c r="K505" s="1"/>
      <c r="L505" s="1" t="s">
        <v>1046</v>
      </c>
      <c r="M505" s="1" t="n">
        <v>1</v>
      </c>
      <c r="N505" s="1"/>
      <c r="O505" s="1"/>
      <c r="P505" s="1"/>
      <c r="Q505" s="1"/>
      <c r="R505" s="1"/>
      <c r="S505" s="1"/>
      <c r="T505" s="1"/>
    </row>
    <row r="506" customFormat="false" ht="15" hidden="false" customHeight="true" outlineLevel="0" collapsed="false">
      <c r="A506" s="1" t="s">
        <v>1048</v>
      </c>
      <c r="B506" s="1" t="n">
        <v>1872</v>
      </c>
      <c r="C506" s="1" t="n">
        <v>2</v>
      </c>
      <c r="D506" s="1" t="s">
        <v>38</v>
      </c>
      <c r="E506" s="1" t="s">
        <v>274</v>
      </c>
      <c r="F506" s="1"/>
      <c r="G506" s="1" t="n">
        <v>135</v>
      </c>
      <c r="H506" s="2" t="n">
        <v>0</v>
      </c>
      <c r="I506" s="2" t="n">
        <f aca="false">(((H506 / 800) / IF(ISBLANK(R506), 1000000, IF(ISNA(VLOOKUP(R506, Mileages!$A$2:$C$34, 2, 0)), R506, VLOOKUP(R506, Mileages!$A$2:$C$34, 2, 0)))) + (F506 * IF(ISBLANK(P506), 1, P506) * IF(ISBLANK(T506), 0, IF(ISNA(VLOOKUP(T506, 'Fuel Costs'!$A$2:$C$42, 2, 0)), T506, VLOOKUP(T506, 'Fuel Costs'!$A$2:$C$42, 2, 0))) / IF(ISBLANK(O506), 1, O506))) * 100</f>
        <v>0</v>
      </c>
      <c r="J506" s="2" t="n">
        <f aca="false">((H506 / 800) / (IF(ISBLANK(S506), 100, IF(ISNA(VLOOKUP(S506, Lives!$A$2:$C$35, 2, 0)), S506, VLOOKUP(S506, Lives!$A$2:$C$35, 2, 0))) * 12) + (IF(ISBLANK(Q506), 0, IF(ISNA(VLOOKUP(Q506, Wages!$A$2:$C$17, 2, 0)), Q506, VLOOKUP(Q506, Wages!$A$2:$C$17, 2, 0))) * IF(ISBLANK(N506), 0, IF(ISNA(VLOOKUP(N506, Crews!$A$2:$C$28, 2, 0)), N506, VLOOKUP(N506, Crews!$A$2:$C$28, 2, 0))))) * 400</f>
        <v>0</v>
      </c>
      <c r="K506" s="1"/>
      <c r="L506" s="1" t="s">
        <v>1049</v>
      </c>
      <c r="M506" s="1" t="n">
        <v>0</v>
      </c>
      <c r="N506" s="1"/>
      <c r="O506" s="1"/>
      <c r="P506" s="1"/>
      <c r="Q506" s="1"/>
      <c r="R506" s="1"/>
      <c r="S506" s="1"/>
      <c r="T506" s="1"/>
    </row>
    <row r="507" customFormat="false" ht="15" hidden="false" customHeight="true" outlineLevel="0" collapsed="false">
      <c r="A507" s="1" t="s">
        <v>1050</v>
      </c>
      <c r="B507" s="1" t="n">
        <v>1872</v>
      </c>
      <c r="C507" s="1" t="n">
        <v>2</v>
      </c>
      <c r="D507" s="1" t="s">
        <v>38</v>
      </c>
      <c r="E507" s="1" t="s">
        <v>274</v>
      </c>
      <c r="F507" s="1" t="n">
        <v>120</v>
      </c>
      <c r="G507" s="1" t="n">
        <v>85</v>
      </c>
      <c r="H507" s="2" t="n">
        <f aca="false">2016000*2</f>
        <v>4032000</v>
      </c>
      <c r="I507" s="2" t="n">
        <f aca="false">(((H507 / 800) / IF(ISBLANK(R507), 1000000, IF(ISNA(VLOOKUP(R507, Mileages!$A$2:$C$34, 2, 0)), R507, VLOOKUP(R507, Mileages!$A$2:$C$34, 2, 0)))) + (F507 * IF(ISBLANK(P507), 1, P507) * IF(ISBLANK(T507), 0, IF(ISNA(VLOOKUP(T507, 'Fuel Costs'!$A$2:$C$42, 2, 0)), T507, VLOOKUP(T507, 'Fuel Costs'!$A$2:$C$42, 2, 0))) / IF(ISBLANK(O507), 1, O507))) * 100</f>
        <v>144.504</v>
      </c>
      <c r="J507" s="2" t="n">
        <f aca="false">((H507 / 800) / (IF(ISBLANK(S507), 100, IF(ISNA(VLOOKUP(S507, Lives!$A$2:$C$35, 2, 0)), S507, VLOOKUP(S507, Lives!$A$2:$C$35, 2, 0))) * 12) + (IF(ISBLANK(Q507), 0, IF(ISNA(VLOOKUP(Q507, Wages!$A$2:$C$17, 2, 0)), Q507, VLOOKUP(Q507, Wages!$A$2:$C$17, 2, 0))) * IF(ISBLANK(N507), 0, IF(ISNA(VLOOKUP(N507, Crews!$A$2:$C$28, 2, 0)), N507, VLOOKUP(N507, Crews!$A$2:$C$28, 2, 0))))) * 400</f>
        <v>27360</v>
      </c>
      <c r="K507" s="3" t="s">
        <v>1051</v>
      </c>
      <c r="L507" s="1" t="s">
        <v>1052</v>
      </c>
      <c r="M507" s="1" t="n">
        <v>0</v>
      </c>
      <c r="N507" s="1" t="s">
        <v>590</v>
      </c>
      <c r="O507" s="1" t="n">
        <v>0.5</v>
      </c>
      <c r="P507" s="1"/>
      <c r="Q507" s="5" t="s">
        <v>284</v>
      </c>
      <c r="R507" s="1" t="s">
        <v>677</v>
      </c>
      <c r="S507" s="1" t="s">
        <v>677</v>
      </c>
      <c r="T507" s="1" t="s">
        <v>889</v>
      </c>
    </row>
    <row r="508" customFormat="false" ht="15" hidden="false" customHeight="true" outlineLevel="0" collapsed="false">
      <c r="A508" s="1" t="s">
        <v>1053</v>
      </c>
      <c r="B508" s="1" t="n">
        <v>1872</v>
      </c>
      <c r="C508" s="1" t="n">
        <v>2</v>
      </c>
      <c r="D508" s="1" t="s">
        <v>38</v>
      </c>
      <c r="E508" s="1" t="s">
        <v>274</v>
      </c>
      <c r="F508" s="1" t="n">
        <v>217</v>
      </c>
      <c r="G508" s="1" t="n">
        <v>127</v>
      </c>
      <c r="H508" s="2" t="n">
        <f aca="false">2750000*4.5</f>
        <v>12375000</v>
      </c>
      <c r="I508" s="2" t="n">
        <f aca="false">(((H508 / 800) / IF(ISBLANK(R508), 1000000, IF(ISNA(VLOOKUP(R508, Mileages!$A$2:$C$34, 2, 0)), R508, VLOOKUP(R508, Mileages!$A$2:$C$34, 2, 0)))) + (F508 * IF(ISBLANK(P508), 1, P508) * IF(ISBLANK(T508), 0, IF(ISNA(VLOOKUP(T508, 'Fuel Costs'!$A$2:$C$42, 2, 0)), T508, VLOOKUP(T508, 'Fuel Costs'!$A$2:$C$42, 2, 0))) / IF(ISBLANK(O508), 1, O508))) * 100</f>
        <v>261.946875</v>
      </c>
      <c r="J508" s="2" t="n">
        <f aca="false">((H508 / 800) / (IF(ISBLANK(S508), 100, IF(ISNA(VLOOKUP(S508, Lives!$A$2:$C$35, 2, 0)), S508, VLOOKUP(S508, Lives!$A$2:$C$35, 2, 0))) * 12) + (IF(ISBLANK(Q508), 0, IF(ISNA(VLOOKUP(Q508, Wages!$A$2:$C$17, 2, 0)), Q508, VLOOKUP(Q508, Wages!$A$2:$C$17, 2, 0))) * IF(ISBLANK(N508), 0, IF(ISNA(VLOOKUP(N508, Crews!$A$2:$C$28, 2, 0)), N508, VLOOKUP(N508, Crews!$A$2:$C$28, 2, 0))))) * 400</f>
        <v>34312.5</v>
      </c>
      <c r="K508" s="3" t="s">
        <v>1054</v>
      </c>
      <c r="L508" s="1" t="s">
        <v>1055</v>
      </c>
      <c r="M508" s="1" t="n">
        <v>0</v>
      </c>
      <c r="N508" s="1" t="s">
        <v>590</v>
      </c>
      <c r="O508" s="1" t="n">
        <v>0.5</v>
      </c>
      <c r="P508" s="1"/>
      <c r="Q508" s="5" t="s">
        <v>284</v>
      </c>
      <c r="R508" s="1" t="s">
        <v>677</v>
      </c>
      <c r="S508" s="1" t="s">
        <v>677</v>
      </c>
      <c r="T508" s="1" t="s">
        <v>889</v>
      </c>
    </row>
    <row r="509" customFormat="false" ht="15" hidden="false" customHeight="true" outlineLevel="0" collapsed="false">
      <c r="A509" s="1" t="s">
        <v>1056</v>
      </c>
      <c r="B509" s="1" t="n">
        <v>1872</v>
      </c>
      <c r="C509" s="1" t="n">
        <v>2</v>
      </c>
      <c r="D509" s="1" t="s">
        <v>38</v>
      </c>
      <c r="E509" s="1" t="s">
        <v>274</v>
      </c>
      <c r="F509" s="1"/>
      <c r="G509" s="1" t="n">
        <v>145</v>
      </c>
      <c r="H509" s="2" t="n">
        <v>0</v>
      </c>
      <c r="I509" s="2" t="n">
        <f aca="false">(((H509 / 800) / IF(ISBLANK(R509), 1000000, IF(ISNA(VLOOKUP(R509, Mileages!$A$2:$C$34, 2, 0)), R509, VLOOKUP(R509, Mileages!$A$2:$C$34, 2, 0)))) + (F509 * IF(ISBLANK(P509), 1, P509) * IF(ISBLANK(T509), 0, IF(ISNA(VLOOKUP(T509, 'Fuel Costs'!$A$2:$C$42, 2, 0)), T509, VLOOKUP(T509, 'Fuel Costs'!$A$2:$C$42, 2, 0))) / IF(ISBLANK(O509), 1, O509))) * 100</f>
        <v>0</v>
      </c>
      <c r="J509" s="2" t="n">
        <f aca="false">((H509 / 800) / (IF(ISBLANK(S509), 100, IF(ISNA(VLOOKUP(S509, Lives!$A$2:$C$35, 2, 0)), S509, VLOOKUP(S509, Lives!$A$2:$C$35, 2, 0))) * 12) + (IF(ISBLANK(Q509), 0, IF(ISNA(VLOOKUP(Q509, Wages!$A$2:$C$17, 2, 0)), Q509, VLOOKUP(Q509, Wages!$A$2:$C$17, 2, 0))) * IF(ISBLANK(N509), 0, IF(ISNA(VLOOKUP(N509, Crews!$A$2:$C$28, 2, 0)), N509, VLOOKUP(N509, Crews!$A$2:$C$28, 2, 0))))) * 400</f>
        <v>0</v>
      </c>
      <c r="K509" s="1"/>
      <c r="L509" s="1" t="s">
        <v>1055</v>
      </c>
      <c r="M509" s="1" t="n">
        <v>1</v>
      </c>
      <c r="N509" s="1"/>
      <c r="O509" s="1"/>
      <c r="P509" s="1"/>
      <c r="Q509" s="1"/>
      <c r="R509" s="1"/>
      <c r="S509" s="1"/>
      <c r="T509" s="1"/>
    </row>
    <row r="510" customFormat="false" ht="15" hidden="false" customHeight="true" outlineLevel="0" collapsed="false">
      <c r="A510" s="1" t="s">
        <v>1057</v>
      </c>
      <c r="B510" s="1" t="n">
        <v>1872</v>
      </c>
      <c r="C510" s="1" t="n">
        <v>4</v>
      </c>
      <c r="D510" s="1" t="s">
        <v>38</v>
      </c>
      <c r="E510" s="1"/>
      <c r="F510" s="1"/>
      <c r="G510" s="1" t="n">
        <v>145</v>
      </c>
      <c r="H510" s="2" t="n">
        <v>285000</v>
      </c>
      <c r="I510" s="2" t="n">
        <f aca="false">(((H510 / 800) / IF(ISBLANK(R510), 1000000, IF(ISNA(VLOOKUP(R510, Mileages!$A$2:$C$34, 2, 0)), R510, VLOOKUP(R510, Mileages!$A$2:$C$34, 2, 0)))) + (F510 * IF(ISBLANK(P510), 1, P510) * IF(ISBLANK(T510), 0, IF(ISNA(VLOOKUP(T510, 'Fuel Costs'!$A$2:$C$42, 2, 0)), T510, VLOOKUP(T510, 'Fuel Costs'!$A$2:$C$42, 2, 0))) / IF(ISBLANK(O510), 1, O510))) * 100</f>
        <v>0.0296875</v>
      </c>
      <c r="J510" s="2" t="n">
        <f aca="false">((H510 / 800) / (IF(ISBLANK(S510), 100, IF(ISNA(VLOOKUP(S510, Lives!$A$2:$C$35, 2, 0)), S510, VLOOKUP(S510, Lives!$A$2:$C$35, 2, 0))) * 12) + (IF(ISBLANK(Q510), 0, IF(ISNA(VLOOKUP(Q510, Wages!$A$2:$C$17, 2, 0)), Q510, VLOOKUP(Q510, Wages!$A$2:$C$17, 2, 0))) * IF(ISBLANK(N510), 0, IF(ISNA(VLOOKUP(N510, Crews!$A$2:$C$28, 2, 0)), N510, VLOOKUP(N510, Crews!$A$2:$C$28, 2, 0))))) * 400</f>
        <v>339.2857143</v>
      </c>
      <c r="K510" s="1" t="s">
        <v>1058</v>
      </c>
      <c r="L510" s="1" t="s">
        <v>1059</v>
      </c>
      <c r="M510" s="1" t="n">
        <v>0</v>
      </c>
      <c r="N510" s="1"/>
      <c r="O510" s="1"/>
      <c r="P510" s="1"/>
      <c r="Q510" s="1"/>
      <c r="R510" s="1" t="s">
        <v>689</v>
      </c>
      <c r="S510" s="1" t="s">
        <v>856</v>
      </c>
      <c r="T510" s="1"/>
    </row>
    <row r="511" customFormat="false" ht="15" hidden="false" customHeight="true" outlineLevel="0" collapsed="false">
      <c r="A511" s="1" t="s">
        <v>1060</v>
      </c>
      <c r="B511" s="1" t="n">
        <v>1872</v>
      </c>
      <c r="C511" s="1" t="n">
        <v>4</v>
      </c>
      <c r="D511" s="1" t="s">
        <v>38</v>
      </c>
      <c r="E511" s="1"/>
      <c r="F511" s="1"/>
      <c r="G511" s="1" t="n">
        <v>145</v>
      </c>
      <c r="H511" s="2" t="n">
        <v>285000</v>
      </c>
      <c r="I511" s="2" t="n">
        <f aca="false">(((H511 / 800) / IF(ISBLANK(R511), 1000000, IF(ISNA(VLOOKUP(R511, Mileages!$A$2:$C$34, 2, 0)), R511, VLOOKUP(R511, Mileages!$A$2:$C$34, 2, 0)))) + (F511 * IF(ISBLANK(P511), 1, P511) * IF(ISBLANK(T511), 0, IF(ISNA(VLOOKUP(T511, 'Fuel Costs'!$A$2:$C$42, 2, 0)), T511, VLOOKUP(T511, 'Fuel Costs'!$A$2:$C$42, 2, 0))) / IF(ISBLANK(O511), 1, O511))) * 100</f>
        <v>0.0296875</v>
      </c>
      <c r="J511" s="2" t="n">
        <f aca="false">((H511 / 800) / (IF(ISBLANK(S511), 100, IF(ISNA(VLOOKUP(S511, Lives!$A$2:$C$35, 2, 0)), S511, VLOOKUP(S511, Lives!$A$2:$C$35, 2, 0))) * 12) + (IF(ISBLANK(Q511), 0, IF(ISNA(VLOOKUP(Q511, Wages!$A$2:$C$17, 2, 0)), Q511, VLOOKUP(Q511, Wages!$A$2:$C$17, 2, 0))) * IF(ISBLANK(N511), 0, IF(ISNA(VLOOKUP(N511, Crews!$A$2:$C$28, 2, 0)), N511, VLOOKUP(N511, Crews!$A$2:$C$28, 2, 0))))) * 400</f>
        <v>339.2857143</v>
      </c>
      <c r="K511" s="3" t="s">
        <v>1061</v>
      </c>
      <c r="L511" s="1" t="s">
        <v>1062</v>
      </c>
      <c r="M511" s="1" t="n">
        <v>0</v>
      </c>
      <c r="N511" s="1"/>
      <c r="O511" s="1"/>
      <c r="P511" s="1"/>
      <c r="Q511" s="1"/>
      <c r="R511" s="1" t="s">
        <v>689</v>
      </c>
      <c r="S511" s="1" t="s">
        <v>856</v>
      </c>
      <c r="T511" s="1"/>
    </row>
    <row r="512" customFormat="false" ht="15" hidden="false" customHeight="true" outlineLevel="0" collapsed="false">
      <c r="A512" s="1" t="s">
        <v>1063</v>
      </c>
      <c r="B512" s="1" t="n">
        <v>1872</v>
      </c>
      <c r="C512" s="1" t="n">
        <v>4</v>
      </c>
      <c r="D512" s="1" t="s">
        <v>38</v>
      </c>
      <c r="E512" s="1"/>
      <c r="F512" s="1"/>
      <c r="G512" s="1" t="n">
        <v>145</v>
      </c>
      <c r="H512" s="2" t="n">
        <v>285000</v>
      </c>
      <c r="I512" s="2" t="n">
        <f aca="false">(((H512 / 800) / IF(ISBLANK(R512), 1000000, IF(ISNA(VLOOKUP(R512, Mileages!$A$2:$C$34, 2, 0)), R512, VLOOKUP(R512, Mileages!$A$2:$C$34, 2, 0)))) + (F512 * IF(ISBLANK(P512), 1, P512) * IF(ISBLANK(T512), 0, IF(ISNA(VLOOKUP(T512, 'Fuel Costs'!$A$2:$C$42, 2, 0)), T512, VLOOKUP(T512, 'Fuel Costs'!$A$2:$C$42, 2, 0))) / IF(ISBLANK(O512), 1, O512))) * 100</f>
        <v>0.0296875</v>
      </c>
      <c r="J512" s="2" t="n">
        <f aca="false">((H512 / 800) / (IF(ISBLANK(S512), 100, IF(ISNA(VLOOKUP(S512, Lives!$A$2:$C$35, 2, 0)), S512, VLOOKUP(S512, Lives!$A$2:$C$35, 2, 0))) * 12) + (IF(ISBLANK(Q512), 0, IF(ISNA(VLOOKUP(Q512, Wages!$A$2:$C$17, 2, 0)), Q512, VLOOKUP(Q512, Wages!$A$2:$C$17, 2, 0))) * IF(ISBLANK(N512), 0, IF(ISNA(VLOOKUP(N512, Crews!$A$2:$C$28, 2, 0)), N512, VLOOKUP(N512, Crews!$A$2:$C$28, 2, 0))))) * 400</f>
        <v>339.2857143</v>
      </c>
      <c r="K512" s="3" t="s">
        <v>1064</v>
      </c>
      <c r="L512" s="1" t="s">
        <v>1065</v>
      </c>
      <c r="M512" s="1" t="n">
        <v>0</v>
      </c>
      <c r="N512" s="1"/>
      <c r="O512" s="1"/>
      <c r="P512" s="1"/>
      <c r="Q512" s="1"/>
      <c r="R512" s="1" t="s">
        <v>689</v>
      </c>
      <c r="S512" s="1" t="s">
        <v>856</v>
      </c>
      <c r="T512" s="1"/>
    </row>
    <row r="513" customFormat="false" ht="15" hidden="false" customHeight="true" outlineLevel="0" collapsed="false">
      <c r="A513" s="1" t="s">
        <v>1066</v>
      </c>
      <c r="B513" s="1" t="n">
        <v>1872</v>
      </c>
      <c r="C513" s="1" t="n">
        <v>4</v>
      </c>
      <c r="D513" s="1" t="s">
        <v>38</v>
      </c>
      <c r="E513" s="1"/>
      <c r="F513" s="1"/>
      <c r="G513" s="1" t="n">
        <v>145</v>
      </c>
      <c r="H513" s="2" t="n">
        <v>285000</v>
      </c>
      <c r="I513" s="2" t="n">
        <f aca="false">(((H513 / 800) / IF(ISBLANK(R513), 1000000, IF(ISNA(VLOOKUP(R513, Mileages!$A$2:$C$34, 2, 0)), R513, VLOOKUP(R513, Mileages!$A$2:$C$34, 2, 0)))) + (F513 * IF(ISBLANK(P513), 1, P513) * IF(ISBLANK(T513), 0, IF(ISNA(VLOOKUP(T513, 'Fuel Costs'!$A$2:$C$42, 2, 0)), T513, VLOOKUP(T513, 'Fuel Costs'!$A$2:$C$42, 2, 0))) / IF(ISBLANK(O513), 1, O513))) * 100</f>
        <v>0.0296875</v>
      </c>
      <c r="J513" s="2" t="n">
        <f aca="false">((H513 / 800) / (IF(ISBLANK(S513), 100, IF(ISNA(VLOOKUP(S513, Lives!$A$2:$C$35, 2, 0)), S513, VLOOKUP(S513, Lives!$A$2:$C$35, 2, 0))) * 12) + (IF(ISBLANK(Q513), 0, IF(ISNA(VLOOKUP(Q513, Wages!$A$2:$C$17, 2, 0)), Q513, VLOOKUP(Q513, Wages!$A$2:$C$17, 2, 0))) * IF(ISBLANK(N513), 0, IF(ISNA(VLOOKUP(N513, Crews!$A$2:$C$28, 2, 0)), N513, VLOOKUP(N513, Crews!$A$2:$C$28, 2, 0))))) * 400</f>
        <v>5139.285714</v>
      </c>
      <c r="K513" s="1" t="s">
        <v>1067</v>
      </c>
      <c r="L513" s="1" t="s">
        <v>1068</v>
      </c>
      <c r="M513" s="1" t="n">
        <v>0</v>
      </c>
      <c r="N513" s="1" t="s">
        <v>25</v>
      </c>
      <c r="O513" s="1"/>
      <c r="P513" s="1"/>
      <c r="Q513" s="1" t="s">
        <v>378</v>
      </c>
      <c r="R513" s="1" t="s">
        <v>689</v>
      </c>
      <c r="S513" s="1" t="s">
        <v>856</v>
      </c>
      <c r="T513" s="1"/>
    </row>
    <row r="514" customFormat="false" ht="15" hidden="false" customHeight="true" outlineLevel="0" collapsed="false">
      <c r="A514" s="1" t="s">
        <v>1069</v>
      </c>
      <c r="B514" s="1" t="n">
        <v>1872</v>
      </c>
      <c r="C514" s="1" t="n">
        <v>4</v>
      </c>
      <c r="D514" s="1" t="s">
        <v>38</v>
      </c>
      <c r="E514" s="1"/>
      <c r="F514" s="1"/>
      <c r="G514" s="1" t="n">
        <v>145</v>
      </c>
      <c r="H514" s="2" t="n">
        <v>285000</v>
      </c>
      <c r="I514" s="2" t="n">
        <f aca="false">(((H514 / 800) / IF(ISBLANK(R514), 1000000, IF(ISNA(VLOOKUP(R514, Mileages!$A$2:$C$34, 2, 0)), R514, VLOOKUP(R514, Mileages!$A$2:$C$34, 2, 0)))) + (F514 * IF(ISBLANK(P514), 1, P514) * IF(ISBLANK(T514), 0, IF(ISNA(VLOOKUP(T514, 'Fuel Costs'!$A$2:$C$42, 2, 0)), T514, VLOOKUP(T514, 'Fuel Costs'!$A$2:$C$42, 2, 0))) / IF(ISBLANK(O514), 1, O514))) * 100</f>
        <v>0.0296875</v>
      </c>
      <c r="J514" s="2" t="n">
        <f aca="false">((H514 / 800) / (IF(ISBLANK(S514), 100, IF(ISNA(VLOOKUP(S514, Lives!$A$2:$C$35, 2, 0)), S514, VLOOKUP(S514, Lives!$A$2:$C$35, 2, 0))) * 12) + (IF(ISBLANK(Q514), 0, IF(ISNA(VLOOKUP(Q514, Wages!$A$2:$C$17, 2, 0)), Q514, VLOOKUP(Q514, Wages!$A$2:$C$17, 2, 0))) * IF(ISBLANK(N514), 0, IF(ISNA(VLOOKUP(N514, Crews!$A$2:$C$28, 2, 0)), N514, VLOOKUP(N514, Crews!$A$2:$C$28, 2, 0))))) * 400</f>
        <v>5139.285714</v>
      </c>
      <c r="K514" s="3" t="s">
        <v>1070</v>
      </c>
      <c r="L514" s="1" t="s">
        <v>1068</v>
      </c>
      <c r="M514" s="1" t="n">
        <v>1</v>
      </c>
      <c r="N514" s="1" t="s">
        <v>25</v>
      </c>
      <c r="O514" s="1"/>
      <c r="P514" s="1"/>
      <c r="Q514" s="1" t="s">
        <v>378</v>
      </c>
      <c r="R514" s="1" t="s">
        <v>689</v>
      </c>
      <c r="S514" s="1" t="s">
        <v>856</v>
      </c>
      <c r="T514" s="1"/>
    </row>
    <row r="515" customFormat="false" ht="15" hidden="false" customHeight="true" outlineLevel="0" collapsed="false">
      <c r="A515" s="1" t="s">
        <v>1071</v>
      </c>
      <c r="B515" s="1" t="n">
        <v>1872</v>
      </c>
      <c r="C515" s="1" t="n">
        <v>12</v>
      </c>
      <c r="D515" s="1" t="s">
        <v>157</v>
      </c>
      <c r="E515" s="1" t="s">
        <v>274</v>
      </c>
      <c r="F515" s="1" t="n">
        <v>60</v>
      </c>
      <c r="G515" s="1" t="n">
        <v>60</v>
      </c>
      <c r="H515" s="2" t="n">
        <f aca="false">4316923*0.75</f>
        <v>3237692.25</v>
      </c>
      <c r="I515" s="2" t="n">
        <f aca="false">(((H515 / 800) / IF(ISBLANK(R515), 1000000, IF(ISNA(VLOOKUP(R515, Mileages!$A$2:$C$34, 2, 0)), R515, VLOOKUP(R515, Mileages!$A$2:$C$34, 2, 0)))) + (F515 * IF(ISBLANK(P515), 1, P515) * IF(ISBLANK(T515), 0, IF(ISNA(VLOOKUP(T515, 'Fuel Costs'!$A$2:$C$42, 2, 0)), T515, VLOOKUP(T515, 'Fuel Costs'!$A$2:$C$42, 2, 0))) / IF(ISBLANK(O515), 1, O515))) * 100</f>
        <v>53.73804486</v>
      </c>
      <c r="J515" s="2" t="n">
        <f aca="false">((H515 / 800) / (IF(ISBLANK(S515), 100, IF(ISNA(VLOOKUP(S515, Lives!$A$2:$C$35, 2, 0)), S515, VLOOKUP(S515, Lives!$A$2:$C$35, 2, 0))) * 12) + (IF(ISBLANK(Q515), 0, IF(ISNA(VLOOKUP(Q515, Wages!$A$2:$C$17, 2, 0)), Q515, VLOOKUP(Q515, Wages!$A$2:$C$17, 2, 0))) * IF(ISBLANK(N515), 0, IF(ISNA(VLOOKUP(N515, Crews!$A$2:$C$28, 2, 0)), N515, VLOOKUP(N515, Crews!$A$2:$C$28, 2, 0))))) * 400</f>
        <v>18698.07688</v>
      </c>
      <c r="K515" s="3" t="s">
        <v>1072</v>
      </c>
      <c r="L515" s="1" t="s">
        <v>1073</v>
      </c>
      <c r="M515" s="1" t="n">
        <v>0</v>
      </c>
      <c r="N515" s="1" t="s">
        <v>283</v>
      </c>
      <c r="O515" s="1" t="n">
        <v>0.45</v>
      </c>
      <c r="P515" s="1"/>
      <c r="Q515" s="1" t="s">
        <v>284</v>
      </c>
      <c r="R515" s="1" t="s">
        <v>677</v>
      </c>
      <c r="S515" s="1" t="s">
        <v>677</v>
      </c>
      <c r="T515" s="1" t="s">
        <v>923</v>
      </c>
    </row>
    <row r="516" customFormat="false" ht="15" hidden="false" customHeight="true" outlineLevel="0" collapsed="false">
      <c r="A516" s="1" t="s">
        <v>1074</v>
      </c>
      <c r="B516" s="1" t="n">
        <v>1872</v>
      </c>
      <c r="C516" s="1" t="n">
        <v>12</v>
      </c>
      <c r="D516" s="1" t="s">
        <v>157</v>
      </c>
      <c r="E516" s="1"/>
      <c r="F516" s="1"/>
      <c r="G516" s="1" t="n">
        <v>60</v>
      </c>
      <c r="H516" s="2" t="n">
        <v>520000</v>
      </c>
      <c r="I516" s="2" t="n">
        <f aca="false">(((H516 / 800) / IF(ISBLANK(R516), 1000000, IF(ISNA(VLOOKUP(R516, Mileages!$A$2:$C$34, 2, 0)), R516, VLOOKUP(R516, Mileages!$A$2:$C$34, 2, 0)))) + (F516 * IF(ISBLANK(P516), 1, P516) * IF(ISBLANK(T516), 0, IF(ISNA(VLOOKUP(T516, 'Fuel Costs'!$A$2:$C$42, 2, 0)), T516, VLOOKUP(T516, 'Fuel Costs'!$A$2:$C$42, 2, 0))) / IF(ISBLANK(O516), 1, O516))) * 100</f>
        <v>0.05416666667</v>
      </c>
      <c r="J516" s="2" t="n">
        <f aca="false">((H516 / 800) / (IF(ISBLANK(S516), 100, IF(ISNA(VLOOKUP(S516, Lives!$A$2:$C$35, 2, 0)), S516, VLOOKUP(S516, Lives!$A$2:$C$35, 2, 0))) * 12) + (IF(ISBLANK(Q516), 0, IF(ISNA(VLOOKUP(Q516, Wages!$A$2:$C$17, 2, 0)), Q516, VLOOKUP(Q516, Wages!$A$2:$C$17, 2, 0))) * IF(ISBLANK(N516), 0, IF(ISNA(VLOOKUP(N516, Crews!$A$2:$C$28, 2, 0)), N516, VLOOKUP(N516, Crews!$A$2:$C$28, 2, 0))))) * 400</f>
        <v>619.047619</v>
      </c>
      <c r="K516" s="1" t="s">
        <v>1075</v>
      </c>
      <c r="L516" s="1" t="s">
        <v>1076</v>
      </c>
      <c r="M516" s="1" t="n">
        <v>0</v>
      </c>
      <c r="N516" s="1"/>
      <c r="O516" s="1"/>
      <c r="P516" s="1"/>
      <c r="Q516" s="1"/>
      <c r="R516" s="1" t="s">
        <v>689</v>
      </c>
      <c r="S516" s="1" t="s">
        <v>856</v>
      </c>
      <c r="T516" s="1"/>
    </row>
    <row r="517" customFormat="false" ht="15" hidden="false" customHeight="true" outlineLevel="0" collapsed="false">
      <c r="A517" s="1" t="s">
        <v>1077</v>
      </c>
      <c r="B517" s="1" t="n">
        <v>1872</v>
      </c>
      <c r="C517" s="1" t="n">
        <v>12</v>
      </c>
      <c r="D517" s="1" t="s">
        <v>157</v>
      </c>
      <c r="E517" s="1"/>
      <c r="F517" s="1"/>
      <c r="G517" s="1" t="n">
        <v>60</v>
      </c>
      <c r="H517" s="2" t="n">
        <v>370000</v>
      </c>
      <c r="I517" s="2" t="n">
        <f aca="false">(((H517 / 800) / IF(ISBLANK(R517), 1000000, IF(ISNA(VLOOKUP(R517, Mileages!$A$2:$C$34, 2, 0)), R517, VLOOKUP(R517, Mileages!$A$2:$C$34, 2, 0)))) + (F517 * IF(ISBLANK(P517), 1, P517) * IF(ISBLANK(T517), 0, IF(ISNA(VLOOKUP(T517, 'Fuel Costs'!$A$2:$C$42, 2, 0)), T517, VLOOKUP(T517, 'Fuel Costs'!$A$2:$C$42, 2, 0))) / IF(ISBLANK(O517), 1, O517))) * 100</f>
        <v>0.03854166667</v>
      </c>
      <c r="J517" s="2" t="n">
        <f aca="false">((H517 / 800) / (IF(ISBLANK(S517), 100, IF(ISNA(VLOOKUP(S517, Lives!$A$2:$C$35, 2, 0)), S517, VLOOKUP(S517, Lives!$A$2:$C$35, 2, 0))) * 12) + (IF(ISBLANK(Q517), 0, IF(ISNA(VLOOKUP(Q517, Wages!$A$2:$C$17, 2, 0)), Q517, VLOOKUP(Q517, Wages!$A$2:$C$17, 2, 0))) * IF(ISBLANK(N517), 0, IF(ISNA(VLOOKUP(N517, Crews!$A$2:$C$28, 2, 0)), N517, VLOOKUP(N517, Crews!$A$2:$C$28, 2, 0))))) * 400</f>
        <v>4954.166667</v>
      </c>
      <c r="K517" s="1" t="s">
        <v>1078</v>
      </c>
      <c r="L517" s="1" t="s">
        <v>1079</v>
      </c>
      <c r="M517" s="1" t="n">
        <v>0</v>
      </c>
      <c r="N517" s="1" t="s">
        <v>25</v>
      </c>
      <c r="O517" s="1"/>
      <c r="P517" s="1"/>
      <c r="Q517" s="1" t="s">
        <v>378</v>
      </c>
      <c r="R517" s="1" t="s">
        <v>689</v>
      </c>
      <c r="S517" s="1" t="s">
        <v>389</v>
      </c>
      <c r="T517" s="1"/>
    </row>
    <row r="518" customFormat="false" ht="15" hidden="false" customHeight="true" outlineLevel="0" collapsed="false">
      <c r="A518" s="1" t="s">
        <v>1080</v>
      </c>
      <c r="B518" s="1" t="n">
        <v>1873</v>
      </c>
      <c r="C518" s="1" t="n">
        <v>3</v>
      </c>
      <c r="D518" s="1" t="s">
        <v>38</v>
      </c>
      <c r="E518" s="1"/>
      <c r="F518" s="1"/>
      <c r="G518" s="1" t="n">
        <v>150</v>
      </c>
      <c r="H518" s="2" t="n">
        <v>317500</v>
      </c>
      <c r="I518" s="2" t="n">
        <f aca="false">(((H518 / 800) / IF(ISBLANK(R518), 1000000, IF(ISNA(VLOOKUP(R518, Mileages!$A$2:$C$34, 2, 0)), R518, VLOOKUP(R518, Mileages!$A$2:$C$34, 2, 0)))) + (F518 * IF(ISBLANK(P518), 1, P518) * IF(ISBLANK(T518), 0, IF(ISNA(VLOOKUP(T518, 'Fuel Costs'!$A$2:$C$42, 2, 0)), T518, VLOOKUP(T518, 'Fuel Costs'!$A$2:$C$42, 2, 0))) / IF(ISBLANK(O518), 1, O518))) * 100</f>
        <v>0.03307291667</v>
      </c>
      <c r="J518" s="2" t="n">
        <f aca="false">((H518 / 800) / (IF(ISBLANK(S518), 100, IF(ISNA(VLOOKUP(S518, Lives!$A$2:$C$35, 2, 0)), S518, VLOOKUP(S518, Lives!$A$2:$C$35, 2, 0))) * 12) + (IF(ISBLANK(Q518), 0, IF(ISNA(VLOOKUP(Q518, Wages!$A$2:$C$17, 2, 0)), Q518, VLOOKUP(Q518, Wages!$A$2:$C$17, 2, 0))) * IF(ISBLANK(N518), 0, IF(ISNA(VLOOKUP(N518, Crews!$A$2:$C$28, 2, 0)), N518, VLOOKUP(N518, Crews!$A$2:$C$28, 2, 0))))) * 400</f>
        <v>377.9761905</v>
      </c>
      <c r="K518" s="3" t="s">
        <v>1081</v>
      </c>
      <c r="L518" s="1" t="s">
        <v>1082</v>
      </c>
      <c r="M518" s="1" t="n">
        <v>0</v>
      </c>
      <c r="N518" s="1"/>
      <c r="O518" s="1"/>
      <c r="P518" s="1"/>
      <c r="Q518" s="1"/>
      <c r="R518" s="1" t="s">
        <v>689</v>
      </c>
      <c r="S518" s="1" t="s">
        <v>856</v>
      </c>
      <c r="T518" s="1"/>
    </row>
    <row r="519" customFormat="false" ht="15" hidden="false" customHeight="true" outlineLevel="0" collapsed="false">
      <c r="A519" s="1" t="s">
        <v>1083</v>
      </c>
      <c r="B519" s="1" t="n">
        <v>1873</v>
      </c>
      <c r="C519" s="1" t="n">
        <v>3</v>
      </c>
      <c r="D519" s="1" t="s">
        <v>38</v>
      </c>
      <c r="E519" s="1"/>
      <c r="F519" s="1"/>
      <c r="G519" s="1" t="n">
        <v>150</v>
      </c>
      <c r="H519" s="2" t="n">
        <v>317500</v>
      </c>
      <c r="I519" s="2" t="n">
        <f aca="false">(((H519 / 800) / IF(ISBLANK(R519), 1000000, IF(ISNA(VLOOKUP(R519, Mileages!$A$2:$C$34, 2, 0)), R519, VLOOKUP(R519, Mileages!$A$2:$C$34, 2, 0)))) + (F519 * IF(ISBLANK(P519), 1, P519) * IF(ISBLANK(T519), 0, IF(ISNA(VLOOKUP(T519, 'Fuel Costs'!$A$2:$C$42, 2, 0)), T519, VLOOKUP(T519, 'Fuel Costs'!$A$2:$C$42, 2, 0))) / IF(ISBLANK(O519), 1, O519))) * 100</f>
        <v>0.03307291667</v>
      </c>
      <c r="J519" s="2" t="n">
        <f aca="false">((H519 / 800) / (IF(ISBLANK(S519), 100, IF(ISNA(VLOOKUP(S519, Lives!$A$2:$C$35, 2, 0)), S519, VLOOKUP(S519, Lives!$A$2:$C$35, 2, 0))) * 12) + (IF(ISBLANK(Q519), 0, IF(ISNA(VLOOKUP(Q519, Wages!$A$2:$C$17, 2, 0)), Q519, VLOOKUP(Q519, Wages!$A$2:$C$17, 2, 0))) * IF(ISBLANK(N519), 0, IF(ISNA(VLOOKUP(N519, Crews!$A$2:$C$28, 2, 0)), N519, VLOOKUP(N519, Crews!$A$2:$C$28, 2, 0))))) * 400</f>
        <v>5177.97619</v>
      </c>
      <c r="K519" s="1" t="s">
        <v>1084</v>
      </c>
      <c r="L519" s="1" t="s">
        <v>1082</v>
      </c>
      <c r="M519" s="1" t="n">
        <v>1</v>
      </c>
      <c r="N519" s="1" t="s">
        <v>25</v>
      </c>
      <c r="O519" s="1"/>
      <c r="P519" s="1"/>
      <c r="Q519" s="1" t="s">
        <v>378</v>
      </c>
      <c r="R519" s="1" t="s">
        <v>689</v>
      </c>
      <c r="S519" s="1" t="s">
        <v>856</v>
      </c>
      <c r="T519" s="1"/>
    </row>
    <row r="520" customFormat="false" ht="15" hidden="false" customHeight="true" outlineLevel="0" collapsed="false">
      <c r="A520" s="1" t="s">
        <v>1085</v>
      </c>
      <c r="B520" s="1" t="n">
        <v>1873</v>
      </c>
      <c r="C520" s="1" t="n">
        <v>3</v>
      </c>
      <c r="D520" s="1" t="s">
        <v>38</v>
      </c>
      <c r="E520" s="1"/>
      <c r="F520" s="1"/>
      <c r="G520" s="1" t="n">
        <v>150</v>
      </c>
      <c r="H520" s="2" t="n">
        <v>317500</v>
      </c>
      <c r="I520" s="2" t="n">
        <f aca="false">(((H520 / 800) / IF(ISBLANK(R520), 1000000, IF(ISNA(VLOOKUP(R520, Mileages!$A$2:$C$34, 2, 0)), R520, VLOOKUP(R520, Mileages!$A$2:$C$34, 2, 0)))) + (F520 * IF(ISBLANK(P520), 1, P520) * IF(ISBLANK(T520), 0, IF(ISNA(VLOOKUP(T520, 'Fuel Costs'!$A$2:$C$42, 2, 0)), T520, VLOOKUP(T520, 'Fuel Costs'!$A$2:$C$42, 2, 0))) / IF(ISBLANK(O520), 1, O520))) * 100</f>
        <v>0.03307291667</v>
      </c>
      <c r="J520" s="2" t="n">
        <f aca="false">((H520 / 800) / (IF(ISBLANK(S520), 100, IF(ISNA(VLOOKUP(S520, Lives!$A$2:$C$35, 2, 0)), S520, VLOOKUP(S520, Lives!$A$2:$C$35, 2, 0))) * 12) + (IF(ISBLANK(Q520), 0, IF(ISNA(VLOOKUP(Q520, Wages!$A$2:$C$17, 2, 0)), Q520, VLOOKUP(Q520, Wages!$A$2:$C$17, 2, 0))) * IF(ISBLANK(N520), 0, IF(ISNA(VLOOKUP(N520, Crews!$A$2:$C$28, 2, 0)), N520, VLOOKUP(N520, Crews!$A$2:$C$28, 2, 0))))) * 400</f>
        <v>377.9761905</v>
      </c>
      <c r="K520" s="1"/>
      <c r="L520" s="1" t="s">
        <v>1082</v>
      </c>
      <c r="M520" s="1" t="n">
        <v>2</v>
      </c>
      <c r="N520" s="1"/>
      <c r="O520" s="1"/>
      <c r="P520" s="1"/>
      <c r="Q520" s="1"/>
      <c r="R520" s="1" t="s">
        <v>689</v>
      </c>
      <c r="S520" s="1" t="s">
        <v>856</v>
      </c>
      <c r="T520" s="1"/>
    </row>
    <row r="521" customFormat="false" ht="15" hidden="false" customHeight="true" outlineLevel="0" collapsed="false">
      <c r="A521" s="1" t="s">
        <v>1086</v>
      </c>
      <c r="B521" s="1" t="n">
        <v>1873</v>
      </c>
      <c r="C521" s="1" t="n">
        <v>3</v>
      </c>
      <c r="D521" s="1" t="s">
        <v>38</v>
      </c>
      <c r="E521" s="1"/>
      <c r="F521" s="1"/>
      <c r="G521" s="1" t="n">
        <v>150</v>
      </c>
      <c r="H521" s="2" t="n">
        <v>314500</v>
      </c>
      <c r="I521" s="2" t="n">
        <f aca="false">(((H521 / 800) / IF(ISBLANK(R521), 1000000, IF(ISNA(VLOOKUP(R521, Mileages!$A$2:$C$34, 2, 0)), R521, VLOOKUP(R521, Mileages!$A$2:$C$34, 2, 0)))) + (F521 * IF(ISBLANK(P521), 1, P521) * IF(ISBLANK(T521), 0, IF(ISNA(VLOOKUP(T521, 'Fuel Costs'!$A$2:$C$42, 2, 0)), T521, VLOOKUP(T521, 'Fuel Costs'!$A$2:$C$42, 2, 0))) / IF(ISBLANK(O521), 1, O521))) * 100</f>
        <v>0.03276041667</v>
      </c>
      <c r="J521" s="2" t="n">
        <f aca="false">((H521 / 800) / (IF(ISBLANK(S521), 100, IF(ISNA(VLOOKUP(S521, Lives!$A$2:$C$35, 2, 0)), S521, VLOOKUP(S521, Lives!$A$2:$C$35, 2, 0))) * 12) + (IF(ISBLANK(Q521), 0, IF(ISNA(VLOOKUP(Q521, Wages!$A$2:$C$17, 2, 0)), Q521, VLOOKUP(Q521, Wages!$A$2:$C$17, 2, 0))) * IF(ISBLANK(N521), 0, IF(ISNA(VLOOKUP(N521, Crews!$A$2:$C$28, 2, 0)), N521, VLOOKUP(N521, Crews!$A$2:$C$28, 2, 0))))) * 400</f>
        <v>131.0416667</v>
      </c>
      <c r="K521" s="1"/>
      <c r="L521" s="1" t="s">
        <v>1082</v>
      </c>
      <c r="M521" s="1" t="n">
        <v>3</v>
      </c>
      <c r="N521" s="1"/>
      <c r="O521" s="1"/>
      <c r="P521" s="1"/>
      <c r="Q521" s="1"/>
      <c r="R521" s="1" t="s">
        <v>689</v>
      </c>
      <c r="S521" s="5" t="s">
        <v>389</v>
      </c>
      <c r="T521" s="1"/>
    </row>
    <row r="522" customFormat="false" ht="15" hidden="false" customHeight="true" outlineLevel="0" collapsed="false">
      <c r="A522" s="1" t="s">
        <v>1087</v>
      </c>
      <c r="B522" s="1" t="n">
        <v>1873</v>
      </c>
      <c r="C522" s="1" t="n">
        <v>3</v>
      </c>
      <c r="D522" s="1" t="s">
        <v>38</v>
      </c>
      <c r="E522" s="1"/>
      <c r="F522" s="1"/>
      <c r="G522" s="1" t="n">
        <v>150</v>
      </c>
      <c r="H522" s="2" t="n">
        <v>314500</v>
      </c>
      <c r="I522" s="2" t="n">
        <f aca="false">(((H522 / 800) / IF(ISBLANK(R522), 1000000, IF(ISNA(VLOOKUP(R522, Mileages!$A$2:$C$34, 2, 0)), R522, VLOOKUP(R522, Mileages!$A$2:$C$34, 2, 0)))) + (F522 * IF(ISBLANK(P522), 1, P522) * IF(ISBLANK(T522), 0, IF(ISNA(VLOOKUP(T522, 'Fuel Costs'!$A$2:$C$42, 2, 0)), T522, VLOOKUP(T522, 'Fuel Costs'!$A$2:$C$42, 2, 0))) / IF(ISBLANK(O522), 1, O522))) * 100</f>
        <v>0.03276041667</v>
      </c>
      <c r="J522" s="2" t="n">
        <f aca="false">((H522 / 800) / (IF(ISBLANK(S522), 100, IF(ISNA(VLOOKUP(S522, Lives!$A$2:$C$35, 2, 0)), S522, VLOOKUP(S522, Lives!$A$2:$C$35, 2, 0))) * 12) + (IF(ISBLANK(Q522), 0, IF(ISNA(VLOOKUP(Q522, Wages!$A$2:$C$17, 2, 0)), Q522, VLOOKUP(Q522, Wages!$A$2:$C$17, 2, 0))) * IF(ISBLANK(N522), 0, IF(ISNA(VLOOKUP(N522, Crews!$A$2:$C$28, 2, 0)), N522, VLOOKUP(N522, Crews!$A$2:$C$28, 2, 0))))) * 400</f>
        <v>24131.04167</v>
      </c>
      <c r="K522" s="1"/>
      <c r="L522" s="1" t="s">
        <v>1082</v>
      </c>
      <c r="M522" s="1" t="n">
        <v>4</v>
      </c>
      <c r="N522" s="1" t="s">
        <v>551</v>
      </c>
      <c r="O522" s="1"/>
      <c r="P522" s="1"/>
      <c r="Q522" s="1" t="s">
        <v>551</v>
      </c>
      <c r="R522" s="1" t="s">
        <v>689</v>
      </c>
      <c r="S522" s="1" t="s">
        <v>389</v>
      </c>
      <c r="T522" s="1"/>
    </row>
    <row r="523" customFormat="false" ht="15" hidden="false" customHeight="true" outlineLevel="0" collapsed="false">
      <c r="A523" s="1" t="s">
        <v>1088</v>
      </c>
      <c r="B523" s="1" t="n">
        <v>1873</v>
      </c>
      <c r="C523" s="1" t="n">
        <v>4</v>
      </c>
      <c r="D523" s="1" t="s">
        <v>38</v>
      </c>
      <c r="E523" s="1" t="s">
        <v>274</v>
      </c>
      <c r="F523" s="1" t="n">
        <v>199</v>
      </c>
      <c r="G523" s="1" t="n">
        <v>82</v>
      </c>
      <c r="H523" s="2" t="n">
        <f aca="false">3750000*1.25</f>
        <v>4687500</v>
      </c>
      <c r="I523" s="2" t="n">
        <f aca="false">(((H523 / 800) / IF(ISBLANK(R523), 1000000, IF(ISNA(VLOOKUP(R523, Mileages!$A$2:$C$34, 2, 0)), R523, VLOOKUP(R523, Mileages!$A$2:$C$34, 2, 0)))) + (F523 * IF(ISBLANK(P523), 1, P523) * IF(ISBLANK(T523), 0, IF(ISNA(VLOOKUP(T523, 'Fuel Costs'!$A$2:$C$42, 2, 0)), T523, VLOOKUP(T523, 'Fuel Costs'!$A$2:$C$42, 2, 0))) / IF(ISBLANK(O523), 1, O523))) * 100</f>
        <v>239.3859375</v>
      </c>
      <c r="J523" s="2" t="n">
        <f aca="false">((H523 / 800) / (IF(ISBLANK(S523), 100, IF(ISNA(VLOOKUP(S523, Lives!$A$2:$C$35, 2, 0)), S523, VLOOKUP(S523, Lives!$A$2:$C$35, 2, 0))) * 12) + (IF(ISBLANK(Q523), 0, IF(ISNA(VLOOKUP(Q523, Wages!$A$2:$C$17, 2, 0)), Q523, VLOOKUP(Q523, Wages!$A$2:$C$17, 2, 0))) * IF(ISBLANK(N523), 0, IF(ISNA(VLOOKUP(N523, Crews!$A$2:$C$28, 2, 0)), N523, VLOOKUP(N523, Crews!$A$2:$C$28, 2, 0))))) * 400</f>
        <v>27906.25</v>
      </c>
      <c r="K523" s="3" t="s">
        <v>1089</v>
      </c>
      <c r="L523" s="1" t="s">
        <v>1090</v>
      </c>
      <c r="M523" s="1" t="n">
        <v>0</v>
      </c>
      <c r="N523" s="1" t="s">
        <v>590</v>
      </c>
      <c r="O523" s="1" t="n">
        <v>0.5</v>
      </c>
      <c r="P523" s="1"/>
      <c r="Q523" s="5" t="s">
        <v>284</v>
      </c>
      <c r="R523" s="1" t="s">
        <v>677</v>
      </c>
      <c r="S523" s="1" t="s">
        <v>677</v>
      </c>
      <c r="T523" s="1" t="s">
        <v>889</v>
      </c>
    </row>
    <row r="524" customFormat="false" ht="15" hidden="false" customHeight="true" outlineLevel="0" collapsed="false">
      <c r="A524" s="1" t="s">
        <v>1091</v>
      </c>
      <c r="B524" s="1" t="n">
        <v>1873</v>
      </c>
      <c r="C524" s="1" t="n">
        <v>4</v>
      </c>
      <c r="D524" s="1" t="s">
        <v>38</v>
      </c>
      <c r="E524" s="1" t="s">
        <v>274</v>
      </c>
      <c r="F524" s="1"/>
      <c r="G524" s="1" t="n">
        <v>95</v>
      </c>
      <c r="H524" s="2" t="n">
        <v>0</v>
      </c>
      <c r="I524" s="2" t="n">
        <f aca="false">(((H524 / 800) / IF(ISBLANK(R524), 1000000, IF(ISNA(VLOOKUP(R524, Mileages!$A$2:$C$34, 2, 0)), R524, VLOOKUP(R524, Mileages!$A$2:$C$34, 2, 0)))) + (F524 * IF(ISBLANK(P524), 1, P524) * IF(ISBLANK(T524), 0, IF(ISNA(VLOOKUP(T524, 'Fuel Costs'!$A$2:$C$42, 2, 0)), T524, VLOOKUP(T524, 'Fuel Costs'!$A$2:$C$42, 2, 0))) / IF(ISBLANK(O524), 1, O524))) * 100</f>
        <v>0</v>
      </c>
      <c r="J524" s="2" t="n">
        <f aca="false">((H524 / 800) / (IF(ISBLANK(S524), 100, IF(ISNA(VLOOKUP(S524, Lives!$A$2:$C$35, 2, 0)), S524, VLOOKUP(S524, Lives!$A$2:$C$35, 2, 0))) * 12) + (IF(ISBLANK(Q524), 0, IF(ISNA(VLOOKUP(Q524, Wages!$A$2:$C$17, 2, 0)), Q524, VLOOKUP(Q524, Wages!$A$2:$C$17, 2, 0))) * IF(ISBLANK(N524), 0, IF(ISNA(VLOOKUP(N524, Crews!$A$2:$C$28, 2, 0)), N524, VLOOKUP(N524, Crews!$A$2:$C$28, 2, 0))))) * 400</f>
        <v>0</v>
      </c>
      <c r="K524" s="1"/>
      <c r="L524" s="1" t="s">
        <v>1092</v>
      </c>
      <c r="M524" s="1" t="n">
        <v>1</v>
      </c>
      <c r="N524" s="1"/>
      <c r="O524" s="1"/>
      <c r="P524" s="1"/>
      <c r="Q524" s="1"/>
      <c r="R524" s="1"/>
      <c r="S524" s="1"/>
      <c r="T524" s="1"/>
    </row>
    <row r="525" customFormat="false" ht="15" hidden="false" customHeight="true" outlineLevel="0" collapsed="false">
      <c r="A525" s="1" t="s">
        <v>1093</v>
      </c>
      <c r="B525" s="1" t="n">
        <v>1873</v>
      </c>
      <c r="C525" s="1" t="n">
        <v>11</v>
      </c>
      <c r="D525" s="1" t="s">
        <v>38</v>
      </c>
      <c r="E525" s="1" t="s">
        <v>274</v>
      </c>
      <c r="F525" s="1" t="n">
        <v>178</v>
      </c>
      <c r="G525" s="1" t="n">
        <v>105</v>
      </c>
      <c r="H525" s="2" t="n">
        <f aca="false">2210000*3</f>
        <v>6630000</v>
      </c>
      <c r="I525" s="2" t="n">
        <f aca="false">(((H525 / 800) / IF(ISBLANK(R525), 1000000, IF(ISNA(VLOOKUP(R525, Mileages!$A$2:$C$34, 2, 0)), R525, VLOOKUP(R525, Mileages!$A$2:$C$34, 2, 0)))) + (F525 * IF(ISBLANK(P525), 1, P525) * IF(ISBLANK(T525), 0, IF(ISNA(VLOOKUP(T525, 'Fuel Costs'!$A$2:$C$42, 2, 0)), T525, VLOOKUP(T525, 'Fuel Costs'!$A$2:$C$42, 2, 0))) / IF(ISBLANK(O525), 1, O525))) * 100</f>
        <v>214.42875</v>
      </c>
      <c r="J525" s="2" t="n">
        <f aca="false">((H525 / 800) / (IF(ISBLANK(S525), 100, IF(ISNA(VLOOKUP(S525, Lives!$A$2:$C$35, 2, 0)), S525, VLOOKUP(S525, Lives!$A$2:$C$35, 2, 0))) * 12) + (IF(ISBLANK(Q525), 0, IF(ISNA(VLOOKUP(Q525, Wages!$A$2:$C$17, 2, 0)), Q525, VLOOKUP(Q525, Wages!$A$2:$C$17, 2, 0))) * IF(ISBLANK(N525), 0, IF(ISNA(VLOOKUP(N525, Crews!$A$2:$C$28, 2, 0)), N525, VLOOKUP(N525, Crews!$A$2:$C$28, 2, 0))))) * 400</f>
        <v>29525</v>
      </c>
      <c r="K525" s="3" t="s">
        <v>1094</v>
      </c>
      <c r="L525" s="1" t="s">
        <v>1095</v>
      </c>
      <c r="M525" s="1" t="n">
        <v>0</v>
      </c>
      <c r="N525" s="1" t="s">
        <v>590</v>
      </c>
      <c r="O525" s="1" t="n">
        <v>0.5</v>
      </c>
      <c r="P525" s="1"/>
      <c r="Q525" s="5" t="s">
        <v>284</v>
      </c>
      <c r="R525" s="1" t="s">
        <v>677</v>
      </c>
      <c r="S525" s="1" t="s">
        <v>677</v>
      </c>
      <c r="T525" s="1" t="s">
        <v>889</v>
      </c>
    </row>
    <row r="526" customFormat="false" ht="15" hidden="false" customHeight="true" outlineLevel="0" collapsed="false">
      <c r="A526" s="1" t="s">
        <v>1096</v>
      </c>
      <c r="B526" s="1" t="n">
        <v>1874</v>
      </c>
      <c r="C526" s="1" t="n">
        <v>1</v>
      </c>
      <c r="D526" s="1" t="s">
        <v>38</v>
      </c>
      <c r="E526" s="1" t="s">
        <v>274</v>
      </c>
      <c r="F526" s="1" t="n">
        <v>201</v>
      </c>
      <c r="G526" s="1" t="n">
        <v>125</v>
      </c>
      <c r="H526" s="2" t="n">
        <f aca="false">2850000*3.5</f>
        <v>9975000</v>
      </c>
      <c r="I526" s="2" t="n">
        <f aca="false">(((H526 / 800) / IF(ISBLANK(R526), 1000000, IF(ISNA(VLOOKUP(R526, Mileages!$A$2:$C$34, 2, 0)), R526, VLOOKUP(R526, Mileages!$A$2:$C$34, 2, 0)))) + (F526 * IF(ISBLANK(P526), 1, P526) * IF(ISBLANK(T526), 0, IF(ISNA(VLOOKUP(T526, 'Fuel Costs'!$A$2:$C$42, 2, 0)), T526, VLOOKUP(T526, 'Fuel Costs'!$A$2:$C$42, 2, 0))) / IF(ISBLANK(O526), 1, O526))) * 100</f>
        <v>242.446875</v>
      </c>
      <c r="J526" s="2" t="n">
        <f aca="false">((H526 / 800) / (IF(ISBLANK(S526), 100, IF(ISNA(VLOOKUP(S526, Lives!$A$2:$C$35, 2, 0)), S526, VLOOKUP(S526, Lives!$A$2:$C$35, 2, 0))) * 12) + (IF(ISBLANK(Q526), 0, IF(ISNA(VLOOKUP(Q526, Wages!$A$2:$C$17, 2, 0)), Q526, VLOOKUP(Q526, Wages!$A$2:$C$17, 2, 0))) * IF(ISBLANK(N526), 0, IF(ISNA(VLOOKUP(N526, Crews!$A$2:$C$28, 2, 0)), N526, VLOOKUP(N526, Crews!$A$2:$C$28, 2, 0))))) * 400</f>
        <v>32312.5</v>
      </c>
      <c r="K526" s="3" t="s">
        <v>1097</v>
      </c>
      <c r="L526" s="1" t="s">
        <v>1098</v>
      </c>
      <c r="M526" s="1" t="n">
        <v>0</v>
      </c>
      <c r="N526" s="1" t="s">
        <v>590</v>
      </c>
      <c r="O526" s="1" t="n">
        <v>0.5</v>
      </c>
      <c r="P526" s="1"/>
      <c r="Q526" s="5" t="s">
        <v>284</v>
      </c>
      <c r="R526" s="1" t="s">
        <v>677</v>
      </c>
      <c r="S526" s="1" t="s">
        <v>677</v>
      </c>
      <c r="T526" s="1" t="s">
        <v>889</v>
      </c>
    </row>
    <row r="527" customFormat="false" ht="15" hidden="false" customHeight="true" outlineLevel="0" collapsed="false">
      <c r="A527" s="1" t="s">
        <v>1099</v>
      </c>
      <c r="B527" s="1" t="n">
        <v>1874</v>
      </c>
      <c r="C527" s="1" t="n">
        <v>3</v>
      </c>
      <c r="D527" s="1" t="s">
        <v>38</v>
      </c>
      <c r="E527" s="1" t="s">
        <v>274</v>
      </c>
      <c r="F527" s="1"/>
      <c r="G527" s="1" t="n">
        <v>130</v>
      </c>
      <c r="H527" s="2" t="n">
        <v>0</v>
      </c>
      <c r="I527" s="2" t="n">
        <f aca="false">(((H527 / 800) / IF(ISBLANK(R527), 1000000, IF(ISNA(VLOOKUP(R527, Mileages!$A$2:$C$34, 2, 0)), R527, VLOOKUP(R527, Mileages!$A$2:$C$34, 2, 0)))) + (F527 * IF(ISBLANK(P527), 1, P527) * IF(ISBLANK(T527), 0, IF(ISNA(VLOOKUP(T527, 'Fuel Costs'!$A$2:$C$42, 2, 0)), T527, VLOOKUP(T527, 'Fuel Costs'!$A$2:$C$42, 2, 0))) / IF(ISBLANK(O527), 1, O527))) * 100</f>
        <v>0</v>
      </c>
      <c r="J527" s="2" t="n">
        <f aca="false">((H527 / 800) / (IF(ISBLANK(S527), 100, IF(ISNA(VLOOKUP(S527, Lives!$A$2:$C$35, 2, 0)), S527, VLOOKUP(S527, Lives!$A$2:$C$35, 2, 0))) * 12) + (IF(ISBLANK(Q527), 0, IF(ISNA(VLOOKUP(Q527, Wages!$A$2:$C$17, 2, 0)), Q527, VLOOKUP(Q527, Wages!$A$2:$C$17, 2, 0))) * IF(ISBLANK(N527), 0, IF(ISNA(VLOOKUP(N527, Crews!$A$2:$C$28, 2, 0)), N527, VLOOKUP(N527, Crews!$A$2:$C$28, 2, 0))))) * 400</f>
        <v>0</v>
      </c>
      <c r="K527" s="1"/>
      <c r="L527" s="1" t="s">
        <v>1100</v>
      </c>
      <c r="M527" s="1" t="n">
        <v>1</v>
      </c>
      <c r="N527" s="1"/>
      <c r="O527" s="1"/>
      <c r="P527" s="1"/>
      <c r="Q527" s="1"/>
      <c r="R527" s="1"/>
      <c r="S527" s="1"/>
      <c r="T527" s="1"/>
    </row>
    <row r="528" customFormat="false" ht="15" hidden="false" customHeight="true" outlineLevel="0" collapsed="false">
      <c r="A528" s="1" t="s">
        <v>1101</v>
      </c>
      <c r="B528" s="1" t="n">
        <v>1874</v>
      </c>
      <c r="C528" s="1" t="n">
        <v>3</v>
      </c>
      <c r="D528" s="1" t="s">
        <v>38</v>
      </c>
      <c r="E528" s="1" t="s">
        <v>274</v>
      </c>
      <c r="F528" s="1" t="n">
        <v>204</v>
      </c>
      <c r="G528" s="1" t="n">
        <v>112</v>
      </c>
      <c r="H528" s="2" t="n">
        <v>9021000</v>
      </c>
      <c r="I528" s="2" t="n">
        <f aca="false">(((H528 / 800) / IF(ISBLANK(R528), 1000000, IF(ISNA(VLOOKUP(R528, Mileages!$A$2:$C$34, 2, 0)), R528, VLOOKUP(R528, Mileages!$A$2:$C$34, 2, 0)))) + (F528 * IF(ISBLANK(P528), 1, P528) * IF(ISBLANK(T528), 0, IF(ISNA(VLOOKUP(T528, 'Fuel Costs'!$A$2:$C$42, 2, 0)), T528, VLOOKUP(T528, 'Fuel Costs'!$A$2:$C$42, 2, 0))) / IF(ISBLANK(O528), 1, O528))) * 100</f>
        <v>245.927625</v>
      </c>
      <c r="J528" s="2" t="n">
        <f aca="false">((H528 / 800) / (IF(ISBLANK(S528), 100, IF(ISNA(VLOOKUP(S528, Lives!$A$2:$C$35, 2, 0)), S528, VLOOKUP(S528, Lives!$A$2:$C$35, 2, 0))) * 12) + (IF(ISBLANK(Q528), 0, IF(ISNA(VLOOKUP(Q528, Wages!$A$2:$C$17, 2, 0)), Q528, VLOOKUP(Q528, Wages!$A$2:$C$17, 2, 0))) * IF(ISBLANK(N528), 0, IF(ISNA(VLOOKUP(N528, Crews!$A$2:$C$28, 2, 0)), N528, VLOOKUP(N528, Crews!$A$2:$C$28, 2, 0))))) * 400</f>
        <v>31517.5</v>
      </c>
      <c r="K528" s="1" t="s">
        <v>1102</v>
      </c>
      <c r="L528" s="1" t="s">
        <v>1103</v>
      </c>
      <c r="M528" s="1" t="n">
        <v>0</v>
      </c>
      <c r="N528" s="1" t="s">
        <v>590</v>
      </c>
      <c r="O528" s="1" t="n">
        <v>0.5</v>
      </c>
      <c r="P528" s="1"/>
      <c r="Q528" s="5" t="s">
        <v>284</v>
      </c>
      <c r="R528" s="1" t="s">
        <v>677</v>
      </c>
      <c r="S528" s="1" t="s">
        <v>677</v>
      </c>
      <c r="T528" s="1" t="s">
        <v>889</v>
      </c>
    </row>
    <row r="529" customFormat="false" ht="15" hidden="false" customHeight="true" outlineLevel="0" collapsed="false">
      <c r="A529" s="1" t="s">
        <v>1104</v>
      </c>
      <c r="B529" s="1" t="n">
        <v>1874</v>
      </c>
      <c r="C529" s="1" t="n">
        <v>3</v>
      </c>
      <c r="D529" s="1" t="s">
        <v>876</v>
      </c>
      <c r="E529" s="1"/>
      <c r="F529" s="1"/>
      <c r="G529" s="1" t="n">
        <v>16</v>
      </c>
      <c r="H529" s="2" t="n">
        <v>175000</v>
      </c>
      <c r="I529" s="2" t="n">
        <f aca="false">(((H529 / 800) / IF(ISBLANK(R529), 1000000, IF(ISNA(VLOOKUP(R529, Mileages!$A$2:$C$34, 2, 0)), R529, VLOOKUP(R529, Mileages!$A$2:$C$34, 2, 0)))) + (F529 * IF(ISBLANK(P529), 1, P529) * IF(ISBLANK(T529), 0, IF(ISNA(VLOOKUP(T529, 'Fuel Costs'!$A$2:$C$42, 2, 0)), T529, VLOOKUP(T529, 'Fuel Costs'!$A$2:$C$42, 2, 0))) / IF(ISBLANK(O529), 1, O529))) * 100</f>
        <v>0.01822916667</v>
      </c>
      <c r="J529" s="2" t="n">
        <f aca="false">((H529 / 800) / (IF(ISBLANK(S529), 100, IF(ISNA(VLOOKUP(S529, Lives!$A$2:$C$35, 2, 0)), S529, VLOOKUP(S529, Lives!$A$2:$C$35, 2, 0))) * 12) + (IF(ISBLANK(Q529), 0, IF(ISNA(VLOOKUP(Q529, Wages!$A$2:$C$17, 2, 0)), Q529, VLOOKUP(Q529, Wages!$A$2:$C$17, 2, 0))) * IF(ISBLANK(N529), 0, IF(ISNA(VLOOKUP(N529, Crews!$A$2:$C$28, 2, 0)), N529, VLOOKUP(N529, Crews!$A$2:$C$28, 2, 0))))) * 400</f>
        <v>6208.333333</v>
      </c>
      <c r="K529" s="3" t="s">
        <v>1105</v>
      </c>
      <c r="L529" s="1" t="s">
        <v>1106</v>
      </c>
      <c r="M529" s="1" t="n">
        <v>0</v>
      </c>
      <c r="N529" s="1" t="s">
        <v>895</v>
      </c>
      <c r="O529" s="1"/>
      <c r="P529" s="1"/>
      <c r="Q529" s="1" t="s">
        <v>895</v>
      </c>
      <c r="R529" s="1" t="s">
        <v>689</v>
      </c>
      <c r="S529" s="1" t="s">
        <v>856</v>
      </c>
      <c r="T529" s="1"/>
    </row>
    <row r="530" customFormat="false" ht="15" hidden="false" customHeight="true" outlineLevel="0" collapsed="false">
      <c r="A530" s="1" t="s">
        <v>1107</v>
      </c>
      <c r="B530" s="1" t="n">
        <v>1874</v>
      </c>
      <c r="C530" s="1" t="n">
        <v>5</v>
      </c>
      <c r="D530" s="1" t="s">
        <v>38</v>
      </c>
      <c r="E530" s="1" t="s">
        <v>274</v>
      </c>
      <c r="F530" s="1" t="n">
        <v>189</v>
      </c>
      <c r="G530" s="1" t="n">
        <v>125</v>
      </c>
      <c r="H530" s="2" t="n">
        <f aca="false">86251402*0.12</f>
        <v>10350168.24</v>
      </c>
      <c r="I530" s="2" t="n">
        <f aca="false">(((H530 / 800) / IF(ISBLANK(R530), 1000000, IF(ISNA(VLOOKUP(R530, Mileages!$A$2:$C$34, 2, 0)), R530, VLOOKUP(R530, Mileages!$A$2:$C$34, 2, 0)))) + (F530 * IF(ISBLANK(P530), 1, P530) * IF(ISBLANK(T530), 0, IF(ISNA(VLOOKUP(T530, 'Fuel Costs'!$A$2:$C$42, 2, 0)), T530, VLOOKUP(T530, 'Fuel Costs'!$A$2:$C$42, 2, 0))) / IF(ISBLANK(O530), 1, O530))) * 100</f>
        <v>190.293771</v>
      </c>
      <c r="J530" s="2" t="n">
        <f aca="false">((H530 / 800) / (IF(ISBLANK(S530), 100, IF(ISNA(VLOOKUP(S530, Lives!$A$2:$C$35, 2, 0)), S530, VLOOKUP(S530, Lives!$A$2:$C$35, 2, 0))) * 12) + (IF(ISBLANK(Q530), 0, IF(ISNA(VLOOKUP(Q530, Wages!$A$2:$C$17, 2, 0)), Q530, VLOOKUP(Q530, Wages!$A$2:$C$17, 2, 0))) * IF(ISBLANK(N530), 0, IF(ISNA(VLOOKUP(N530, Crews!$A$2:$C$28, 2, 0)), N530, VLOOKUP(N530, Crews!$A$2:$C$28, 2, 0))))) * 400</f>
        <v>32625.1402</v>
      </c>
      <c r="K530" s="3" t="s">
        <v>1108</v>
      </c>
      <c r="L530" s="1" t="s">
        <v>1109</v>
      </c>
      <c r="M530" s="1" t="n">
        <v>0</v>
      </c>
      <c r="N530" s="1" t="s">
        <v>590</v>
      </c>
      <c r="O530" s="1" t="n">
        <v>0.6</v>
      </c>
      <c r="P530" s="1"/>
      <c r="Q530" s="5" t="s">
        <v>284</v>
      </c>
      <c r="R530" s="1" t="s">
        <v>677</v>
      </c>
      <c r="S530" s="1" t="s">
        <v>677</v>
      </c>
      <c r="T530" s="1" t="s">
        <v>889</v>
      </c>
    </row>
    <row r="531" customFormat="false" ht="15" hidden="false" customHeight="true" outlineLevel="0" collapsed="false">
      <c r="A531" s="1" t="s">
        <v>1110</v>
      </c>
      <c r="B531" s="1" t="n">
        <v>1874</v>
      </c>
      <c r="C531" s="1" t="n">
        <v>10</v>
      </c>
      <c r="D531" s="1" t="s">
        <v>38</v>
      </c>
      <c r="E531" s="1"/>
      <c r="F531" s="1"/>
      <c r="G531" s="1" t="n">
        <v>160</v>
      </c>
      <c r="H531" s="2" t="n">
        <v>597600</v>
      </c>
      <c r="I531" s="2" t="n">
        <f aca="false">(((H531 / 800) / IF(ISBLANK(R531), 1000000, IF(ISNA(VLOOKUP(R531, Mileages!$A$2:$C$34, 2, 0)), R531, VLOOKUP(R531, Mileages!$A$2:$C$34, 2, 0)))) + (F531 * IF(ISBLANK(P531), 1, P531) * IF(ISBLANK(T531), 0, IF(ISNA(VLOOKUP(T531, 'Fuel Costs'!$A$2:$C$42, 2, 0)), T531, VLOOKUP(T531, 'Fuel Costs'!$A$2:$C$42, 2, 0))) / IF(ISBLANK(O531), 1, O531))) * 100</f>
        <v>0.06225</v>
      </c>
      <c r="J531" s="2" t="n">
        <f aca="false">((H531 / 800) / (IF(ISBLANK(S531), 100, IF(ISNA(VLOOKUP(S531, Lives!$A$2:$C$35, 2, 0)), S531, VLOOKUP(S531, Lives!$A$2:$C$35, 2, 0))) * 12) + (IF(ISBLANK(Q531), 0, IF(ISNA(VLOOKUP(Q531, Wages!$A$2:$C$17, 2, 0)), Q531, VLOOKUP(Q531, Wages!$A$2:$C$17, 2, 0))) * IF(ISBLANK(N531), 0, IF(ISNA(VLOOKUP(N531, Crews!$A$2:$C$28, 2, 0)), N531, VLOOKUP(N531, Crews!$A$2:$C$28, 2, 0))))) * 400</f>
        <v>711.4285714</v>
      </c>
      <c r="K531" s="3" t="s">
        <v>1111</v>
      </c>
      <c r="L531" s="1" t="s">
        <v>1112</v>
      </c>
      <c r="M531" s="1" t="n">
        <v>0</v>
      </c>
      <c r="N531" s="1"/>
      <c r="O531" s="1"/>
      <c r="P531" s="1"/>
      <c r="Q531" s="1"/>
      <c r="R531" s="1" t="s">
        <v>689</v>
      </c>
      <c r="S531" s="1" t="s">
        <v>856</v>
      </c>
      <c r="T531" s="1"/>
    </row>
    <row r="532" customFormat="false" ht="15" hidden="false" customHeight="true" outlineLevel="0" collapsed="false">
      <c r="A532" s="1" t="s">
        <v>1113</v>
      </c>
      <c r="B532" s="1" t="n">
        <v>1874</v>
      </c>
      <c r="C532" s="1" t="n">
        <v>10</v>
      </c>
      <c r="D532" s="1" t="s">
        <v>38</v>
      </c>
      <c r="E532" s="1"/>
      <c r="F532" s="1"/>
      <c r="G532" s="1" t="n">
        <v>160</v>
      </c>
      <c r="H532" s="2" t="n">
        <v>597600</v>
      </c>
      <c r="I532" s="2" t="n">
        <f aca="false">(((H532 / 800) / IF(ISBLANK(R532), 1000000, IF(ISNA(VLOOKUP(R532, Mileages!$A$2:$C$34, 2, 0)), R532, VLOOKUP(R532, Mileages!$A$2:$C$34, 2, 0)))) + (F532 * IF(ISBLANK(P532), 1, P532) * IF(ISBLANK(T532), 0, IF(ISNA(VLOOKUP(T532, 'Fuel Costs'!$A$2:$C$42, 2, 0)), T532, VLOOKUP(T532, 'Fuel Costs'!$A$2:$C$42, 2, 0))) / IF(ISBLANK(O532), 1, O532))) * 100</f>
        <v>0.06225</v>
      </c>
      <c r="J532" s="2" t="n">
        <f aca="false">((H532 / 800) / (IF(ISBLANK(S532), 100, IF(ISNA(VLOOKUP(S532, Lives!$A$2:$C$35, 2, 0)), S532, VLOOKUP(S532, Lives!$A$2:$C$35, 2, 0))) * 12) + (IF(ISBLANK(Q532), 0, IF(ISNA(VLOOKUP(Q532, Wages!$A$2:$C$17, 2, 0)), Q532, VLOOKUP(Q532, Wages!$A$2:$C$17, 2, 0))) * IF(ISBLANK(N532), 0, IF(ISNA(VLOOKUP(N532, Crews!$A$2:$C$28, 2, 0)), N532, VLOOKUP(N532, Crews!$A$2:$C$28, 2, 0))))) * 400</f>
        <v>5511.428571</v>
      </c>
      <c r="K532" s="3" t="s">
        <v>1111</v>
      </c>
      <c r="L532" s="1" t="s">
        <v>1112</v>
      </c>
      <c r="M532" s="1" t="n">
        <v>2</v>
      </c>
      <c r="N532" s="1" t="s">
        <v>25</v>
      </c>
      <c r="O532" s="1"/>
      <c r="P532" s="1"/>
      <c r="Q532" s="1" t="s">
        <v>378</v>
      </c>
      <c r="R532" s="1" t="s">
        <v>689</v>
      </c>
      <c r="S532" s="1" t="s">
        <v>856</v>
      </c>
      <c r="T532" s="1"/>
    </row>
    <row r="533" customFormat="false" ht="15" hidden="false" customHeight="true" outlineLevel="0" collapsed="false">
      <c r="A533" s="1" t="s">
        <v>1114</v>
      </c>
      <c r="B533" s="1" t="n">
        <v>1874</v>
      </c>
      <c r="C533" s="1" t="n">
        <v>10</v>
      </c>
      <c r="D533" s="1" t="s">
        <v>38</v>
      </c>
      <c r="E533" s="1"/>
      <c r="F533" s="1"/>
      <c r="G533" s="1" t="n">
        <v>160</v>
      </c>
      <c r="H533" s="2" t="n">
        <v>597600</v>
      </c>
      <c r="I533" s="2" t="n">
        <f aca="false">(((H533 / 800) / IF(ISBLANK(R533), 1000000, IF(ISNA(VLOOKUP(R533, Mileages!$A$2:$C$34, 2, 0)), R533, VLOOKUP(R533, Mileages!$A$2:$C$34, 2, 0)))) + (F533 * IF(ISBLANK(P533), 1, P533) * IF(ISBLANK(T533), 0, IF(ISNA(VLOOKUP(T533, 'Fuel Costs'!$A$2:$C$42, 2, 0)), T533, VLOOKUP(T533, 'Fuel Costs'!$A$2:$C$42, 2, 0))) / IF(ISBLANK(O533), 1, O533))) * 100</f>
        <v>0.06225</v>
      </c>
      <c r="J533" s="2" t="n">
        <f aca="false">((H533 / 800) / (IF(ISBLANK(S533), 100, IF(ISNA(VLOOKUP(S533, Lives!$A$2:$C$35, 2, 0)), S533, VLOOKUP(S533, Lives!$A$2:$C$35, 2, 0))) * 12) + (IF(ISBLANK(Q533), 0, IF(ISNA(VLOOKUP(Q533, Wages!$A$2:$C$17, 2, 0)), Q533, VLOOKUP(Q533, Wages!$A$2:$C$17, 2, 0))) * IF(ISBLANK(N533), 0, IF(ISNA(VLOOKUP(N533, Crews!$A$2:$C$28, 2, 0)), N533, VLOOKUP(N533, Crews!$A$2:$C$28, 2, 0))))) * 400</f>
        <v>5511.428571</v>
      </c>
      <c r="K533" s="3" t="s">
        <v>1111</v>
      </c>
      <c r="L533" s="1" t="s">
        <v>1112</v>
      </c>
      <c r="M533" s="1" t="n">
        <v>3</v>
      </c>
      <c r="N533" s="1" t="s">
        <v>25</v>
      </c>
      <c r="O533" s="1"/>
      <c r="P533" s="1"/>
      <c r="Q533" s="1" t="s">
        <v>378</v>
      </c>
      <c r="R533" s="1" t="s">
        <v>689</v>
      </c>
      <c r="S533" s="1" t="s">
        <v>856</v>
      </c>
      <c r="T533" s="1"/>
    </row>
    <row r="534" customFormat="false" ht="15" hidden="false" customHeight="true" outlineLevel="0" collapsed="false">
      <c r="A534" s="1" t="s">
        <v>1115</v>
      </c>
      <c r="B534" s="1" t="n">
        <v>1874</v>
      </c>
      <c r="C534" s="1" t="n">
        <v>11</v>
      </c>
      <c r="D534" s="1" t="s">
        <v>38</v>
      </c>
      <c r="E534" s="1" t="s">
        <v>274</v>
      </c>
      <c r="F534" s="1" t="n">
        <v>193</v>
      </c>
      <c r="G534" s="1" t="n">
        <v>85</v>
      </c>
      <c r="H534" s="2" t="n">
        <f aca="false">2200000*2</f>
        <v>4400000</v>
      </c>
      <c r="I534" s="2" t="n">
        <f aca="false">(((H534 / 800) / IF(ISBLANK(R534), 1000000, IF(ISNA(VLOOKUP(R534, Mileages!$A$2:$C$34, 2, 0)), R534, VLOOKUP(R534, Mileages!$A$2:$C$34, 2, 0)))) + (F534 * IF(ISBLANK(P534), 1, P534) * IF(ISBLANK(T534), 0, IF(ISNA(VLOOKUP(T534, 'Fuel Costs'!$A$2:$C$42, 2, 0)), T534, VLOOKUP(T534, 'Fuel Costs'!$A$2:$C$42, 2, 0))) / IF(ISBLANK(O534), 1, O534))) * 100</f>
        <v>193.55</v>
      </c>
      <c r="J534" s="2" t="n">
        <f aca="false">((H534 / 800) / (IF(ISBLANK(S534), 100, IF(ISNA(VLOOKUP(S534, Lives!$A$2:$C$35, 2, 0)), S534, VLOOKUP(S534, Lives!$A$2:$C$35, 2, 0))) * 12) + (IF(ISBLANK(Q534), 0, IF(ISNA(VLOOKUP(Q534, Wages!$A$2:$C$17, 2, 0)), Q534, VLOOKUP(Q534, Wages!$A$2:$C$17, 2, 0))) * IF(ISBLANK(N534), 0, IF(ISNA(VLOOKUP(N534, Crews!$A$2:$C$28, 2, 0)), N534, VLOOKUP(N534, Crews!$A$2:$C$28, 2, 0))))) * 400</f>
        <v>27666.66667</v>
      </c>
      <c r="K534" s="3" t="s">
        <v>1116</v>
      </c>
      <c r="L534" s="1" t="s">
        <v>1117</v>
      </c>
      <c r="M534" s="1" t="n">
        <v>0</v>
      </c>
      <c r="N534" s="1" t="s">
        <v>590</v>
      </c>
      <c r="O534" s="1" t="n">
        <v>0.6</v>
      </c>
      <c r="P534" s="1"/>
      <c r="Q534" s="5" t="s">
        <v>284</v>
      </c>
      <c r="R534" s="1" t="s">
        <v>677</v>
      </c>
      <c r="S534" s="1" t="s">
        <v>677</v>
      </c>
      <c r="T534" s="1" t="s">
        <v>889</v>
      </c>
    </row>
    <row r="535" customFormat="false" ht="15" hidden="false" customHeight="true" outlineLevel="0" collapsed="false">
      <c r="A535" s="1" t="s">
        <v>1118</v>
      </c>
      <c r="B535" s="1" t="n">
        <v>1874</v>
      </c>
      <c r="C535" s="1" t="n">
        <v>12</v>
      </c>
      <c r="D535" s="1" t="s">
        <v>38</v>
      </c>
      <c r="E535" s="1" t="s">
        <v>274</v>
      </c>
      <c r="F535" s="1" t="n">
        <v>204</v>
      </c>
      <c r="G535" s="1" t="n">
        <v>130</v>
      </c>
      <c r="H535" s="2" t="n">
        <f aca="false">9021000*1.5</f>
        <v>13531500</v>
      </c>
      <c r="I535" s="2" t="n">
        <f aca="false">(((H535 / 800) / IF(ISBLANK(R535), 1000000, IF(ISNA(VLOOKUP(R535, Mileages!$A$2:$C$34, 2, 0)), R535, VLOOKUP(R535, Mileages!$A$2:$C$34, 2, 0)))) + (F535 * IF(ISBLANK(P535), 1, P535) * IF(ISBLANK(T535), 0, IF(ISNA(VLOOKUP(T535, 'Fuel Costs'!$A$2:$C$42, 2, 0)), T535, VLOOKUP(T535, 'Fuel Costs'!$A$2:$C$42, 2, 0))) / IF(ISBLANK(O535), 1, O535))) * 100</f>
        <v>205.6914375</v>
      </c>
      <c r="J535" s="2" t="n">
        <f aca="false">((H535 / 800) / (IF(ISBLANK(S535), 100, IF(ISNA(VLOOKUP(S535, Lives!$A$2:$C$35, 2, 0)), S535, VLOOKUP(S535, Lives!$A$2:$C$35, 2, 0))) * 12) + (IF(ISBLANK(Q535), 0, IF(ISNA(VLOOKUP(Q535, Wages!$A$2:$C$17, 2, 0)), Q535, VLOOKUP(Q535, Wages!$A$2:$C$17, 2, 0))) * IF(ISBLANK(N535), 0, IF(ISNA(VLOOKUP(N535, Crews!$A$2:$C$28, 2, 0)), N535, VLOOKUP(N535, Crews!$A$2:$C$28, 2, 0))))) * 400</f>
        <v>35276.25</v>
      </c>
      <c r="K535" s="3" t="s">
        <v>1119</v>
      </c>
      <c r="L535" s="1" t="s">
        <v>1100</v>
      </c>
      <c r="M535" s="1" t="n">
        <v>0</v>
      </c>
      <c r="N535" s="1" t="s">
        <v>590</v>
      </c>
      <c r="O535" s="1" t="n">
        <v>0.6</v>
      </c>
      <c r="P535" s="1"/>
      <c r="Q535" s="5" t="s">
        <v>284</v>
      </c>
      <c r="R535" s="1" t="s">
        <v>677</v>
      </c>
      <c r="S535" s="1" t="s">
        <v>677</v>
      </c>
      <c r="T535" s="1" t="s">
        <v>889</v>
      </c>
    </row>
    <row r="536" customFormat="false" ht="15" hidden="false" customHeight="true" outlineLevel="0" collapsed="false">
      <c r="A536" s="1" t="s">
        <v>1120</v>
      </c>
      <c r="B536" s="1" t="n">
        <v>1875</v>
      </c>
      <c r="C536" s="1" t="n">
        <v>3</v>
      </c>
      <c r="D536" s="1" t="s">
        <v>38</v>
      </c>
      <c r="E536" s="1"/>
      <c r="F536" s="1"/>
      <c r="G536" s="1" t="n">
        <v>150</v>
      </c>
      <c r="H536" s="2" t="n">
        <v>332000</v>
      </c>
      <c r="I536" s="2" t="n">
        <f aca="false">(((H536 / 800) / IF(ISBLANK(R536), 1000000, IF(ISNA(VLOOKUP(R536, Mileages!$A$2:$C$34, 2, 0)), R536, VLOOKUP(R536, Mileages!$A$2:$C$34, 2, 0)))) + (F536 * IF(ISBLANK(P536), 1, P536) * IF(ISBLANK(T536), 0, IF(ISNA(VLOOKUP(T536, 'Fuel Costs'!$A$2:$C$42, 2, 0)), T536, VLOOKUP(T536, 'Fuel Costs'!$A$2:$C$42, 2, 0))) / IF(ISBLANK(O536), 1, O536))) * 100</f>
        <v>0.03458333333</v>
      </c>
      <c r="J536" s="2" t="n">
        <f aca="false">((H536 / 800) / (IF(ISBLANK(S536), 100, IF(ISNA(VLOOKUP(S536, Lives!$A$2:$C$35, 2, 0)), S536, VLOOKUP(S536, Lives!$A$2:$C$35, 2, 0))) * 12) + (IF(ISBLANK(Q536), 0, IF(ISNA(VLOOKUP(Q536, Wages!$A$2:$C$17, 2, 0)), Q536, VLOOKUP(Q536, Wages!$A$2:$C$17, 2, 0))) * IF(ISBLANK(N536), 0, IF(ISNA(VLOOKUP(N536, Crews!$A$2:$C$28, 2, 0)), N536, VLOOKUP(N536, Crews!$A$2:$C$28, 2, 0))))) * 400</f>
        <v>395.2380952</v>
      </c>
      <c r="K536" s="3" t="s">
        <v>1121</v>
      </c>
      <c r="L536" s="1" t="s">
        <v>1122</v>
      </c>
      <c r="M536" s="1" t="n">
        <v>0</v>
      </c>
      <c r="N536" s="1"/>
      <c r="O536" s="1"/>
      <c r="P536" s="1"/>
      <c r="Q536" s="1"/>
      <c r="R536" s="1" t="s">
        <v>689</v>
      </c>
      <c r="S536" s="1" t="s">
        <v>856</v>
      </c>
      <c r="T536" s="1"/>
    </row>
    <row r="537" customFormat="false" ht="15" hidden="false" customHeight="true" outlineLevel="0" collapsed="false">
      <c r="A537" s="1" t="s">
        <v>1123</v>
      </c>
      <c r="B537" s="1" t="n">
        <v>1875</v>
      </c>
      <c r="C537" s="1" t="n">
        <v>3</v>
      </c>
      <c r="D537" s="1" t="s">
        <v>38</v>
      </c>
      <c r="E537" s="1"/>
      <c r="F537" s="1"/>
      <c r="G537" s="1" t="n">
        <v>150</v>
      </c>
      <c r="H537" s="2" t="n">
        <v>332000</v>
      </c>
      <c r="I537" s="2" t="n">
        <f aca="false">(((H537 / 800) / IF(ISBLANK(R537), 1000000, IF(ISNA(VLOOKUP(R537, Mileages!$A$2:$C$34, 2, 0)), R537, VLOOKUP(R537, Mileages!$A$2:$C$34, 2, 0)))) + (F537 * IF(ISBLANK(P537), 1, P537) * IF(ISBLANK(T537), 0, IF(ISNA(VLOOKUP(T537, 'Fuel Costs'!$A$2:$C$42, 2, 0)), T537, VLOOKUP(T537, 'Fuel Costs'!$A$2:$C$42, 2, 0))) / IF(ISBLANK(O537), 1, O537))) * 100</f>
        <v>0.03458333333</v>
      </c>
      <c r="J537" s="2" t="n">
        <f aca="false">((H537 / 800) / (IF(ISBLANK(S537), 100, IF(ISNA(VLOOKUP(S537, Lives!$A$2:$C$35, 2, 0)), S537, VLOOKUP(S537, Lives!$A$2:$C$35, 2, 0))) * 12) + (IF(ISBLANK(Q537), 0, IF(ISNA(VLOOKUP(Q537, Wages!$A$2:$C$17, 2, 0)), Q537, VLOOKUP(Q537, Wages!$A$2:$C$17, 2, 0))) * IF(ISBLANK(N537), 0, IF(ISNA(VLOOKUP(N537, Crews!$A$2:$C$28, 2, 0)), N537, VLOOKUP(N537, Crews!$A$2:$C$28, 2, 0))))) * 400</f>
        <v>5195.238095</v>
      </c>
      <c r="K537" s="1" t="s">
        <v>1124</v>
      </c>
      <c r="L537" s="1" t="s">
        <v>1122</v>
      </c>
      <c r="M537" s="1" t="n">
        <v>2</v>
      </c>
      <c r="N537" s="1" t="s">
        <v>25</v>
      </c>
      <c r="O537" s="1"/>
      <c r="P537" s="1"/>
      <c r="Q537" s="1" t="s">
        <v>378</v>
      </c>
      <c r="R537" s="1" t="s">
        <v>689</v>
      </c>
      <c r="S537" s="1" t="s">
        <v>856</v>
      </c>
      <c r="T537" s="1"/>
    </row>
    <row r="538" customFormat="false" ht="15" hidden="false" customHeight="true" outlineLevel="0" collapsed="false">
      <c r="A538" s="1" t="s">
        <v>1125</v>
      </c>
      <c r="B538" s="1" t="n">
        <v>1875</v>
      </c>
      <c r="C538" s="1" t="n">
        <v>3</v>
      </c>
      <c r="D538" s="1" t="s">
        <v>38</v>
      </c>
      <c r="E538" s="1"/>
      <c r="F538" s="1"/>
      <c r="G538" s="1" t="n">
        <v>150</v>
      </c>
      <c r="H538" s="2" t="n">
        <v>332000</v>
      </c>
      <c r="I538" s="2" t="n">
        <f aca="false">(((H538 / 800) / IF(ISBLANK(R538), 1000000, IF(ISNA(VLOOKUP(R538, Mileages!$A$2:$C$34, 2, 0)), R538, VLOOKUP(R538, Mileages!$A$2:$C$34, 2, 0)))) + (F538 * IF(ISBLANK(P538), 1, P538) * IF(ISBLANK(T538), 0, IF(ISNA(VLOOKUP(T538, 'Fuel Costs'!$A$2:$C$42, 2, 0)), T538, VLOOKUP(T538, 'Fuel Costs'!$A$2:$C$42, 2, 0))) / IF(ISBLANK(O538), 1, O538))) * 100</f>
        <v>0.03458333333</v>
      </c>
      <c r="J538" s="2" t="n">
        <f aca="false">((H538 / 800) / (IF(ISBLANK(S538), 100, IF(ISNA(VLOOKUP(S538, Lives!$A$2:$C$35, 2, 0)), S538, VLOOKUP(S538, Lives!$A$2:$C$35, 2, 0))) * 12) + (IF(ISBLANK(Q538), 0, IF(ISNA(VLOOKUP(Q538, Wages!$A$2:$C$17, 2, 0)), Q538, VLOOKUP(Q538, Wages!$A$2:$C$17, 2, 0))) * IF(ISBLANK(N538), 0, IF(ISNA(VLOOKUP(N538, Crews!$A$2:$C$28, 2, 0)), N538, VLOOKUP(N538, Crews!$A$2:$C$28, 2, 0))))) * 400</f>
        <v>5195.238095</v>
      </c>
      <c r="K538" s="1" t="s">
        <v>1124</v>
      </c>
      <c r="L538" s="1" t="s">
        <v>1122</v>
      </c>
      <c r="M538" s="1" t="n">
        <v>3</v>
      </c>
      <c r="N538" s="1" t="s">
        <v>25</v>
      </c>
      <c r="O538" s="1"/>
      <c r="P538" s="1"/>
      <c r="Q538" s="1" t="s">
        <v>378</v>
      </c>
      <c r="R538" s="1" t="s">
        <v>689</v>
      </c>
      <c r="S538" s="1" t="s">
        <v>856</v>
      </c>
      <c r="T538" s="1"/>
    </row>
    <row r="539" customFormat="false" ht="15" hidden="false" customHeight="true" outlineLevel="0" collapsed="false">
      <c r="A539" s="1" t="s">
        <v>1126</v>
      </c>
      <c r="B539" s="1" t="n">
        <v>1875</v>
      </c>
      <c r="C539" s="1" t="n">
        <v>5</v>
      </c>
      <c r="D539" s="1" t="s">
        <v>38</v>
      </c>
      <c r="E539" s="1" t="s">
        <v>274</v>
      </c>
      <c r="F539" s="1" t="n">
        <v>209</v>
      </c>
      <c r="G539" s="1" t="n">
        <v>95</v>
      </c>
      <c r="H539" s="2" t="n">
        <f aca="false">2898000*2</f>
        <v>5796000</v>
      </c>
      <c r="I539" s="2" t="n">
        <f aca="false">(((H539 / 800) / IF(ISBLANK(R539), 1000000, IF(ISNA(VLOOKUP(R539, Mileages!$A$2:$C$34, 2, 0)), R539, VLOOKUP(R539, Mileages!$A$2:$C$34, 2, 0)))) + (F539 * IF(ISBLANK(P539), 1, P539) * IF(ISBLANK(T539), 0, IF(ISNA(VLOOKUP(T539, 'Fuel Costs'!$A$2:$C$42, 2, 0)), T539, VLOOKUP(T539, 'Fuel Costs'!$A$2:$C$42, 2, 0))) / IF(ISBLANK(O539), 1, O539))) * 100</f>
        <v>209.7245</v>
      </c>
      <c r="J539" s="2" t="n">
        <f aca="false">((H539 / 800) / (IF(ISBLANK(S539), 100, IF(ISNA(VLOOKUP(S539, Lives!$A$2:$C$35, 2, 0)), S539, VLOOKUP(S539, Lives!$A$2:$C$35, 2, 0))) * 12) + (IF(ISBLANK(Q539), 0, IF(ISNA(VLOOKUP(Q539, Wages!$A$2:$C$17, 2, 0)), Q539, VLOOKUP(Q539, Wages!$A$2:$C$17, 2, 0))) * IF(ISBLANK(N539), 0, IF(ISNA(VLOOKUP(N539, Crews!$A$2:$C$28, 2, 0)), N539, VLOOKUP(N539, Crews!$A$2:$C$28, 2, 0))))) * 400</f>
        <v>28830</v>
      </c>
      <c r="K539" s="3" t="s">
        <v>1127</v>
      </c>
      <c r="L539" s="1" t="s">
        <v>1128</v>
      </c>
      <c r="M539" s="1" t="n">
        <v>0</v>
      </c>
      <c r="N539" s="1" t="s">
        <v>590</v>
      </c>
      <c r="O539" s="1" t="n">
        <v>0.6</v>
      </c>
      <c r="P539" s="1"/>
      <c r="Q539" s="5" t="s">
        <v>284</v>
      </c>
      <c r="R539" s="1" t="s">
        <v>677</v>
      </c>
      <c r="S539" s="1" t="s">
        <v>677</v>
      </c>
      <c r="T539" s="1" t="s">
        <v>889</v>
      </c>
    </row>
    <row r="540" customFormat="false" ht="15" hidden="false" customHeight="true" outlineLevel="0" collapsed="false">
      <c r="A540" s="1" t="s">
        <v>1129</v>
      </c>
      <c r="B540" s="1" t="n">
        <v>1875</v>
      </c>
      <c r="C540" s="1" t="n">
        <v>9</v>
      </c>
      <c r="D540" s="1" t="s">
        <v>38</v>
      </c>
      <c r="E540" s="1"/>
      <c r="F540" s="1"/>
      <c r="G540" s="1" t="n">
        <v>145</v>
      </c>
      <c r="H540" s="2" t="n">
        <v>340000</v>
      </c>
      <c r="I540" s="2" t="n">
        <f aca="false">(((H540 / 800) / IF(ISBLANK(R540), 1000000, IF(ISNA(VLOOKUP(R540, Mileages!$A$2:$C$34, 2, 0)), R540, VLOOKUP(R540, Mileages!$A$2:$C$34, 2, 0)))) + (F540 * IF(ISBLANK(P540), 1, P540) * IF(ISBLANK(T540), 0, IF(ISNA(VLOOKUP(T540, 'Fuel Costs'!$A$2:$C$42, 2, 0)), T540, VLOOKUP(T540, 'Fuel Costs'!$A$2:$C$42, 2, 0))) / IF(ISBLANK(O540), 1, O540))) * 100</f>
        <v>0.03541666667</v>
      </c>
      <c r="J540" s="2" t="n">
        <f aca="false">((H540 / 800) / (IF(ISBLANK(S540), 100, IF(ISNA(VLOOKUP(S540, Lives!$A$2:$C$35, 2, 0)), S540, VLOOKUP(S540, Lives!$A$2:$C$35, 2, 0))) * 12) + (IF(ISBLANK(Q540), 0, IF(ISNA(VLOOKUP(Q540, Wages!$A$2:$C$17, 2, 0)), Q540, VLOOKUP(Q540, Wages!$A$2:$C$17, 2, 0))) * IF(ISBLANK(N540), 0, IF(ISNA(VLOOKUP(N540, Crews!$A$2:$C$28, 2, 0)), N540, VLOOKUP(N540, Crews!$A$2:$C$28, 2, 0))))) * 400</f>
        <v>5204.761905</v>
      </c>
      <c r="K540" s="1" t="s">
        <v>1058</v>
      </c>
      <c r="L540" s="1" t="s">
        <v>1059</v>
      </c>
      <c r="M540" s="1" t="n">
        <v>1</v>
      </c>
      <c r="N540" s="1" t="s">
        <v>25</v>
      </c>
      <c r="O540" s="1"/>
      <c r="P540" s="1"/>
      <c r="Q540" s="1" t="s">
        <v>378</v>
      </c>
      <c r="R540" s="1" t="s">
        <v>689</v>
      </c>
      <c r="S540" s="1" t="s">
        <v>856</v>
      </c>
      <c r="T540" s="1"/>
    </row>
    <row r="541" customFormat="false" ht="15" hidden="false" customHeight="true" outlineLevel="0" collapsed="false">
      <c r="A541" s="1" t="s">
        <v>1130</v>
      </c>
      <c r="B541" s="1" t="n">
        <v>1875</v>
      </c>
      <c r="C541" s="1" t="n">
        <v>9</v>
      </c>
      <c r="D541" s="1" t="s">
        <v>876</v>
      </c>
      <c r="E541" s="1" t="s">
        <v>274</v>
      </c>
      <c r="F541" s="1" t="n">
        <v>2</v>
      </c>
      <c r="G541" s="1" t="n">
        <v>12</v>
      </c>
      <c r="H541" s="2" t="n">
        <v>178000</v>
      </c>
      <c r="I541" s="2" t="n">
        <f aca="false">(((H541 / 800) / IF(ISBLANK(R541), 1000000, IF(ISNA(VLOOKUP(R541, Mileages!$A$2:$C$34, 2, 0)), R541, VLOOKUP(R541, Mileages!$A$2:$C$34, 2, 0)))) + (F541 * IF(ISBLANK(P541), 1, P541) * IF(ISBLANK(T541), 0, IF(ISNA(VLOOKUP(T541, 'Fuel Costs'!$A$2:$C$42, 2, 0)), T541, VLOOKUP(T541, 'Fuel Costs'!$A$2:$C$42, 2, 0))) / IF(ISBLANK(O541), 1, O541))) * 100</f>
        <v>2.02225</v>
      </c>
      <c r="J541" s="2" t="n">
        <f aca="false">((H541 / 800) / (IF(ISBLANK(S541), 100, IF(ISNA(VLOOKUP(S541, Lives!$A$2:$C$35, 2, 0)), S541, VLOOKUP(S541, Lives!$A$2:$C$35, 2, 0))) * 12) + (IF(ISBLANK(Q541), 0, IF(ISNA(VLOOKUP(Q541, Wages!$A$2:$C$17, 2, 0)), Q541, VLOOKUP(Q541, Wages!$A$2:$C$17, 2, 0))) * IF(ISBLANK(N541), 0, IF(ISNA(VLOOKUP(N541, Crews!$A$2:$C$28, 2, 0)), N541, VLOOKUP(N541, Crews!$A$2:$C$28, 2, 0))))) * 400</f>
        <v>16148.33333</v>
      </c>
      <c r="K541" s="3" t="s">
        <v>1131</v>
      </c>
      <c r="L541" s="1" t="s">
        <v>1132</v>
      </c>
      <c r="M541" s="1" t="n">
        <v>0</v>
      </c>
      <c r="N541" s="1" t="s">
        <v>283</v>
      </c>
      <c r="O541" s="1" t="n">
        <v>0.4</v>
      </c>
      <c r="P541" s="1"/>
      <c r="Q541" s="1" t="s">
        <v>284</v>
      </c>
      <c r="R541" s="1" t="s">
        <v>677</v>
      </c>
      <c r="S541" s="1" t="s">
        <v>677</v>
      </c>
      <c r="T541" s="1" t="s">
        <v>923</v>
      </c>
    </row>
    <row r="542" customFormat="false" ht="15" hidden="false" customHeight="true" outlineLevel="0" collapsed="false">
      <c r="A542" s="1" t="s">
        <v>1133</v>
      </c>
      <c r="B542" s="1" t="n">
        <v>1875</v>
      </c>
      <c r="C542" s="1" t="n">
        <v>9</v>
      </c>
      <c r="D542" s="1" t="s">
        <v>38</v>
      </c>
      <c r="E542" s="1"/>
      <c r="F542" s="1"/>
      <c r="G542" s="1" t="n">
        <v>145</v>
      </c>
      <c r="H542" s="2" t="n">
        <v>340000</v>
      </c>
      <c r="I542" s="2" t="n">
        <f aca="false">(((H542 / 800) / IF(ISBLANK(R542), 1000000, IF(ISNA(VLOOKUP(R542, Mileages!$A$2:$C$34, 2, 0)), R542, VLOOKUP(R542, Mileages!$A$2:$C$34, 2, 0)))) + (F542 * IF(ISBLANK(P542), 1, P542) * IF(ISBLANK(T542), 0, IF(ISNA(VLOOKUP(T542, 'Fuel Costs'!$A$2:$C$42, 2, 0)), T542, VLOOKUP(T542, 'Fuel Costs'!$A$2:$C$42, 2, 0))) / IF(ISBLANK(O542), 1, O542))) * 100</f>
        <v>0.03541666667</v>
      </c>
      <c r="J542" s="2" t="n">
        <f aca="false">((H542 / 800) / (IF(ISBLANK(S542), 100, IF(ISNA(VLOOKUP(S542, Lives!$A$2:$C$35, 2, 0)), S542, VLOOKUP(S542, Lives!$A$2:$C$35, 2, 0))) * 12) + (IF(ISBLANK(Q542), 0, IF(ISNA(VLOOKUP(Q542, Wages!$A$2:$C$17, 2, 0)), Q542, VLOOKUP(Q542, Wages!$A$2:$C$17, 2, 0))) * IF(ISBLANK(N542), 0, IF(ISNA(VLOOKUP(N542, Crews!$A$2:$C$28, 2, 0)), N542, VLOOKUP(N542, Crews!$A$2:$C$28, 2, 0))))) * 400</f>
        <v>404.7619048</v>
      </c>
      <c r="K542" s="1" t="s">
        <v>1134</v>
      </c>
      <c r="L542" s="1" t="s">
        <v>1062</v>
      </c>
      <c r="M542" s="1" t="n">
        <v>1</v>
      </c>
      <c r="N542" s="1"/>
      <c r="O542" s="1"/>
      <c r="P542" s="1"/>
      <c r="Q542" s="1"/>
      <c r="R542" s="1" t="s">
        <v>689</v>
      </c>
      <c r="S542" s="1" t="s">
        <v>856</v>
      </c>
      <c r="T542" s="1"/>
    </row>
    <row r="543" customFormat="false" ht="15" hidden="false" customHeight="true" outlineLevel="0" collapsed="false">
      <c r="A543" s="1" t="s">
        <v>1135</v>
      </c>
      <c r="B543" s="1" t="n">
        <v>1875</v>
      </c>
      <c r="C543" s="1" t="n">
        <v>9</v>
      </c>
      <c r="D543" s="1" t="s">
        <v>38</v>
      </c>
      <c r="E543" s="1"/>
      <c r="F543" s="1"/>
      <c r="G543" s="1" t="n">
        <v>145</v>
      </c>
      <c r="H543" s="2" t="n">
        <v>340000</v>
      </c>
      <c r="I543" s="2" t="n">
        <f aca="false">(((H543 / 800) / IF(ISBLANK(R543), 1000000, IF(ISNA(VLOOKUP(R543, Mileages!$A$2:$C$34, 2, 0)), R543, VLOOKUP(R543, Mileages!$A$2:$C$34, 2, 0)))) + (F543 * IF(ISBLANK(P543), 1, P543) * IF(ISBLANK(T543), 0, IF(ISNA(VLOOKUP(T543, 'Fuel Costs'!$A$2:$C$42, 2, 0)), T543, VLOOKUP(T543, 'Fuel Costs'!$A$2:$C$42, 2, 0))) / IF(ISBLANK(O543), 1, O543))) * 100</f>
        <v>0.03541666667</v>
      </c>
      <c r="J543" s="2" t="n">
        <f aca="false">((H543 / 800) / (IF(ISBLANK(S543), 100, IF(ISNA(VLOOKUP(S543, Lives!$A$2:$C$35, 2, 0)), S543, VLOOKUP(S543, Lives!$A$2:$C$35, 2, 0))) * 12) + (IF(ISBLANK(Q543), 0, IF(ISNA(VLOOKUP(Q543, Wages!$A$2:$C$17, 2, 0)), Q543, VLOOKUP(Q543, Wages!$A$2:$C$17, 2, 0))) * IF(ISBLANK(N543), 0, IF(ISNA(VLOOKUP(N543, Crews!$A$2:$C$28, 2, 0)), N543, VLOOKUP(N543, Crews!$A$2:$C$28, 2, 0))))) * 400</f>
        <v>404.7619048</v>
      </c>
      <c r="K543" s="3" t="s">
        <v>1136</v>
      </c>
      <c r="L543" s="1" t="s">
        <v>1065</v>
      </c>
      <c r="M543" s="1" t="n">
        <v>1</v>
      </c>
      <c r="N543" s="1"/>
      <c r="O543" s="1"/>
      <c r="P543" s="1"/>
      <c r="Q543" s="1"/>
      <c r="R543" s="1" t="s">
        <v>689</v>
      </c>
      <c r="S543" s="1" t="s">
        <v>856</v>
      </c>
      <c r="T543" s="1"/>
    </row>
    <row r="544" customFormat="false" ht="15" hidden="false" customHeight="true" outlineLevel="0" collapsed="false">
      <c r="A544" s="1" t="s">
        <v>1137</v>
      </c>
      <c r="B544" s="1" t="n">
        <v>1875</v>
      </c>
      <c r="C544" s="1" t="n">
        <v>9</v>
      </c>
      <c r="D544" s="1" t="s">
        <v>38</v>
      </c>
      <c r="E544" s="1"/>
      <c r="F544" s="1"/>
      <c r="G544" s="1" t="n">
        <v>145</v>
      </c>
      <c r="H544" s="2" t="n">
        <v>340000</v>
      </c>
      <c r="I544" s="2" t="n">
        <f aca="false">(((H544 / 800) / IF(ISBLANK(R544), 1000000, IF(ISNA(VLOOKUP(R544, Mileages!$A$2:$C$34, 2, 0)), R544, VLOOKUP(R544, Mileages!$A$2:$C$34, 2, 0)))) + (F544 * IF(ISBLANK(P544), 1, P544) * IF(ISBLANK(T544), 0, IF(ISNA(VLOOKUP(T544, 'Fuel Costs'!$A$2:$C$42, 2, 0)), T544, VLOOKUP(T544, 'Fuel Costs'!$A$2:$C$42, 2, 0))) / IF(ISBLANK(O544), 1, O544))) * 100</f>
        <v>0.03541666667</v>
      </c>
      <c r="J544" s="2" t="n">
        <f aca="false">((H544 / 800) / (IF(ISBLANK(S544), 100, IF(ISNA(VLOOKUP(S544, Lives!$A$2:$C$35, 2, 0)), S544, VLOOKUP(S544, Lives!$A$2:$C$35, 2, 0))) * 12) + (IF(ISBLANK(Q544), 0, IF(ISNA(VLOOKUP(Q544, Wages!$A$2:$C$17, 2, 0)), Q544, VLOOKUP(Q544, Wages!$A$2:$C$17, 2, 0))) * IF(ISBLANK(N544), 0, IF(ISNA(VLOOKUP(N544, Crews!$A$2:$C$28, 2, 0)), N544, VLOOKUP(N544, Crews!$A$2:$C$28, 2, 0))))) * 400</f>
        <v>5204.761905</v>
      </c>
      <c r="K544" s="1"/>
      <c r="L544" s="1" t="s">
        <v>1068</v>
      </c>
      <c r="M544" s="1" t="n">
        <v>2</v>
      </c>
      <c r="N544" s="1" t="s">
        <v>25</v>
      </c>
      <c r="O544" s="1"/>
      <c r="P544" s="1"/>
      <c r="Q544" s="1" t="s">
        <v>378</v>
      </c>
      <c r="R544" s="1" t="s">
        <v>689</v>
      </c>
      <c r="S544" s="1" t="s">
        <v>856</v>
      </c>
      <c r="T544" s="1"/>
    </row>
    <row r="545" customFormat="false" ht="15" hidden="false" customHeight="true" outlineLevel="0" collapsed="false">
      <c r="A545" s="1" t="s">
        <v>1138</v>
      </c>
      <c r="B545" s="1" t="n">
        <v>1875</v>
      </c>
      <c r="C545" s="1" t="n">
        <v>9</v>
      </c>
      <c r="D545" s="1" t="s">
        <v>38</v>
      </c>
      <c r="E545" s="1"/>
      <c r="F545" s="1"/>
      <c r="G545" s="1" t="n">
        <v>145</v>
      </c>
      <c r="H545" s="2" t="n">
        <v>340000</v>
      </c>
      <c r="I545" s="2" t="n">
        <f aca="false">(((H545 / 800) / IF(ISBLANK(R545), 1000000, IF(ISNA(VLOOKUP(R545, Mileages!$A$2:$C$34, 2, 0)), R545, VLOOKUP(R545, Mileages!$A$2:$C$34, 2, 0)))) + (F545 * IF(ISBLANK(P545), 1, P545) * IF(ISBLANK(T545), 0, IF(ISNA(VLOOKUP(T545, 'Fuel Costs'!$A$2:$C$42, 2, 0)), T545, VLOOKUP(T545, 'Fuel Costs'!$A$2:$C$42, 2, 0))) / IF(ISBLANK(O545), 1, O545))) * 100</f>
        <v>0.03541666667</v>
      </c>
      <c r="J545" s="2" t="n">
        <f aca="false">((H545 / 800) / (IF(ISBLANK(S545), 100, IF(ISNA(VLOOKUP(S545, Lives!$A$2:$C$35, 2, 0)), S545, VLOOKUP(S545, Lives!$A$2:$C$35, 2, 0))) * 12) + (IF(ISBLANK(Q545), 0, IF(ISNA(VLOOKUP(Q545, Wages!$A$2:$C$17, 2, 0)), Q545, VLOOKUP(Q545, Wages!$A$2:$C$17, 2, 0))) * IF(ISBLANK(N545), 0, IF(ISNA(VLOOKUP(N545, Crews!$A$2:$C$28, 2, 0)), N545, VLOOKUP(N545, Crews!$A$2:$C$28, 2, 0))))) * 400</f>
        <v>5204.761905</v>
      </c>
      <c r="K545" s="1"/>
      <c r="L545" s="1" t="s">
        <v>1068</v>
      </c>
      <c r="M545" s="1" t="n">
        <v>3</v>
      </c>
      <c r="N545" s="1" t="s">
        <v>25</v>
      </c>
      <c r="O545" s="1"/>
      <c r="P545" s="1"/>
      <c r="Q545" s="1" t="s">
        <v>378</v>
      </c>
      <c r="R545" s="1" t="s">
        <v>689</v>
      </c>
      <c r="S545" s="1" t="s">
        <v>856</v>
      </c>
      <c r="T545" s="1"/>
    </row>
    <row r="546" customFormat="false" ht="15" hidden="false" customHeight="true" outlineLevel="0" collapsed="false">
      <c r="A546" s="1" t="s">
        <v>1139</v>
      </c>
      <c r="B546" s="1" t="n">
        <v>1875</v>
      </c>
      <c r="C546" s="1" t="n">
        <v>11</v>
      </c>
      <c r="D546" s="1" t="s">
        <v>38</v>
      </c>
      <c r="E546" s="1"/>
      <c r="F546" s="1"/>
      <c r="G546" s="1" t="n">
        <v>160</v>
      </c>
      <c r="H546" s="2" t="n">
        <v>717120</v>
      </c>
      <c r="I546" s="2" t="n">
        <f aca="false">(((H546 / 800) / IF(ISBLANK(R546), 1000000, IF(ISNA(VLOOKUP(R546, Mileages!$A$2:$C$34, 2, 0)), R546, VLOOKUP(R546, Mileages!$A$2:$C$34, 2, 0)))) + (F546 * IF(ISBLANK(P546), 1, P546) * IF(ISBLANK(T546), 0, IF(ISNA(VLOOKUP(T546, 'Fuel Costs'!$A$2:$C$42, 2, 0)), T546, VLOOKUP(T546, 'Fuel Costs'!$A$2:$C$42, 2, 0))) / IF(ISBLANK(O546), 1, O546))) * 100</f>
        <v>0.0747</v>
      </c>
      <c r="J546" s="2" t="n">
        <f aca="false">((H546 / 800) / (IF(ISBLANK(S546), 100, IF(ISNA(VLOOKUP(S546, Lives!$A$2:$C$35, 2, 0)), S546, VLOOKUP(S546, Lives!$A$2:$C$35, 2, 0))) * 12) + (IF(ISBLANK(Q546), 0, IF(ISNA(VLOOKUP(Q546, Wages!$A$2:$C$17, 2, 0)), Q546, VLOOKUP(Q546, Wages!$A$2:$C$17, 2, 0))) * IF(ISBLANK(N546), 0, IF(ISNA(VLOOKUP(N546, Crews!$A$2:$C$28, 2, 0)), N546, VLOOKUP(N546, Crews!$A$2:$C$28, 2, 0))))) * 400</f>
        <v>853.7142857</v>
      </c>
      <c r="K546" s="3" t="s">
        <v>1140</v>
      </c>
      <c r="L546" s="1" t="s">
        <v>1141</v>
      </c>
      <c r="M546" s="1" t="n">
        <v>0</v>
      </c>
      <c r="N546" s="1"/>
      <c r="O546" s="1"/>
      <c r="P546" s="1"/>
      <c r="Q546" s="1"/>
      <c r="R546" s="1" t="s">
        <v>689</v>
      </c>
      <c r="S546" s="1" t="s">
        <v>856</v>
      </c>
      <c r="T546" s="1"/>
    </row>
    <row r="547" customFormat="false" ht="15" hidden="false" customHeight="true" outlineLevel="0" collapsed="false">
      <c r="A547" s="1" t="s">
        <v>1142</v>
      </c>
      <c r="B547" s="1" t="n">
        <v>1875</v>
      </c>
      <c r="C547" s="1" t="n">
        <v>11</v>
      </c>
      <c r="D547" s="1" t="s">
        <v>38</v>
      </c>
      <c r="E547" s="1"/>
      <c r="F547" s="1"/>
      <c r="G547" s="1" t="n">
        <v>160</v>
      </c>
      <c r="H547" s="2" t="n">
        <v>717120</v>
      </c>
      <c r="I547" s="2" t="n">
        <f aca="false">(((H547 / 800) / IF(ISBLANK(R547), 1000000, IF(ISNA(VLOOKUP(R547, Mileages!$A$2:$C$34, 2, 0)), R547, VLOOKUP(R547, Mileages!$A$2:$C$34, 2, 0)))) + (F547 * IF(ISBLANK(P547), 1, P547) * IF(ISBLANK(T547), 0, IF(ISNA(VLOOKUP(T547, 'Fuel Costs'!$A$2:$C$42, 2, 0)), T547, VLOOKUP(T547, 'Fuel Costs'!$A$2:$C$42, 2, 0))) / IF(ISBLANK(O547), 1, O547))) * 100</f>
        <v>0.0747</v>
      </c>
      <c r="J547" s="2" t="n">
        <f aca="false">((H547 / 800) / (IF(ISBLANK(S547), 100, IF(ISNA(VLOOKUP(S547, Lives!$A$2:$C$35, 2, 0)), S547, VLOOKUP(S547, Lives!$A$2:$C$35, 2, 0))) * 12) + (IF(ISBLANK(Q547), 0, IF(ISNA(VLOOKUP(Q547, Wages!$A$2:$C$17, 2, 0)), Q547, VLOOKUP(Q547, Wages!$A$2:$C$17, 2, 0))) * IF(ISBLANK(N547), 0, IF(ISNA(VLOOKUP(N547, Crews!$A$2:$C$28, 2, 0)), N547, VLOOKUP(N547, Crews!$A$2:$C$28, 2, 0))))) * 400</f>
        <v>5653.714286</v>
      </c>
      <c r="K547" s="3" t="s">
        <v>1140</v>
      </c>
      <c r="L547" s="1" t="s">
        <v>1141</v>
      </c>
      <c r="M547" s="1" t="n">
        <v>2</v>
      </c>
      <c r="N547" s="1" t="s">
        <v>25</v>
      </c>
      <c r="O547" s="1"/>
      <c r="P547" s="1"/>
      <c r="Q547" s="1" t="s">
        <v>378</v>
      </c>
      <c r="R547" s="1" t="s">
        <v>689</v>
      </c>
      <c r="S547" s="1" t="s">
        <v>856</v>
      </c>
      <c r="T547" s="1"/>
    </row>
    <row r="548" customFormat="false" ht="15" hidden="false" customHeight="true" outlineLevel="0" collapsed="false">
      <c r="A548" s="1" t="s">
        <v>1143</v>
      </c>
      <c r="B548" s="1" t="n">
        <v>1875</v>
      </c>
      <c r="C548" s="1" t="n">
        <v>11</v>
      </c>
      <c r="D548" s="1" t="s">
        <v>38</v>
      </c>
      <c r="E548" s="1"/>
      <c r="F548" s="1"/>
      <c r="G548" s="1" t="n">
        <v>160</v>
      </c>
      <c r="H548" s="2" t="n">
        <v>717120</v>
      </c>
      <c r="I548" s="2" t="n">
        <f aca="false">(((H548 / 800) / IF(ISBLANK(R548), 1000000, IF(ISNA(VLOOKUP(R548, Mileages!$A$2:$C$34, 2, 0)), R548, VLOOKUP(R548, Mileages!$A$2:$C$34, 2, 0)))) + (F548 * IF(ISBLANK(P548), 1, P548) * IF(ISBLANK(T548), 0, IF(ISNA(VLOOKUP(T548, 'Fuel Costs'!$A$2:$C$42, 2, 0)), T548, VLOOKUP(T548, 'Fuel Costs'!$A$2:$C$42, 2, 0))) / IF(ISBLANK(O548), 1, O548))) * 100</f>
        <v>0.0747</v>
      </c>
      <c r="J548" s="2" t="n">
        <f aca="false">((H548 / 800) / (IF(ISBLANK(S548), 100, IF(ISNA(VLOOKUP(S548, Lives!$A$2:$C$35, 2, 0)), S548, VLOOKUP(S548, Lives!$A$2:$C$35, 2, 0))) * 12) + (IF(ISBLANK(Q548), 0, IF(ISNA(VLOOKUP(Q548, Wages!$A$2:$C$17, 2, 0)), Q548, VLOOKUP(Q548, Wages!$A$2:$C$17, 2, 0))) * IF(ISBLANK(N548), 0, IF(ISNA(VLOOKUP(N548, Crews!$A$2:$C$28, 2, 0)), N548, VLOOKUP(N548, Crews!$A$2:$C$28, 2, 0))))) * 400</f>
        <v>5653.714286</v>
      </c>
      <c r="K548" s="3" t="s">
        <v>1140</v>
      </c>
      <c r="L548" s="1" t="s">
        <v>1141</v>
      </c>
      <c r="M548" s="1" t="n">
        <v>3</v>
      </c>
      <c r="N548" s="1" t="s">
        <v>25</v>
      </c>
      <c r="O548" s="1"/>
      <c r="P548" s="1"/>
      <c r="Q548" s="1" t="s">
        <v>378</v>
      </c>
      <c r="R548" s="1" t="s">
        <v>689</v>
      </c>
      <c r="S548" s="1" t="s">
        <v>856</v>
      </c>
      <c r="T548" s="1"/>
    </row>
    <row r="549" customFormat="false" ht="15" hidden="false" customHeight="true" outlineLevel="0" collapsed="false">
      <c r="A549" s="1" t="s">
        <v>1144</v>
      </c>
      <c r="B549" s="1" t="n">
        <v>1876</v>
      </c>
      <c r="C549" s="1" t="n">
        <v>1</v>
      </c>
      <c r="D549" s="1" t="s">
        <v>38</v>
      </c>
      <c r="E549" s="1"/>
      <c r="F549" s="1"/>
      <c r="G549" s="1" t="n">
        <v>130</v>
      </c>
      <c r="H549" s="2" t="n">
        <v>340000</v>
      </c>
      <c r="I549" s="2" t="n">
        <f aca="false">(((H549 / 800) / IF(ISBLANK(R549), 1000000, IF(ISNA(VLOOKUP(R549, Mileages!$A$2:$C$34, 2, 0)), R549, VLOOKUP(R549, Mileages!$A$2:$C$34, 2, 0)))) + (F549 * IF(ISBLANK(P549), 1, P549) * IF(ISBLANK(T549), 0, IF(ISNA(VLOOKUP(T549, 'Fuel Costs'!$A$2:$C$42, 2, 0)), T549, VLOOKUP(T549, 'Fuel Costs'!$A$2:$C$42, 2, 0))) / IF(ISBLANK(O549), 1, O549))) * 100</f>
        <v>0.03541666667</v>
      </c>
      <c r="J549" s="2" t="n">
        <f aca="false">((H549 / 800) / (IF(ISBLANK(S549), 100, IF(ISNA(VLOOKUP(S549, Lives!$A$2:$C$35, 2, 0)), S549, VLOOKUP(S549, Lives!$A$2:$C$35, 2, 0))) * 12) + (IF(ISBLANK(Q549), 0, IF(ISNA(VLOOKUP(Q549, Wages!$A$2:$C$17, 2, 0)), Q549, VLOOKUP(Q549, Wages!$A$2:$C$17, 2, 0))) * IF(ISBLANK(N549), 0, IF(ISNA(VLOOKUP(N549, Crews!$A$2:$C$28, 2, 0)), N549, VLOOKUP(N549, Crews!$A$2:$C$28, 2, 0))))) * 400</f>
        <v>404.7619048</v>
      </c>
      <c r="K549" s="1"/>
      <c r="L549" s="1" t="s">
        <v>907</v>
      </c>
      <c r="M549" s="1" t="n">
        <v>5</v>
      </c>
      <c r="N549" s="1"/>
      <c r="O549" s="1"/>
      <c r="P549" s="1"/>
      <c r="Q549" s="1"/>
      <c r="R549" s="1" t="s">
        <v>689</v>
      </c>
      <c r="S549" s="1" t="s">
        <v>856</v>
      </c>
      <c r="T549" s="1"/>
    </row>
    <row r="550" customFormat="false" ht="15" hidden="false" customHeight="true" outlineLevel="0" collapsed="false">
      <c r="A550" s="1" t="s">
        <v>1145</v>
      </c>
      <c r="B550" s="1" t="n">
        <v>1876</v>
      </c>
      <c r="C550" s="1" t="n">
        <v>1</v>
      </c>
      <c r="D550" s="1" t="s">
        <v>38</v>
      </c>
      <c r="E550" s="1"/>
      <c r="F550" s="1"/>
      <c r="G550" s="1" t="n">
        <v>130</v>
      </c>
      <c r="H550" s="2" t="n">
        <v>345000</v>
      </c>
      <c r="I550" s="2" t="n">
        <f aca="false">(((H550 / 800) / IF(ISBLANK(R550), 1000000, IF(ISNA(VLOOKUP(R550, Mileages!$A$2:$C$34, 2, 0)), R550, VLOOKUP(R550, Mileages!$A$2:$C$34, 2, 0)))) + (F550 * IF(ISBLANK(P550), 1, P550) * IF(ISBLANK(T550), 0, IF(ISNA(VLOOKUP(T550, 'Fuel Costs'!$A$2:$C$42, 2, 0)), T550, VLOOKUP(T550, 'Fuel Costs'!$A$2:$C$42, 2, 0))) / IF(ISBLANK(O550), 1, O550))) * 100</f>
        <v>0.0359375</v>
      </c>
      <c r="J550" s="2" t="n">
        <f aca="false">((H550 / 800) / (IF(ISBLANK(S550), 100, IF(ISNA(VLOOKUP(S550, Lives!$A$2:$C$35, 2, 0)), S550, VLOOKUP(S550, Lives!$A$2:$C$35, 2, 0))) * 12) + (IF(ISBLANK(Q550), 0, IF(ISNA(VLOOKUP(Q550, Wages!$A$2:$C$17, 2, 0)), Q550, VLOOKUP(Q550, Wages!$A$2:$C$17, 2, 0))) * IF(ISBLANK(N550), 0, IF(ISNA(VLOOKUP(N550, Crews!$A$2:$C$28, 2, 0)), N550, VLOOKUP(N550, Crews!$A$2:$C$28, 2, 0))))) * 400</f>
        <v>410.7142857</v>
      </c>
      <c r="K550" s="1"/>
      <c r="L550" s="1" t="s">
        <v>907</v>
      </c>
      <c r="M550" s="1" t="n">
        <v>6</v>
      </c>
      <c r="N550" s="1"/>
      <c r="O550" s="1"/>
      <c r="P550" s="1"/>
      <c r="Q550" s="1"/>
      <c r="R550" s="1" t="s">
        <v>689</v>
      </c>
      <c r="S550" s="1" t="s">
        <v>856</v>
      </c>
      <c r="T550" s="1"/>
    </row>
    <row r="551" customFormat="false" ht="15" hidden="false" customHeight="true" outlineLevel="0" collapsed="false">
      <c r="A551" s="1" t="s">
        <v>1146</v>
      </c>
      <c r="B551" s="1" t="n">
        <v>1876</v>
      </c>
      <c r="C551" s="1" t="n">
        <v>1</v>
      </c>
      <c r="D551" s="1" t="s">
        <v>38</v>
      </c>
      <c r="E551" s="1"/>
      <c r="F551" s="1"/>
      <c r="G551" s="1" t="n">
        <v>130</v>
      </c>
      <c r="H551" s="2" t="n">
        <v>370000</v>
      </c>
      <c r="I551" s="2" t="n">
        <f aca="false">(((H551 / 800) / IF(ISBLANK(R551), 1000000, IF(ISNA(VLOOKUP(R551, Mileages!$A$2:$C$34, 2, 0)), R551, VLOOKUP(R551, Mileages!$A$2:$C$34, 2, 0)))) + (F551 * IF(ISBLANK(P551), 1, P551) * IF(ISBLANK(T551), 0, IF(ISNA(VLOOKUP(T551, 'Fuel Costs'!$A$2:$C$42, 2, 0)), T551, VLOOKUP(T551, 'Fuel Costs'!$A$2:$C$42, 2, 0))) / IF(ISBLANK(O551), 1, O551))) * 100</f>
        <v>0.03854166667</v>
      </c>
      <c r="J551" s="2" t="n">
        <f aca="false">((H551 / 800) / (IF(ISBLANK(S551), 100, IF(ISNA(VLOOKUP(S551, Lives!$A$2:$C$35, 2, 0)), S551, VLOOKUP(S551, Lives!$A$2:$C$35, 2, 0))) * 12) + (IF(ISBLANK(Q551), 0, IF(ISNA(VLOOKUP(Q551, Wages!$A$2:$C$17, 2, 0)), Q551, VLOOKUP(Q551, Wages!$A$2:$C$17, 2, 0))) * IF(ISBLANK(N551), 0, IF(ISNA(VLOOKUP(N551, Crews!$A$2:$C$28, 2, 0)), N551, VLOOKUP(N551, Crews!$A$2:$C$28, 2, 0))))) * 400</f>
        <v>440.4761905</v>
      </c>
      <c r="K551" s="1"/>
      <c r="L551" s="1" t="s">
        <v>907</v>
      </c>
      <c r="M551" s="1" t="n">
        <v>7</v>
      </c>
      <c r="N551" s="1"/>
      <c r="O551" s="1"/>
      <c r="P551" s="1"/>
      <c r="Q551" s="1"/>
      <c r="R551" s="1" t="s">
        <v>689</v>
      </c>
      <c r="S551" s="1" t="s">
        <v>856</v>
      </c>
      <c r="T551" s="1"/>
    </row>
    <row r="552" customFormat="false" ht="15" hidden="false" customHeight="true" outlineLevel="0" collapsed="false">
      <c r="A552" s="1" t="s">
        <v>1147</v>
      </c>
      <c r="B552" s="1" t="n">
        <v>1876</v>
      </c>
      <c r="C552" s="1" t="n">
        <v>1</v>
      </c>
      <c r="D552" s="1" t="s">
        <v>38</v>
      </c>
      <c r="E552" s="1"/>
      <c r="F552" s="1"/>
      <c r="G552" s="1" t="n">
        <v>130</v>
      </c>
      <c r="H552" s="2" t="n">
        <v>330000</v>
      </c>
      <c r="I552" s="2" t="n">
        <f aca="false">(((H552 / 800) / IF(ISBLANK(R552), 1000000, IF(ISNA(VLOOKUP(R552, Mileages!$A$2:$C$34, 2, 0)), R552, VLOOKUP(R552, Mileages!$A$2:$C$34, 2, 0)))) + (F552 * IF(ISBLANK(P552), 1, P552) * IF(ISBLANK(T552), 0, IF(ISNA(VLOOKUP(T552, 'Fuel Costs'!$A$2:$C$42, 2, 0)), T552, VLOOKUP(T552, 'Fuel Costs'!$A$2:$C$42, 2, 0))) / IF(ISBLANK(O552), 1, O552))) * 100</f>
        <v>0.034375</v>
      </c>
      <c r="J552" s="2" t="n">
        <f aca="false">((H552 / 800) / (IF(ISBLANK(S552), 100, IF(ISNA(VLOOKUP(S552, Lives!$A$2:$C$35, 2, 0)), S552, VLOOKUP(S552, Lives!$A$2:$C$35, 2, 0))) * 12) + (IF(ISBLANK(Q552), 0, IF(ISNA(VLOOKUP(Q552, Wages!$A$2:$C$17, 2, 0)), Q552, VLOOKUP(Q552, Wages!$A$2:$C$17, 2, 0))) * IF(ISBLANK(N552), 0, IF(ISNA(VLOOKUP(N552, Crews!$A$2:$C$28, 2, 0)), N552, VLOOKUP(N552, Crews!$A$2:$C$28, 2, 0))))) * 400</f>
        <v>5192.857143</v>
      </c>
      <c r="K552" s="1"/>
      <c r="L552" s="1" t="s">
        <v>907</v>
      </c>
      <c r="M552" s="1" t="n">
        <v>8</v>
      </c>
      <c r="N552" s="1" t="s">
        <v>25</v>
      </c>
      <c r="O552" s="1"/>
      <c r="P552" s="1"/>
      <c r="Q552" s="1" t="s">
        <v>378</v>
      </c>
      <c r="R552" s="1" t="s">
        <v>689</v>
      </c>
      <c r="S552" s="1" t="s">
        <v>856</v>
      </c>
      <c r="T552" s="1"/>
    </row>
    <row r="553" customFormat="false" ht="15" hidden="false" customHeight="true" outlineLevel="0" collapsed="false">
      <c r="A553" s="1" t="s">
        <v>1148</v>
      </c>
      <c r="B553" s="1" t="n">
        <v>1876</v>
      </c>
      <c r="C553" s="1" t="n">
        <v>1</v>
      </c>
      <c r="D553" s="1" t="s">
        <v>38</v>
      </c>
      <c r="E553" s="1"/>
      <c r="F553" s="1"/>
      <c r="G553" s="1" t="n">
        <v>130</v>
      </c>
      <c r="H553" s="2" t="n">
        <v>330000</v>
      </c>
      <c r="I553" s="2" t="n">
        <f aca="false">(((H553 / 800) / IF(ISBLANK(R553), 1000000, IF(ISNA(VLOOKUP(R553, Mileages!$A$2:$C$34, 2, 0)), R553, VLOOKUP(R553, Mileages!$A$2:$C$34, 2, 0)))) + (F553 * IF(ISBLANK(P553), 1, P553) * IF(ISBLANK(T553), 0, IF(ISNA(VLOOKUP(T553, 'Fuel Costs'!$A$2:$C$42, 2, 0)), T553, VLOOKUP(T553, 'Fuel Costs'!$A$2:$C$42, 2, 0))) / IF(ISBLANK(O553), 1, O553))) * 100</f>
        <v>0.034375</v>
      </c>
      <c r="J553" s="2" t="n">
        <f aca="false">((H553 / 800) / (IF(ISBLANK(S553), 100, IF(ISNA(VLOOKUP(S553, Lives!$A$2:$C$35, 2, 0)), S553, VLOOKUP(S553, Lives!$A$2:$C$35, 2, 0))) * 12) + (IF(ISBLANK(Q553), 0, IF(ISNA(VLOOKUP(Q553, Wages!$A$2:$C$17, 2, 0)), Q553, VLOOKUP(Q553, Wages!$A$2:$C$17, 2, 0))) * IF(ISBLANK(N553), 0, IF(ISNA(VLOOKUP(N553, Crews!$A$2:$C$28, 2, 0)), N553, VLOOKUP(N553, Crews!$A$2:$C$28, 2, 0))))) * 400</f>
        <v>5192.857143</v>
      </c>
      <c r="K553" s="1"/>
      <c r="L553" s="1" t="s">
        <v>907</v>
      </c>
      <c r="M553" s="1" t="n">
        <v>9</v>
      </c>
      <c r="N553" s="1" t="s">
        <v>25</v>
      </c>
      <c r="O553" s="1"/>
      <c r="P553" s="1"/>
      <c r="Q553" s="1" t="s">
        <v>378</v>
      </c>
      <c r="R553" s="1" t="s">
        <v>689</v>
      </c>
      <c r="S553" s="1" t="s">
        <v>856</v>
      </c>
      <c r="T553" s="1"/>
    </row>
    <row r="554" customFormat="false" ht="15" hidden="false" customHeight="true" outlineLevel="0" collapsed="false">
      <c r="A554" s="1" t="s">
        <v>1149</v>
      </c>
      <c r="B554" s="1" t="n">
        <v>1876</v>
      </c>
      <c r="C554" s="1" t="n">
        <v>1</v>
      </c>
      <c r="D554" s="1" t="s">
        <v>38</v>
      </c>
      <c r="E554" s="1"/>
      <c r="F554" s="1"/>
      <c r="G554" s="1" t="n">
        <v>130</v>
      </c>
      <c r="H554" s="2" t="n">
        <v>240000</v>
      </c>
      <c r="I554" s="2" t="n">
        <f aca="false">(((H554 / 800) / IF(ISBLANK(R554), 1000000, IF(ISNA(VLOOKUP(R554, Mileages!$A$2:$C$34, 2, 0)), R554, VLOOKUP(R554, Mileages!$A$2:$C$34, 2, 0)))) + (F554 * IF(ISBLANK(P554), 1, P554) * IF(ISBLANK(T554), 0, IF(ISNA(VLOOKUP(T554, 'Fuel Costs'!$A$2:$C$42, 2, 0)), T554, VLOOKUP(T554, 'Fuel Costs'!$A$2:$C$42, 2, 0))) / IF(ISBLANK(O554), 1, O554))) * 100</f>
        <v>0.025</v>
      </c>
      <c r="J554" s="2" t="n">
        <f aca="false">((H554 / 800) / (IF(ISBLANK(S554), 100, IF(ISNA(VLOOKUP(S554, Lives!$A$2:$C$35, 2, 0)), S554, VLOOKUP(S554, Lives!$A$2:$C$35, 2, 0))) * 12) + (IF(ISBLANK(Q554), 0, IF(ISNA(VLOOKUP(Q554, Wages!$A$2:$C$17, 2, 0)), Q554, VLOOKUP(Q554, Wages!$A$2:$C$17, 2, 0))) * IF(ISBLANK(N554), 0, IF(ISNA(VLOOKUP(N554, Crews!$A$2:$C$28, 2, 0)), N554, VLOOKUP(N554, Crews!$A$2:$C$28, 2, 0))))) * 400</f>
        <v>285.7142857</v>
      </c>
      <c r="K554" s="1"/>
      <c r="L554" s="1" t="s">
        <v>1000</v>
      </c>
      <c r="M554" s="1" t="n">
        <v>3</v>
      </c>
      <c r="N554" s="1"/>
      <c r="O554" s="1"/>
      <c r="P554" s="1"/>
      <c r="Q554" s="1"/>
      <c r="R554" s="1" t="s">
        <v>689</v>
      </c>
      <c r="S554" s="1" t="s">
        <v>856</v>
      </c>
      <c r="T554" s="1"/>
    </row>
    <row r="555" customFormat="false" ht="15" hidden="false" customHeight="true" outlineLevel="0" collapsed="false">
      <c r="A555" s="1" t="s">
        <v>1150</v>
      </c>
      <c r="B555" s="1" t="n">
        <v>1876</v>
      </c>
      <c r="C555" s="1" t="n">
        <v>1</v>
      </c>
      <c r="D555" s="1" t="s">
        <v>38</v>
      </c>
      <c r="E555" s="1"/>
      <c r="F555" s="1"/>
      <c r="G555" s="1" t="n">
        <v>130</v>
      </c>
      <c r="H555" s="2" t="n">
        <v>230000</v>
      </c>
      <c r="I555" s="2" t="n">
        <f aca="false">(((H555 / 800) / IF(ISBLANK(R555), 1000000, IF(ISNA(VLOOKUP(R555, Mileages!$A$2:$C$34, 2, 0)), R555, VLOOKUP(R555, Mileages!$A$2:$C$34, 2, 0)))) + (F555 * IF(ISBLANK(P555), 1, P555) * IF(ISBLANK(T555), 0, IF(ISNA(VLOOKUP(T555, 'Fuel Costs'!$A$2:$C$42, 2, 0)), T555, VLOOKUP(T555, 'Fuel Costs'!$A$2:$C$42, 2, 0))) / IF(ISBLANK(O555), 1, O555))) * 100</f>
        <v>0.02395833333</v>
      </c>
      <c r="J555" s="2" t="n">
        <f aca="false">((H555 / 800) / (IF(ISBLANK(S555), 100, IF(ISNA(VLOOKUP(S555, Lives!$A$2:$C$35, 2, 0)), S555, VLOOKUP(S555, Lives!$A$2:$C$35, 2, 0))) * 12) + (IF(ISBLANK(Q555), 0, IF(ISNA(VLOOKUP(Q555, Wages!$A$2:$C$17, 2, 0)), Q555, VLOOKUP(Q555, Wages!$A$2:$C$17, 2, 0))) * IF(ISBLANK(N555), 0, IF(ISNA(VLOOKUP(N555, Crews!$A$2:$C$28, 2, 0)), N555, VLOOKUP(N555, Crews!$A$2:$C$28, 2, 0))))) * 400</f>
        <v>5073.809524</v>
      </c>
      <c r="K555" s="1"/>
      <c r="L555" s="1" t="s">
        <v>1000</v>
      </c>
      <c r="M555" s="1" t="n">
        <v>4</v>
      </c>
      <c r="N555" s="1" t="s">
        <v>25</v>
      </c>
      <c r="O555" s="1"/>
      <c r="P555" s="1"/>
      <c r="Q555" s="1" t="s">
        <v>378</v>
      </c>
      <c r="R555" s="1" t="s">
        <v>689</v>
      </c>
      <c r="S555" s="1" t="s">
        <v>856</v>
      </c>
      <c r="T555" s="1"/>
    </row>
    <row r="556" customFormat="false" ht="15" hidden="false" customHeight="true" outlineLevel="0" collapsed="false">
      <c r="A556" s="1" t="s">
        <v>1151</v>
      </c>
      <c r="B556" s="1" t="n">
        <v>1876</v>
      </c>
      <c r="C556" s="1" t="n">
        <v>1</v>
      </c>
      <c r="D556" s="1" t="s">
        <v>38</v>
      </c>
      <c r="E556" s="1"/>
      <c r="F556" s="1"/>
      <c r="G556" s="1" t="n">
        <v>130</v>
      </c>
      <c r="H556" s="2" t="n">
        <v>230000</v>
      </c>
      <c r="I556" s="2" t="n">
        <f aca="false">(((H556 / 800) / IF(ISBLANK(R556), 1000000, IF(ISNA(VLOOKUP(R556, Mileages!$A$2:$C$34, 2, 0)), R556, VLOOKUP(R556, Mileages!$A$2:$C$34, 2, 0)))) + (F556 * IF(ISBLANK(P556), 1, P556) * IF(ISBLANK(T556), 0, IF(ISNA(VLOOKUP(T556, 'Fuel Costs'!$A$2:$C$42, 2, 0)), T556, VLOOKUP(T556, 'Fuel Costs'!$A$2:$C$42, 2, 0))) / IF(ISBLANK(O556), 1, O556))) * 100</f>
        <v>0.02395833333</v>
      </c>
      <c r="J556" s="2" t="n">
        <f aca="false">((H556 / 800) / (IF(ISBLANK(S556), 100, IF(ISNA(VLOOKUP(S556, Lives!$A$2:$C$35, 2, 0)), S556, VLOOKUP(S556, Lives!$A$2:$C$35, 2, 0))) * 12) + (IF(ISBLANK(Q556), 0, IF(ISNA(VLOOKUP(Q556, Wages!$A$2:$C$17, 2, 0)), Q556, VLOOKUP(Q556, Wages!$A$2:$C$17, 2, 0))) * IF(ISBLANK(N556), 0, IF(ISNA(VLOOKUP(N556, Crews!$A$2:$C$28, 2, 0)), N556, VLOOKUP(N556, Crews!$A$2:$C$28, 2, 0))))) * 400</f>
        <v>5073.809524</v>
      </c>
      <c r="K556" s="1"/>
      <c r="L556" s="1" t="s">
        <v>1000</v>
      </c>
      <c r="M556" s="1" t="n">
        <v>5</v>
      </c>
      <c r="N556" s="1" t="s">
        <v>25</v>
      </c>
      <c r="O556" s="1"/>
      <c r="P556" s="1"/>
      <c r="Q556" s="1" t="s">
        <v>378</v>
      </c>
      <c r="R556" s="1" t="s">
        <v>689</v>
      </c>
      <c r="S556" s="1" t="s">
        <v>856</v>
      </c>
      <c r="T556" s="1"/>
    </row>
    <row r="557" customFormat="false" ht="15" hidden="false" customHeight="true" outlineLevel="0" collapsed="false">
      <c r="A557" s="1" t="s">
        <v>1152</v>
      </c>
      <c r="B557" s="1" t="n">
        <v>1876</v>
      </c>
      <c r="C557" s="1" t="n">
        <v>3</v>
      </c>
      <c r="D557" s="1" t="s">
        <v>38</v>
      </c>
      <c r="E557" s="1"/>
      <c r="F557" s="1"/>
      <c r="G557" s="1" t="n">
        <v>145</v>
      </c>
      <c r="H557" s="2" t="n">
        <v>355000</v>
      </c>
      <c r="I557" s="2" t="n">
        <f aca="false">(((H557 / 800) / IF(ISBLANK(R557), 1000000, IF(ISNA(VLOOKUP(R557, Mileages!$A$2:$C$34, 2, 0)), R557, VLOOKUP(R557, Mileages!$A$2:$C$34, 2, 0)))) + (F557 * IF(ISBLANK(P557), 1, P557) * IF(ISBLANK(T557), 0, IF(ISNA(VLOOKUP(T557, 'Fuel Costs'!$A$2:$C$42, 2, 0)), T557, VLOOKUP(T557, 'Fuel Costs'!$A$2:$C$42, 2, 0))) / IF(ISBLANK(O557), 1, O557))) * 100</f>
        <v>0.03697916667</v>
      </c>
      <c r="J557" s="2" t="n">
        <f aca="false">((H557 / 800) / (IF(ISBLANK(S557), 100, IF(ISNA(VLOOKUP(S557, Lives!$A$2:$C$35, 2, 0)), S557, VLOOKUP(S557, Lives!$A$2:$C$35, 2, 0))) * 12) + (IF(ISBLANK(Q557), 0, IF(ISNA(VLOOKUP(Q557, Wages!$A$2:$C$17, 2, 0)), Q557, VLOOKUP(Q557, Wages!$A$2:$C$17, 2, 0))) * IF(ISBLANK(N557), 0, IF(ISNA(VLOOKUP(N557, Crews!$A$2:$C$28, 2, 0)), N557, VLOOKUP(N557, Crews!$A$2:$C$28, 2, 0))))) * 400</f>
        <v>422.6190476</v>
      </c>
      <c r="K557" s="3" t="s">
        <v>1153</v>
      </c>
      <c r="L557" s="1" t="s">
        <v>1021</v>
      </c>
      <c r="M557" s="1" t="n">
        <v>4</v>
      </c>
      <c r="N557" s="1"/>
      <c r="O557" s="1"/>
      <c r="P557" s="1"/>
      <c r="Q557" s="1"/>
      <c r="R557" s="1" t="s">
        <v>689</v>
      </c>
      <c r="S557" s="1" t="s">
        <v>856</v>
      </c>
      <c r="T557" s="1"/>
    </row>
    <row r="558" customFormat="false" ht="15" hidden="false" customHeight="true" outlineLevel="0" collapsed="false">
      <c r="A558" s="1" t="s">
        <v>1154</v>
      </c>
      <c r="B558" s="1" t="n">
        <v>1876</v>
      </c>
      <c r="C558" s="1" t="n">
        <v>3</v>
      </c>
      <c r="D558" s="1" t="s">
        <v>38</v>
      </c>
      <c r="E558" s="1"/>
      <c r="F558" s="1"/>
      <c r="G558" s="1" t="n">
        <v>145</v>
      </c>
      <c r="H558" s="2" t="n">
        <v>367000</v>
      </c>
      <c r="I558" s="2" t="n">
        <f aca="false">(((H558 / 800) / IF(ISBLANK(R558), 1000000, IF(ISNA(VLOOKUP(R558, Mileages!$A$2:$C$34, 2, 0)), R558, VLOOKUP(R558, Mileages!$A$2:$C$34, 2, 0)))) + (F558 * IF(ISBLANK(P558), 1, P558) * IF(ISBLANK(T558), 0, IF(ISNA(VLOOKUP(T558, 'Fuel Costs'!$A$2:$C$42, 2, 0)), T558, VLOOKUP(T558, 'Fuel Costs'!$A$2:$C$42, 2, 0))) / IF(ISBLANK(O558), 1, O558))) * 100</f>
        <v>0.03822916667</v>
      </c>
      <c r="J558" s="2" t="n">
        <f aca="false">((H558 / 800) / (IF(ISBLANK(S558), 100, IF(ISNA(VLOOKUP(S558, Lives!$A$2:$C$35, 2, 0)), S558, VLOOKUP(S558, Lives!$A$2:$C$35, 2, 0))) * 12) + (IF(ISBLANK(Q558), 0, IF(ISNA(VLOOKUP(Q558, Wages!$A$2:$C$17, 2, 0)), Q558, VLOOKUP(Q558, Wages!$A$2:$C$17, 2, 0))) * IF(ISBLANK(N558), 0, IF(ISNA(VLOOKUP(N558, Crews!$A$2:$C$28, 2, 0)), N558, VLOOKUP(N558, Crews!$A$2:$C$28, 2, 0))))) * 400</f>
        <v>436.9047619</v>
      </c>
      <c r="K558" s="3" t="s">
        <v>1155</v>
      </c>
      <c r="L558" s="1" t="s">
        <v>1021</v>
      </c>
      <c r="M558" s="1" t="n">
        <v>5</v>
      </c>
      <c r="N558" s="1"/>
      <c r="O558" s="1"/>
      <c r="P558" s="1"/>
      <c r="Q558" s="1"/>
      <c r="R558" s="1" t="s">
        <v>689</v>
      </c>
      <c r="S558" s="1" t="s">
        <v>856</v>
      </c>
      <c r="T558" s="1"/>
    </row>
    <row r="559" customFormat="false" ht="15" hidden="false" customHeight="true" outlineLevel="0" collapsed="false">
      <c r="A559" s="1" t="s">
        <v>1156</v>
      </c>
      <c r="B559" s="1" t="n">
        <v>1876</v>
      </c>
      <c r="C559" s="1" t="n">
        <v>3</v>
      </c>
      <c r="D559" s="1" t="s">
        <v>38</v>
      </c>
      <c r="E559" s="1"/>
      <c r="F559" s="1"/>
      <c r="G559" s="1" t="n">
        <v>145</v>
      </c>
      <c r="H559" s="2" t="n">
        <v>355000</v>
      </c>
      <c r="I559" s="2" t="n">
        <f aca="false">(((H559 / 800) / IF(ISBLANK(R559), 1000000, IF(ISNA(VLOOKUP(R559, Mileages!$A$2:$C$34, 2, 0)), R559, VLOOKUP(R559, Mileages!$A$2:$C$34, 2, 0)))) + (F559 * IF(ISBLANK(P559), 1, P559) * IF(ISBLANK(T559), 0, IF(ISNA(VLOOKUP(T559, 'Fuel Costs'!$A$2:$C$42, 2, 0)), T559, VLOOKUP(T559, 'Fuel Costs'!$A$2:$C$42, 2, 0))) / IF(ISBLANK(O559), 1, O559))) * 100</f>
        <v>0.03697916667</v>
      </c>
      <c r="J559" s="2" t="n">
        <f aca="false">((H559 / 800) / (IF(ISBLANK(S559), 100, IF(ISNA(VLOOKUP(S559, Lives!$A$2:$C$35, 2, 0)), S559, VLOOKUP(S559, Lives!$A$2:$C$35, 2, 0))) * 12) + (IF(ISBLANK(Q559), 0, IF(ISNA(VLOOKUP(Q559, Wages!$A$2:$C$17, 2, 0)), Q559, VLOOKUP(Q559, Wages!$A$2:$C$17, 2, 0))) * IF(ISBLANK(N559), 0, IF(ISNA(VLOOKUP(N559, Crews!$A$2:$C$28, 2, 0)), N559, VLOOKUP(N559, Crews!$A$2:$C$28, 2, 0))))) * 400</f>
        <v>5222.619048</v>
      </c>
      <c r="K559" s="1" t="s">
        <v>1157</v>
      </c>
      <c r="L559" s="1" t="s">
        <v>1021</v>
      </c>
      <c r="M559" s="1" t="n">
        <v>6</v>
      </c>
      <c r="N559" s="1" t="s">
        <v>25</v>
      </c>
      <c r="O559" s="1"/>
      <c r="P559" s="1"/>
      <c r="Q559" s="1" t="s">
        <v>378</v>
      </c>
      <c r="R559" s="1" t="s">
        <v>689</v>
      </c>
      <c r="S559" s="1" t="s">
        <v>856</v>
      </c>
      <c r="T559" s="1"/>
    </row>
    <row r="560" customFormat="false" ht="15" hidden="false" customHeight="true" outlineLevel="0" collapsed="false">
      <c r="A560" s="1" t="s">
        <v>1158</v>
      </c>
      <c r="B560" s="1" t="n">
        <v>1876</v>
      </c>
      <c r="C560" s="1" t="n">
        <v>3</v>
      </c>
      <c r="D560" s="1" t="s">
        <v>38</v>
      </c>
      <c r="E560" s="1"/>
      <c r="F560" s="1"/>
      <c r="G560" s="1" t="n">
        <v>145</v>
      </c>
      <c r="H560" s="2" t="n">
        <v>355000</v>
      </c>
      <c r="I560" s="2" t="n">
        <f aca="false">(((H560 / 800) / IF(ISBLANK(R560), 1000000, IF(ISNA(VLOOKUP(R560, Mileages!$A$2:$C$34, 2, 0)), R560, VLOOKUP(R560, Mileages!$A$2:$C$34, 2, 0)))) + (F560 * IF(ISBLANK(P560), 1, P560) * IF(ISBLANK(T560), 0, IF(ISNA(VLOOKUP(T560, 'Fuel Costs'!$A$2:$C$42, 2, 0)), T560, VLOOKUP(T560, 'Fuel Costs'!$A$2:$C$42, 2, 0))) / IF(ISBLANK(O560), 1, O560))) * 100</f>
        <v>0.03697916667</v>
      </c>
      <c r="J560" s="2" t="n">
        <f aca="false">((H560 / 800) / (IF(ISBLANK(S560), 100, IF(ISNA(VLOOKUP(S560, Lives!$A$2:$C$35, 2, 0)), S560, VLOOKUP(S560, Lives!$A$2:$C$35, 2, 0))) * 12) + (IF(ISBLANK(Q560), 0, IF(ISNA(VLOOKUP(Q560, Wages!$A$2:$C$17, 2, 0)), Q560, VLOOKUP(Q560, Wages!$A$2:$C$17, 2, 0))) * IF(ISBLANK(N560), 0, IF(ISNA(VLOOKUP(N560, Crews!$A$2:$C$28, 2, 0)), N560, VLOOKUP(N560, Crews!$A$2:$C$28, 2, 0))))) * 400</f>
        <v>5222.619048</v>
      </c>
      <c r="K560" s="1"/>
      <c r="L560" s="1" t="s">
        <v>1021</v>
      </c>
      <c r="M560" s="1" t="n">
        <v>7</v>
      </c>
      <c r="N560" s="1" t="s">
        <v>25</v>
      </c>
      <c r="O560" s="1"/>
      <c r="P560" s="1"/>
      <c r="Q560" s="1" t="s">
        <v>378</v>
      </c>
      <c r="R560" s="1" t="s">
        <v>689</v>
      </c>
      <c r="S560" s="1" t="s">
        <v>856</v>
      </c>
      <c r="T560" s="1"/>
    </row>
    <row r="561" customFormat="false" ht="15" hidden="false" customHeight="true" outlineLevel="0" collapsed="false">
      <c r="A561" s="1" t="s">
        <v>1159</v>
      </c>
      <c r="B561" s="1" t="n">
        <v>1876</v>
      </c>
      <c r="C561" s="1" t="n">
        <v>3</v>
      </c>
      <c r="D561" s="1" t="s">
        <v>38</v>
      </c>
      <c r="E561" s="1"/>
      <c r="F561" s="1"/>
      <c r="G561" s="1" t="n">
        <v>145</v>
      </c>
      <c r="H561" s="2" t="n">
        <v>355000</v>
      </c>
      <c r="I561" s="2" t="n">
        <f aca="false">(((H561 / 800) / IF(ISBLANK(R561), 1000000, IF(ISNA(VLOOKUP(R561, Mileages!$A$2:$C$34, 2, 0)), R561, VLOOKUP(R561, Mileages!$A$2:$C$34, 2, 0)))) + (F561 * IF(ISBLANK(P561), 1, P561) * IF(ISBLANK(T561), 0, IF(ISNA(VLOOKUP(T561, 'Fuel Costs'!$A$2:$C$42, 2, 0)), T561, VLOOKUP(T561, 'Fuel Costs'!$A$2:$C$42, 2, 0))) / IF(ISBLANK(O561), 1, O561))) * 100</f>
        <v>0.03697916667</v>
      </c>
      <c r="J561" s="2" t="n">
        <f aca="false">((H561 / 800) / (IF(ISBLANK(S561), 100, IF(ISNA(VLOOKUP(S561, Lives!$A$2:$C$35, 2, 0)), S561, VLOOKUP(S561, Lives!$A$2:$C$35, 2, 0))) * 12) + (IF(ISBLANK(Q561), 0, IF(ISNA(VLOOKUP(Q561, Wages!$A$2:$C$17, 2, 0)), Q561, VLOOKUP(Q561, Wages!$A$2:$C$17, 2, 0))) * IF(ISBLANK(N561), 0, IF(ISNA(VLOOKUP(N561, Crews!$A$2:$C$28, 2, 0)), N561, VLOOKUP(N561, Crews!$A$2:$C$28, 2, 0))))) * 400</f>
        <v>422.6190476</v>
      </c>
      <c r="K561" s="3" t="s">
        <v>1160</v>
      </c>
      <c r="L561" s="1" t="s">
        <v>1028</v>
      </c>
      <c r="M561" s="1" t="n">
        <v>8</v>
      </c>
      <c r="N561" s="1"/>
      <c r="O561" s="1"/>
      <c r="P561" s="1"/>
      <c r="Q561" s="1"/>
      <c r="R561" s="1" t="s">
        <v>689</v>
      </c>
      <c r="S561" s="1" t="s">
        <v>856</v>
      </c>
      <c r="T561" s="1"/>
    </row>
    <row r="562" customFormat="false" ht="15" hidden="false" customHeight="true" outlineLevel="0" collapsed="false">
      <c r="A562" s="1" t="s">
        <v>1161</v>
      </c>
      <c r="B562" s="1" t="n">
        <v>1876</v>
      </c>
      <c r="C562" s="1" t="n">
        <v>3</v>
      </c>
      <c r="D562" s="1" t="s">
        <v>38</v>
      </c>
      <c r="E562" s="1"/>
      <c r="F562" s="1"/>
      <c r="G562" s="1" t="n">
        <v>145</v>
      </c>
      <c r="H562" s="2" t="n">
        <v>310000</v>
      </c>
      <c r="I562" s="2" t="n">
        <f aca="false">(((H562 / 800) / IF(ISBLANK(R562), 1000000, IF(ISNA(VLOOKUP(R562, Mileages!$A$2:$C$34, 2, 0)), R562, VLOOKUP(R562, Mileages!$A$2:$C$34, 2, 0)))) + (F562 * IF(ISBLANK(P562), 1, P562) * IF(ISBLANK(T562), 0, IF(ISNA(VLOOKUP(T562, 'Fuel Costs'!$A$2:$C$42, 2, 0)), T562, VLOOKUP(T562, 'Fuel Costs'!$A$2:$C$42, 2, 0))) / IF(ISBLANK(O562), 1, O562))) * 100</f>
        <v>0.03229166667</v>
      </c>
      <c r="J562" s="2" t="n">
        <f aca="false">((H562 / 800) / (IF(ISBLANK(S562), 100, IF(ISNA(VLOOKUP(S562, Lives!$A$2:$C$35, 2, 0)), S562, VLOOKUP(S562, Lives!$A$2:$C$35, 2, 0))) * 12) + (IF(ISBLANK(Q562), 0, IF(ISNA(VLOOKUP(Q562, Wages!$A$2:$C$17, 2, 0)), Q562, VLOOKUP(Q562, Wages!$A$2:$C$17, 2, 0))) * IF(ISBLANK(N562), 0, IF(ISNA(VLOOKUP(N562, Crews!$A$2:$C$28, 2, 0)), N562, VLOOKUP(N562, Crews!$A$2:$C$28, 2, 0))))) * 400</f>
        <v>369.047619</v>
      </c>
      <c r="K562" s="1"/>
      <c r="L562" s="1" t="s">
        <v>1028</v>
      </c>
      <c r="M562" s="1" t="n">
        <v>9</v>
      </c>
      <c r="N562" s="1"/>
      <c r="O562" s="1"/>
      <c r="P562" s="1"/>
      <c r="Q562" s="1"/>
      <c r="R562" s="1" t="s">
        <v>689</v>
      </c>
      <c r="S562" s="1" t="s">
        <v>856</v>
      </c>
      <c r="T562" s="1"/>
    </row>
    <row r="563" customFormat="false" ht="15" hidden="false" customHeight="true" outlineLevel="0" collapsed="false">
      <c r="A563" s="1" t="s">
        <v>1162</v>
      </c>
      <c r="B563" s="1" t="n">
        <v>1876</v>
      </c>
      <c r="C563" s="1" t="n">
        <v>3</v>
      </c>
      <c r="D563" s="1" t="s">
        <v>38</v>
      </c>
      <c r="E563" s="1"/>
      <c r="F563" s="1"/>
      <c r="G563" s="1" t="n">
        <v>145</v>
      </c>
      <c r="H563" s="2" t="n">
        <v>270000</v>
      </c>
      <c r="I563" s="2" t="n">
        <f aca="false">(((H563 / 800) / IF(ISBLANK(R563), 1000000, IF(ISNA(VLOOKUP(R563, Mileages!$A$2:$C$34, 2, 0)), R563, VLOOKUP(R563, Mileages!$A$2:$C$34, 2, 0)))) + (F563 * IF(ISBLANK(P563), 1, P563) * IF(ISBLANK(T563), 0, IF(ISNA(VLOOKUP(T563, 'Fuel Costs'!$A$2:$C$42, 2, 0)), T563, VLOOKUP(T563, 'Fuel Costs'!$A$2:$C$42, 2, 0))) / IF(ISBLANK(O563), 1, O563))) * 100</f>
        <v>0.028125</v>
      </c>
      <c r="J563" s="2" t="n">
        <f aca="false">((H563 / 800) / (IF(ISBLANK(S563), 100, IF(ISNA(VLOOKUP(S563, Lives!$A$2:$C$35, 2, 0)), S563, VLOOKUP(S563, Lives!$A$2:$C$35, 2, 0))) * 12) + (IF(ISBLANK(Q563), 0, IF(ISNA(VLOOKUP(Q563, Wages!$A$2:$C$17, 2, 0)), Q563, VLOOKUP(Q563, Wages!$A$2:$C$17, 2, 0))) * IF(ISBLANK(N563), 0, IF(ISNA(VLOOKUP(N563, Crews!$A$2:$C$28, 2, 0)), N563, VLOOKUP(N563, Crews!$A$2:$C$28, 2, 0))))) * 400</f>
        <v>321.4285714</v>
      </c>
      <c r="K563" s="1"/>
      <c r="L563" s="1" t="s">
        <v>1028</v>
      </c>
      <c r="M563" s="1" t="n">
        <v>10</v>
      </c>
      <c r="N563" s="1"/>
      <c r="O563" s="1"/>
      <c r="P563" s="1"/>
      <c r="Q563" s="1"/>
      <c r="R563" s="1" t="s">
        <v>689</v>
      </c>
      <c r="S563" s="1" t="s">
        <v>856</v>
      </c>
      <c r="T563" s="1"/>
    </row>
    <row r="564" customFormat="false" ht="15" hidden="false" customHeight="true" outlineLevel="0" collapsed="false">
      <c r="A564" s="1" t="s">
        <v>1163</v>
      </c>
      <c r="B564" s="1" t="n">
        <v>1876</v>
      </c>
      <c r="C564" s="1" t="n">
        <v>3</v>
      </c>
      <c r="D564" s="1" t="s">
        <v>38</v>
      </c>
      <c r="E564" s="1"/>
      <c r="F564" s="1"/>
      <c r="G564" s="1" t="n">
        <v>145</v>
      </c>
      <c r="H564" s="2" t="n">
        <v>355000</v>
      </c>
      <c r="I564" s="2" t="n">
        <f aca="false">(((H564 / 800) / IF(ISBLANK(R564), 1000000, IF(ISNA(VLOOKUP(R564, Mileages!$A$2:$C$34, 2, 0)), R564, VLOOKUP(R564, Mileages!$A$2:$C$34, 2, 0)))) + (F564 * IF(ISBLANK(P564), 1, P564) * IF(ISBLANK(T564), 0, IF(ISNA(VLOOKUP(T564, 'Fuel Costs'!$A$2:$C$42, 2, 0)), T564, VLOOKUP(T564, 'Fuel Costs'!$A$2:$C$42, 2, 0))) / IF(ISBLANK(O564), 1, O564))) * 100</f>
        <v>0.03697916667</v>
      </c>
      <c r="J564" s="2" t="n">
        <f aca="false">((H564 / 800) / (IF(ISBLANK(S564), 100, IF(ISNA(VLOOKUP(S564, Lives!$A$2:$C$35, 2, 0)), S564, VLOOKUP(S564, Lives!$A$2:$C$35, 2, 0))) * 12) + (IF(ISBLANK(Q564), 0, IF(ISNA(VLOOKUP(Q564, Wages!$A$2:$C$17, 2, 0)), Q564, VLOOKUP(Q564, Wages!$A$2:$C$17, 2, 0))) * IF(ISBLANK(N564), 0, IF(ISNA(VLOOKUP(N564, Crews!$A$2:$C$28, 2, 0)), N564, VLOOKUP(N564, Crews!$A$2:$C$28, 2, 0))))) * 400</f>
        <v>5222.619048</v>
      </c>
      <c r="K564" s="1"/>
      <c r="L564" s="1" t="s">
        <v>1028</v>
      </c>
      <c r="M564" s="1" t="n">
        <v>11</v>
      </c>
      <c r="N564" s="1" t="s">
        <v>25</v>
      </c>
      <c r="O564" s="1"/>
      <c r="P564" s="1"/>
      <c r="Q564" s="1" t="s">
        <v>378</v>
      </c>
      <c r="R564" s="1" t="s">
        <v>689</v>
      </c>
      <c r="S564" s="1" t="s">
        <v>856</v>
      </c>
      <c r="T564" s="1"/>
    </row>
    <row r="565" customFormat="false" ht="15" hidden="false" customHeight="true" outlineLevel="0" collapsed="false">
      <c r="A565" s="1" t="s">
        <v>1164</v>
      </c>
      <c r="B565" s="1" t="n">
        <v>1876</v>
      </c>
      <c r="C565" s="1" t="n">
        <v>3</v>
      </c>
      <c r="D565" s="1" t="s">
        <v>38</v>
      </c>
      <c r="E565" s="1"/>
      <c r="F565" s="1"/>
      <c r="G565" s="1" t="n">
        <v>145</v>
      </c>
      <c r="H565" s="2" t="n">
        <v>355000</v>
      </c>
      <c r="I565" s="2" t="n">
        <f aca="false">(((H565 / 800) / IF(ISBLANK(R565), 1000000, IF(ISNA(VLOOKUP(R565, Mileages!$A$2:$C$34, 2, 0)), R565, VLOOKUP(R565, Mileages!$A$2:$C$34, 2, 0)))) + (F565 * IF(ISBLANK(P565), 1, P565) * IF(ISBLANK(T565), 0, IF(ISNA(VLOOKUP(T565, 'Fuel Costs'!$A$2:$C$42, 2, 0)), T565, VLOOKUP(T565, 'Fuel Costs'!$A$2:$C$42, 2, 0))) / IF(ISBLANK(O565), 1, O565))) * 100</f>
        <v>0.03697916667</v>
      </c>
      <c r="J565" s="2" t="n">
        <f aca="false">((H565 / 800) / (IF(ISBLANK(S565), 100, IF(ISNA(VLOOKUP(S565, Lives!$A$2:$C$35, 2, 0)), S565, VLOOKUP(S565, Lives!$A$2:$C$35, 2, 0))) * 12) + (IF(ISBLANK(Q565), 0, IF(ISNA(VLOOKUP(Q565, Wages!$A$2:$C$17, 2, 0)), Q565, VLOOKUP(Q565, Wages!$A$2:$C$17, 2, 0))) * IF(ISBLANK(N565), 0, IF(ISNA(VLOOKUP(N565, Crews!$A$2:$C$28, 2, 0)), N565, VLOOKUP(N565, Crews!$A$2:$C$28, 2, 0))))) * 400</f>
        <v>147.9166667</v>
      </c>
      <c r="K565" s="1"/>
      <c r="L565" s="1" t="s">
        <v>1028</v>
      </c>
      <c r="M565" s="1" t="n">
        <v>12</v>
      </c>
      <c r="N565" s="1"/>
      <c r="O565" s="1"/>
      <c r="P565" s="1"/>
      <c r="Q565" s="1"/>
      <c r="R565" s="1" t="s">
        <v>689</v>
      </c>
      <c r="S565" s="5" t="s">
        <v>389</v>
      </c>
      <c r="T565" s="1"/>
    </row>
    <row r="566" customFormat="false" ht="15" hidden="false" customHeight="true" outlineLevel="0" collapsed="false">
      <c r="A566" s="1" t="s">
        <v>1165</v>
      </c>
      <c r="B566" s="1" t="n">
        <v>1876</v>
      </c>
      <c r="C566" s="1" t="n">
        <v>3</v>
      </c>
      <c r="D566" s="1" t="s">
        <v>38</v>
      </c>
      <c r="E566" s="1"/>
      <c r="F566" s="1"/>
      <c r="G566" s="1" t="n">
        <v>145</v>
      </c>
      <c r="H566" s="2" t="n">
        <v>355000</v>
      </c>
      <c r="I566" s="2" t="n">
        <f aca="false">(((H566 / 800) / IF(ISBLANK(R566), 1000000, IF(ISNA(VLOOKUP(R566, Mileages!$A$2:$C$34, 2, 0)), R566, VLOOKUP(R566, Mileages!$A$2:$C$34, 2, 0)))) + (F566 * IF(ISBLANK(P566), 1, P566) * IF(ISBLANK(T566), 0, IF(ISNA(VLOOKUP(T566, 'Fuel Costs'!$A$2:$C$42, 2, 0)), T566, VLOOKUP(T566, 'Fuel Costs'!$A$2:$C$42, 2, 0))) / IF(ISBLANK(O566), 1, O566))) * 100</f>
        <v>0.03697916667</v>
      </c>
      <c r="J566" s="2" t="n">
        <f aca="false">((H566 / 800) / (IF(ISBLANK(S566), 100, IF(ISNA(VLOOKUP(S566, Lives!$A$2:$C$35, 2, 0)), S566, VLOOKUP(S566, Lives!$A$2:$C$35, 2, 0))) * 12) + (IF(ISBLANK(Q566), 0, IF(ISNA(VLOOKUP(Q566, Wages!$A$2:$C$17, 2, 0)), Q566, VLOOKUP(Q566, Wages!$A$2:$C$17, 2, 0))) * IF(ISBLANK(N566), 0, IF(ISNA(VLOOKUP(N566, Crews!$A$2:$C$28, 2, 0)), N566, VLOOKUP(N566, Crews!$A$2:$C$28, 2, 0))))) * 400</f>
        <v>24147.91667</v>
      </c>
      <c r="K566" s="1"/>
      <c r="L566" s="1" t="s">
        <v>1028</v>
      </c>
      <c r="M566" s="1" t="n">
        <v>13</v>
      </c>
      <c r="N566" s="1" t="s">
        <v>551</v>
      </c>
      <c r="O566" s="1"/>
      <c r="P566" s="1"/>
      <c r="Q566" s="1" t="s">
        <v>551</v>
      </c>
      <c r="R566" s="1" t="s">
        <v>689</v>
      </c>
      <c r="S566" s="1" t="s">
        <v>389</v>
      </c>
      <c r="T566" s="1"/>
    </row>
    <row r="567" customFormat="false" ht="15" hidden="false" customHeight="true" outlineLevel="0" collapsed="false">
      <c r="A567" s="1" t="s">
        <v>1166</v>
      </c>
      <c r="B567" s="1" t="n">
        <v>1876</v>
      </c>
      <c r="C567" s="1" t="n">
        <v>3</v>
      </c>
      <c r="D567" s="1" t="s">
        <v>38</v>
      </c>
      <c r="E567" s="1"/>
      <c r="F567" s="1"/>
      <c r="G567" s="1" t="n">
        <v>145</v>
      </c>
      <c r="H567" s="2" t="n">
        <v>320000</v>
      </c>
      <c r="I567" s="2" t="n">
        <f aca="false">(((H567 / 800) / IF(ISBLANK(R567), 1000000, IF(ISNA(VLOOKUP(R567, Mileages!$A$2:$C$34, 2, 0)), R567, VLOOKUP(R567, Mileages!$A$2:$C$34, 2, 0)))) + (F567 * IF(ISBLANK(P567), 1, P567) * IF(ISBLANK(T567), 0, IF(ISNA(VLOOKUP(T567, 'Fuel Costs'!$A$2:$C$42, 2, 0)), T567, VLOOKUP(T567, 'Fuel Costs'!$A$2:$C$42, 2, 0))) / IF(ISBLANK(O567), 1, O567))) * 100</f>
        <v>0.03333333333</v>
      </c>
      <c r="J567" s="2" t="n">
        <f aca="false">((H567 / 800) / (IF(ISBLANK(S567), 100, IF(ISNA(VLOOKUP(S567, Lives!$A$2:$C$35, 2, 0)), S567, VLOOKUP(S567, Lives!$A$2:$C$35, 2, 0))) * 12) + (IF(ISBLANK(Q567), 0, IF(ISNA(VLOOKUP(Q567, Wages!$A$2:$C$17, 2, 0)), Q567, VLOOKUP(Q567, Wages!$A$2:$C$17, 2, 0))) * IF(ISBLANK(N567), 0, IF(ISNA(VLOOKUP(N567, Crews!$A$2:$C$28, 2, 0)), N567, VLOOKUP(N567, Crews!$A$2:$C$28, 2, 0))))) * 400</f>
        <v>133.3333333</v>
      </c>
      <c r="K567" s="1"/>
      <c r="L567" s="1" t="s">
        <v>1028</v>
      </c>
      <c r="M567" s="1" t="n">
        <v>14</v>
      </c>
      <c r="N567" s="1"/>
      <c r="O567" s="1"/>
      <c r="P567" s="1"/>
      <c r="Q567" s="1"/>
      <c r="R567" s="1" t="s">
        <v>689</v>
      </c>
      <c r="S567" s="1" t="s">
        <v>389</v>
      </c>
      <c r="T567" s="1"/>
    </row>
    <row r="568" customFormat="false" ht="15" hidden="false" customHeight="true" outlineLevel="0" collapsed="false">
      <c r="A568" s="1" t="s">
        <v>1167</v>
      </c>
      <c r="B568" s="1" t="n">
        <v>1876</v>
      </c>
      <c r="C568" s="1" t="n">
        <v>3</v>
      </c>
      <c r="D568" s="1" t="s">
        <v>38</v>
      </c>
      <c r="E568" s="1"/>
      <c r="F568" s="1"/>
      <c r="G568" s="1" t="n">
        <v>145</v>
      </c>
      <c r="H568" s="2" t="n">
        <v>320000</v>
      </c>
      <c r="I568" s="2" t="n">
        <f aca="false">(((H568 / 800) / IF(ISBLANK(R568), 1000000, IF(ISNA(VLOOKUP(R568, Mileages!$A$2:$C$34, 2, 0)), R568, VLOOKUP(R568, Mileages!$A$2:$C$34, 2, 0)))) + (F568 * IF(ISBLANK(P568), 1, P568) * IF(ISBLANK(T568), 0, IF(ISNA(VLOOKUP(T568, 'Fuel Costs'!$A$2:$C$42, 2, 0)), T568, VLOOKUP(T568, 'Fuel Costs'!$A$2:$C$42, 2, 0))) / IF(ISBLANK(O568), 1, O568))) * 100</f>
        <v>0.03333333333</v>
      </c>
      <c r="J568" s="2" t="n">
        <f aca="false">((H568 / 800) / (IF(ISBLANK(S568), 100, IF(ISNA(VLOOKUP(S568, Lives!$A$2:$C$35, 2, 0)), S568, VLOOKUP(S568, Lives!$A$2:$C$35, 2, 0))) * 12) + (IF(ISBLANK(Q568), 0, IF(ISNA(VLOOKUP(Q568, Wages!$A$2:$C$17, 2, 0)), Q568, VLOOKUP(Q568, Wages!$A$2:$C$17, 2, 0))) * IF(ISBLANK(N568), 0, IF(ISNA(VLOOKUP(N568, Crews!$A$2:$C$28, 2, 0)), N568, VLOOKUP(N568, Crews!$A$2:$C$28, 2, 0))))) * 400</f>
        <v>133.3333333</v>
      </c>
      <c r="K568" s="1"/>
      <c r="L568" s="1" t="s">
        <v>1028</v>
      </c>
      <c r="M568" s="1" t="n">
        <v>15</v>
      </c>
      <c r="N568" s="1"/>
      <c r="O568" s="1"/>
      <c r="P568" s="1"/>
      <c r="Q568" s="1"/>
      <c r="R568" s="1" t="s">
        <v>689</v>
      </c>
      <c r="S568" s="1" t="s">
        <v>389</v>
      </c>
      <c r="T568" s="1"/>
    </row>
    <row r="569" customFormat="false" ht="15" hidden="false" customHeight="true" outlineLevel="0" collapsed="false">
      <c r="A569" s="1" t="s">
        <v>1168</v>
      </c>
      <c r="B569" s="1" t="n">
        <v>1876</v>
      </c>
      <c r="C569" s="1" t="n">
        <v>4</v>
      </c>
      <c r="D569" s="1" t="s">
        <v>38</v>
      </c>
      <c r="E569" s="1" t="s">
        <v>274</v>
      </c>
      <c r="F569" s="1" t="n">
        <v>201</v>
      </c>
      <c r="G569" s="1" t="n">
        <v>110</v>
      </c>
      <c r="H569" s="2" t="n">
        <f aca="false">2850000*2.25</f>
        <v>6412500</v>
      </c>
      <c r="I569" s="2" t="n">
        <f aca="false">(((H569 / 800) / IF(ISBLANK(R569), 1000000, IF(ISNA(VLOOKUP(R569, Mileages!$A$2:$C$34, 2, 0)), R569, VLOOKUP(R569, Mileages!$A$2:$C$34, 2, 0)))) + (F569 * IF(ISBLANK(P569), 1, P569) * IF(ISBLANK(T569), 0, IF(ISNA(VLOOKUP(T569, 'Fuel Costs'!$A$2:$C$42, 2, 0)), T569, VLOOKUP(T569, 'Fuel Costs'!$A$2:$C$42, 2, 0))) / IF(ISBLANK(O569), 1, O569))) * 100</f>
        <v>201.8015625</v>
      </c>
      <c r="J569" s="2" t="n">
        <f aca="false">((H569 / 800) / (IF(ISBLANK(S569), 100, IF(ISNA(VLOOKUP(S569, Lives!$A$2:$C$35, 2, 0)), S569, VLOOKUP(S569, Lives!$A$2:$C$35, 2, 0))) * 12) + (IF(ISBLANK(Q569), 0, IF(ISNA(VLOOKUP(Q569, Wages!$A$2:$C$17, 2, 0)), Q569, VLOOKUP(Q569, Wages!$A$2:$C$17, 2, 0))) * IF(ISBLANK(N569), 0, IF(ISNA(VLOOKUP(N569, Crews!$A$2:$C$28, 2, 0)), N569, VLOOKUP(N569, Crews!$A$2:$C$28, 2, 0))))) * 400</f>
        <v>29343.75</v>
      </c>
      <c r="K569" s="3" t="s">
        <v>1169</v>
      </c>
      <c r="L569" s="1" t="s">
        <v>1170</v>
      </c>
      <c r="M569" s="1" t="n">
        <v>0</v>
      </c>
      <c r="N569" s="1" t="s">
        <v>590</v>
      </c>
      <c r="O569" s="1" t="n">
        <v>0.6</v>
      </c>
      <c r="P569" s="1"/>
      <c r="Q569" s="5" t="s">
        <v>284</v>
      </c>
      <c r="R569" s="1" t="s">
        <v>677</v>
      </c>
      <c r="S569" s="1" t="s">
        <v>677</v>
      </c>
      <c r="T569" s="1" t="s">
        <v>889</v>
      </c>
    </row>
    <row r="570" customFormat="false" ht="15" hidden="false" customHeight="true" outlineLevel="0" collapsed="false">
      <c r="A570" s="1" t="s">
        <v>1171</v>
      </c>
      <c r="B570" s="1" t="n">
        <v>1876</v>
      </c>
      <c r="C570" s="1" t="n">
        <v>4</v>
      </c>
      <c r="D570" s="1" t="s">
        <v>21</v>
      </c>
      <c r="E570" s="1" t="s">
        <v>274</v>
      </c>
      <c r="F570" s="1" t="n">
        <v>10</v>
      </c>
      <c r="G570" s="1" t="n">
        <v>20</v>
      </c>
      <c r="H570" s="2" t="n">
        <f aca="false">82000*4</f>
        <v>328000</v>
      </c>
      <c r="I570" s="2" t="n">
        <f aca="false">(((H570 / 800) / IF(ISBLANK(R570), 1000000, IF(ISNA(VLOOKUP(R570, Mileages!$A$2:$C$34, 2, 0)), R570, VLOOKUP(R570, Mileages!$A$2:$C$34, 2, 0)))) + (F570 * IF(ISBLANK(P570), 1, P570) * IF(ISBLANK(T570), 0, IF(ISNA(VLOOKUP(T570, 'Fuel Costs'!$A$2:$C$42, 2, 0)), T570, VLOOKUP(T570, 'Fuel Costs'!$A$2:$C$42, 2, 0))) / IF(ISBLANK(O570), 1, O570))) * 100</f>
        <v>13.41533333</v>
      </c>
      <c r="J570" s="2" t="n">
        <f aca="false">((H570 / 800) / (IF(ISBLANK(S570), 100, IF(ISNA(VLOOKUP(S570, Lives!$A$2:$C$35, 2, 0)), S570, VLOOKUP(S570, Lives!$A$2:$C$35, 2, 0))) * 12) + (IF(ISBLANK(Q570), 0, IF(ISNA(VLOOKUP(Q570, Wages!$A$2:$C$17, 2, 0)), Q570, VLOOKUP(Q570, Wages!$A$2:$C$17, 2, 0))) * IF(ISBLANK(N570), 0, IF(ISNA(VLOOKUP(N570, Crews!$A$2:$C$28, 2, 0)), N570, VLOOKUP(N570, Crews!$A$2:$C$28, 2, 0))))) * 400</f>
        <v>12170.83333</v>
      </c>
      <c r="K570" s="1"/>
      <c r="L570" s="1" t="s">
        <v>836</v>
      </c>
      <c r="M570" s="1" t="n">
        <v>1</v>
      </c>
      <c r="N570" s="1" t="s">
        <v>837</v>
      </c>
      <c r="O570" s="1" t="n">
        <v>0.45</v>
      </c>
      <c r="P570" s="1"/>
      <c r="Q570" s="1" t="s">
        <v>837</v>
      </c>
      <c r="R570" s="1" t="s">
        <v>837</v>
      </c>
      <c r="S570" s="1" t="s">
        <v>837</v>
      </c>
      <c r="T570" s="1" t="s">
        <v>889</v>
      </c>
    </row>
    <row r="571" customFormat="false" ht="15" hidden="false" customHeight="true" outlineLevel="0" collapsed="false">
      <c r="A571" s="1" t="s">
        <v>1172</v>
      </c>
      <c r="B571" s="1" t="n">
        <v>1876</v>
      </c>
      <c r="C571" s="1" t="n">
        <v>7</v>
      </c>
      <c r="D571" s="1" t="s">
        <v>38</v>
      </c>
      <c r="E571" s="1" t="s">
        <v>274</v>
      </c>
      <c r="F571" s="1" t="n">
        <v>215</v>
      </c>
      <c r="G571" s="1" t="n">
        <v>85</v>
      </c>
      <c r="H571" s="2" t="n">
        <f aca="false">6752000*0.6</f>
        <v>4051200</v>
      </c>
      <c r="I571" s="2" t="n">
        <f aca="false">(((H571 / 800) / IF(ISBLANK(R571), 1000000, IF(ISNA(VLOOKUP(R571, Mileages!$A$2:$C$34, 2, 0)), R571, VLOOKUP(R571, Mileages!$A$2:$C$34, 2, 0)))) + (F571 * IF(ISBLANK(P571), 1, P571) * IF(ISBLANK(T571), 0, IF(ISNA(VLOOKUP(T571, 'Fuel Costs'!$A$2:$C$42, 2, 0)), T571, VLOOKUP(T571, 'Fuel Costs'!$A$2:$C$42, 2, 0))) / IF(ISBLANK(O571), 1, O571))) * 100</f>
        <v>215.5064</v>
      </c>
      <c r="J571" s="2" t="n">
        <f aca="false">((H571 / 800) / (IF(ISBLANK(S571), 100, IF(ISNA(VLOOKUP(S571, Lives!$A$2:$C$35, 2, 0)), S571, VLOOKUP(S571, Lives!$A$2:$C$35, 2, 0))) * 12) + (IF(ISBLANK(Q571), 0, IF(ISNA(VLOOKUP(Q571, Wages!$A$2:$C$17, 2, 0)), Q571, VLOOKUP(Q571, Wages!$A$2:$C$17, 2, 0))) * IF(ISBLANK(N571), 0, IF(ISNA(VLOOKUP(N571, Crews!$A$2:$C$28, 2, 0)), N571, VLOOKUP(N571, Crews!$A$2:$C$28, 2, 0))))) * 400</f>
        <v>27376</v>
      </c>
      <c r="K571" s="3" t="s">
        <v>1173</v>
      </c>
      <c r="L571" s="1" t="s">
        <v>1174</v>
      </c>
      <c r="M571" s="1" t="n">
        <v>0</v>
      </c>
      <c r="N571" s="1" t="s">
        <v>590</v>
      </c>
      <c r="O571" s="1" t="n">
        <v>0.6</v>
      </c>
      <c r="P571" s="1"/>
      <c r="Q571" s="5" t="s">
        <v>284</v>
      </c>
      <c r="R571" s="1" t="s">
        <v>677</v>
      </c>
      <c r="S571" s="1" t="s">
        <v>677</v>
      </c>
      <c r="T571" s="1" t="s">
        <v>889</v>
      </c>
    </row>
    <row r="572" customFormat="false" ht="15" hidden="false" customHeight="true" outlineLevel="0" collapsed="false">
      <c r="A572" s="1" t="s">
        <v>1175</v>
      </c>
      <c r="B572" s="1" t="n">
        <v>1876</v>
      </c>
      <c r="C572" s="1" t="n">
        <v>7</v>
      </c>
      <c r="D572" s="1" t="s">
        <v>38</v>
      </c>
      <c r="E572" s="1" t="s">
        <v>274</v>
      </c>
      <c r="F572" s="1"/>
      <c r="G572" s="1" t="n">
        <v>85</v>
      </c>
      <c r="H572" s="2" t="n">
        <v>0</v>
      </c>
      <c r="I572" s="2" t="n">
        <f aca="false">(((H572 / 800) / IF(ISBLANK(R572), 1000000, IF(ISNA(VLOOKUP(R572, Mileages!$A$2:$C$34, 2, 0)), R572, VLOOKUP(R572, Mileages!$A$2:$C$34, 2, 0)))) + (F572 * IF(ISBLANK(P572), 1, P572) * IF(ISBLANK(T572), 0, IF(ISNA(VLOOKUP(T572, 'Fuel Costs'!$A$2:$C$42, 2, 0)), T572, VLOOKUP(T572, 'Fuel Costs'!$A$2:$C$42, 2, 0))) / IF(ISBLANK(O572), 1, O572))) * 100</f>
        <v>0</v>
      </c>
      <c r="J572" s="2" t="n">
        <f aca="false">((H572 / 800) / (IF(ISBLANK(S572), 100, IF(ISNA(VLOOKUP(S572, Lives!$A$2:$C$35, 2, 0)), S572, VLOOKUP(S572, Lives!$A$2:$C$35, 2, 0))) * 12) + (IF(ISBLANK(Q572), 0, IF(ISNA(VLOOKUP(Q572, Wages!$A$2:$C$17, 2, 0)), Q572, VLOOKUP(Q572, Wages!$A$2:$C$17, 2, 0))) * IF(ISBLANK(N572), 0, IF(ISNA(VLOOKUP(N572, Crews!$A$2:$C$28, 2, 0)), N572, VLOOKUP(N572, Crews!$A$2:$C$28, 2, 0))))) * 400</f>
        <v>0</v>
      </c>
      <c r="K572" s="1"/>
      <c r="L572" s="1" t="s">
        <v>1176</v>
      </c>
      <c r="M572" s="1" t="n">
        <v>0</v>
      </c>
      <c r="N572" s="1"/>
      <c r="O572" s="1"/>
      <c r="P572" s="1"/>
      <c r="Q572" s="1"/>
      <c r="R572" s="1"/>
      <c r="S572" s="1"/>
      <c r="T572" s="1"/>
    </row>
    <row r="573" customFormat="false" ht="15" hidden="false" customHeight="true" outlineLevel="0" collapsed="false">
      <c r="A573" s="1" t="s">
        <v>1177</v>
      </c>
      <c r="B573" s="1" t="n">
        <v>1876</v>
      </c>
      <c r="C573" s="1" t="n">
        <v>8</v>
      </c>
      <c r="D573" s="1" t="s">
        <v>38</v>
      </c>
      <c r="E573" s="1"/>
      <c r="F573" s="1"/>
      <c r="G573" s="1" t="n">
        <v>150</v>
      </c>
      <c r="H573" s="2" t="n">
        <v>314000</v>
      </c>
      <c r="I573" s="2" t="n">
        <f aca="false">(((H573 / 800) / IF(ISBLANK(R573), 1000000, IF(ISNA(VLOOKUP(R573, Mileages!$A$2:$C$34, 2, 0)), R573, VLOOKUP(R573, Mileages!$A$2:$C$34, 2, 0)))) + (F573 * IF(ISBLANK(P573), 1, P573) * IF(ISBLANK(T573), 0, IF(ISNA(VLOOKUP(T573, 'Fuel Costs'!$A$2:$C$42, 2, 0)), T573, VLOOKUP(T573, 'Fuel Costs'!$A$2:$C$42, 2, 0))) / IF(ISBLANK(O573), 1, O573))) * 100</f>
        <v>0.03270833333</v>
      </c>
      <c r="J573" s="2" t="n">
        <f aca="false">((H573 / 800) / (IF(ISBLANK(S573), 100, IF(ISNA(VLOOKUP(S573, Lives!$A$2:$C$35, 2, 0)), S573, VLOOKUP(S573, Lives!$A$2:$C$35, 2, 0))) * 12) + (IF(ISBLANK(Q573), 0, IF(ISNA(VLOOKUP(Q573, Wages!$A$2:$C$17, 2, 0)), Q573, VLOOKUP(Q573, Wages!$A$2:$C$17, 2, 0))) * IF(ISBLANK(N573), 0, IF(ISNA(VLOOKUP(N573, Crews!$A$2:$C$28, 2, 0)), N573, VLOOKUP(N573, Crews!$A$2:$C$28, 2, 0))))) * 400</f>
        <v>373.8095238</v>
      </c>
      <c r="K573" s="3" t="s">
        <v>1178</v>
      </c>
      <c r="L573" s="1" t="s">
        <v>1179</v>
      </c>
      <c r="M573" s="1" t="n">
        <v>0</v>
      </c>
      <c r="N573" s="1"/>
      <c r="O573" s="1"/>
      <c r="P573" s="1"/>
      <c r="Q573" s="1"/>
      <c r="R573" s="1" t="s">
        <v>689</v>
      </c>
      <c r="S573" s="1" t="s">
        <v>856</v>
      </c>
      <c r="T573" s="1"/>
    </row>
    <row r="574" customFormat="false" ht="15" hidden="false" customHeight="true" outlineLevel="0" collapsed="false">
      <c r="A574" s="1" t="s">
        <v>1180</v>
      </c>
      <c r="B574" s="1" t="n">
        <v>1876</v>
      </c>
      <c r="C574" s="1" t="n">
        <v>8</v>
      </c>
      <c r="D574" s="1" t="s">
        <v>38</v>
      </c>
      <c r="E574" s="1"/>
      <c r="F574" s="1"/>
      <c r="G574" s="1" t="n">
        <v>150</v>
      </c>
      <c r="H574" s="2" t="n">
        <v>314000</v>
      </c>
      <c r="I574" s="2" t="n">
        <f aca="false">(((H574 / 800) / IF(ISBLANK(R574), 1000000, IF(ISNA(VLOOKUP(R574, Mileages!$A$2:$C$34, 2, 0)), R574, VLOOKUP(R574, Mileages!$A$2:$C$34, 2, 0)))) + (F574 * IF(ISBLANK(P574), 1, P574) * IF(ISBLANK(T574), 0, IF(ISNA(VLOOKUP(T574, 'Fuel Costs'!$A$2:$C$42, 2, 0)), T574, VLOOKUP(T574, 'Fuel Costs'!$A$2:$C$42, 2, 0))) / IF(ISBLANK(O574), 1, O574))) * 100</f>
        <v>0.03270833333</v>
      </c>
      <c r="J574" s="2" t="n">
        <f aca="false">((H574 / 800) / (IF(ISBLANK(S574), 100, IF(ISNA(VLOOKUP(S574, Lives!$A$2:$C$35, 2, 0)), S574, VLOOKUP(S574, Lives!$A$2:$C$35, 2, 0))) * 12) + (IF(ISBLANK(Q574), 0, IF(ISNA(VLOOKUP(Q574, Wages!$A$2:$C$17, 2, 0)), Q574, VLOOKUP(Q574, Wages!$A$2:$C$17, 2, 0))) * IF(ISBLANK(N574), 0, IF(ISNA(VLOOKUP(N574, Crews!$A$2:$C$28, 2, 0)), N574, VLOOKUP(N574, Crews!$A$2:$C$28, 2, 0))))) * 400</f>
        <v>5173.809524</v>
      </c>
      <c r="K574" s="1"/>
      <c r="L574" s="1" t="s">
        <v>1181</v>
      </c>
      <c r="M574" s="1" t="n">
        <v>0</v>
      </c>
      <c r="N574" s="1" t="s">
        <v>25</v>
      </c>
      <c r="O574" s="1"/>
      <c r="P574" s="1"/>
      <c r="Q574" s="1" t="s">
        <v>378</v>
      </c>
      <c r="R574" s="1" t="s">
        <v>689</v>
      </c>
      <c r="S574" s="1" t="s">
        <v>856</v>
      </c>
      <c r="T574" s="1"/>
    </row>
    <row r="575" customFormat="false" ht="15" hidden="false" customHeight="true" outlineLevel="0" collapsed="false">
      <c r="A575" s="1" t="s">
        <v>1182</v>
      </c>
      <c r="B575" s="1" t="n">
        <v>1876</v>
      </c>
      <c r="C575" s="1" t="n">
        <v>8</v>
      </c>
      <c r="D575" s="1" t="s">
        <v>38</v>
      </c>
      <c r="E575" s="1"/>
      <c r="F575" s="1"/>
      <c r="G575" s="1" t="n">
        <v>150</v>
      </c>
      <c r="H575" s="2" t="n">
        <v>314000</v>
      </c>
      <c r="I575" s="2" t="n">
        <f aca="false">(((H575 / 800) / IF(ISBLANK(R575), 1000000, IF(ISNA(VLOOKUP(R575, Mileages!$A$2:$C$34, 2, 0)), R575, VLOOKUP(R575, Mileages!$A$2:$C$34, 2, 0)))) + (F575 * IF(ISBLANK(P575), 1, P575) * IF(ISBLANK(T575), 0, IF(ISNA(VLOOKUP(T575, 'Fuel Costs'!$A$2:$C$42, 2, 0)), T575, VLOOKUP(T575, 'Fuel Costs'!$A$2:$C$42, 2, 0))) / IF(ISBLANK(O575), 1, O575))) * 100</f>
        <v>0.03270833333</v>
      </c>
      <c r="J575" s="2" t="n">
        <f aca="false">((H575 / 800) / (IF(ISBLANK(S575), 100, IF(ISNA(VLOOKUP(S575, Lives!$A$2:$C$35, 2, 0)), S575, VLOOKUP(S575, Lives!$A$2:$C$35, 2, 0))) * 12) + (IF(ISBLANK(Q575), 0, IF(ISNA(VLOOKUP(Q575, Wages!$A$2:$C$17, 2, 0)), Q575, VLOOKUP(Q575, Wages!$A$2:$C$17, 2, 0))) * IF(ISBLANK(N575), 0, IF(ISNA(VLOOKUP(N575, Crews!$A$2:$C$28, 2, 0)), N575, VLOOKUP(N575, Crews!$A$2:$C$28, 2, 0))))) * 400</f>
        <v>5173.809524</v>
      </c>
      <c r="K575" s="1"/>
      <c r="L575" s="1" t="s">
        <v>1181</v>
      </c>
      <c r="M575" s="1" t="n">
        <v>1</v>
      </c>
      <c r="N575" s="1" t="s">
        <v>25</v>
      </c>
      <c r="O575" s="1"/>
      <c r="P575" s="1"/>
      <c r="Q575" s="1" t="s">
        <v>378</v>
      </c>
      <c r="R575" s="1" t="s">
        <v>689</v>
      </c>
      <c r="S575" s="1" t="s">
        <v>856</v>
      </c>
      <c r="T575" s="1"/>
    </row>
    <row r="576" customFormat="false" ht="15" hidden="false" customHeight="true" outlineLevel="0" collapsed="false">
      <c r="A576" s="1" t="s">
        <v>1183</v>
      </c>
      <c r="B576" s="1" t="n">
        <v>1876</v>
      </c>
      <c r="C576" s="1" t="n">
        <v>8</v>
      </c>
      <c r="D576" s="1" t="s">
        <v>38</v>
      </c>
      <c r="E576" s="1"/>
      <c r="F576" s="1"/>
      <c r="G576" s="1" t="n">
        <v>150</v>
      </c>
      <c r="H576" s="2" t="n">
        <v>314000</v>
      </c>
      <c r="I576" s="2" t="n">
        <f aca="false">(((H576 / 800) / IF(ISBLANK(R576), 1000000, IF(ISNA(VLOOKUP(R576, Mileages!$A$2:$C$34, 2, 0)), R576, VLOOKUP(R576, Mileages!$A$2:$C$34, 2, 0)))) + (F576 * IF(ISBLANK(P576), 1, P576) * IF(ISBLANK(T576), 0, IF(ISNA(VLOOKUP(T576, 'Fuel Costs'!$A$2:$C$42, 2, 0)), T576, VLOOKUP(T576, 'Fuel Costs'!$A$2:$C$42, 2, 0))) / IF(ISBLANK(O576), 1, O576))) * 100</f>
        <v>0.03270833333</v>
      </c>
      <c r="J576" s="2" t="n">
        <f aca="false">((H576 / 800) / (IF(ISBLANK(S576), 100, IF(ISNA(VLOOKUP(S576, Lives!$A$2:$C$35, 2, 0)), S576, VLOOKUP(S576, Lives!$A$2:$C$35, 2, 0))) * 12) + (IF(ISBLANK(Q576), 0, IF(ISNA(VLOOKUP(Q576, Wages!$A$2:$C$17, 2, 0)), Q576, VLOOKUP(Q576, Wages!$A$2:$C$17, 2, 0))) * IF(ISBLANK(N576), 0, IF(ISNA(VLOOKUP(N576, Crews!$A$2:$C$28, 2, 0)), N576, VLOOKUP(N576, Crews!$A$2:$C$28, 2, 0))))) * 400</f>
        <v>373.8095238</v>
      </c>
      <c r="K576" s="1"/>
      <c r="L576" s="1" t="s">
        <v>1184</v>
      </c>
      <c r="M576" s="1" t="n">
        <v>0</v>
      </c>
      <c r="N576" s="1"/>
      <c r="O576" s="1"/>
      <c r="P576" s="1"/>
      <c r="Q576" s="1"/>
      <c r="R576" s="1" t="s">
        <v>689</v>
      </c>
      <c r="S576" s="1" t="s">
        <v>856</v>
      </c>
      <c r="T576" s="1"/>
    </row>
    <row r="577" customFormat="false" ht="15" hidden="false" customHeight="true" outlineLevel="0" collapsed="false">
      <c r="A577" s="1" t="s">
        <v>1185</v>
      </c>
      <c r="B577" s="1" t="n">
        <v>1876</v>
      </c>
      <c r="C577" s="1" t="n">
        <v>8</v>
      </c>
      <c r="D577" s="1" t="s">
        <v>38</v>
      </c>
      <c r="E577" s="1"/>
      <c r="F577" s="1"/>
      <c r="G577" s="1" t="n">
        <v>150</v>
      </c>
      <c r="H577" s="2" t="n">
        <v>314000</v>
      </c>
      <c r="I577" s="2" t="n">
        <f aca="false">(((H577 / 800) / IF(ISBLANK(R577), 1000000, IF(ISNA(VLOOKUP(R577, Mileages!$A$2:$C$34, 2, 0)), R577, VLOOKUP(R577, Mileages!$A$2:$C$34, 2, 0)))) + (F577 * IF(ISBLANK(P577), 1, P577) * IF(ISBLANK(T577), 0, IF(ISNA(VLOOKUP(T577, 'Fuel Costs'!$A$2:$C$42, 2, 0)), T577, VLOOKUP(T577, 'Fuel Costs'!$A$2:$C$42, 2, 0))) / IF(ISBLANK(O577), 1, O577))) * 100</f>
        <v>0.03270833333</v>
      </c>
      <c r="J577" s="2" t="n">
        <f aca="false">((H577 / 800) / (IF(ISBLANK(S577), 100, IF(ISNA(VLOOKUP(S577, Lives!$A$2:$C$35, 2, 0)), S577, VLOOKUP(S577, Lives!$A$2:$C$35, 2, 0))) * 12) + (IF(ISBLANK(Q577), 0, IF(ISNA(VLOOKUP(Q577, Wages!$A$2:$C$17, 2, 0)), Q577, VLOOKUP(Q577, Wages!$A$2:$C$17, 2, 0))) * IF(ISBLANK(N577), 0, IF(ISNA(VLOOKUP(N577, Crews!$A$2:$C$28, 2, 0)), N577, VLOOKUP(N577, Crews!$A$2:$C$28, 2, 0))))) * 400</f>
        <v>130.8333333</v>
      </c>
      <c r="K577" s="1"/>
      <c r="L577" s="1" t="s">
        <v>1186</v>
      </c>
      <c r="M577" s="1" t="n">
        <v>0</v>
      </c>
      <c r="N577" s="1"/>
      <c r="O577" s="1"/>
      <c r="P577" s="1"/>
      <c r="Q577" s="1"/>
      <c r="R577" s="1" t="s">
        <v>689</v>
      </c>
      <c r="S577" s="5" t="s">
        <v>389</v>
      </c>
      <c r="T577" s="1"/>
    </row>
    <row r="578" customFormat="false" ht="15" hidden="false" customHeight="true" outlineLevel="0" collapsed="false">
      <c r="A578" s="1" t="s">
        <v>1187</v>
      </c>
      <c r="B578" s="1" t="n">
        <v>1876</v>
      </c>
      <c r="C578" s="1" t="n">
        <v>8</v>
      </c>
      <c r="D578" s="1" t="s">
        <v>38</v>
      </c>
      <c r="E578" s="1"/>
      <c r="F578" s="1"/>
      <c r="G578" s="1" t="n">
        <v>150</v>
      </c>
      <c r="H578" s="2" t="n">
        <v>314000</v>
      </c>
      <c r="I578" s="2" t="n">
        <f aca="false">(((H578 / 800) / IF(ISBLANK(R578), 1000000, IF(ISNA(VLOOKUP(R578, Mileages!$A$2:$C$34, 2, 0)), R578, VLOOKUP(R578, Mileages!$A$2:$C$34, 2, 0)))) + (F578 * IF(ISBLANK(P578), 1, P578) * IF(ISBLANK(T578), 0, IF(ISNA(VLOOKUP(T578, 'Fuel Costs'!$A$2:$C$42, 2, 0)), T578, VLOOKUP(T578, 'Fuel Costs'!$A$2:$C$42, 2, 0))) / IF(ISBLANK(O578), 1, O578))) * 100</f>
        <v>0.03270833333</v>
      </c>
      <c r="J578" s="2" t="n">
        <f aca="false">((H578 / 800) / (IF(ISBLANK(S578), 100, IF(ISNA(VLOOKUP(S578, Lives!$A$2:$C$35, 2, 0)), S578, VLOOKUP(S578, Lives!$A$2:$C$35, 2, 0))) * 12) + (IF(ISBLANK(Q578), 0, IF(ISNA(VLOOKUP(Q578, Wages!$A$2:$C$17, 2, 0)), Q578, VLOOKUP(Q578, Wages!$A$2:$C$17, 2, 0))) * IF(ISBLANK(N578), 0, IF(ISNA(VLOOKUP(N578, Crews!$A$2:$C$28, 2, 0)), N578, VLOOKUP(N578, Crews!$A$2:$C$28, 2, 0))))) * 400</f>
        <v>24130.83333</v>
      </c>
      <c r="K578" s="1" t="s">
        <v>1188</v>
      </c>
      <c r="L578" s="1" t="s">
        <v>1186</v>
      </c>
      <c r="M578" s="1" t="n">
        <v>1</v>
      </c>
      <c r="N578" s="1" t="s">
        <v>551</v>
      </c>
      <c r="O578" s="1"/>
      <c r="P578" s="1"/>
      <c r="Q578" s="1" t="s">
        <v>551</v>
      </c>
      <c r="R578" s="1" t="s">
        <v>689</v>
      </c>
      <c r="S578" s="1" t="s">
        <v>389</v>
      </c>
      <c r="T578" s="1"/>
    </row>
    <row r="579" customFormat="false" ht="15" hidden="false" customHeight="true" outlineLevel="0" collapsed="false">
      <c r="A579" s="1" t="s">
        <v>1189</v>
      </c>
      <c r="B579" s="1" t="n">
        <v>1876</v>
      </c>
      <c r="C579" s="1" t="n">
        <v>12</v>
      </c>
      <c r="D579" s="1" t="s">
        <v>157</v>
      </c>
      <c r="E579" s="1" t="s">
        <v>274</v>
      </c>
      <c r="F579" s="1" t="n">
        <v>34</v>
      </c>
      <c r="G579" s="1" t="n">
        <v>55</v>
      </c>
      <c r="H579" s="2" t="n">
        <v>2877949</v>
      </c>
      <c r="I579" s="2" t="n">
        <f aca="false">(((H579 / 800) / IF(ISBLANK(R579), 1000000, IF(ISNA(VLOOKUP(R579, Mileages!$A$2:$C$34, 2, 0)), R579, VLOOKUP(R579, Mileages!$A$2:$C$34, 2, 0)))) + (F579 * IF(ISBLANK(P579), 1, P579) * IF(ISBLANK(T579), 0, IF(ISNA(VLOOKUP(T579, 'Fuel Costs'!$A$2:$C$42, 2, 0)), T579, VLOOKUP(T579, 'Fuel Costs'!$A$2:$C$42, 2, 0))) / IF(ISBLANK(O579), 1, O579))) * 100</f>
        <v>25.08701635</v>
      </c>
      <c r="J579" s="2" t="n">
        <f aca="false">((H579 / 800) / (IF(ISBLANK(S579), 100, IF(ISNA(VLOOKUP(S579, Lives!$A$2:$C$35, 2, 0)), S579, VLOOKUP(S579, Lives!$A$2:$C$35, 2, 0))) * 12) + (IF(ISBLANK(Q579), 0, IF(ISNA(VLOOKUP(Q579, Wages!$A$2:$C$17, 2, 0)), Q579, VLOOKUP(Q579, Wages!$A$2:$C$17, 2, 0))) * IF(ISBLANK(N579), 0, IF(ISNA(VLOOKUP(N579, Crews!$A$2:$C$28, 2, 0)), N579, VLOOKUP(N579, Crews!$A$2:$C$28, 2, 0))))) * 400</f>
        <v>18398.29083</v>
      </c>
      <c r="K579" s="3" t="s">
        <v>1190</v>
      </c>
      <c r="L579" s="1" t="s">
        <v>1191</v>
      </c>
      <c r="M579" s="1" t="n">
        <v>0</v>
      </c>
      <c r="N579" s="1" t="s">
        <v>283</v>
      </c>
      <c r="O579" s="1" t="n">
        <v>0.55</v>
      </c>
      <c r="P579" s="1"/>
      <c r="Q579" s="1" t="s">
        <v>284</v>
      </c>
      <c r="R579" s="1" t="s">
        <v>677</v>
      </c>
      <c r="S579" s="1" t="s">
        <v>677</v>
      </c>
      <c r="T579" s="1" t="s">
        <v>923</v>
      </c>
    </row>
    <row r="580" customFormat="false" ht="15" hidden="false" customHeight="true" outlineLevel="0" collapsed="false">
      <c r="A580" s="1" t="s">
        <v>1192</v>
      </c>
      <c r="B580" s="1" t="n">
        <v>1877</v>
      </c>
      <c r="C580" s="1" t="n">
        <v>1</v>
      </c>
      <c r="D580" s="1" t="s">
        <v>38</v>
      </c>
      <c r="E580" s="1" t="s">
        <v>274</v>
      </c>
      <c r="F580" s="1" t="n">
        <v>207</v>
      </c>
      <c r="G580" s="1" t="n">
        <v>135</v>
      </c>
      <c r="H580" s="2" t="n">
        <f aca="false">7035000*2</f>
        <v>14070000</v>
      </c>
      <c r="I580" s="2" t="n">
        <f aca="false">(((H580 / 800) / IF(ISBLANK(R580), 1000000, IF(ISNA(VLOOKUP(R580, Mileages!$A$2:$C$34, 2, 0)), R580, VLOOKUP(R580, Mileages!$A$2:$C$34, 2, 0)))) + (F580 * IF(ISBLANK(P580), 1, P580) * IF(ISBLANK(T580), 0, IF(ISNA(VLOOKUP(T580, 'Fuel Costs'!$A$2:$C$42, 2, 0)), T580, VLOOKUP(T580, 'Fuel Costs'!$A$2:$C$42, 2, 0))) / IF(ISBLANK(O580), 1, O580))) * 100</f>
        <v>208.75875</v>
      </c>
      <c r="J580" s="2" t="n">
        <f aca="false">((H580 / 800) / (IF(ISBLANK(S580), 100, IF(ISNA(VLOOKUP(S580, Lives!$A$2:$C$35, 2, 0)), S580, VLOOKUP(S580, Lives!$A$2:$C$35, 2, 0))) * 12) + (IF(ISBLANK(Q580), 0, IF(ISNA(VLOOKUP(Q580, Wages!$A$2:$C$17, 2, 0)), Q580, VLOOKUP(Q580, Wages!$A$2:$C$17, 2, 0))) * IF(ISBLANK(N580), 0, IF(ISNA(VLOOKUP(N580, Crews!$A$2:$C$28, 2, 0)), N580, VLOOKUP(N580, Crews!$A$2:$C$28, 2, 0))))) * 400</f>
        <v>35725</v>
      </c>
      <c r="K580" s="3" t="s">
        <v>1193</v>
      </c>
      <c r="L580" s="1" t="s">
        <v>1194</v>
      </c>
      <c r="M580" s="1" t="n">
        <v>0</v>
      </c>
      <c r="N580" s="1" t="s">
        <v>590</v>
      </c>
      <c r="O580" s="1" t="n">
        <v>0.6</v>
      </c>
      <c r="P580" s="1"/>
      <c r="Q580" s="5" t="s">
        <v>284</v>
      </c>
      <c r="R580" s="1" t="s">
        <v>677</v>
      </c>
      <c r="S580" s="1" t="s">
        <v>677</v>
      </c>
      <c r="T580" s="1" t="s">
        <v>889</v>
      </c>
    </row>
    <row r="581" customFormat="false" ht="15" hidden="false" customHeight="true" outlineLevel="0" collapsed="false">
      <c r="A581" s="1" t="s">
        <v>1195</v>
      </c>
      <c r="B581" s="1" t="n">
        <v>1877</v>
      </c>
      <c r="C581" s="1" t="n">
        <v>3</v>
      </c>
      <c r="D581" s="1" t="s">
        <v>876</v>
      </c>
      <c r="E581" s="1"/>
      <c r="F581" s="1"/>
      <c r="G581" s="1" t="n">
        <v>16</v>
      </c>
      <c r="H581" s="2" t="n">
        <v>300000</v>
      </c>
      <c r="I581" s="2" t="n">
        <f aca="false">(((H581 / 800) / IF(ISBLANK(R581), 1000000, IF(ISNA(VLOOKUP(R581, Mileages!$A$2:$C$34, 2, 0)), R581, VLOOKUP(R581, Mileages!$A$2:$C$34, 2, 0)))) + (F581 * IF(ISBLANK(P581), 1, P581) * IF(ISBLANK(T581), 0, IF(ISNA(VLOOKUP(T581, 'Fuel Costs'!$A$2:$C$42, 2, 0)), T581, VLOOKUP(T581, 'Fuel Costs'!$A$2:$C$42, 2, 0))) / IF(ISBLANK(O581), 1, O581))) * 100</f>
        <v>0.03125</v>
      </c>
      <c r="J581" s="2" t="n">
        <f aca="false">((H581 / 800) / (IF(ISBLANK(S581), 100, IF(ISNA(VLOOKUP(S581, Lives!$A$2:$C$35, 2, 0)), S581, VLOOKUP(S581, Lives!$A$2:$C$35, 2, 0))) * 12) + (IF(ISBLANK(Q581), 0, IF(ISNA(VLOOKUP(Q581, Wages!$A$2:$C$17, 2, 0)), Q581, VLOOKUP(Q581, Wages!$A$2:$C$17, 2, 0))) * IF(ISBLANK(N581), 0, IF(ISNA(VLOOKUP(N581, Crews!$A$2:$C$28, 2, 0)), N581, VLOOKUP(N581, Crews!$A$2:$C$28, 2, 0))))) * 400</f>
        <v>6357.142857</v>
      </c>
      <c r="K581" s="3" t="s">
        <v>1196</v>
      </c>
      <c r="L581" s="1" t="s">
        <v>1197</v>
      </c>
      <c r="M581" s="1" t="n">
        <v>0</v>
      </c>
      <c r="N581" s="1" t="s">
        <v>895</v>
      </c>
      <c r="O581" s="1"/>
      <c r="P581" s="1"/>
      <c r="Q581" s="1" t="s">
        <v>895</v>
      </c>
      <c r="R581" s="1" t="s">
        <v>689</v>
      </c>
      <c r="S581" s="1" t="s">
        <v>856</v>
      </c>
      <c r="T581" s="1"/>
    </row>
    <row r="582" customFormat="false" ht="15" hidden="false" customHeight="true" outlineLevel="0" collapsed="false">
      <c r="A582" s="1" t="s">
        <v>1198</v>
      </c>
      <c r="B582" s="1" t="n">
        <v>1877</v>
      </c>
      <c r="C582" s="1" t="n">
        <v>10</v>
      </c>
      <c r="D582" s="1" t="s">
        <v>38</v>
      </c>
      <c r="E582" s="1"/>
      <c r="F582" s="1"/>
      <c r="G582" s="1" t="n">
        <v>145</v>
      </c>
      <c r="H582" s="2" t="n">
        <v>310000</v>
      </c>
      <c r="I582" s="2" t="n">
        <f aca="false">(((H582 / 800) / IF(ISBLANK(R582), 1000000, IF(ISNA(VLOOKUP(R582, Mileages!$A$2:$C$34, 2, 0)), R582, VLOOKUP(R582, Mileages!$A$2:$C$34, 2, 0)))) + (F582 * IF(ISBLANK(P582), 1, P582) * IF(ISBLANK(T582), 0, IF(ISNA(VLOOKUP(T582, 'Fuel Costs'!$A$2:$C$42, 2, 0)), T582, VLOOKUP(T582, 'Fuel Costs'!$A$2:$C$42, 2, 0))) / IF(ISBLANK(O582), 1, O582))) * 100</f>
        <v>0.03229166667</v>
      </c>
      <c r="J582" s="2" t="n">
        <f aca="false">((H582 / 800) / (IF(ISBLANK(S582), 100, IF(ISNA(VLOOKUP(S582, Lives!$A$2:$C$35, 2, 0)), S582, VLOOKUP(S582, Lives!$A$2:$C$35, 2, 0))) * 12) + (IF(ISBLANK(Q582), 0, IF(ISNA(VLOOKUP(Q582, Wages!$A$2:$C$17, 2, 0)), Q582, VLOOKUP(Q582, Wages!$A$2:$C$17, 2, 0))) * IF(ISBLANK(N582), 0, IF(ISNA(VLOOKUP(N582, Crews!$A$2:$C$28, 2, 0)), N582, VLOOKUP(N582, Crews!$A$2:$C$28, 2, 0))))) * 400</f>
        <v>5169.047619</v>
      </c>
      <c r="K582" s="1" t="s">
        <v>1199</v>
      </c>
      <c r="L582" s="1" t="s">
        <v>1200</v>
      </c>
      <c r="M582" s="1" t="n">
        <v>0</v>
      </c>
      <c r="N582" s="1" t="s">
        <v>25</v>
      </c>
      <c r="O582" s="1"/>
      <c r="P582" s="1"/>
      <c r="Q582" s="1" t="s">
        <v>378</v>
      </c>
      <c r="R582" s="1" t="s">
        <v>689</v>
      </c>
      <c r="S582" s="1" t="s">
        <v>856</v>
      </c>
      <c r="T582" s="1"/>
    </row>
    <row r="583" customFormat="false" ht="15" hidden="false" customHeight="true" outlineLevel="0" collapsed="false">
      <c r="A583" s="1" t="s">
        <v>1201</v>
      </c>
      <c r="B583" s="1" t="n">
        <v>1877</v>
      </c>
      <c r="C583" s="1" t="n">
        <v>10</v>
      </c>
      <c r="D583" s="1" t="s">
        <v>38</v>
      </c>
      <c r="E583" s="1"/>
      <c r="F583" s="1"/>
      <c r="G583" s="1" t="n">
        <v>145</v>
      </c>
      <c r="H583" s="2" t="n">
        <v>310000</v>
      </c>
      <c r="I583" s="2" t="n">
        <f aca="false">(((H583 / 800) / IF(ISBLANK(R583), 1000000, IF(ISNA(VLOOKUP(R583, Mileages!$A$2:$C$34, 2, 0)), R583, VLOOKUP(R583, Mileages!$A$2:$C$34, 2, 0)))) + (F583 * IF(ISBLANK(P583), 1, P583) * IF(ISBLANK(T583), 0, IF(ISNA(VLOOKUP(T583, 'Fuel Costs'!$A$2:$C$42, 2, 0)), T583, VLOOKUP(T583, 'Fuel Costs'!$A$2:$C$42, 2, 0))) / IF(ISBLANK(O583), 1, O583))) * 100</f>
        <v>0.03229166667</v>
      </c>
      <c r="J583" s="2" t="n">
        <f aca="false">((H583 / 800) / (IF(ISBLANK(S583), 100, IF(ISNA(VLOOKUP(S583, Lives!$A$2:$C$35, 2, 0)), S583, VLOOKUP(S583, Lives!$A$2:$C$35, 2, 0))) * 12) + (IF(ISBLANK(Q583), 0, IF(ISNA(VLOOKUP(Q583, Wages!$A$2:$C$17, 2, 0)), Q583, VLOOKUP(Q583, Wages!$A$2:$C$17, 2, 0))) * IF(ISBLANK(N583), 0, IF(ISNA(VLOOKUP(N583, Crews!$A$2:$C$28, 2, 0)), N583, VLOOKUP(N583, Crews!$A$2:$C$28, 2, 0))))) * 400</f>
        <v>369.047619</v>
      </c>
      <c r="K583" s="1"/>
      <c r="L583" s="1" t="s">
        <v>1200</v>
      </c>
      <c r="M583" s="1" t="n">
        <v>1</v>
      </c>
      <c r="N583" s="1"/>
      <c r="O583" s="1"/>
      <c r="P583" s="1"/>
      <c r="Q583" s="1"/>
      <c r="R583" s="1" t="s">
        <v>689</v>
      </c>
      <c r="S583" s="1" t="s">
        <v>856</v>
      </c>
      <c r="T583" s="1"/>
    </row>
    <row r="584" customFormat="false" ht="15" hidden="false" customHeight="true" outlineLevel="0" collapsed="false">
      <c r="A584" s="1" t="s">
        <v>1202</v>
      </c>
      <c r="B584" s="1" t="n">
        <v>1877</v>
      </c>
      <c r="C584" s="1" t="n">
        <v>10</v>
      </c>
      <c r="D584" s="1" t="s">
        <v>38</v>
      </c>
      <c r="E584" s="1"/>
      <c r="F584" s="1"/>
      <c r="G584" s="1" t="n">
        <v>145</v>
      </c>
      <c r="H584" s="2" t="n">
        <v>310000</v>
      </c>
      <c r="I584" s="2" t="n">
        <f aca="false">(((H584 / 800) / IF(ISBLANK(R584), 1000000, IF(ISNA(VLOOKUP(R584, Mileages!$A$2:$C$34, 2, 0)), R584, VLOOKUP(R584, Mileages!$A$2:$C$34, 2, 0)))) + (F584 * IF(ISBLANK(P584), 1, P584) * IF(ISBLANK(T584), 0, IF(ISNA(VLOOKUP(T584, 'Fuel Costs'!$A$2:$C$42, 2, 0)), T584, VLOOKUP(T584, 'Fuel Costs'!$A$2:$C$42, 2, 0))) / IF(ISBLANK(O584), 1, O584))) * 100</f>
        <v>0.03229166667</v>
      </c>
      <c r="J584" s="2" t="n">
        <f aca="false">((H584 / 800) / (IF(ISBLANK(S584), 100, IF(ISNA(VLOOKUP(S584, Lives!$A$2:$C$35, 2, 0)), S584, VLOOKUP(S584, Lives!$A$2:$C$35, 2, 0))) * 12) + (IF(ISBLANK(Q584), 0, IF(ISNA(VLOOKUP(Q584, Wages!$A$2:$C$17, 2, 0)), Q584, VLOOKUP(Q584, Wages!$A$2:$C$17, 2, 0))) * IF(ISBLANK(N584), 0, IF(ISNA(VLOOKUP(N584, Crews!$A$2:$C$28, 2, 0)), N584, VLOOKUP(N584, Crews!$A$2:$C$28, 2, 0))))) * 400</f>
        <v>369.047619</v>
      </c>
      <c r="K584" s="1"/>
      <c r="L584" s="1" t="s">
        <v>1200</v>
      </c>
      <c r="M584" s="1" t="n">
        <v>2</v>
      </c>
      <c r="N584" s="1"/>
      <c r="O584" s="1"/>
      <c r="P584" s="1"/>
      <c r="Q584" s="1"/>
      <c r="R584" s="1" t="s">
        <v>689</v>
      </c>
      <c r="S584" s="1" t="s">
        <v>856</v>
      </c>
      <c r="T584" s="1"/>
    </row>
    <row r="585" customFormat="false" ht="15" hidden="false" customHeight="true" outlineLevel="0" collapsed="false">
      <c r="A585" s="1" t="s">
        <v>1203</v>
      </c>
      <c r="B585" s="1" t="n">
        <v>1877</v>
      </c>
      <c r="C585" s="1" t="n">
        <v>10</v>
      </c>
      <c r="D585" s="1" t="s">
        <v>38</v>
      </c>
      <c r="E585" s="1"/>
      <c r="F585" s="1"/>
      <c r="G585" s="1" t="n">
        <v>145</v>
      </c>
      <c r="H585" s="2" t="n">
        <v>300000</v>
      </c>
      <c r="I585" s="2" t="n">
        <f aca="false">(((H585 / 800) / IF(ISBLANK(R585), 1000000, IF(ISNA(VLOOKUP(R585, Mileages!$A$2:$C$34, 2, 0)), R585, VLOOKUP(R585, Mileages!$A$2:$C$34, 2, 0)))) + (F585 * IF(ISBLANK(P585), 1, P585) * IF(ISBLANK(T585), 0, IF(ISNA(VLOOKUP(T585, 'Fuel Costs'!$A$2:$C$42, 2, 0)), T585, VLOOKUP(T585, 'Fuel Costs'!$A$2:$C$42, 2, 0))) / IF(ISBLANK(O585), 1, O585))) * 100</f>
        <v>0.03125</v>
      </c>
      <c r="J585" s="2" t="n">
        <f aca="false">((H585 / 800) / (IF(ISBLANK(S585), 100, IF(ISNA(VLOOKUP(S585, Lives!$A$2:$C$35, 2, 0)), S585, VLOOKUP(S585, Lives!$A$2:$C$35, 2, 0))) * 12) + (IF(ISBLANK(Q585), 0, IF(ISNA(VLOOKUP(Q585, Wages!$A$2:$C$17, 2, 0)), Q585, VLOOKUP(Q585, Wages!$A$2:$C$17, 2, 0))) * IF(ISBLANK(N585), 0, IF(ISNA(VLOOKUP(N585, Crews!$A$2:$C$28, 2, 0)), N585, VLOOKUP(N585, Crews!$A$2:$C$28, 2, 0))))) * 400</f>
        <v>125</v>
      </c>
      <c r="K585" s="1"/>
      <c r="L585" s="1" t="s">
        <v>1200</v>
      </c>
      <c r="M585" s="1" t="n">
        <v>3</v>
      </c>
      <c r="N585" s="1"/>
      <c r="O585" s="1"/>
      <c r="P585" s="1"/>
      <c r="Q585" s="1"/>
      <c r="R585" s="1" t="s">
        <v>689</v>
      </c>
      <c r="S585" s="5" t="s">
        <v>389</v>
      </c>
      <c r="T585" s="1"/>
    </row>
    <row r="586" customFormat="false" ht="15" hidden="false" customHeight="true" outlineLevel="0" collapsed="false">
      <c r="A586" s="1" t="s">
        <v>1204</v>
      </c>
      <c r="B586" s="1" t="n">
        <v>1877</v>
      </c>
      <c r="C586" s="1" t="n">
        <v>12</v>
      </c>
      <c r="D586" s="1" t="s">
        <v>38</v>
      </c>
      <c r="E586" s="1"/>
      <c r="F586" s="1"/>
      <c r="G586" s="1" t="n">
        <v>150</v>
      </c>
      <c r="H586" s="2" t="n">
        <v>332000</v>
      </c>
      <c r="I586" s="2" t="n">
        <f aca="false">(((H586 / 800) / IF(ISBLANK(R586), 1000000, IF(ISNA(VLOOKUP(R586, Mileages!$A$2:$C$34, 2, 0)), R586, VLOOKUP(R586, Mileages!$A$2:$C$34, 2, 0)))) + (F586 * IF(ISBLANK(P586), 1, P586) * IF(ISBLANK(T586), 0, IF(ISNA(VLOOKUP(T586, 'Fuel Costs'!$A$2:$C$42, 2, 0)), T586, VLOOKUP(T586, 'Fuel Costs'!$A$2:$C$42, 2, 0))) / IF(ISBLANK(O586), 1, O586))) * 100</f>
        <v>0.03458333333</v>
      </c>
      <c r="J586" s="2" t="n">
        <f aca="false">((H586 / 800) / (IF(ISBLANK(S586), 100, IF(ISNA(VLOOKUP(S586, Lives!$A$2:$C$35, 2, 0)), S586, VLOOKUP(S586, Lives!$A$2:$C$35, 2, 0))) * 12) + (IF(ISBLANK(Q586), 0, IF(ISNA(VLOOKUP(Q586, Wages!$A$2:$C$17, 2, 0)), Q586, VLOOKUP(Q586, Wages!$A$2:$C$17, 2, 0))) * IF(ISBLANK(N586), 0, IF(ISNA(VLOOKUP(N586, Crews!$A$2:$C$28, 2, 0)), N586, VLOOKUP(N586, Crews!$A$2:$C$28, 2, 0))))) * 400</f>
        <v>395.2380952</v>
      </c>
      <c r="K586" s="3" t="s">
        <v>1205</v>
      </c>
      <c r="L586" s="1" t="s">
        <v>1206</v>
      </c>
      <c r="M586" s="1" t="n">
        <v>0</v>
      </c>
      <c r="N586" s="1"/>
      <c r="O586" s="1"/>
      <c r="P586" s="1"/>
      <c r="Q586" s="1"/>
      <c r="R586" s="1" t="s">
        <v>689</v>
      </c>
      <c r="S586" s="1" t="s">
        <v>856</v>
      </c>
      <c r="T586" s="1"/>
    </row>
    <row r="587" customFormat="false" ht="15" hidden="false" customHeight="true" outlineLevel="0" collapsed="false">
      <c r="A587" s="1" t="s">
        <v>1207</v>
      </c>
      <c r="B587" s="1" t="n">
        <v>1877</v>
      </c>
      <c r="C587" s="1" t="n">
        <v>12</v>
      </c>
      <c r="D587" s="1" t="s">
        <v>38</v>
      </c>
      <c r="E587" s="1"/>
      <c r="F587" s="1"/>
      <c r="G587" s="1" t="n">
        <v>150</v>
      </c>
      <c r="H587" s="2" t="n">
        <v>332000</v>
      </c>
      <c r="I587" s="2" t="n">
        <f aca="false">(((H587 / 800) / IF(ISBLANK(R587), 1000000, IF(ISNA(VLOOKUP(R587, Mileages!$A$2:$C$34, 2, 0)), R587, VLOOKUP(R587, Mileages!$A$2:$C$34, 2, 0)))) + (F587 * IF(ISBLANK(P587), 1, P587) * IF(ISBLANK(T587), 0, IF(ISNA(VLOOKUP(T587, 'Fuel Costs'!$A$2:$C$42, 2, 0)), T587, VLOOKUP(T587, 'Fuel Costs'!$A$2:$C$42, 2, 0))) / IF(ISBLANK(O587), 1, O587))) * 100</f>
        <v>0.03458333333</v>
      </c>
      <c r="J587" s="2" t="n">
        <f aca="false">((H587 / 800) / (IF(ISBLANK(S587), 100, IF(ISNA(VLOOKUP(S587, Lives!$A$2:$C$35, 2, 0)), S587, VLOOKUP(S587, Lives!$A$2:$C$35, 2, 0))) * 12) + (IF(ISBLANK(Q587), 0, IF(ISNA(VLOOKUP(Q587, Wages!$A$2:$C$17, 2, 0)), Q587, VLOOKUP(Q587, Wages!$A$2:$C$17, 2, 0))) * IF(ISBLANK(N587), 0, IF(ISNA(VLOOKUP(N587, Crews!$A$2:$C$28, 2, 0)), N587, VLOOKUP(N587, Crews!$A$2:$C$28, 2, 0))))) * 400</f>
        <v>5195.238095</v>
      </c>
      <c r="K587" s="1" t="s">
        <v>437</v>
      </c>
      <c r="L587" s="1" t="s">
        <v>1206</v>
      </c>
      <c r="M587" s="1" t="n">
        <v>1</v>
      </c>
      <c r="N587" s="1" t="s">
        <v>25</v>
      </c>
      <c r="O587" s="1"/>
      <c r="P587" s="1"/>
      <c r="Q587" s="1" t="s">
        <v>378</v>
      </c>
      <c r="R587" s="1" t="s">
        <v>689</v>
      </c>
      <c r="S587" s="1" t="s">
        <v>856</v>
      </c>
      <c r="T587" s="1"/>
    </row>
    <row r="588" customFormat="false" ht="15" hidden="false" customHeight="true" outlineLevel="0" collapsed="false">
      <c r="A588" s="1" t="s">
        <v>1208</v>
      </c>
      <c r="B588" s="1" t="n">
        <v>1877</v>
      </c>
      <c r="C588" s="1" t="n">
        <v>12</v>
      </c>
      <c r="D588" s="1" t="s">
        <v>38</v>
      </c>
      <c r="E588" s="1"/>
      <c r="F588" s="1"/>
      <c r="G588" s="1" t="n">
        <v>150</v>
      </c>
      <c r="H588" s="2" t="n">
        <v>332000</v>
      </c>
      <c r="I588" s="2" t="n">
        <f aca="false">(((H588 / 800) / IF(ISBLANK(R588), 1000000, IF(ISNA(VLOOKUP(R588, Mileages!$A$2:$C$34, 2, 0)), R588, VLOOKUP(R588, Mileages!$A$2:$C$34, 2, 0)))) + (F588 * IF(ISBLANK(P588), 1, P588) * IF(ISBLANK(T588), 0, IF(ISNA(VLOOKUP(T588, 'Fuel Costs'!$A$2:$C$42, 2, 0)), T588, VLOOKUP(T588, 'Fuel Costs'!$A$2:$C$42, 2, 0))) / IF(ISBLANK(O588), 1, O588))) * 100</f>
        <v>0.03458333333</v>
      </c>
      <c r="J588" s="2" t="n">
        <f aca="false">((H588 / 800) / (IF(ISBLANK(S588), 100, IF(ISNA(VLOOKUP(S588, Lives!$A$2:$C$35, 2, 0)), S588, VLOOKUP(S588, Lives!$A$2:$C$35, 2, 0))) * 12) + (IF(ISBLANK(Q588), 0, IF(ISNA(VLOOKUP(Q588, Wages!$A$2:$C$17, 2, 0)), Q588, VLOOKUP(Q588, Wages!$A$2:$C$17, 2, 0))) * IF(ISBLANK(N588), 0, IF(ISNA(VLOOKUP(N588, Crews!$A$2:$C$28, 2, 0)), N588, VLOOKUP(N588, Crews!$A$2:$C$28, 2, 0))))) * 400</f>
        <v>5195.238095</v>
      </c>
      <c r="K588" s="1" t="s">
        <v>437</v>
      </c>
      <c r="L588" s="1" t="s">
        <v>1206</v>
      </c>
      <c r="M588" s="1" t="n">
        <v>2</v>
      </c>
      <c r="N588" s="1" t="s">
        <v>25</v>
      </c>
      <c r="O588" s="1"/>
      <c r="P588" s="1"/>
      <c r="Q588" s="1" t="s">
        <v>378</v>
      </c>
      <c r="R588" s="1" t="s">
        <v>689</v>
      </c>
      <c r="S588" s="1" t="s">
        <v>856</v>
      </c>
      <c r="T588" s="1"/>
    </row>
    <row r="589" customFormat="false" ht="15" hidden="false" customHeight="true" outlineLevel="0" collapsed="false">
      <c r="A589" s="1" t="s">
        <v>1209</v>
      </c>
      <c r="B589" s="1" t="n">
        <v>1877</v>
      </c>
      <c r="C589" s="1" t="n">
        <v>12</v>
      </c>
      <c r="D589" s="1" t="s">
        <v>38</v>
      </c>
      <c r="E589" s="1"/>
      <c r="F589" s="1"/>
      <c r="G589" s="1" t="n">
        <v>150</v>
      </c>
      <c r="H589" s="2" t="n">
        <v>332000</v>
      </c>
      <c r="I589" s="2" t="n">
        <f aca="false">(((H589 / 800) / IF(ISBLANK(R589), 1000000, IF(ISNA(VLOOKUP(R589, Mileages!$A$2:$C$34, 2, 0)), R589, VLOOKUP(R589, Mileages!$A$2:$C$34, 2, 0)))) + (F589 * IF(ISBLANK(P589), 1, P589) * IF(ISBLANK(T589), 0, IF(ISNA(VLOOKUP(T589, 'Fuel Costs'!$A$2:$C$42, 2, 0)), T589, VLOOKUP(T589, 'Fuel Costs'!$A$2:$C$42, 2, 0))) / IF(ISBLANK(O589), 1, O589))) * 100</f>
        <v>0.03458333333</v>
      </c>
      <c r="J589" s="2" t="n">
        <f aca="false">((H589 / 800) / (IF(ISBLANK(S589), 100, IF(ISNA(VLOOKUP(S589, Lives!$A$2:$C$35, 2, 0)), S589, VLOOKUP(S589, Lives!$A$2:$C$35, 2, 0))) * 12) + (IF(ISBLANK(Q589), 0, IF(ISNA(VLOOKUP(Q589, Wages!$A$2:$C$17, 2, 0)), Q589, VLOOKUP(Q589, Wages!$A$2:$C$17, 2, 0))) * IF(ISBLANK(N589), 0, IF(ISNA(VLOOKUP(N589, Crews!$A$2:$C$28, 2, 0)), N589, VLOOKUP(N589, Crews!$A$2:$C$28, 2, 0))))) * 400</f>
        <v>5195.238095</v>
      </c>
      <c r="K589" s="1" t="s">
        <v>437</v>
      </c>
      <c r="L589" s="1" t="s">
        <v>1206</v>
      </c>
      <c r="M589" s="1" t="n">
        <v>3</v>
      </c>
      <c r="N589" s="1" t="s">
        <v>25</v>
      </c>
      <c r="O589" s="1"/>
      <c r="P589" s="1"/>
      <c r="Q589" s="1" t="s">
        <v>378</v>
      </c>
      <c r="R589" s="1" t="s">
        <v>689</v>
      </c>
      <c r="S589" s="1" t="s">
        <v>856</v>
      </c>
      <c r="T589" s="1"/>
    </row>
    <row r="590" customFormat="false" ht="15" hidden="false" customHeight="true" outlineLevel="0" collapsed="false">
      <c r="A590" s="1" t="s">
        <v>1210</v>
      </c>
      <c r="B590" s="1" t="n">
        <v>1877</v>
      </c>
      <c r="C590" s="1" t="n">
        <v>12</v>
      </c>
      <c r="D590" s="1" t="s">
        <v>38</v>
      </c>
      <c r="E590" s="1"/>
      <c r="F590" s="1"/>
      <c r="G590" s="1" t="n">
        <v>150</v>
      </c>
      <c r="H590" s="2" t="n">
        <v>332000</v>
      </c>
      <c r="I590" s="2" t="n">
        <f aca="false">(((H590 / 800) / IF(ISBLANK(R590), 1000000, IF(ISNA(VLOOKUP(R590, Mileages!$A$2:$C$34, 2, 0)), R590, VLOOKUP(R590, Mileages!$A$2:$C$34, 2, 0)))) + (F590 * IF(ISBLANK(P590), 1, P590) * IF(ISBLANK(T590), 0, IF(ISNA(VLOOKUP(T590, 'Fuel Costs'!$A$2:$C$42, 2, 0)), T590, VLOOKUP(T590, 'Fuel Costs'!$A$2:$C$42, 2, 0))) / IF(ISBLANK(O590), 1, O590))) * 100</f>
        <v>0.03458333333</v>
      </c>
      <c r="J590" s="2" t="n">
        <f aca="false">((H590 / 800) / (IF(ISBLANK(S590), 100, IF(ISNA(VLOOKUP(S590, Lives!$A$2:$C$35, 2, 0)), S590, VLOOKUP(S590, Lives!$A$2:$C$35, 2, 0))) * 12) + (IF(ISBLANK(Q590), 0, IF(ISNA(VLOOKUP(Q590, Wages!$A$2:$C$17, 2, 0)), Q590, VLOOKUP(Q590, Wages!$A$2:$C$17, 2, 0))) * IF(ISBLANK(N590), 0, IF(ISNA(VLOOKUP(N590, Crews!$A$2:$C$28, 2, 0)), N590, VLOOKUP(N590, Crews!$A$2:$C$28, 2, 0))))) * 400</f>
        <v>138.3333333</v>
      </c>
      <c r="K590" s="1" t="s">
        <v>437</v>
      </c>
      <c r="L590" s="1" t="s">
        <v>1206</v>
      </c>
      <c r="M590" s="1" t="n">
        <v>4</v>
      </c>
      <c r="N590" s="1"/>
      <c r="O590" s="1"/>
      <c r="P590" s="1"/>
      <c r="Q590" s="1"/>
      <c r="R590" s="1" t="s">
        <v>689</v>
      </c>
      <c r="S590" s="5" t="s">
        <v>389</v>
      </c>
      <c r="T590" s="1"/>
    </row>
    <row r="591" customFormat="false" ht="15" hidden="false" customHeight="true" outlineLevel="0" collapsed="false">
      <c r="A591" s="1" t="s">
        <v>1211</v>
      </c>
      <c r="B591" s="1" t="n">
        <v>1877</v>
      </c>
      <c r="C591" s="1" t="n">
        <v>12</v>
      </c>
      <c r="D591" s="1" t="s">
        <v>38</v>
      </c>
      <c r="E591" s="1"/>
      <c r="F591" s="1"/>
      <c r="G591" s="1" t="n">
        <v>150</v>
      </c>
      <c r="H591" s="2" t="n">
        <v>332000</v>
      </c>
      <c r="I591" s="2" t="n">
        <f aca="false">(((H591 / 800) / IF(ISBLANK(R591), 1000000, IF(ISNA(VLOOKUP(R591, Mileages!$A$2:$C$34, 2, 0)), R591, VLOOKUP(R591, Mileages!$A$2:$C$34, 2, 0)))) + (F591 * IF(ISBLANK(P591), 1, P591) * IF(ISBLANK(T591), 0, IF(ISNA(VLOOKUP(T591, 'Fuel Costs'!$A$2:$C$42, 2, 0)), T591, VLOOKUP(T591, 'Fuel Costs'!$A$2:$C$42, 2, 0))) / IF(ISBLANK(O591), 1, O591))) * 100</f>
        <v>0.03458333333</v>
      </c>
      <c r="J591" s="2" t="n">
        <f aca="false">((H591 / 800) / (IF(ISBLANK(S591), 100, IF(ISNA(VLOOKUP(S591, Lives!$A$2:$C$35, 2, 0)), S591, VLOOKUP(S591, Lives!$A$2:$C$35, 2, 0))) * 12) + (IF(ISBLANK(Q591), 0, IF(ISNA(VLOOKUP(Q591, Wages!$A$2:$C$17, 2, 0)), Q591, VLOOKUP(Q591, Wages!$A$2:$C$17, 2, 0))) * IF(ISBLANK(N591), 0, IF(ISNA(VLOOKUP(N591, Crews!$A$2:$C$28, 2, 0)), N591, VLOOKUP(N591, Crews!$A$2:$C$28, 2, 0))))) * 400</f>
        <v>138.3333333</v>
      </c>
      <c r="K591" s="1" t="s">
        <v>437</v>
      </c>
      <c r="L591" s="1" t="s">
        <v>1206</v>
      </c>
      <c r="M591" s="1" t="n">
        <v>5</v>
      </c>
      <c r="N591" s="1"/>
      <c r="O591" s="1"/>
      <c r="P591" s="1"/>
      <c r="Q591" s="1"/>
      <c r="R591" s="1" t="s">
        <v>689</v>
      </c>
      <c r="S591" s="5" t="s">
        <v>389</v>
      </c>
      <c r="T591" s="1"/>
    </row>
    <row r="592" customFormat="false" ht="15" hidden="false" customHeight="true" outlineLevel="0" collapsed="false">
      <c r="A592" s="1" t="s">
        <v>1212</v>
      </c>
      <c r="B592" s="1" t="n">
        <v>1877</v>
      </c>
      <c r="C592" s="1" t="n">
        <v>12</v>
      </c>
      <c r="D592" s="1" t="s">
        <v>38</v>
      </c>
      <c r="E592" s="1"/>
      <c r="F592" s="1"/>
      <c r="G592" s="1" t="n">
        <v>150</v>
      </c>
      <c r="H592" s="2" t="n">
        <v>332000</v>
      </c>
      <c r="I592" s="2" t="n">
        <f aca="false">(((H592 / 800) / IF(ISBLANK(R592), 1000000, IF(ISNA(VLOOKUP(R592, Mileages!$A$2:$C$34, 2, 0)), R592, VLOOKUP(R592, Mileages!$A$2:$C$34, 2, 0)))) + (F592 * IF(ISBLANK(P592), 1, P592) * IF(ISBLANK(T592), 0, IF(ISNA(VLOOKUP(T592, 'Fuel Costs'!$A$2:$C$42, 2, 0)), T592, VLOOKUP(T592, 'Fuel Costs'!$A$2:$C$42, 2, 0))) / IF(ISBLANK(O592), 1, O592))) * 100</f>
        <v>0.03458333333</v>
      </c>
      <c r="J592" s="2" t="n">
        <f aca="false">((H592 / 800) / (IF(ISBLANK(S592), 100, IF(ISNA(VLOOKUP(S592, Lives!$A$2:$C$35, 2, 0)), S592, VLOOKUP(S592, Lives!$A$2:$C$35, 2, 0))) * 12) + (IF(ISBLANK(Q592), 0, IF(ISNA(VLOOKUP(Q592, Wages!$A$2:$C$17, 2, 0)), Q592, VLOOKUP(Q592, Wages!$A$2:$C$17, 2, 0))) * IF(ISBLANK(N592), 0, IF(ISNA(VLOOKUP(N592, Crews!$A$2:$C$28, 2, 0)), N592, VLOOKUP(N592, Crews!$A$2:$C$28, 2, 0))))) * 400</f>
        <v>138.3333333</v>
      </c>
      <c r="K592" s="1" t="s">
        <v>437</v>
      </c>
      <c r="L592" s="1" t="s">
        <v>1206</v>
      </c>
      <c r="M592" s="1" t="n">
        <v>6</v>
      </c>
      <c r="N592" s="1"/>
      <c r="O592" s="1"/>
      <c r="P592" s="1"/>
      <c r="Q592" s="1"/>
      <c r="R592" s="1" t="s">
        <v>689</v>
      </c>
      <c r="S592" s="5" t="s">
        <v>389</v>
      </c>
      <c r="T592" s="1"/>
    </row>
    <row r="593" customFormat="false" ht="15" hidden="false" customHeight="true" outlineLevel="0" collapsed="false">
      <c r="A593" s="1" t="s">
        <v>1213</v>
      </c>
      <c r="B593" s="1" t="n">
        <v>1878</v>
      </c>
      <c r="C593" s="1" t="n">
        <v>1</v>
      </c>
      <c r="D593" s="1" t="s">
        <v>38</v>
      </c>
      <c r="E593" s="1" t="s">
        <v>274</v>
      </c>
      <c r="F593" s="1" t="n">
        <v>209</v>
      </c>
      <c r="G593" s="1" t="n">
        <v>85</v>
      </c>
      <c r="H593" s="2" t="n">
        <f aca="false">1420000*2.4</f>
        <v>3408000</v>
      </c>
      <c r="I593" s="2" t="n">
        <f aca="false">(((H593 / 800) / IF(ISBLANK(R593), 1000000, IF(ISNA(VLOOKUP(R593, Mileages!$A$2:$C$34, 2, 0)), R593, VLOOKUP(R593, Mileages!$A$2:$C$34, 2, 0)))) + (F593 * IF(ISBLANK(P593), 1, P593) * IF(ISBLANK(T593), 0, IF(ISNA(VLOOKUP(T593, 'Fuel Costs'!$A$2:$C$42, 2, 0)), T593, VLOOKUP(T593, 'Fuel Costs'!$A$2:$C$42, 2, 0))) / IF(ISBLANK(O593), 1, O593))) * 100</f>
        <v>209.426</v>
      </c>
      <c r="J593" s="2" t="n">
        <f aca="false">((H593 / 800) / (IF(ISBLANK(S593), 100, IF(ISNA(VLOOKUP(S593, Lives!$A$2:$C$35, 2, 0)), S593, VLOOKUP(S593, Lives!$A$2:$C$35, 2, 0))) * 12) + (IF(ISBLANK(Q593), 0, IF(ISNA(VLOOKUP(Q593, Wages!$A$2:$C$17, 2, 0)), Q593, VLOOKUP(Q593, Wages!$A$2:$C$17, 2, 0))) * IF(ISBLANK(N593), 0, IF(ISNA(VLOOKUP(N593, Crews!$A$2:$C$28, 2, 0)), N593, VLOOKUP(N593, Crews!$A$2:$C$28, 2, 0))))) * 400</f>
        <v>26840</v>
      </c>
      <c r="K593" s="3" t="s">
        <v>1214</v>
      </c>
      <c r="L593" s="1" t="s">
        <v>1215</v>
      </c>
      <c r="M593" s="1" t="n">
        <v>0</v>
      </c>
      <c r="N593" s="1" t="s">
        <v>590</v>
      </c>
      <c r="O593" s="1" t="n">
        <v>0.6</v>
      </c>
      <c r="P593" s="1"/>
      <c r="Q593" s="5" t="s">
        <v>284</v>
      </c>
      <c r="R593" s="1" t="s">
        <v>677</v>
      </c>
      <c r="S593" s="1" t="s">
        <v>677</v>
      </c>
      <c r="T593" s="1" t="s">
        <v>889</v>
      </c>
    </row>
    <row r="594" customFormat="false" ht="15" hidden="false" customHeight="true" outlineLevel="0" collapsed="false">
      <c r="A594" s="1" t="s">
        <v>1216</v>
      </c>
      <c r="B594" s="1" t="n">
        <v>1878</v>
      </c>
      <c r="C594" s="1" t="n">
        <v>1</v>
      </c>
      <c r="D594" s="1" t="s">
        <v>29</v>
      </c>
      <c r="E594" s="1"/>
      <c r="F594" s="1"/>
      <c r="G594" s="1" t="n">
        <v>35</v>
      </c>
      <c r="H594" s="2" t="n">
        <v>0</v>
      </c>
      <c r="I594" s="2" t="n">
        <v>0</v>
      </c>
      <c r="J594" s="2"/>
      <c r="K594" s="1"/>
      <c r="L594" s="1" t="s">
        <v>279</v>
      </c>
      <c r="M594" s="1" t="n">
        <v>3</v>
      </c>
      <c r="N594" s="1"/>
      <c r="O594" s="1"/>
      <c r="P594" s="1"/>
      <c r="Q594" s="1"/>
      <c r="R594" s="1"/>
      <c r="S594" s="1"/>
      <c r="T594" s="1"/>
    </row>
    <row r="595" customFormat="false" ht="15" hidden="false" customHeight="true" outlineLevel="0" collapsed="false">
      <c r="A595" s="1" t="s">
        <v>1217</v>
      </c>
      <c r="B595" s="1" t="n">
        <v>1878</v>
      </c>
      <c r="C595" s="1" t="n">
        <v>2</v>
      </c>
      <c r="D595" s="1" t="s">
        <v>38</v>
      </c>
      <c r="E595" s="1" t="s">
        <v>274</v>
      </c>
      <c r="F595" s="1" t="n">
        <v>209</v>
      </c>
      <c r="G595" s="1" t="n">
        <v>87</v>
      </c>
      <c r="H595" s="2" t="n">
        <f aca="false">7616000*0.5</f>
        <v>3808000</v>
      </c>
      <c r="I595" s="2" t="n">
        <f aca="false">(((H595 / 800) / IF(ISBLANK(R595), 1000000, IF(ISNA(VLOOKUP(R595, Mileages!$A$2:$C$34, 2, 0)), R595, VLOOKUP(R595, Mileages!$A$2:$C$34, 2, 0)))) + (F595 * IF(ISBLANK(P595), 1, P595) * IF(ISBLANK(T595), 0, IF(ISNA(VLOOKUP(T595, 'Fuel Costs'!$A$2:$C$42, 2, 0)), T595, VLOOKUP(T595, 'Fuel Costs'!$A$2:$C$42, 2, 0))) / IF(ISBLANK(O595), 1, O595))) * 100</f>
        <v>209.476</v>
      </c>
      <c r="J595" s="2" t="n">
        <f aca="false">((H595 / 800) / (IF(ISBLANK(S595), 100, IF(ISNA(VLOOKUP(S595, Lives!$A$2:$C$35, 2, 0)), S595, VLOOKUP(S595, Lives!$A$2:$C$35, 2, 0))) * 12) + (IF(ISBLANK(Q595), 0, IF(ISNA(VLOOKUP(Q595, Wages!$A$2:$C$17, 2, 0)), Q595, VLOOKUP(Q595, Wages!$A$2:$C$17, 2, 0))) * IF(ISBLANK(N595), 0, IF(ISNA(VLOOKUP(N595, Crews!$A$2:$C$28, 2, 0)), N595, VLOOKUP(N595, Crews!$A$2:$C$28, 2, 0))))) * 400</f>
        <v>27173.33333</v>
      </c>
      <c r="K595" s="3" t="s">
        <v>1218</v>
      </c>
      <c r="L595" s="1" t="s">
        <v>1219</v>
      </c>
      <c r="M595" s="1" t="n">
        <v>0</v>
      </c>
      <c r="N595" s="1" t="s">
        <v>590</v>
      </c>
      <c r="O595" s="1" t="n">
        <v>0.6</v>
      </c>
      <c r="P595" s="1"/>
      <c r="Q595" s="5" t="s">
        <v>284</v>
      </c>
      <c r="R595" s="1" t="s">
        <v>677</v>
      </c>
      <c r="S595" s="1" t="s">
        <v>677</v>
      </c>
      <c r="T595" s="1" t="s">
        <v>889</v>
      </c>
    </row>
    <row r="596" customFormat="false" ht="15" hidden="false" customHeight="true" outlineLevel="0" collapsed="false">
      <c r="A596" s="1" t="s">
        <v>1220</v>
      </c>
      <c r="B596" s="1" t="n">
        <v>1878</v>
      </c>
      <c r="C596" s="1" t="n">
        <v>5</v>
      </c>
      <c r="D596" s="1" t="s">
        <v>38</v>
      </c>
      <c r="E596" s="1"/>
      <c r="F596" s="1"/>
      <c r="G596" s="1" t="n">
        <v>150</v>
      </c>
      <c r="H596" s="2" t="n">
        <v>325000</v>
      </c>
      <c r="I596" s="2" t="n">
        <f aca="false">(((H596 / 800) / IF(ISBLANK(R596), 1000000, IF(ISNA(VLOOKUP(R596, Mileages!$A$2:$C$34, 2, 0)), R596, VLOOKUP(R596, Mileages!$A$2:$C$34, 2, 0)))) + (F596 * IF(ISBLANK(P596), 1, P596) * IF(ISBLANK(T596), 0, IF(ISNA(VLOOKUP(T596, 'Fuel Costs'!$A$2:$C$42, 2, 0)), T596, VLOOKUP(T596, 'Fuel Costs'!$A$2:$C$42, 2, 0))) / IF(ISBLANK(O596), 1, O596))) * 100</f>
        <v>0.03385416667</v>
      </c>
      <c r="J596" s="2" t="n">
        <f aca="false">((H596 / 800) / (IF(ISBLANK(S596), 100, IF(ISNA(VLOOKUP(S596, Lives!$A$2:$C$35, 2, 0)), S596, VLOOKUP(S596, Lives!$A$2:$C$35, 2, 0))) * 12) + (IF(ISBLANK(Q596), 0, IF(ISNA(VLOOKUP(Q596, Wages!$A$2:$C$17, 2, 0)), Q596, VLOOKUP(Q596, Wages!$A$2:$C$17, 2, 0))) * IF(ISBLANK(N596), 0, IF(ISNA(VLOOKUP(N596, Crews!$A$2:$C$28, 2, 0)), N596, VLOOKUP(N596, Crews!$A$2:$C$28, 2, 0))))) * 400</f>
        <v>5186.904762</v>
      </c>
      <c r="K596" s="3" t="s">
        <v>1221</v>
      </c>
      <c r="L596" s="1" t="s">
        <v>1222</v>
      </c>
      <c r="M596" s="1" t="n">
        <v>0</v>
      </c>
      <c r="N596" s="1" t="s">
        <v>25</v>
      </c>
      <c r="O596" s="1"/>
      <c r="P596" s="1"/>
      <c r="Q596" s="1" t="s">
        <v>378</v>
      </c>
      <c r="R596" s="1" t="s">
        <v>689</v>
      </c>
      <c r="S596" s="1" t="s">
        <v>856</v>
      </c>
      <c r="T596" s="1"/>
    </row>
    <row r="597" customFormat="false" ht="15" hidden="false" customHeight="true" outlineLevel="0" collapsed="false">
      <c r="A597" s="1" t="s">
        <v>1223</v>
      </c>
      <c r="B597" s="1" t="n">
        <v>1878</v>
      </c>
      <c r="C597" s="1" t="n">
        <v>5</v>
      </c>
      <c r="D597" s="1" t="s">
        <v>38</v>
      </c>
      <c r="E597" s="1"/>
      <c r="F597" s="1"/>
      <c r="G597" s="1" t="n">
        <v>150</v>
      </c>
      <c r="H597" s="2" t="n">
        <v>325000</v>
      </c>
      <c r="I597" s="2" t="n">
        <f aca="false">(((H597 / 800) / IF(ISBLANK(R597), 1000000, IF(ISNA(VLOOKUP(R597, Mileages!$A$2:$C$34, 2, 0)), R597, VLOOKUP(R597, Mileages!$A$2:$C$34, 2, 0)))) + (F597 * IF(ISBLANK(P597), 1, P597) * IF(ISBLANK(T597), 0, IF(ISNA(VLOOKUP(T597, 'Fuel Costs'!$A$2:$C$42, 2, 0)), T597, VLOOKUP(T597, 'Fuel Costs'!$A$2:$C$42, 2, 0))) / IF(ISBLANK(O597), 1, O597))) * 100</f>
        <v>0.03385416667</v>
      </c>
      <c r="J597" s="2" t="n">
        <f aca="false">((H597 / 800) / (IF(ISBLANK(S597), 100, IF(ISNA(VLOOKUP(S597, Lives!$A$2:$C$35, 2, 0)), S597, VLOOKUP(S597, Lives!$A$2:$C$35, 2, 0))) * 12) + (IF(ISBLANK(Q597), 0, IF(ISNA(VLOOKUP(Q597, Wages!$A$2:$C$17, 2, 0)), Q597, VLOOKUP(Q597, Wages!$A$2:$C$17, 2, 0))) * IF(ISBLANK(N597), 0, IF(ISNA(VLOOKUP(N597, Crews!$A$2:$C$28, 2, 0)), N597, VLOOKUP(N597, Crews!$A$2:$C$28, 2, 0))))) * 400</f>
        <v>5186.904762</v>
      </c>
      <c r="K597" s="1" t="s">
        <v>1224</v>
      </c>
      <c r="L597" s="1" t="s">
        <v>1222</v>
      </c>
      <c r="M597" s="1" t="n">
        <v>1</v>
      </c>
      <c r="N597" s="1" t="s">
        <v>25</v>
      </c>
      <c r="O597" s="1"/>
      <c r="P597" s="1"/>
      <c r="Q597" s="1" t="s">
        <v>378</v>
      </c>
      <c r="R597" s="1" t="s">
        <v>689</v>
      </c>
      <c r="S597" s="1" t="s">
        <v>856</v>
      </c>
      <c r="T597" s="1"/>
    </row>
    <row r="598" customFormat="false" ht="15" hidden="false" customHeight="true" outlineLevel="0" collapsed="false">
      <c r="A598" s="1" t="s">
        <v>1225</v>
      </c>
      <c r="B598" s="1" t="n">
        <v>1878</v>
      </c>
      <c r="C598" s="1" t="n">
        <v>5</v>
      </c>
      <c r="D598" s="1" t="s">
        <v>38</v>
      </c>
      <c r="E598" s="1"/>
      <c r="F598" s="1"/>
      <c r="G598" s="1" t="n">
        <v>150</v>
      </c>
      <c r="H598" s="2" t="n">
        <v>325000</v>
      </c>
      <c r="I598" s="2" t="n">
        <f aca="false">(((H598 / 800) / IF(ISBLANK(R598), 1000000, IF(ISNA(VLOOKUP(R598, Mileages!$A$2:$C$34, 2, 0)), R598, VLOOKUP(R598, Mileages!$A$2:$C$34, 2, 0)))) + (F598 * IF(ISBLANK(P598), 1, P598) * IF(ISBLANK(T598), 0, IF(ISNA(VLOOKUP(T598, 'Fuel Costs'!$A$2:$C$42, 2, 0)), T598, VLOOKUP(T598, 'Fuel Costs'!$A$2:$C$42, 2, 0))) / IF(ISBLANK(O598), 1, O598))) * 100</f>
        <v>0.03385416667</v>
      </c>
      <c r="J598" s="2" t="n">
        <f aca="false">((H598 / 800) / (IF(ISBLANK(S598), 100, IF(ISNA(VLOOKUP(S598, Lives!$A$2:$C$35, 2, 0)), S598, VLOOKUP(S598, Lives!$A$2:$C$35, 2, 0))) * 12) + (IF(ISBLANK(Q598), 0, IF(ISNA(VLOOKUP(Q598, Wages!$A$2:$C$17, 2, 0)), Q598, VLOOKUP(Q598, Wages!$A$2:$C$17, 2, 0))) * IF(ISBLANK(N598), 0, IF(ISNA(VLOOKUP(N598, Crews!$A$2:$C$28, 2, 0)), N598, VLOOKUP(N598, Crews!$A$2:$C$28, 2, 0))))) * 400</f>
        <v>386.9047619</v>
      </c>
      <c r="K598" s="3" t="s">
        <v>1226</v>
      </c>
      <c r="L598" s="1" t="s">
        <v>1222</v>
      </c>
      <c r="M598" s="1" t="n">
        <v>2</v>
      </c>
      <c r="N598" s="1"/>
      <c r="O598" s="1"/>
      <c r="P598" s="1"/>
      <c r="Q598" s="1"/>
      <c r="R598" s="1" t="s">
        <v>689</v>
      </c>
      <c r="S598" s="1" t="s">
        <v>856</v>
      </c>
      <c r="T598" s="1"/>
    </row>
    <row r="599" customFormat="false" ht="15" hidden="false" customHeight="true" outlineLevel="0" collapsed="false">
      <c r="A599" s="1" t="s">
        <v>1227</v>
      </c>
      <c r="B599" s="1" t="n">
        <v>1878</v>
      </c>
      <c r="C599" s="1" t="n">
        <v>6</v>
      </c>
      <c r="D599" s="1" t="s">
        <v>38</v>
      </c>
      <c r="E599" s="1" t="s">
        <v>274</v>
      </c>
      <c r="F599" s="1" t="n">
        <v>203</v>
      </c>
      <c r="G599" s="1" t="n">
        <v>127</v>
      </c>
      <c r="H599" s="2" t="n">
        <f aca="false">2900000*3</f>
        <v>8700000</v>
      </c>
      <c r="I599" s="2" t="n">
        <f aca="false">(((H599 / 800) / IF(ISBLANK(R599), 1000000, IF(ISNA(VLOOKUP(R599, Mileages!$A$2:$C$34, 2, 0)), R599, VLOOKUP(R599, Mileages!$A$2:$C$34, 2, 0)))) + (F599 * IF(ISBLANK(P599), 1, P599) * IF(ISBLANK(T599), 0, IF(ISNA(VLOOKUP(T599, 'Fuel Costs'!$A$2:$C$42, 2, 0)), T599, VLOOKUP(T599, 'Fuel Costs'!$A$2:$C$42, 2, 0))) / IF(ISBLANK(O599), 1, O599))) * 100</f>
        <v>204.0875</v>
      </c>
      <c r="J599" s="2" t="n">
        <f aca="false">((H599 / 800) / (IF(ISBLANK(S599), 100, IF(ISNA(VLOOKUP(S599, Lives!$A$2:$C$35, 2, 0)), S599, VLOOKUP(S599, Lives!$A$2:$C$35, 2, 0))) * 12) + (IF(ISBLANK(Q599), 0, IF(ISNA(VLOOKUP(Q599, Wages!$A$2:$C$17, 2, 0)), Q599, VLOOKUP(Q599, Wages!$A$2:$C$17, 2, 0))) * IF(ISBLANK(N599), 0, IF(ISNA(VLOOKUP(N599, Crews!$A$2:$C$28, 2, 0)), N599, VLOOKUP(N599, Crews!$A$2:$C$28, 2, 0))))) * 400</f>
        <v>31250</v>
      </c>
      <c r="K599" s="3" t="s">
        <v>1228</v>
      </c>
      <c r="L599" s="1" t="s">
        <v>1229</v>
      </c>
      <c r="M599" s="1" t="n">
        <v>0</v>
      </c>
      <c r="N599" s="1" t="s">
        <v>590</v>
      </c>
      <c r="O599" s="1" t="n">
        <v>0.6</v>
      </c>
      <c r="P599" s="1"/>
      <c r="Q599" s="5" t="s">
        <v>284</v>
      </c>
      <c r="R599" s="1" t="s">
        <v>677</v>
      </c>
      <c r="S599" s="1" t="s">
        <v>677</v>
      </c>
      <c r="T599" s="1" t="s">
        <v>889</v>
      </c>
    </row>
    <row r="600" customFormat="false" ht="15" hidden="false" customHeight="true" outlineLevel="0" collapsed="false">
      <c r="A600" s="1" t="s">
        <v>1230</v>
      </c>
      <c r="B600" s="1" t="n">
        <v>1878</v>
      </c>
      <c r="C600" s="1" t="n">
        <v>6</v>
      </c>
      <c r="D600" s="1" t="s">
        <v>29</v>
      </c>
      <c r="E600" s="1" t="s">
        <v>274</v>
      </c>
      <c r="F600" s="1" t="n">
        <v>650</v>
      </c>
      <c r="G600" s="1" t="n">
        <v>39</v>
      </c>
      <c r="H600" s="2" t="n">
        <f aca="false">79500000*4</f>
        <v>318000000</v>
      </c>
      <c r="I600" s="2" t="n">
        <f aca="false">(((H600 / 800) / IF(ISBLANK(R600), 1000000, IF(ISNA(VLOOKUP(R600, Mileages!$A$2:$C$34, 2, 0)), R600, VLOOKUP(R600, Mileages!$A$2:$C$34, 2, 0)))) + (F600 * IF(ISBLANK(P600), 1, P600) * IF(ISBLANK(T600), 0, IF(ISNA(VLOOKUP(T600, 'Fuel Costs'!$A$2:$C$42, 2, 0)), T600, VLOOKUP(T600, 'Fuel Costs'!$A$2:$C$42, 2, 0))) / IF(ISBLANK(O600), 1, O600))) * 100</f>
        <v>106.9479167</v>
      </c>
      <c r="J600" s="2" t="n">
        <f aca="false">((H600 / 800) / (IF(ISBLANK(S600), 100, IF(ISNA(VLOOKUP(S600, Lives!$A$2:$C$35, 2, 0)), S600, VLOOKUP(S600, Lives!$A$2:$C$35, 2, 0))) * 12) + (IF(ISBLANK(Q600), 0, IF(ISNA(VLOOKUP(Q600, Wages!$A$2:$C$17, 2, 0)), Q600, VLOOKUP(Q600, Wages!$A$2:$C$17, 2, 0))) * IF(ISBLANK(N600), 0, IF(ISNA(VLOOKUP(N600, Crews!$A$2:$C$28, 2, 0)), N600, VLOOKUP(N600, Crews!$A$2:$C$28, 2, 0))))) * 400</f>
        <v>732500</v>
      </c>
      <c r="K600" s="3" t="s">
        <v>1231</v>
      </c>
      <c r="L600" s="1" t="s">
        <v>1232</v>
      </c>
      <c r="M600" s="1" t="n">
        <v>0</v>
      </c>
      <c r="N600" s="1" t="s">
        <v>754</v>
      </c>
      <c r="O600" s="1" t="n">
        <v>1</v>
      </c>
      <c r="P600" s="1" t="n">
        <v>0.223263888888888</v>
      </c>
      <c r="Q600" s="1" t="s">
        <v>34</v>
      </c>
      <c r="R600" s="1" t="s">
        <v>574</v>
      </c>
      <c r="S600" s="1" t="s">
        <v>574</v>
      </c>
      <c r="T600" s="1" t="s">
        <v>889</v>
      </c>
    </row>
    <row r="601" customFormat="false" ht="15" hidden="false" customHeight="true" outlineLevel="0" collapsed="false">
      <c r="A601" s="1" t="s">
        <v>1233</v>
      </c>
      <c r="B601" s="1" t="n">
        <v>1879</v>
      </c>
      <c r="C601" s="1" t="n">
        <v>1</v>
      </c>
      <c r="D601" s="1" t="s">
        <v>38</v>
      </c>
      <c r="E601" s="1"/>
      <c r="F601" s="1"/>
      <c r="G601" s="1" t="n">
        <v>150</v>
      </c>
      <c r="H601" s="2" t="n">
        <v>332000</v>
      </c>
      <c r="I601" s="2" t="n">
        <f aca="false">(((H601 / 800) / IF(ISBLANK(R601), 1000000, IF(ISNA(VLOOKUP(R601, Mileages!$A$2:$C$34, 2, 0)), R601, VLOOKUP(R601, Mileages!$A$2:$C$34, 2, 0)))) + (F601 * IF(ISBLANK(P601), 1, P601) * IF(ISBLANK(T601), 0, IF(ISNA(VLOOKUP(T601, 'Fuel Costs'!$A$2:$C$42, 2, 0)), T601, VLOOKUP(T601, 'Fuel Costs'!$A$2:$C$42, 2, 0))) / IF(ISBLANK(O601), 1, O601))) * 100</f>
        <v>0.03458333333</v>
      </c>
      <c r="J601" s="2" t="n">
        <f aca="false">((H601 / 800) / (IF(ISBLANK(S601), 100, IF(ISNA(VLOOKUP(S601, Lives!$A$2:$C$35, 2, 0)), S601, VLOOKUP(S601, Lives!$A$2:$C$35, 2, 0))) * 12) + (IF(ISBLANK(Q601), 0, IF(ISNA(VLOOKUP(Q601, Wages!$A$2:$C$17, 2, 0)), Q601, VLOOKUP(Q601, Wages!$A$2:$C$17, 2, 0))) * IF(ISBLANK(N601), 0, IF(ISNA(VLOOKUP(N601, Crews!$A$2:$C$28, 2, 0)), N601, VLOOKUP(N601, Crews!$A$2:$C$28, 2, 0))))) * 400</f>
        <v>138.3333333</v>
      </c>
      <c r="K601" s="3" t="s">
        <v>1234</v>
      </c>
      <c r="L601" s="1" t="s">
        <v>1122</v>
      </c>
      <c r="M601" s="1" t="n">
        <v>4</v>
      </c>
      <c r="N601" s="1"/>
      <c r="O601" s="1"/>
      <c r="P601" s="1"/>
      <c r="Q601" s="1"/>
      <c r="R601" s="1" t="s">
        <v>689</v>
      </c>
      <c r="S601" s="5" t="s">
        <v>389</v>
      </c>
      <c r="T601" s="1"/>
    </row>
    <row r="602" customFormat="false" ht="15" hidden="false" customHeight="true" outlineLevel="0" collapsed="false">
      <c r="A602" s="1" t="s">
        <v>1235</v>
      </c>
      <c r="B602" s="1" t="n">
        <v>1879</v>
      </c>
      <c r="C602" s="1" t="n">
        <v>1</v>
      </c>
      <c r="D602" s="1" t="s">
        <v>38</v>
      </c>
      <c r="E602" s="1"/>
      <c r="F602" s="1"/>
      <c r="G602" s="1" t="n">
        <v>150</v>
      </c>
      <c r="H602" s="2" t="n">
        <v>332000</v>
      </c>
      <c r="I602" s="2" t="n">
        <f aca="false">(((H602 / 800) / IF(ISBLANK(R602), 1000000, IF(ISNA(VLOOKUP(R602, Mileages!$A$2:$C$34, 2, 0)), R602, VLOOKUP(R602, Mileages!$A$2:$C$34, 2, 0)))) + (F602 * IF(ISBLANK(P602), 1, P602) * IF(ISBLANK(T602), 0, IF(ISNA(VLOOKUP(T602, 'Fuel Costs'!$A$2:$C$42, 2, 0)), T602, VLOOKUP(T602, 'Fuel Costs'!$A$2:$C$42, 2, 0))) / IF(ISBLANK(O602), 1, O602))) * 100</f>
        <v>0.03458333333</v>
      </c>
      <c r="J602" s="2" t="n">
        <f aca="false">((H602 / 800) / (IF(ISBLANK(S602), 100, IF(ISNA(VLOOKUP(S602, Lives!$A$2:$C$35, 2, 0)), S602, VLOOKUP(S602, Lives!$A$2:$C$35, 2, 0))) * 12) + (IF(ISBLANK(Q602), 0, IF(ISNA(VLOOKUP(Q602, Wages!$A$2:$C$17, 2, 0)), Q602, VLOOKUP(Q602, Wages!$A$2:$C$17, 2, 0))) * IF(ISBLANK(N602), 0, IF(ISNA(VLOOKUP(N602, Crews!$A$2:$C$28, 2, 0)), N602, VLOOKUP(N602, Crews!$A$2:$C$28, 2, 0))))) * 400</f>
        <v>24138.33333</v>
      </c>
      <c r="K602" s="3" t="s">
        <v>1236</v>
      </c>
      <c r="L602" s="1" t="s">
        <v>1122</v>
      </c>
      <c r="M602" s="1" t="n">
        <v>5</v>
      </c>
      <c r="N602" s="1" t="s">
        <v>551</v>
      </c>
      <c r="O602" s="1"/>
      <c r="P602" s="1"/>
      <c r="Q602" s="1" t="s">
        <v>551</v>
      </c>
      <c r="R602" s="1" t="s">
        <v>689</v>
      </c>
      <c r="S602" s="1" t="s">
        <v>389</v>
      </c>
      <c r="T602" s="1"/>
    </row>
    <row r="603" customFormat="false" ht="15" hidden="false" customHeight="true" outlineLevel="0" collapsed="false">
      <c r="A603" s="1" t="s">
        <v>1237</v>
      </c>
      <c r="B603" s="1" t="n">
        <v>1879</v>
      </c>
      <c r="C603" s="1" t="n">
        <v>3</v>
      </c>
      <c r="D603" s="1" t="s">
        <v>38</v>
      </c>
      <c r="E603" s="1" t="s">
        <v>274</v>
      </c>
      <c r="F603" s="1" t="n">
        <v>216</v>
      </c>
      <c r="G603" s="1" t="n">
        <v>95</v>
      </c>
      <c r="H603" s="2" t="n">
        <f aca="false">8825000*0.6</f>
        <v>5295000</v>
      </c>
      <c r="I603" s="2" t="n">
        <f aca="false">(((H603 / 800) / IF(ISBLANK(R603), 1000000, IF(ISNA(VLOOKUP(R603, Mileages!$A$2:$C$34, 2, 0)), R603, VLOOKUP(R603, Mileages!$A$2:$C$34, 2, 0)))) + (F603 * IF(ISBLANK(P603), 1, P603) * IF(ISBLANK(T603), 0, IF(ISNA(VLOOKUP(T603, 'Fuel Costs'!$A$2:$C$42, 2, 0)), T603, VLOOKUP(T603, 'Fuel Costs'!$A$2:$C$42, 2, 0))) / IF(ISBLANK(O603), 1, O603))) * 100</f>
        <v>216.661875</v>
      </c>
      <c r="J603" s="2" t="n">
        <f aca="false">((H603 / 800) / (IF(ISBLANK(S603), 100, IF(ISNA(VLOOKUP(S603, Lives!$A$2:$C$35, 2, 0)), S603, VLOOKUP(S603, Lives!$A$2:$C$35, 2, 0))) * 12) + (IF(ISBLANK(Q603), 0, IF(ISNA(VLOOKUP(Q603, Wages!$A$2:$C$17, 2, 0)), Q603, VLOOKUP(Q603, Wages!$A$2:$C$17, 2, 0))) * IF(ISBLANK(N603), 0, IF(ISNA(VLOOKUP(N603, Crews!$A$2:$C$28, 2, 0)), N603, VLOOKUP(N603, Crews!$A$2:$C$28, 2, 0))))) * 400</f>
        <v>28412.5</v>
      </c>
      <c r="K603" s="3" t="s">
        <v>1238</v>
      </c>
      <c r="L603" s="1" t="s">
        <v>1239</v>
      </c>
      <c r="M603" s="1" t="n">
        <v>0</v>
      </c>
      <c r="N603" s="1" t="s">
        <v>590</v>
      </c>
      <c r="O603" s="1" t="n">
        <v>0.6</v>
      </c>
      <c r="P603" s="1"/>
      <c r="Q603" s="5" t="s">
        <v>284</v>
      </c>
      <c r="R603" s="1" t="s">
        <v>677</v>
      </c>
      <c r="S603" s="1" t="s">
        <v>677</v>
      </c>
      <c r="T603" s="1" t="s">
        <v>889</v>
      </c>
    </row>
    <row r="604" customFormat="false" ht="15" hidden="false" customHeight="true" outlineLevel="0" collapsed="false">
      <c r="A604" s="1" t="s">
        <v>1240</v>
      </c>
      <c r="B604" s="1" t="n">
        <v>1879</v>
      </c>
      <c r="C604" s="1" t="n">
        <v>3</v>
      </c>
      <c r="D604" s="1" t="s">
        <v>38</v>
      </c>
      <c r="E604" s="1"/>
      <c r="F604" s="1"/>
      <c r="G604" s="1" t="n">
        <v>160</v>
      </c>
      <c r="H604" s="2" t="n">
        <v>510000</v>
      </c>
      <c r="I604" s="2" t="n">
        <f aca="false">(((H604 / 800) / IF(ISBLANK(R604), 1000000, IF(ISNA(VLOOKUP(R604, Mileages!$A$2:$C$34, 2, 0)), R604, VLOOKUP(R604, Mileages!$A$2:$C$34, 2, 0)))) + (F604 * IF(ISBLANK(P604), 1, P604) * IF(ISBLANK(T604), 0, IF(ISNA(VLOOKUP(T604, 'Fuel Costs'!$A$2:$C$42, 2, 0)), T604, VLOOKUP(T604, 'Fuel Costs'!$A$2:$C$42, 2, 0))) / IF(ISBLANK(O604), 1, O604))) * 100</f>
        <v>0.053125</v>
      </c>
      <c r="J604" s="2" t="n">
        <f aca="false">((H604 / 800) / (IF(ISBLANK(S604), 100, IF(ISNA(VLOOKUP(S604, Lives!$A$2:$C$35, 2, 0)), S604, VLOOKUP(S604, Lives!$A$2:$C$35, 2, 0))) * 12) + (IF(ISBLANK(Q604), 0, IF(ISNA(VLOOKUP(Q604, Wages!$A$2:$C$17, 2, 0)), Q604, VLOOKUP(Q604, Wages!$A$2:$C$17, 2, 0))) * IF(ISBLANK(N604), 0, IF(ISNA(VLOOKUP(N604, Crews!$A$2:$C$28, 2, 0)), N604, VLOOKUP(N604, Crews!$A$2:$C$28, 2, 0))))) * 400</f>
        <v>607.1428571</v>
      </c>
      <c r="K604" s="3" t="s">
        <v>1111</v>
      </c>
      <c r="L604" s="1" t="s">
        <v>1241</v>
      </c>
      <c r="M604" s="1" t="n">
        <v>0</v>
      </c>
      <c r="N604" s="1"/>
      <c r="O604" s="1"/>
      <c r="P604" s="1"/>
      <c r="Q604" s="1"/>
      <c r="R604" s="1" t="s">
        <v>689</v>
      </c>
      <c r="S604" s="1" t="s">
        <v>856</v>
      </c>
      <c r="T604" s="1"/>
    </row>
    <row r="605" customFormat="false" ht="15" hidden="false" customHeight="true" outlineLevel="0" collapsed="false">
      <c r="A605" s="1" t="s">
        <v>1242</v>
      </c>
      <c r="B605" s="1" t="n">
        <v>1879</v>
      </c>
      <c r="C605" s="1" t="n">
        <v>3</v>
      </c>
      <c r="D605" s="1" t="s">
        <v>38</v>
      </c>
      <c r="E605" s="1"/>
      <c r="F605" s="1"/>
      <c r="G605" s="1" t="n">
        <v>160</v>
      </c>
      <c r="H605" s="2" t="n">
        <v>510000</v>
      </c>
      <c r="I605" s="2" t="n">
        <f aca="false">(((H605 / 800) / IF(ISBLANK(R605), 1000000, IF(ISNA(VLOOKUP(R605, Mileages!$A$2:$C$34, 2, 0)), R605, VLOOKUP(R605, Mileages!$A$2:$C$34, 2, 0)))) + (F605 * IF(ISBLANK(P605), 1, P605) * IF(ISBLANK(T605), 0, IF(ISNA(VLOOKUP(T605, 'Fuel Costs'!$A$2:$C$42, 2, 0)), T605, VLOOKUP(T605, 'Fuel Costs'!$A$2:$C$42, 2, 0))) / IF(ISBLANK(O605), 1, O605))) * 100</f>
        <v>0.053125</v>
      </c>
      <c r="J605" s="2" t="n">
        <f aca="false">((H605 / 800) / (IF(ISBLANK(S605), 100, IF(ISNA(VLOOKUP(S605, Lives!$A$2:$C$35, 2, 0)), S605, VLOOKUP(S605, Lives!$A$2:$C$35, 2, 0))) * 12) + (IF(ISBLANK(Q605), 0, IF(ISNA(VLOOKUP(Q605, Wages!$A$2:$C$17, 2, 0)), Q605, VLOOKUP(Q605, Wages!$A$2:$C$17, 2, 0))) * IF(ISBLANK(N605), 0, IF(ISNA(VLOOKUP(N605, Crews!$A$2:$C$28, 2, 0)), N605, VLOOKUP(N605, Crews!$A$2:$C$28, 2, 0))))) * 400</f>
        <v>5407.142857</v>
      </c>
      <c r="K605" s="3" t="s">
        <v>1111</v>
      </c>
      <c r="L605" s="1" t="s">
        <v>1241</v>
      </c>
      <c r="M605" s="1" t="n">
        <v>2</v>
      </c>
      <c r="N605" s="1" t="s">
        <v>25</v>
      </c>
      <c r="O605" s="1"/>
      <c r="P605" s="1"/>
      <c r="Q605" s="1" t="s">
        <v>378</v>
      </c>
      <c r="R605" s="1" t="s">
        <v>689</v>
      </c>
      <c r="S605" s="1" t="s">
        <v>856</v>
      </c>
      <c r="T605" s="1"/>
    </row>
    <row r="606" customFormat="false" ht="15" hidden="false" customHeight="true" outlineLevel="0" collapsed="false">
      <c r="A606" s="1" t="s">
        <v>1243</v>
      </c>
      <c r="B606" s="1" t="n">
        <v>1879</v>
      </c>
      <c r="C606" s="1" t="n">
        <v>3</v>
      </c>
      <c r="D606" s="1" t="s">
        <v>38</v>
      </c>
      <c r="E606" s="1"/>
      <c r="F606" s="1"/>
      <c r="G606" s="1" t="n">
        <v>160</v>
      </c>
      <c r="H606" s="2" t="n">
        <v>510000</v>
      </c>
      <c r="I606" s="2" t="n">
        <f aca="false">(((H606 / 800) / IF(ISBLANK(R606), 1000000, IF(ISNA(VLOOKUP(R606, Mileages!$A$2:$C$34, 2, 0)), R606, VLOOKUP(R606, Mileages!$A$2:$C$34, 2, 0)))) + (F606 * IF(ISBLANK(P606), 1, P606) * IF(ISBLANK(T606), 0, IF(ISNA(VLOOKUP(T606, 'Fuel Costs'!$A$2:$C$42, 2, 0)), T606, VLOOKUP(T606, 'Fuel Costs'!$A$2:$C$42, 2, 0))) / IF(ISBLANK(O606), 1, O606))) * 100</f>
        <v>0.053125</v>
      </c>
      <c r="J606" s="2" t="n">
        <f aca="false">((H606 / 800) / (IF(ISBLANK(S606), 100, IF(ISNA(VLOOKUP(S606, Lives!$A$2:$C$35, 2, 0)), S606, VLOOKUP(S606, Lives!$A$2:$C$35, 2, 0))) * 12) + (IF(ISBLANK(Q606), 0, IF(ISNA(VLOOKUP(Q606, Wages!$A$2:$C$17, 2, 0)), Q606, VLOOKUP(Q606, Wages!$A$2:$C$17, 2, 0))) * IF(ISBLANK(N606), 0, IF(ISNA(VLOOKUP(N606, Crews!$A$2:$C$28, 2, 0)), N606, VLOOKUP(N606, Crews!$A$2:$C$28, 2, 0))))) * 400</f>
        <v>5407.142857</v>
      </c>
      <c r="K606" s="3" t="s">
        <v>1111</v>
      </c>
      <c r="L606" s="1" t="s">
        <v>1241</v>
      </c>
      <c r="M606" s="1" t="n">
        <v>3</v>
      </c>
      <c r="N606" s="1" t="s">
        <v>25</v>
      </c>
      <c r="O606" s="1"/>
      <c r="P606" s="1"/>
      <c r="Q606" s="1" t="s">
        <v>378</v>
      </c>
      <c r="R606" s="1" t="s">
        <v>689</v>
      </c>
      <c r="S606" s="1" t="s">
        <v>856</v>
      </c>
      <c r="T606" s="1"/>
    </row>
    <row r="607" customFormat="false" ht="15" hidden="false" customHeight="true" outlineLevel="0" collapsed="false">
      <c r="A607" s="1" t="s">
        <v>1244</v>
      </c>
      <c r="B607" s="1" t="n">
        <v>1879</v>
      </c>
      <c r="C607" s="1" t="n">
        <v>3</v>
      </c>
      <c r="D607" s="1" t="s">
        <v>38</v>
      </c>
      <c r="E607" s="1"/>
      <c r="F607" s="1"/>
      <c r="G607" s="1" t="n">
        <v>160</v>
      </c>
      <c r="H607" s="2" t="n">
        <v>645408</v>
      </c>
      <c r="I607" s="2" t="n">
        <f aca="false">(((H607 / 800) / IF(ISBLANK(R607), 1000000, IF(ISNA(VLOOKUP(R607, Mileages!$A$2:$C$34, 2, 0)), R607, VLOOKUP(R607, Mileages!$A$2:$C$34, 2, 0)))) + (F607 * IF(ISBLANK(P607), 1, P607) * IF(ISBLANK(T607), 0, IF(ISNA(VLOOKUP(T607, 'Fuel Costs'!$A$2:$C$42, 2, 0)), T607, VLOOKUP(T607, 'Fuel Costs'!$A$2:$C$42, 2, 0))) / IF(ISBLANK(O607), 1, O607))) * 100</f>
        <v>0.06723</v>
      </c>
      <c r="J607" s="2" t="n">
        <f aca="false">((H607 / 800) / (IF(ISBLANK(S607), 100, IF(ISNA(VLOOKUP(S607, Lives!$A$2:$C$35, 2, 0)), S607, VLOOKUP(S607, Lives!$A$2:$C$35, 2, 0))) * 12) + (IF(ISBLANK(Q607), 0, IF(ISNA(VLOOKUP(Q607, Wages!$A$2:$C$17, 2, 0)), Q607, VLOOKUP(Q607, Wages!$A$2:$C$17, 2, 0))) * IF(ISBLANK(N607), 0, IF(ISNA(VLOOKUP(N607, Crews!$A$2:$C$28, 2, 0)), N607, VLOOKUP(N607, Crews!$A$2:$C$28, 2, 0))))) * 400</f>
        <v>768.3428571</v>
      </c>
      <c r="K607" s="3" t="s">
        <v>1140</v>
      </c>
      <c r="L607" s="1" t="s">
        <v>1245</v>
      </c>
      <c r="M607" s="1" t="n">
        <v>0</v>
      </c>
      <c r="N607" s="1"/>
      <c r="O607" s="1"/>
      <c r="P607" s="1"/>
      <c r="Q607" s="1"/>
      <c r="R607" s="1" t="s">
        <v>689</v>
      </c>
      <c r="S607" s="1" t="s">
        <v>856</v>
      </c>
      <c r="T607" s="1"/>
    </row>
    <row r="608" customFormat="false" ht="15" hidden="false" customHeight="true" outlineLevel="0" collapsed="false">
      <c r="A608" s="1" t="s">
        <v>1246</v>
      </c>
      <c r="B608" s="1" t="n">
        <v>1879</v>
      </c>
      <c r="C608" s="1" t="n">
        <v>3</v>
      </c>
      <c r="D608" s="1" t="s">
        <v>38</v>
      </c>
      <c r="E608" s="1"/>
      <c r="F608" s="1"/>
      <c r="G608" s="1" t="n">
        <v>160</v>
      </c>
      <c r="H608" s="2" t="n">
        <v>645408</v>
      </c>
      <c r="I608" s="2" t="n">
        <f aca="false">(((H608 / 800) / IF(ISBLANK(R608), 1000000, IF(ISNA(VLOOKUP(R608, Mileages!$A$2:$C$34, 2, 0)), R608, VLOOKUP(R608, Mileages!$A$2:$C$34, 2, 0)))) + (F608 * IF(ISBLANK(P608), 1, P608) * IF(ISBLANK(T608), 0, IF(ISNA(VLOOKUP(T608, 'Fuel Costs'!$A$2:$C$42, 2, 0)), T608, VLOOKUP(T608, 'Fuel Costs'!$A$2:$C$42, 2, 0))) / IF(ISBLANK(O608), 1, O608))) * 100</f>
        <v>0.06723</v>
      </c>
      <c r="J608" s="2" t="n">
        <f aca="false">((H608 / 800) / (IF(ISBLANK(S608), 100, IF(ISNA(VLOOKUP(S608, Lives!$A$2:$C$35, 2, 0)), S608, VLOOKUP(S608, Lives!$A$2:$C$35, 2, 0))) * 12) + (IF(ISBLANK(Q608), 0, IF(ISNA(VLOOKUP(Q608, Wages!$A$2:$C$17, 2, 0)), Q608, VLOOKUP(Q608, Wages!$A$2:$C$17, 2, 0))) * IF(ISBLANK(N608), 0, IF(ISNA(VLOOKUP(N608, Crews!$A$2:$C$28, 2, 0)), N608, VLOOKUP(N608, Crews!$A$2:$C$28, 2, 0))))) * 400</f>
        <v>5568.342857</v>
      </c>
      <c r="K608" s="3" t="s">
        <v>1140</v>
      </c>
      <c r="L608" s="1" t="s">
        <v>1245</v>
      </c>
      <c r="M608" s="1" t="n">
        <v>2</v>
      </c>
      <c r="N608" s="1" t="s">
        <v>25</v>
      </c>
      <c r="O608" s="1"/>
      <c r="P608" s="1"/>
      <c r="Q608" s="1" t="s">
        <v>378</v>
      </c>
      <c r="R608" s="1" t="s">
        <v>689</v>
      </c>
      <c r="S608" s="1" t="s">
        <v>856</v>
      </c>
      <c r="T608" s="1"/>
    </row>
    <row r="609" customFormat="false" ht="15" hidden="false" customHeight="true" outlineLevel="0" collapsed="false">
      <c r="A609" s="1" t="s">
        <v>1247</v>
      </c>
      <c r="B609" s="1" t="n">
        <v>1879</v>
      </c>
      <c r="C609" s="1" t="n">
        <v>3</v>
      </c>
      <c r="D609" s="1" t="s">
        <v>38</v>
      </c>
      <c r="E609" s="1"/>
      <c r="F609" s="1"/>
      <c r="G609" s="1" t="n">
        <v>160</v>
      </c>
      <c r="H609" s="2" t="n">
        <v>645408</v>
      </c>
      <c r="I609" s="2" t="n">
        <f aca="false">(((H609 / 800) / IF(ISBLANK(R609), 1000000, IF(ISNA(VLOOKUP(R609, Mileages!$A$2:$C$34, 2, 0)), R609, VLOOKUP(R609, Mileages!$A$2:$C$34, 2, 0)))) + (F609 * IF(ISBLANK(P609), 1, P609) * IF(ISBLANK(T609), 0, IF(ISNA(VLOOKUP(T609, 'Fuel Costs'!$A$2:$C$42, 2, 0)), T609, VLOOKUP(T609, 'Fuel Costs'!$A$2:$C$42, 2, 0))) / IF(ISBLANK(O609), 1, O609))) * 100</f>
        <v>0.06723</v>
      </c>
      <c r="J609" s="2" t="n">
        <f aca="false">((H609 / 800) / (IF(ISBLANK(S609), 100, IF(ISNA(VLOOKUP(S609, Lives!$A$2:$C$35, 2, 0)), S609, VLOOKUP(S609, Lives!$A$2:$C$35, 2, 0))) * 12) + (IF(ISBLANK(Q609), 0, IF(ISNA(VLOOKUP(Q609, Wages!$A$2:$C$17, 2, 0)), Q609, VLOOKUP(Q609, Wages!$A$2:$C$17, 2, 0))) * IF(ISBLANK(N609), 0, IF(ISNA(VLOOKUP(N609, Crews!$A$2:$C$28, 2, 0)), N609, VLOOKUP(N609, Crews!$A$2:$C$28, 2, 0))))) * 400</f>
        <v>5568.342857</v>
      </c>
      <c r="K609" s="3" t="s">
        <v>1140</v>
      </c>
      <c r="L609" s="1" t="s">
        <v>1245</v>
      </c>
      <c r="M609" s="1" t="n">
        <v>3</v>
      </c>
      <c r="N609" s="1" t="s">
        <v>25</v>
      </c>
      <c r="O609" s="1"/>
      <c r="P609" s="1"/>
      <c r="Q609" s="1" t="s">
        <v>378</v>
      </c>
      <c r="R609" s="1" t="s">
        <v>689</v>
      </c>
      <c r="S609" s="1" t="s">
        <v>856</v>
      </c>
      <c r="T609" s="1"/>
    </row>
    <row r="610" customFormat="false" ht="15" hidden="false" customHeight="true" outlineLevel="0" collapsed="false">
      <c r="A610" s="1" t="s">
        <v>1248</v>
      </c>
      <c r="B610" s="1" t="n">
        <v>1879</v>
      </c>
      <c r="C610" s="1" t="n">
        <v>6</v>
      </c>
      <c r="D610" s="1" t="s">
        <v>876</v>
      </c>
      <c r="E610" s="1" t="s">
        <v>274</v>
      </c>
      <c r="F610" s="1" t="n">
        <v>3</v>
      </c>
      <c r="G610" s="1" t="n">
        <v>16</v>
      </c>
      <c r="H610" s="2" t="n">
        <v>200000</v>
      </c>
      <c r="I610" s="2" t="n">
        <f aca="false">(((H610 / 800) / IF(ISBLANK(R610), 1000000, IF(ISNA(VLOOKUP(R610, Mileages!$A$2:$C$34, 2, 0)), R610, VLOOKUP(R610, Mileages!$A$2:$C$34, 2, 0)))) + (F610 * IF(ISBLANK(P610), 1, P610) * IF(ISBLANK(T610), 0, IF(ISNA(VLOOKUP(T610, 'Fuel Costs'!$A$2:$C$42, 2, 0)), T610, VLOOKUP(T610, 'Fuel Costs'!$A$2:$C$42, 2, 0))) / IF(ISBLANK(O610), 1, O610))) * 100</f>
        <v>3.025</v>
      </c>
      <c r="J610" s="2" t="n">
        <f aca="false">((H610 / 800) / (IF(ISBLANK(S610), 100, IF(ISNA(VLOOKUP(S610, Lives!$A$2:$C$35, 2, 0)), S610, VLOOKUP(S610, Lives!$A$2:$C$35, 2, 0))) * 12) + (IF(ISBLANK(Q610), 0, IF(ISNA(VLOOKUP(Q610, Wages!$A$2:$C$17, 2, 0)), Q610, VLOOKUP(Q610, Wages!$A$2:$C$17, 2, 0))) * IF(ISBLANK(N610), 0, IF(ISNA(VLOOKUP(N610, Crews!$A$2:$C$28, 2, 0)), N610, VLOOKUP(N610, Crews!$A$2:$C$28, 2, 0))))) * 400</f>
        <v>16166.66667</v>
      </c>
      <c r="K610" s="3" t="s">
        <v>1249</v>
      </c>
      <c r="L610" s="1" t="s">
        <v>1250</v>
      </c>
      <c r="M610" s="1" t="n">
        <v>0</v>
      </c>
      <c r="N610" s="1" t="s">
        <v>283</v>
      </c>
      <c r="O610" s="1" t="n">
        <v>0.4</v>
      </c>
      <c r="P610" s="1"/>
      <c r="Q610" s="1" t="s">
        <v>284</v>
      </c>
      <c r="R610" s="1" t="s">
        <v>677</v>
      </c>
      <c r="S610" s="1" t="s">
        <v>677</v>
      </c>
      <c r="T610" s="1" t="s">
        <v>923</v>
      </c>
    </row>
    <row r="611" customFormat="false" ht="15" hidden="false" customHeight="true" outlineLevel="0" collapsed="false">
      <c r="A611" s="1" t="s">
        <v>1251</v>
      </c>
      <c r="B611" s="1" t="n">
        <v>1879</v>
      </c>
      <c r="C611" s="1" t="n">
        <v>12</v>
      </c>
      <c r="D611" s="1" t="s">
        <v>876</v>
      </c>
      <c r="E611" s="1" t="s">
        <v>274</v>
      </c>
      <c r="F611" s="1" t="n">
        <v>3</v>
      </c>
      <c r="G611" s="1" t="n">
        <v>14</v>
      </c>
      <c r="H611" s="2" t="n">
        <v>201000</v>
      </c>
      <c r="I611" s="2" t="n">
        <f aca="false">(((H611 / 800) / IF(ISBLANK(R611), 1000000, IF(ISNA(VLOOKUP(R611, Mileages!$A$2:$C$34, 2, 0)), R611, VLOOKUP(R611, Mileages!$A$2:$C$34, 2, 0)))) + (F611 * IF(ISBLANK(P611), 1, P611) * IF(ISBLANK(T611), 0, IF(ISNA(VLOOKUP(T611, 'Fuel Costs'!$A$2:$C$42, 2, 0)), T611, VLOOKUP(T611, 'Fuel Costs'!$A$2:$C$42, 2, 0))) / IF(ISBLANK(O611), 1, O611))) * 100</f>
        <v>3.025125</v>
      </c>
      <c r="J611" s="2" t="n">
        <f aca="false">((H611 / 800) / (IF(ISBLANK(S611), 100, IF(ISNA(VLOOKUP(S611, Lives!$A$2:$C$35, 2, 0)), S611, VLOOKUP(S611, Lives!$A$2:$C$35, 2, 0))) * 12) + (IF(ISBLANK(Q611), 0, IF(ISNA(VLOOKUP(Q611, Wages!$A$2:$C$17, 2, 0)), Q611, VLOOKUP(Q611, Wages!$A$2:$C$17, 2, 0))) * IF(ISBLANK(N611), 0, IF(ISNA(VLOOKUP(N611, Crews!$A$2:$C$28, 2, 0)), N611, VLOOKUP(N611, Crews!$A$2:$C$28, 2, 0))))) * 400</f>
        <v>16167.5</v>
      </c>
      <c r="K611" s="3" t="s">
        <v>1252</v>
      </c>
      <c r="L611" s="1" t="s">
        <v>1253</v>
      </c>
      <c r="M611" s="1" t="n">
        <v>0</v>
      </c>
      <c r="N611" s="1" t="s">
        <v>283</v>
      </c>
      <c r="O611" s="1" t="n">
        <v>0.4</v>
      </c>
      <c r="P611" s="1"/>
      <c r="Q611" s="1" t="s">
        <v>284</v>
      </c>
      <c r="R611" s="1" t="s">
        <v>677</v>
      </c>
      <c r="S611" s="1" t="s">
        <v>677</v>
      </c>
      <c r="T611" s="1" t="s">
        <v>923</v>
      </c>
    </row>
    <row r="612" customFormat="false" ht="15" hidden="false" customHeight="true" outlineLevel="0" collapsed="false">
      <c r="A612" s="1" t="s">
        <v>1254</v>
      </c>
      <c r="B612" s="1" t="n">
        <v>1880</v>
      </c>
      <c r="C612" s="1" t="n">
        <v>1</v>
      </c>
      <c r="D612" s="1" t="s">
        <v>29</v>
      </c>
      <c r="E612" s="1" t="s">
        <v>30</v>
      </c>
      <c r="F612" s="1" t="n">
        <v>1200</v>
      </c>
      <c r="G612" s="1" t="n">
        <v>18</v>
      </c>
      <c r="H612" s="2" t="n">
        <f aca="false">3100000*10</f>
        <v>31000000</v>
      </c>
      <c r="I612" s="2" t="n">
        <f aca="false">(((H612 / 800) / IF(ISBLANK(R612), 1000000, IF(ISNA(VLOOKUP(R612, Mileages!$A$2:$C$34, 2, 0)), R612, VLOOKUP(R612, Mileages!$A$2:$C$34, 2, 0)))) + (F612 * IF(ISBLANK(P612), 1, P612) * IF(ISBLANK(T612), 0, IF(ISNA(VLOOKUP(T612, 'Fuel Costs'!$A$2:$C$42, 2, 0)), T612, VLOOKUP(T612, 'Fuel Costs'!$A$2:$C$42, 2, 0))) / IF(ISBLANK(O612), 1, O612))) * 100</f>
        <v>4.84375</v>
      </c>
      <c r="J612" s="2" t="n">
        <f aca="false">((H612 / 800) / (IF(ISBLANK(S612), 100, IF(ISNA(VLOOKUP(S612, Lives!$A$2:$C$35, 2, 0)), S612, VLOOKUP(S612, Lives!$A$2:$C$35, 2, 0))) * 12) + (IF(ISBLANK(Q612), 0, IF(ISNA(VLOOKUP(Q612, Wages!$A$2:$C$17, 2, 0)), Q612, VLOOKUP(Q612, Wages!$A$2:$C$17, 2, 0))) * IF(ISBLANK(N612), 0, IF(ISNA(VLOOKUP(N612, Crews!$A$2:$C$28, 2, 0)), N612, VLOOKUP(N612, Crews!$A$2:$C$28, 2, 0))))) * 400</f>
        <v>101527.7778</v>
      </c>
      <c r="K612" s="1"/>
      <c r="L612" s="1" t="s">
        <v>1255</v>
      </c>
      <c r="M612" s="1" t="n">
        <v>0</v>
      </c>
      <c r="N612" s="1" t="s">
        <v>65</v>
      </c>
      <c r="O612" s="1"/>
      <c r="P612" s="1"/>
      <c r="Q612" s="1" t="s">
        <v>34</v>
      </c>
      <c r="R612" s="4" t="s">
        <v>35</v>
      </c>
      <c r="S612" s="1" t="s">
        <v>35</v>
      </c>
      <c r="T612" s="1" t="s">
        <v>36</v>
      </c>
    </row>
    <row r="613" customFormat="false" ht="15" hidden="false" customHeight="true" outlineLevel="0" collapsed="false">
      <c r="A613" s="1" t="s">
        <v>1256</v>
      </c>
      <c r="B613" s="1" t="n">
        <v>1880</v>
      </c>
      <c r="C613" s="1" t="n">
        <v>1</v>
      </c>
      <c r="D613" s="1" t="s">
        <v>38</v>
      </c>
      <c r="E613" s="1" t="s">
        <v>274</v>
      </c>
      <c r="F613" s="1" t="n">
        <v>223</v>
      </c>
      <c r="G613" s="1" t="n">
        <v>120</v>
      </c>
      <c r="H613" s="2" t="n">
        <v>8000000</v>
      </c>
      <c r="I613" s="2" t="n">
        <f aca="false">(((H613 / 800) / IF(ISBLANK(R613), 1000000, IF(ISNA(VLOOKUP(R613, Mileages!$A$2:$C$34, 2, 0)), R613, VLOOKUP(R613, Mileages!$A$2:$C$34, 2, 0)))) + (F613 * IF(ISBLANK(P613), 1, P613) * IF(ISBLANK(T613), 0, IF(ISNA(VLOOKUP(T613, 'Fuel Costs'!$A$2:$C$42, 2, 0)), T613, VLOOKUP(T613, 'Fuel Costs'!$A$2:$C$42, 2, 0))) / IF(ISBLANK(O613), 1, O613))) * 100</f>
        <v>149.6666667</v>
      </c>
      <c r="J613" s="2" t="n">
        <f aca="false">((H613 / 800) / (IF(ISBLANK(S613), 100, IF(ISNA(VLOOKUP(S613, Lives!$A$2:$C$35, 2, 0)), S613, VLOOKUP(S613, Lives!$A$2:$C$35, 2, 0))) * 12) + (IF(ISBLANK(Q613), 0, IF(ISNA(VLOOKUP(Q613, Wages!$A$2:$C$17, 2, 0)), Q613, VLOOKUP(Q613, Wages!$A$2:$C$17, 2, 0))) * IF(ISBLANK(N613), 0, IF(ISNA(VLOOKUP(N613, Crews!$A$2:$C$28, 2, 0)), N613, VLOOKUP(N613, Crews!$A$2:$C$28, 2, 0))))) * 400</f>
        <v>30666.66667</v>
      </c>
      <c r="K613" s="3" t="s">
        <v>1257</v>
      </c>
      <c r="L613" s="1" t="s">
        <v>1258</v>
      </c>
      <c r="M613" s="1" t="n">
        <v>0</v>
      </c>
      <c r="N613" s="1" t="s">
        <v>590</v>
      </c>
      <c r="O613" s="1" t="n">
        <v>0.6</v>
      </c>
      <c r="P613" s="1"/>
      <c r="Q613" s="5" t="s">
        <v>284</v>
      </c>
      <c r="R613" s="1" t="s">
        <v>677</v>
      </c>
      <c r="S613" s="1" t="s">
        <v>677</v>
      </c>
      <c r="T613" s="1" t="s">
        <v>923</v>
      </c>
    </row>
    <row r="614" customFormat="false" ht="15" hidden="false" customHeight="true" outlineLevel="0" collapsed="false">
      <c r="A614" s="1" t="s">
        <v>1259</v>
      </c>
      <c r="B614" s="1" t="n">
        <v>1880</v>
      </c>
      <c r="C614" s="1" t="n">
        <v>1</v>
      </c>
      <c r="D614" s="1" t="s">
        <v>29</v>
      </c>
      <c r="E614" s="1" t="s">
        <v>30</v>
      </c>
      <c r="F614" s="1"/>
      <c r="G614" s="1" t="n">
        <v>18</v>
      </c>
      <c r="H614" s="2"/>
      <c r="I614" s="2"/>
      <c r="J614" s="2"/>
      <c r="K614" s="1" t="s">
        <v>70</v>
      </c>
      <c r="L614" s="1" t="s">
        <v>1260</v>
      </c>
      <c r="M614" s="1" t="n">
        <v>0</v>
      </c>
      <c r="N614" s="1"/>
      <c r="O614" s="1"/>
      <c r="P614" s="1"/>
      <c r="Q614" s="1"/>
      <c r="R614" s="1"/>
      <c r="S614" s="1"/>
      <c r="T614" s="1"/>
    </row>
    <row r="615" customFormat="false" ht="15" hidden="false" customHeight="true" outlineLevel="0" collapsed="false">
      <c r="A615" s="1" t="s">
        <v>1261</v>
      </c>
      <c r="B615" s="1" t="n">
        <v>1880</v>
      </c>
      <c r="C615" s="1" t="n">
        <v>1</v>
      </c>
      <c r="D615" s="1" t="s">
        <v>29</v>
      </c>
      <c r="E615" s="1" t="s">
        <v>30</v>
      </c>
      <c r="F615" s="1"/>
      <c r="G615" s="1" t="n">
        <v>18</v>
      </c>
      <c r="H615" s="2"/>
      <c r="I615" s="2"/>
      <c r="J615" s="2"/>
      <c r="K615" s="1" t="s">
        <v>70</v>
      </c>
      <c r="L615" s="1" t="s">
        <v>1260</v>
      </c>
      <c r="M615" s="1" t="n">
        <v>1</v>
      </c>
      <c r="N615" s="1"/>
      <c r="O615" s="1"/>
      <c r="P615" s="1"/>
      <c r="Q615" s="1"/>
      <c r="R615" s="1"/>
      <c r="S615" s="1"/>
      <c r="T615" s="1"/>
    </row>
    <row r="616" customFormat="false" ht="15" hidden="false" customHeight="true" outlineLevel="0" collapsed="false">
      <c r="A616" s="1" t="s">
        <v>1262</v>
      </c>
      <c r="B616" s="1" t="n">
        <v>1880</v>
      </c>
      <c r="C616" s="1" t="n">
        <v>1</v>
      </c>
      <c r="D616" s="1" t="s">
        <v>29</v>
      </c>
      <c r="E616" s="1" t="s">
        <v>30</v>
      </c>
      <c r="F616" s="1"/>
      <c r="G616" s="1" t="n">
        <v>18</v>
      </c>
      <c r="H616" s="2"/>
      <c r="I616" s="2"/>
      <c r="J616" s="2"/>
      <c r="K616" s="1" t="s">
        <v>70</v>
      </c>
      <c r="L616" s="1" t="s">
        <v>1260</v>
      </c>
      <c r="M616" s="1" t="n">
        <v>2</v>
      </c>
      <c r="N616" s="1"/>
      <c r="O616" s="1"/>
      <c r="P616" s="1"/>
      <c r="Q616" s="1"/>
      <c r="R616" s="1"/>
      <c r="S616" s="1"/>
      <c r="T616" s="1"/>
    </row>
    <row r="617" customFormat="false" ht="15" hidden="false" customHeight="true" outlineLevel="0" collapsed="false">
      <c r="A617" s="1" t="s">
        <v>1263</v>
      </c>
      <c r="B617" s="1" t="n">
        <v>1880</v>
      </c>
      <c r="C617" s="1" t="n">
        <v>1</v>
      </c>
      <c r="D617" s="1" t="s">
        <v>29</v>
      </c>
      <c r="E617" s="1" t="s">
        <v>30</v>
      </c>
      <c r="F617" s="1"/>
      <c r="G617" s="1" t="n">
        <v>18</v>
      </c>
      <c r="H617" s="2"/>
      <c r="I617" s="2"/>
      <c r="J617" s="2"/>
      <c r="K617" s="1" t="s">
        <v>70</v>
      </c>
      <c r="L617" s="1" t="s">
        <v>1260</v>
      </c>
      <c r="M617" s="1" t="n">
        <v>3</v>
      </c>
      <c r="N617" s="1"/>
      <c r="O617" s="1"/>
      <c r="P617" s="1"/>
      <c r="Q617" s="1"/>
      <c r="R617" s="1"/>
      <c r="S617" s="1"/>
      <c r="T617" s="1"/>
    </row>
    <row r="618" customFormat="false" ht="15" hidden="false" customHeight="true" outlineLevel="0" collapsed="false">
      <c r="A618" s="1" t="s">
        <v>1264</v>
      </c>
      <c r="B618" s="1" t="n">
        <v>1880</v>
      </c>
      <c r="C618" s="1" t="n">
        <v>1</v>
      </c>
      <c r="D618" s="1" t="s">
        <v>29</v>
      </c>
      <c r="E618" s="1" t="s">
        <v>30</v>
      </c>
      <c r="F618" s="1"/>
      <c r="G618" s="1" t="n">
        <v>18</v>
      </c>
      <c r="H618" s="2"/>
      <c r="I618" s="2"/>
      <c r="J618" s="2"/>
      <c r="K618" s="1" t="s">
        <v>70</v>
      </c>
      <c r="L618" s="1" t="s">
        <v>1260</v>
      </c>
      <c r="M618" s="1" t="n">
        <v>4</v>
      </c>
      <c r="N618" s="1"/>
      <c r="O618" s="1"/>
      <c r="P618" s="1"/>
      <c r="Q618" s="1"/>
      <c r="R618" s="1"/>
      <c r="S618" s="1"/>
      <c r="T618" s="1"/>
    </row>
    <row r="619" customFormat="false" ht="15" hidden="false" customHeight="true" outlineLevel="0" collapsed="false">
      <c r="A619" s="1" t="s">
        <v>1265</v>
      </c>
      <c r="B619" s="1" t="n">
        <v>1880</v>
      </c>
      <c r="C619" s="1" t="n">
        <v>1</v>
      </c>
      <c r="D619" s="1" t="s">
        <v>29</v>
      </c>
      <c r="E619" s="1" t="s">
        <v>30</v>
      </c>
      <c r="F619" s="1"/>
      <c r="G619" s="1" t="n">
        <v>18</v>
      </c>
      <c r="H619" s="2"/>
      <c r="I619" s="2"/>
      <c r="J619" s="2"/>
      <c r="K619" s="1" t="s">
        <v>70</v>
      </c>
      <c r="L619" s="1" t="s">
        <v>1260</v>
      </c>
      <c r="M619" s="1" t="n">
        <v>5</v>
      </c>
      <c r="N619" s="1"/>
      <c r="O619" s="1"/>
      <c r="P619" s="1"/>
      <c r="Q619" s="1"/>
      <c r="R619" s="1"/>
      <c r="S619" s="1"/>
      <c r="T619" s="1"/>
    </row>
    <row r="620" customFormat="false" ht="15" hidden="false" customHeight="true" outlineLevel="0" collapsed="false">
      <c r="A620" s="1" t="s">
        <v>1266</v>
      </c>
      <c r="B620" s="1" t="n">
        <v>1880</v>
      </c>
      <c r="C620" s="1" t="n">
        <v>1</v>
      </c>
      <c r="D620" s="1" t="s">
        <v>29</v>
      </c>
      <c r="E620" s="1" t="s">
        <v>30</v>
      </c>
      <c r="F620" s="1"/>
      <c r="G620" s="1" t="n">
        <v>18</v>
      </c>
      <c r="H620" s="2"/>
      <c r="I620" s="2"/>
      <c r="J620" s="2"/>
      <c r="K620" s="1" t="s">
        <v>70</v>
      </c>
      <c r="L620" s="1" t="s">
        <v>1260</v>
      </c>
      <c r="M620" s="1" t="n">
        <v>6</v>
      </c>
      <c r="N620" s="1"/>
      <c r="O620" s="1"/>
      <c r="P620" s="1"/>
      <c r="Q620" s="1"/>
      <c r="R620" s="1"/>
      <c r="S620" s="1"/>
      <c r="T620" s="1"/>
    </row>
    <row r="621" customFormat="false" ht="15" hidden="false" customHeight="true" outlineLevel="0" collapsed="false">
      <c r="A621" s="1" t="s">
        <v>1267</v>
      </c>
      <c r="B621" s="1" t="n">
        <v>1880</v>
      </c>
      <c r="C621" s="1" t="n">
        <v>2</v>
      </c>
      <c r="D621" s="1" t="s">
        <v>38</v>
      </c>
      <c r="E621" s="1"/>
      <c r="F621" s="1"/>
      <c r="G621" s="1" t="n">
        <v>80</v>
      </c>
      <c r="H621" s="2" t="n">
        <v>120000</v>
      </c>
      <c r="I621" s="2" t="n">
        <f aca="false">(((H621 / 800) / IF(ISBLANK(R621), 1000000, IF(ISNA(VLOOKUP(R621, Mileages!$A$2:$C$34, 2, 0)), R621, VLOOKUP(R621, Mileages!$A$2:$C$34, 2, 0)))) + (F621 * IF(ISBLANK(P621), 1, P621) * IF(ISBLANK(T621), 0, IF(ISNA(VLOOKUP(T621, 'Fuel Costs'!$A$2:$C$42, 2, 0)), T621, VLOOKUP(T621, 'Fuel Costs'!$A$2:$C$42, 2, 0))) / IF(ISBLANK(O621), 1, O621))) * 100</f>
        <v>0.0125</v>
      </c>
      <c r="J621" s="2" t="n">
        <f aca="false">((H621 / 800) / (IF(ISBLANK(S621), 100, IF(ISNA(VLOOKUP(S621, Lives!$A$2:$C$35, 2, 0)), S621, VLOOKUP(S621, Lives!$A$2:$C$35, 2, 0))) * 12) + (IF(ISBLANK(Q621), 0, IF(ISNA(VLOOKUP(Q621, Wages!$A$2:$C$17, 2, 0)), Q621, VLOOKUP(Q621, Wages!$A$2:$C$17, 2, 0))) * IF(ISBLANK(N621), 0, IF(ISNA(VLOOKUP(N621, Crews!$A$2:$C$28, 2, 0)), N621, VLOOKUP(N621, Crews!$A$2:$C$28, 2, 0))))) * 400</f>
        <v>4850</v>
      </c>
      <c r="K621" s="1" t="s">
        <v>1268</v>
      </c>
      <c r="L621" s="1" t="s">
        <v>1269</v>
      </c>
      <c r="M621" s="1" t="n">
        <v>0</v>
      </c>
      <c r="N621" s="1" t="s">
        <v>25</v>
      </c>
      <c r="O621" s="1"/>
      <c r="P621" s="1"/>
      <c r="Q621" s="1" t="s">
        <v>378</v>
      </c>
      <c r="R621" s="1" t="s">
        <v>689</v>
      </c>
      <c r="S621" s="1" t="s">
        <v>389</v>
      </c>
      <c r="T621" s="1"/>
    </row>
    <row r="622" customFormat="false" ht="15" hidden="false" customHeight="true" outlineLevel="0" collapsed="false">
      <c r="A622" s="1" t="s">
        <v>1270</v>
      </c>
      <c r="B622" s="1" t="n">
        <v>1880</v>
      </c>
      <c r="C622" s="1" t="n">
        <v>2</v>
      </c>
      <c r="D622" s="1" t="s">
        <v>38</v>
      </c>
      <c r="E622" s="1" t="s">
        <v>274</v>
      </c>
      <c r="F622" s="1" t="n">
        <v>206</v>
      </c>
      <c r="G622" s="1" t="n">
        <v>95</v>
      </c>
      <c r="H622" s="2" t="n">
        <f aca="false">4000000*1.2</f>
        <v>4800000</v>
      </c>
      <c r="I622" s="2" t="n">
        <f aca="false">(((H622 / 800) / IF(ISBLANK(R622), 1000000, IF(ISNA(VLOOKUP(R622, Mileages!$A$2:$C$34, 2, 0)), R622, VLOOKUP(R622, Mileages!$A$2:$C$34, 2, 0)))) + (F622 * IF(ISBLANK(P622), 1, P622) * IF(ISBLANK(T622), 0, IF(ISNA(VLOOKUP(T622, 'Fuel Costs'!$A$2:$C$42, 2, 0)), T622, VLOOKUP(T622, 'Fuel Costs'!$A$2:$C$42, 2, 0))) / IF(ISBLANK(O622), 1, O622))) * 100</f>
        <v>137.9333333</v>
      </c>
      <c r="J622" s="2" t="n">
        <f aca="false">((H622 / 800) / (IF(ISBLANK(S622), 100, IF(ISNA(VLOOKUP(S622, Lives!$A$2:$C$35, 2, 0)), S622, VLOOKUP(S622, Lives!$A$2:$C$35, 2, 0))) * 12) + (IF(ISBLANK(Q622), 0, IF(ISNA(VLOOKUP(Q622, Wages!$A$2:$C$17, 2, 0)), Q622, VLOOKUP(Q622, Wages!$A$2:$C$17, 2, 0))) * IF(ISBLANK(N622), 0, IF(ISNA(VLOOKUP(N622, Crews!$A$2:$C$28, 2, 0)), N622, VLOOKUP(N622, Crews!$A$2:$C$28, 2, 0))))) * 400</f>
        <v>28000</v>
      </c>
      <c r="K622" s="3" t="s">
        <v>1271</v>
      </c>
      <c r="L622" s="1" t="s">
        <v>1092</v>
      </c>
      <c r="M622" s="1" t="n">
        <v>0</v>
      </c>
      <c r="N622" s="1" t="s">
        <v>590</v>
      </c>
      <c r="O622" s="1" t="n">
        <v>0.6</v>
      </c>
      <c r="P622" s="1"/>
      <c r="Q622" s="5" t="s">
        <v>284</v>
      </c>
      <c r="R622" s="1" t="s">
        <v>677</v>
      </c>
      <c r="S622" s="1" t="s">
        <v>677</v>
      </c>
      <c r="T622" s="1" t="s">
        <v>923</v>
      </c>
    </row>
    <row r="623" customFormat="false" ht="15" hidden="false" customHeight="true" outlineLevel="0" collapsed="false">
      <c r="A623" s="1" t="s">
        <v>1272</v>
      </c>
      <c r="B623" s="1" t="n">
        <v>1880</v>
      </c>
      <c r="C623" s="1" t="n">
        <v>5</v>
      </c>
      <c r="D623" s="1" t="s">
        <v>38</v>
      </c>
      <c r="E623" s="1" t="s">
        <v>274</v>
      </c>
      <c r="F623" s="1" t="n">
        <v>172</v>
      </c>
      <c r="G623" s="1" t="n">
        <v>86</v>
      </c>
      <c r="H623" s="2" t="n">
        <f aca="false">7800000*0.6</f>
        <v>4680000</v>
      </c>
      <c r="I623" s="2" t="n">
        <f aca="false">(((H623 / 800) / IF(ISBLANK(R623), 1000000, IF(ISNA(VLOOKUP(R623, Mileages!$A$2:$C$34, 2, 0)), R623, VLOOKUP(R623, Mileages!$A$2:$C$34, 2, 0)))) + (F623 * IF(ISBLANK(P623), 1, P623) * IF(ISBLANK(T623), 0, IF(ISNA(VLOOKUP(T623, 'Fuel Costs'!$A$2:$C$42, 2, 0)), T623, VLOOKUP(T623, 'Fuel Costs'!$A$2:$C$42, 2, 0))) / IF(ISBLANK(O623), 1, O623))) * 100</f>
        <v>98.87071429</v>
      </c>
      <c r="J623" s="2" t="n">
        <f aca="false">((H623 / 800) / (IF(ISBLANK(S623), 100, IF(ISNA(VLOOKUP(S623, Lives!$A$2:$C$35, 2, 0)), S623, VLOOKUP(S623, Lives!$A$2:$C$35, 2, 0))) * 12) + (IF(ISBLANK(Q623), 0, IF(ISNA(VLOOKUP(Q623, Wages!$A$2:$C$17, 2, 0)), Q623, VLOOKUP(Q623, Wages!$A$2:$C$17, 2, 0))) * IF(ISBLANK(N623), 0, IF(ISNA(VLOOKUP(N623, Crews!$A$2:$C$28, 2, 0)), N623, VLOOKUP(N623, Crews!$A$2:$C$28, 2, 0))))) * 400</f>
        <v>27900</v>
      </c>
      <c r="K623" s="3" t="s">
        <v>1273</v>
      </c>
      <c r="L623" s="1" t="s">
        <v>1274</v>
      </c>
      <c r="M623" s="1" t="n">
        <v>0</v>
      </c>
      <c r="N623" s="1" t="s">
        <v>590</v>
      </c>
      <c r="O623" s="1" t="n">
        <v>0.7</v>
      </c>
      <c r="P623" s="1"/>
      <c r="Q623" s="5" t="s">
        <v>284</v>
      </c>
      <c r="R623" s="1" t="s">
        <v>677</v>
      </c>
      <c r="S623" s="1" t="s">
        <v>677</v>
      </c>
      <c r="T623" s="1" t="s">
        <v>923</v>
      </c>
    </row>
    <row r="624" customFormat="false" ht="15" hidden="false" customHeight="true" outlineLevel="0" collapsed="false">
      <c r="A624" s="1" t="s">
        <v>1275</v>
      </c>
      <c r="B624" s="1" t="n">
        <v>1880</v>
      </c>
      <c r="C624" s="1" t="n">
        <v>6</v>
      </c>
      <c r="D624" s="1" t="s">
        <v>38</v>
      </c>
      <c r="E624" s="1"/>
      <c r="F624" s="1"/>
      <c r="G624" s="1" t="n">
        <v>150</v>
      </c>
      <c r="H624" s="2" t="n">
        <v>398500</v>
      </c>
      <c r="I624" s="2" t="n">
        <f aca="false">(((H624 / 800) / IF(ISBLANK(R624), 1000000, IF(ISNA(VLOOKUP(R624, Mileages!$A$2:$C$34, 2, 0)), R624, VLOOKUP(R624, Mileages!$A$2:$C$34, 2, 0)))) + (F624 * IF(ISBLANK(P624), 1, P624) * IF(ISBLANK(T624), 0, IF(ISNA(VLOOKUP(T624, 'Fuel Costs'!$A$2:$C$42, 2, 0)), T624, VLOOKUP(T624, 'Fuel Costs'!$A$2:$C$42, 2, 0))) / IF(ISBLANK(O624), 1, O624))) * 100</f>
        <v>0.04151041667</v>
      </c>
      <c r="J624" s="2" t="n">
        <f aca="false">((H624 / 800) / (IF(ISBLANK(S624), 100, IF(ISNA(VLOOKUP(S624, Lives!$A$2:$C$35, 2, 0)), S624, VLOOKUP(S624, Lives!$A$2:$C$35, 2, 0))) * 12) + (IF(ISBLANK(Q624), 0, IF(ISNA(VLOOKUP(Q624, Wages!$A$2:$C$17, 2, 0)), Q624, VLOOKUP(Q624, Wages!$A$2:$C$17, 2, 0))) * IF(ISBLANK(N624), 0, IF(ISNA(VLOOKUP(N624, Crews!$A$2:$C$28, 2, 0)), N624, VLOOKUP(N624, Crews!$A$2:$C$28, 2, 0))))) * 400</f>
        <v>474.4047619</v>
      </c>
      <c r="K624" s="1"/>
      <c r="L624" s="1" t="s">
        <v>1276</v>
      </c>
      <c r="M624" s="1" t="n">
        <v>0</v>
      </c>
      <c r="N624" s="1"/>
      <c r="O624" s="1"/>
      <c r="P624" s="1"/>
      <c r="Q624" s="1"/>
      <c r="R624" s="1" t="s">
        <v>689</v>
      </c>
      <c r="S624" s="1" t="s">
        <v>856</v>
      </c>
      <c r="T624" s="1"/>
    </row>
    <row r="625" customFormat="false" ht="15" hidden="false" customHeight="true" outlineLevel="0" collapsed="false">
      <c r="A625" s="1" t="s">
        <v>1277</v>
      </c>
      <c r="B625" s="1" t="n">
        <v>1880</v>
      </c>
      <c r="C625" s="1" t="n">
        <v>9</v>
      </c>
      <c r="D625" s="1" t="s">
        <v>38</v>
      </c>
      <c r="E625" s="1" t="s">
        <v>274</v>
      </c>
      <c r="F625" s="1"/>
      <c r="G625" s="1" t="n">
        <v>145</v>
      </c>
      <c r="H625" s="2" t="n">
        <v>0</v>
      </c>
      <c r="I625" s="2" t="n">
        <f aca="false">(((H625 / 800) / IF(ISBLANK(R625), 1000000, IF(ISNA(VLOOKUP(R625, Mileages!$A$2:$C$34, 2, 0)), R625, VLOOKUP(R625, Mileages!$A$2:$C$34, 2, 0)))) + (F625 * IF(ISBLANK(P625), 1, P625) * IF(ISBLANK(T625), 0, IF(ISNA(VLOOKUP(T625, 'Fuel Costs'!$A$2:$C$42, 2, 0)), T625, VLOOKUP(T625, 'Fuel Costs'!$A$2:$C$42, 2, 0))) / IF(ISBLANK(O625), 1, O625))) * 100</f>
        <v>0</v>
      </c>
      <c r="J625" s="2" t="n">
        <f aca="false">((H625 / 800) / (IF(ISBLANK(S625), 100, IF(ISNA(VLOOKUP(S625, Lives!$A$2:$C$35, 2, 0)), S625, VLOOKUP(S625, Lives!$A$2:$C$35, 2, 0))) * 12) + (IF(ISBLANK(Q625), 0, IF(ISNA(VLOOKUP(Q625, Wages!$A$2:$C$17, 2, 0)), Q625, VLOOKUP(Q625, Wages!$A$2:$C$17, 2, 0))) * IF(ISBLANK(N625), 0, IF(ISNA(VLOOKUP(N625, Crews!$A$2:$C$28, 2, 0)), N625, VLOOKUP(N625, Crews!$A$2:$C$28, 2, 0))))) * 400</f>
        <v>0</v>
      </c>
      <c r="K625" s="1"/>
      <c r="L625" s="1" t="s">
        <v>1278</v>
      </c>
      <c r="M625" s="1" t="n">
        <v>0</v>
      </c>
      <c r="N625" s="1"/>
      <c r="O625" s="1"/>
      <c r="P625" s="1"/>
      <c r="Q625" s="1"/>
      <c r="R625" s="1"/>
      <c r="S625" s="1"/>
      <c r="T625" s="1"/>
    </row>
    <row r="626" customFormat="false" ht="15" hidden="false" customHeight="true" outlineLevel="0" collapsed="false">
      <c r="A626" s="1" t="s">
        <v>1279</v>
      </c>
      <c r="B626" s="1" t="n">
        <v>1881</v>
      </c>
      <c r="C626" s="1" t="n">
        <v>1</v>
      </c>
      <c r="D626" s="1" t="s">
        <v>876</v>
      </c>
      <c r="E626" s="1" t="s">
        <v>274</v>
      </c>
      <c r="F626" s="1" t="n">
        <v>3</v>
      </c>
      <c r="G626" s="1" t="n">
        <v>16</v>
      </c>
      <c r="H626" s="2" t="n">
        <v>230000</v>
      </c>
      <c r="I626" s="2" t="n">
        <f aca="false">(((H626 / 800) / IF(ISBLANK(R626), 1000000, IF(ISNA(VLOOKUP(R626, Mileages!$A$2:$C$34, 2, 0)), R626, VLOOKUP(R626, Mileages!$A$2:$C$34, 2, 0)))) + (F626 * IF(ISBLANK(P626), 1, P626) * IF(ISBLANK(T626), 0, IF(ISNA(VLOOKUP(T626, 'Fuel Costs'!$A$2:$C$42, 2, 0)), T626, VLOOKUP(T626, 'Fuel Costs'!$A$2:$C$42, 2, 0))) / IF(ISBLANK(O626), 1, O626))) * 100</f>
        <v>3.02875</v>
      </c>
      <c r="J626" s="2" t="n">
        <f aca="false">((H626 / 800) / (IF(ISBLANK(S626), 100, IF(ISNA(VLOOKUP(S626, Lives!$A$2:$C$35, 2, 0)), S626, VLOOKUP(S626, Lives!$A$2:$C$35, 2, 0))) * 12) + (IF(ISBLANK(Q626), 0, IF(ISNA(VLOOKUP(Q626, Wages!$A$2:$C$17, 2, 0)), Q626, VLOOKUP(Q626, Wages!$A$2:$C$17, 2, 0))) * IF(ISBLANK(N626), 0, IF(ISNA(VLOOKUP(N626, Crews!$A$2:$C$28, 2, 0)), N626, VLOOKUP(N626, Crews!$A$2:$C$28, 2, 0))))) * 400</f>
        <v>16191.66667</v>
      </c>
      <c r="K626" s="3" t="s">
        <v>1280</v>
      </c>
      <c r="L626" s="1" t="s">
        <v>1281</v>
      </c>
      <c r="M626" s="1" t="n">
        <v>0</v>
      </c>
      <c r="N626" s="1" t="s">
        <v>283</v>
      </c>
      <c r="O626" s="1" t="n">
        <v>0.4</v>
      </c>
      <c r="P626" s="1"/>
      <c r="Q626" s="1" t="s">
        <v>284</v>
      </c>
      <c r="R626" s="1" t="s">
        <v>677</v>
      </c>
      <c r="S626" s="1" t="s">
        <v>677</v>
      </c>
      <c r="T626" s="1" t="s">
        <v>923</v>
      </c>
    </row>
    <row r="627" customFormat="false" ht="15" hidden="false" customHeight="true" outlineLevel="0" collapsed="false">
      <c r="A627" s="1" t="s">
        <v>1282</v>
      </c>
      <c r="B627" s="1" t="n">
        <v>1881</v>
      </c>
      <c r="C627" s="1" t="n">
        <v>3</v>
      </c>
      <c r="D627" s="1" t="s">
        <v>38</v>
      </c>
      <c r="E627" s="1" t="s">
        <v>274</v>
      </c>
      <c r="F627" s="1" t="n">
        <v>206</v>
      </c>
      <c r="G627" s="1" t="n">
        <v>82</v>
      </c>
      <c r="H627" s="2" t="n">
        <f aca="false">2000000*2</f>
        <v>4000000</v>
      </c>
      <c r="I627" s="2" t="n">
        <f aca="false">(((H627 / 800) / IF(ISBLANK(R627), 1000000, IF(ISNA(VLOOKUP(R627, Mileages!$A$2:$C$34, 2, 0)), R627, VLOOKUP(R627, Mileages!$A$2:$C$34, 2, 0)))) + (F627 * IF(ISBLANK(P627), 1, P627) * IF(ISBLANK(T627), 0, IF(ISNA(VLOOKUP(T627, 'Fuel Costs'!$A$2:$C$42, 2, 0)), T627, VLOOKUP(T627, 'Fuel Costs'!$A$2:$C$42, 2, 0))) / IF(ISBLANK(O627), 1, O627))) * 100</f>
        <v>118.2142857</v>
      </c>
      <c r="J627" s="2" t="n">
        <f aca="false">((H627 / 800) / (IF(ISBLANK(S627), 100, IF(ISNA(VLOOKUP(S627, Lives!$A$2:$C$35, 2, 0)), S627, VLOOKUP(S627, Lives!$A$2:$C$35, 2, 0))) * 12) + (IF(ISBLANK(Q627), 0, IF(ISNA(VLOOKUP(Q627, Wages!$A$2:$C$17, 2, 0)), Q627, VLOOKUP(Q627, Wages!$A$2:$C$17, 2, 0))) * IF(ISBLANK(N627), 0, IF(ISNA(VLOOKUP(N627, Crews!$A$2:$C$28, 2, 0)), N627, VLOOKUP(N627, Crews!$A$2:$C$28, 2, 0))))) * 400</f>
        <v>27333.33333</v>
      </c>
      <c r="K627" s="3" t="s">
        <v>1283</v>
      </c>
      <c r="L627" s="1" t="s">
        <v>1284</v>
      </c>
      <c r="M627" s="1" t="n">
        <v>0</v>
      </c>
      <c r="N627" s="1" t="s">
        <v>590</v>
      </c>
      <c r="O627" s="1" t="n">
        <v>0.7</v>
      </c>
      <c r="P627" s="1"/>
      <c r="Q627" s="5" t="s">
        <v>284</v>
      </c>
      <c r="R627" s="1" t="s">
        <v>677</v>
      </c>
      <c r="S627" s="1" t="s">
        <v>677</v>
      </c>
      <c r="T627" s="1" t="s">
        <v>923</v>
      </c>
    </row>
    <row r="628" customFormat="false" ht="15" hidden="false" customHeight="true" outlineLevel="0" collapsed="false">
      <c r="A628" s="1" t="s">
        <v>1285</v>
      </c>
      <c r="B628" s="1" t="n">
        <v>1881</v>
      </c>
      <c r="C628" s="1" t="n">
        <v>4</v>
      </c>
      <c r="D628" s="1" t="s">
        <v>38</v>
      </c>
      <c r="E628" s="1" t="s">
        <v>274</v>
      </c>
      <c r="F628" s="1" t="n">
        <v>178</v>
      </c>
      <c r="G628" s="1" t="n">
        <v>85</v>
      </c>
      <c r="H628" s="2" t="n">
        <v>3255000</v>
      </c>
      <c r="I628" s="2" t="n">
        <f aca="false">(((H628 / 800) / IF(ISBLANK(R628), 1000000, IF(ISNA(VLOOKUP(R628, Mileages!$A$2:$C$34, 2, 0)), R628, VLOOKUP(R628, Mileages!$A$2:$C$34, 2, 0)))) + (F628 * IF(ISBLANK(P628), 1, P628) * IF(ISBLANK(T628), 0, IF(ISNA(VLOOKUP(T628, 'Fuel Costs'!$A$2:$C$42, 2, 0)), T628, VLOOKUP(T628, 'Fuel Costs'!$A$2:$C$42, 2, 0))) / IF(ISBLANK(O628), 1, O628))) * 100</f>
        <v>119.0735417</v>
      </c>
      <c r="J628" s="2" t="n">
        <f aca="false">((H628 / 800) / (IF(ISBLANK(S628), 100, IF(ISNA(VLOOKUP(S628, Lives!$A$2:$C$35, 2, 0)), S628, VLOOKUP(S628, Lives!$A$2:$C$35, 2, 0))) * 12) + (IF(ISBLANK(Q628), 0, IF(ISNA(VLOOKUP(Q628, Wages!$A$2:$C$17, 2, 0)), Q628, VLOOKUP(Q628, Wages!$A$2:$C$17, 2, 0))) * IF(ISBLANK(N628), 0, IF(ISNA(VLOOKUP(N628, Crews!$A$2:$C$28, 2, 0)), N628, VLOOKUP(N628, Crews!$A$2:$C$28, 2, 0))))) * 400</f>
        <v>26712.5</v>
      </c>
      <c r="K628" s="3" t="s">
        <v>1286</v>
      </c>
      <c r="L628" s="1" t="s">
        <v>1287</v>
      </c>
      <c r="M628" s="1" t="n">
        <v>0</v>
      </c>
      <c r="N628" s="1" t="s">
        <v>590</v>
      </c>
      <c r="O628" s="1" t="n">
        <v>0.6</v>
      </c>
      <c r="P628" s="1"/>
      <c r="Q628" s="5" t="s">
        <v>284</v>
      </c>
      <c r="R628" s="1" t="s">
        <v>677</v>
      </c>
      <c r="S628" s="1" t="s">
        <v>677</v>
      </c>
      <c r="T628" s="1" t="s">
        <v>923</v>
      </c>
    </row>
    <row r="629" customFormat="false" ht="15" hidden="false" customHeight="true" outlineLevel="0" collapsed="false">
      <c r="A629" s="1" t="s">
        <v>1288</v>
      </c>
      <c r="B629" s="1" t="n">
        <v>1881</v>
      </c>
      <c r="C629" s="1" t="n">
        <v>8</v>
      </c>
      <c r="D629" s="1" t="s">
        <v>21</v>
      </c>
      <c r="E629" s="1"/>
      <c r="F629" s="1"/>
      <c r="G629" s="1" t="n">
        <v>11</v>
      </c>
      <c r="H629" s="2" t="n">
        <v>97500</v>
      </c>
      <c r="I629" s="2" t="n">
        <f aca="false">(((H629 / 800) / IF(ISBLANK(R629), 1000000, IF(ISNA(VLOOKUP(R629, Mileages!$A$2:$C$34, 2, 0)), R629, VLOOKUP(R629, Mileages!$A$2:$C$34, 2, 0)))) + (F629 * IF(ISBLANK(P629), 1, P629) * IF(ISBLANK(T629), 0, IF(ISNA(VLOOKUP(T629, 'Fuel Costs'!$A$2:$C$42, 2, 0)), T629, VLOOKUP(T629, 'Fuel Costs'!$A$2:$C$42, 2, 0))) / IF(ISBLANK(O629), 1, O629))) * 100</f>
        <v>0.024375</v>
      </c>
      <c r="J629" s="2" t="n">
        <f aca="false">((H629 / 800) / (IF(ISBLANK(S629), 100, IF(ISNA(VLOOKUP(S629, Lives!$A$2:$C$35, 2, 0)), S629, VLOOKUP(S629, Lives!$A$2:$C$35, 2, 0))) * 12) + (IF(ISBLANK(Q629), 0, IF(ISNA(VLOOKUP(Q629, Wages!$A$2:$C$17, 2, 0)), Q629, VLOOKUP(Q629, Wages!$A$2:$C$17, 2, 0))) * IF(ISBLANK(N629), 0, IF(ISNA(VLOOKUP(N629, Crews!$A$2:$C$28, 2, 0)), N629, VLOOKUP(N629, Crews!$A$2:$C$28, 2, 0))))) * 400</f>
        <v>4840.625</v>
      </c>
      <c r="K629" s="3" t="s">
        <v>1289</v>
      </c>
      <c r="L629" s="1" t="s">
        <v>1290</v>
      </c>
      <c r="M629" s="1" t="n">
        <v>0</v>
      </c>
      <c r="N629" s="1" t="s">
        <v>25</v>
      </c>
      <c r="O629" s="1"/>
      <c r="P629" s="1"/>
      <c r="Q629" s="4" t="s">
        <v>41</v>
      </c>
      <c r="R629" s="5" t="s">
        <v>327</v>
      </c>
      <c r="S629" s="4" t="s">
        <v>43</v>
      </c>
      <c r="T629" s="1"/>
    </row>
    <row r="630" customFormat="false" ht="15" hidden="false" customHeight="true" outlineLevel="0" collapsed="false">
      <c r="A630" s="1" t="s">
        <v>1291</v>
      </c>
      <c r="B630" s="1" t="n">
        <v>1882</v>
      </c>
      <c r="C630" s="1" t="n">
        <v>5</v>
      </c>
      <c r="D630" s="1" t="s">
        <v>38</v>
      </c>
      <c r="E630" s="1"/>
      <c r="F630" s="1"/>
      <c r="G630" s="1" t="n">
        <v>150</v>
      </c>
      <c r="H630" s="2" t="n">
        <v>335500</v>
      </c>
      <c r="I630" s="2" t="n">
        <f aca="false">(((H630 / 800) / IF(ISBLANK(R630), 1000000, IF(ISNA(VLOOKUP(R630, Mileages!$A$2:$C$34, 2, 0)), R630, VLOOKUP(R630, Mileages!$A$2:$C$34, 2, 0)))) + (F630 * IF(ISBLANK(P630), 1, P630) * IF(ISBLANK(T630), 0, IF(ISNA(VLOOKUP(T630, 'Fuel Costs'!$A$2:$C$42, 2, 0)), T630, VLOOKUP(T630, 'Fuel Costs'!$A$2:$C$42, 2, 0))) / IF(ISBLANK(O630), 1, O630))) * 100</f>
        <v>0.03494791667</v>
      </c>
      <c r="J630" s="2" t="n">
        <f aca="false">((H630 / 800) / (IF(ISBLANK(S630), 100, IF(ISNA(VLOOKUP(S630, Lives!$A$2:$C$35, 2, 0)), S630, VLOOKUP(S630, Lives!$A$2:$C$35, 2, 0))) * 12) + (IF(ISBLANK(Q630), 0, IF(ISNA(VLOOKUP(Q630, Wages!$A$2:$C$17, 2, 0)), Q630, VLOOKUP(Q630, Wages!$A$2:$C$17, 2, 0))) * IF(ISBLANK(N630), 0, IF(ISNA(VLOOKUP(N630, Crews!$A$2:$C$28, 2, 0)), N630, VLOOKUP(N630, Crews!$A$2:$C$28, 2, 0))))) * 400</f>
        <v>5199.404762</v>
      </c>
      <c r="K630" s="3" t="s">
        <v>1292</v>
      </c>
      <c r="L630" s="1" t="s">
        <v>1293</v>
      </c>
      <c r="M630" s="1" t="n">
        <v>0</v>
      </c>
      <c r="N630" s="1" t="s">
        <v>25</v>
      </c>
      <c r="O630" s="1"/>
      <c r="P630" s="1"/>
      <c r="Q630" s="1" t="s">
        <v>378</v>
      </c>
      <c r="R630" s="1" t="s">
        <v>689</v>
      </c>
      <c r="S630" s="1" t="s">
        <v>856</v>
      </c>
      <c r="T630" s="1"/>
    </row>
    <row r="631" customFormat="false" ht="15" hidden="false" customHeight="true" outlineLevel="0" collapsed="false">
      <c r="A631" s="1" t="s">
        <v>1294</v>
      </c>
      <c r="B631" s="1" t="n">
        <v>1882</v>
      </c>
      <c r="C631" s="1" t="n">
        <v>6</v>
      </c>
      <c r="D631" s="1" t="s">
        <v>38</v>
      </c>
      <c r="E631" s="1" t="s">
        <v>274</v>
      </c>
      <c r="F631" s="1" t="n">
        <v>229</v>
      </c>
      <c r="G631" s="1" t="n">
        <v>75</v>
      </c>
      <c r="H631" s="2" t="n">
        <v>2950000</v>
      </c>
      <c r="I631" s="2" t="n">
        <f aca="false">(((H631 / 800) / IF(ISBLANK(R631), 1000000, IF(ISNA(VLOOKUP(R631, Mileages!$A$2:$C$34, 2, 0)), R631, VLOOKUP(R631, Mileages!$A$2:$C$34, 2, 0)))) + (F631 * IF(ISBLANK(P631), 1, P631) * IF(ISBLANK(T631), 0, IF(ISNA(VLOOKUP(T631, 'Fuel Costs'!$A$2:$C$42, 2, 0)), T631, VLOOKUP(T631, 'Fuel Costs'!$A$2:$C$42, 2, 0))) / IF(ISBLANK(O631), 1, O631))) * 100</f>
        <v>153.0354167</v>
      </c>
      <c r="J631" s="2" t="n">
        <f aca="false">((H631 / 800) / (IF(ISBLANK(S631), 100, IF(ISNA(VLOOKUP(S631, Lives!$A$2:$C$35, 2, 0)), S631, VLOOKUP(S631, Lives!$A$2:$C$35, 2, 0))) * 12) + (IF(ISBLANK(Q631), 0, IF(ISNA(VLOOKUP(Q631, Wages!$A$2:$C$17, 2, 0)), Q631, VLOOKUP(Q631, Wages!$A$2:$C$17, 2, 0))) * IF(ISBLANK(N631), 0, IF(ISNA(VLOOKUP(N631, Crews!$A$2:$C$28, 2, 0)), N631, VLOOKUP(N631, Crews!$A$2:$C$28, 2, 0))))) * 400</f>
        <v>26458.33333</v>
      </c>
      <c r="K631" s="3" t="s">
        <v>1295</v>
      </c>
      <c r="L631" s="1" t="s">
        <v>1296</v>
      </c>
      <c r="M631" s="1" t="n">
        <v>0</v>
      </c>
      <c r="N631" s="1" t="s">
        <v>590</v>
      </c>
      <c r="O631" s="1" t="n">
        <v>0.6</v>
      </c>
      <c r="P631" s="1"/>
      <c r="Q631" s="5" t="s">
        <v>284</v>
      </c>
      <c r="R631" s="1" t="s">
        <v>677</v>
      </c>
      <c r="S631" s="1" t="s">
        <v>677</v>
      </c>
      <c r="T631" s="1" t="s">
        <v>923</v>
      </c>
    </row>
    <row r="632" customFormat="false" ht="15" hidden="false" customHeight="true" outlineLevel="0" collapsed="false">
      <c r="A632" s="1" t="s">
        <v>1297</v>
      </c>
      <c r="B632" s="1" t="n">
        <v>1882</v>
      </c>
      <c r="C632" s="1" t="n">
        <v>6</v>
      </c>
      <c r="D632" s="1" t="s">
        <v>38</v>
      </c>
      <c r="E632" s="1" t="s">
        <v>274</v>
      </c>
      <c r="F632" s="1"/>
      <c r="G632" s="1" t="n">
        <v>75</v>
      </c>
      <c r="H632" s="2" t="n">
        <v>0</v>
      </c>
      <c r="I632" s="2" t="n">
        <f aca="false">(((H632 / 800) / IF(ISBLANK(R632), 1000000, IF(ISNA(VLOOKUP(R632, Mileages!$A$2:$C$34, 2, 0)), R632, VLOOKUP(R632, Mileages!$A$2:$C$34, 2, 0)))) + (F632 * IF(ISBLANK(P632), 1, P632) * IF(ISBLANK(T632), 0, IF(ISNA(VLOOKUP(T632, 'Fuel Costs'!$A$2:$C$42, 2, 0)), T632, VLOOKUP(T632, 'Fuel Costs'!$A$2:$C$42, 2, 0))) / IF(ISBLANK(O632), 1, O632))) * 100</f>
        <v>0</v>
      </c>
      <c r="J632" s="2" t="n">
        <f aca="false">((H632 / 800) / (IF(ISBLANK(S632), 100, IF(ISNA(VLOOKUP(S632, Lives!$A$2:$C$35, 2, 0)), S632, VLOOKUP(S632, Lives!$A$2:$C$35, 2, 0))) * 12) + (IF(ISBLANK(Q632), 0, IF(ISNA(VLOOKUP(Q632, Wages!$A$2:$C$17, 2, 0)), Q632, VLOOKUP(Q632, Wages!$A$2:$C$17, 2, 0))) * IF(ISBLANK(N632), 0, IF(ISNA(VLOOKUP(N632, Crews!$A$2:$C$28, 2, 0)), N632, VLOOKUP(N632, Crews!$A$2:$C$28, 2, 0))))) * 400</f>
        <v>0</v>
      </c>
      <c r="K632" s="1"/>
      <c r="L632" s="1" t="s">
        <v>1296</v>
      </c>
      <c r="M632" s="1" t="n">
        <v>1</v>
      </c>
      <c r="N632" s="1"/>
      <c r="O632" s="1"/>
      <c r="P632" s="1"/>
      <c r="Q632" s="1"/>
      <c r="R632" s="1"/>
      <c r="S632" s="1"/>
      <c r="T632" s="1"/>
    </row>
    <row r="633" customFormat="false" ht="15" hidden="false" customHeight="true" outlineLevel="0" collapsed="false">
      <c r="A633" s="1" t="s">
        <v>1298</v>
      </c>
      <c r="B633" s="1" t="n">
        <v>1882</v>
      </c>
      <c r="C633" s="1" t="n">
        <v>11</v>
      </c>
      <c r="D633" s="1" t="s">
        <v>876</v>
      </c>
      <c r="E633" s="1" t="s">
        <v>274</v>
      </c>
      <c r="F633" s="1" t="n">
        <v>4</v>
      </c>
      <c r="G633" s="1" t="n">
        <v>16</v>
      </c>
      <c r="H633" s="2" t="n">
        <v>210000</v>
      </c>
      <c r="I633" s="2" t="n">
        <f aca="false">(((H633 / 800) / IF(ISBLANK(R633), 1000000, IF(ISNA(VLOOKUP(R633, Mileages!$A$2:$C$34, 2, 0)), R633, VLOOKUP(R633, Mileages!$A$2:$C$34, 2, 0)))) + (F633 * IF(ISBLANK(P633), 1, P633) * IF(ISBLANK(T633), 0, IF(ISNA(VLOOKUP(T633, 'Fuel Costs'!$A$2:$C$42, 2, 0)), T633, VLOOKUP(T633, 'Fuel Costs'!$A$2:$C$42, 2, 0))) / IF(ISBLANK(O633), 1, O633))) * 100</f>
        <v>3.581805556</v>
      </c>
      <c r="J633" s="2" t="n">
        <f aca="false">((H633 / 800) / (IF(ISBLANK(S633), 100, IF(ISNA(VLOOKUP(S633, Lives!$A$2:$C$35, 2, 0)), S633, VLOOKUP(S633, Lives!$A$2:$C$35, 2, 0))) * 12) + (IF(ISBLANK(Q633), 0, IF(ISNA(VLOOKUP(Q633, Wages!$A$2:$C$17, 2, 0)), Q633, VLOOKUP(Q633, Wages!$A$2:$C$17, 2, 0))) * IF(ISBLANK(N633), 0, IF(ISNA(VLOOKUP(N633, Crews!$A$2:$C$28, 2, 0)), N633, VLOOKUP(N633, Crews!$A$2:$C$28, 2, 0))))) * 400</f>
        <v>16175</v>
      </c>
      <c r="K633" s="3" t="s">
        <v>1299</v>
      </c>
      <c r="L633" s="1" t="s">
        <v>1300</v>
      </c>
      <c r="M633" s="1" t="n">
        <v>0</v>
      </c>
      <c r="N633" s="1" t="s">
        <v>283</v>
      </c>
      <c r="O633" s="1" t="n">
        <v>0.45</v>
      </c>
      <c r="P633" s="1"/>
      <c r="Q633" s="1" t="s">
        <v>284</v>
      </c>
      <c r="R633" s="1" t="s">
        <v>677</v>
      </c>
      <c r="S633" s="1" t="s">
        <v>677</v>
      </c>
      <c r="T633" s="1" t="s">
        <v>923</v>
      </c>
    </row>
    <row r="634" customFormat="false" ht="15" hidden="false" customHeight="true" outlineLevel="0" collapsed="false">
      <c r="A634" s="1" t="s">
        <v>1301</v>
      </c>
      <c r="B634" s="1" t="n">
        <v>1882</v>
      </c>
      <c r="C634" s="1" t="n">
        <v>12</v>
      </c>
      <c r="D634" s="1" t="s">
        <v>38</v>
      </c>
      <c r="E634" s="1" t="s">
        <v>274</v>
      </c>
      <c r="F634" s="1" t="n">
        <v>257</v>
      </c>
      <c r="G634" s="1" t="n">
        <v>130</v>
      </c>
      <c r="H634" s="2" t="n">
        <f aca="false">5796000*2</f>
        <v>11592000</v>
      </c>
      <c r="I634" s="2" t="n">
        <f aca="false">(((H634 / 800) / IF(ISBLANK(R634), 1000000, IF(ISNA(VLOOKUP(R634, Mileages!$A$2:$C$34, 2, 0)), R634, VLOOKUP(R634, Mileages!$A$2:$C$34, 2, 0)))) + (F634 * IF(ISBLANK(P634), 1, P634) * IF(ISBLANK(T634), 0, IF(ISNA(VLOOKUP(T634, 'Fuel Costs'!$A$2:$C$42, 2, 0)), T634, VLOOKUP(T634, 'Fuel Costs'!$A$2:$C$42, 2, 0))) / IF(ISBLANK(O634), 1, O634))) * 100</f>
        <v>172.7823333</v>
      </c>
      <c r="J634" s="2" t="n">
        <f aca="false">((H634 / 800) / (IF(ISBLANK(S634), 100, IF(ISNA(VLOOKUP(S634, Lives!$A$2:$C$35, 2, 0)), S634, VLOOKUP(S634, Lives!$A$2:$C$35, 2, 0))) * 12) + (IF(ISBLANK(Q634), 0, IF(ISNA(VLOOKUP(Q634, Wages!$A$2:$C$17, 2, 0)), Q634, VLOOKUP(Q634, Wages!$A$2:$C$17, 2, 0))) * IF(ISBLANK(N634), 0, IF(ISNA(VLOOKUP(N634, Crews!$A$2:$C$28, 2, 0)), N634, VLOOKUP(N634, Crews!$A$2:$C$28, 2, 0))))) * 400</f>
        <v>33660</v>
      </c>
      <c r="K634" s="3" t="s">
        <v>1302</v>
      </c>
      <c r="L634" s="1" t="s">
        <v>1303</v>
      </c>
      <c r="M634" s="1" t="n">
        <v>0</v>
      </c>
      <c r="N634" s="1" t="s">
        <v>590</v>
      </c>
      <c r="O634" s="1" t="n">
        <v>0.6</v>
      </c>
      <c r="P634" s="1"/>
      <c r="Q634" s="5" t="s">
        <v>284</v>
      </c>
      <c r="R634" s="1" t="s">
        <v>677</v>
      </c>
      <c r="S634" s="1" t="s">
        <v>677</v>
      </c>
      <c r="T634" s="1" t="s">
        <v>923</v>
      </c>
    </row>
    <row r="635" customFormat="false" ht="15" hidden="false" customHeight="true" outlineLevel="0" collapsed="false">
      <c r="A635" s="1" t="s">
        <v>1304</v>
      </c>
      <c r="B635" s="1" t="n">
        <v>1883</v>
      </c>
      <c r="C635" s="1" t="n">
        <v>4</v>
      </c>
      <c r="D635" s="1" t="s">
        <v>876</v>
      </c>
      <c r="E635" s="1"/>
      <c r="F635" s="1"/>
      <c r="G635" s="1" t="n">
        <v>16</v>
      </c>
      <c r="H635" s="2" t="n">
        <v>375000</v>
      </c>
      <c r="I635" s="2" t="n">
        <f aca="false">(((H635 / 800) / IF(ISBLANK(R635), 1000000, IF(ISNA(VLOOKUP(R635, Mileages!$A$2:$C$34, 2, 0)), R635, VLOOKUP(R635, Mileages!$A$2:$C$34, 2, 0)))) + (F635 * IF(ISBLANK(P635), 1, P635) * IF(ISBLANK(T635), 0, IF(ISNA(VLOOKUP(T635, 'Fuel Costs'!$A$2:$C$42, 2, 0)), T635, VLOOKUP(T635, 'Fuel Costs'!$A$2:$C$42, 2, 0))) / IF(ISBLANK(O635), 1, O635))) * 100</f>
        <v>0.0390625</v>
      </c>
      <c r="J635" s="2" t="n">
        <f aca="false">((H635 / 800) / (IF(ISBLANK(S635), 100, IF(ISNA(VLOOKUP(S635, Lives!$A$2:$C$35, 2, 0)), S635, VLOOKUP(S635, Lives!$A$2:$C$35, 2, 0))) * 12) + (IF(ISBLANK(Q635), 0, IF(ISNA(VLOOKUP(Q635, Wages!$A$2:$C$17, 2, 0)), Q635, VLOOKUP(Q635, Wages!$A$2:$C$17, 2, 0))) * IF(ISBLANK(N635), 0, IF(ISNA(VLOOKUP(N635, Crews!$A$2:$C$28, 2, 0)), N635, VLOOKUP(N635, Crews!$A$2:$C$28, 2, 0))))) * 400</f>
        <v>6446.428571</v>
      </c>
      <c r="K635" s="1" t="s">
        <v>1305</v>
      </c>
      <c r="L635" s="1" t="s">
        <v>1306</v>
      </c>
      <c r="M635" s="1" t="n">
        <v>0</v>
      </c>
      <c r="N635" s="1" t="s">
        <v>895</v>
      </c>
      <c r="O635" s="1"/>
      <c r="P635" s="1"/>
      <c r="Q635" s="1" t="s">
        <v>895</v>
      </c>
      <c r="R635" s="1" t="s">
        <v>689</v>
      </c>
      <c r="S635" s="1" t="s">
        <v>856</v>
      </c>
      <c r="T635" s="1"/>
    </row>
    <row r="636" customFormat="false" ht="15" hidden="false" customHeight="true" outlineLevel="0" collapsed="false">
      <c r="A636" s="1" t="s">
        <v>1307</v>
      </c>
      <c r="B636" s="1" t="n">
        <v>1883</v>
      </c>
      <c r="C636" s="1" t="n">
        <v>6</v>
      </c>
      <c r="D636" s="1" t="s">
        <v>38</v>
      </c>
      <c r="E636" s="1"/>
      <c r="F636" s="1"/>
      <c r="G636" s="1" t="n">
        <v>135</v>
      </c>
      <c r="H636" s="2" t="n">
        <v>340000</v>
      </c>
      <c r="I636" s="2" t="n">
        <f aca="false">(((H636 / 800) / IF(ISBLANK(R636), 1000000, IF(ISNA(VLOOKUP(R636, Mileages!$A$2:$C$34, 2, 0)), R636, VLOOKUP(R636, Mileages!$A$2:$C$34, 2, 0)))) + (F636 * IF(ISBLANK(P636), 1, P636) * IF(ISBLANK(T636), 0, IF(ISNA(VLOOKUP(T636, 'Fuel Costs'!$A$2:$C$42, 2, 0)), T636, VLOOKUP(T636, 'Fuel Costs'!$A$2:$C$42, 2, 0))) / IF(ISBLANK(O636), 1, O636))) * 100</f>
        <v>0.03541666667</v>
      </c>
      <c r="J636" s="2" t="n">
        <f aca="false">((H636 / 800) / (IF(ISBLANK(S636), 100, IF(ISNA(VLOOKUP(S636, Lives!$A$2:$C$35, 2, 0)), S636, VLOOKUP(S636, Lives!$A$2:$C$35, 2, 0))) * 12) + (IF(ISBLANK(Q636), 0, IF(ISNA(VLOOKUP(Q636, Wages!$A$2:$C$17, 2, 0)), Q636, VLOOKUP(Q636, Wages!$A$2:$C$17, 2, 0))) * IF(ISBLANK(N636), 0, IF(ISNA(VLOOKUP(N636, Crews!$A$2:$C$28, 2, 0)), N636, VLOOKUP(N636, Crews!$A$2:$C$28, 2, 0))))) * 400</f>
        <v>5204.761905</v>
      </c>
      <c r="K636" s="1"/>
      <c r="L636" s="1" t="s">
        <v>1308</v>
      </c>
      <c r="M636" s="1" t="n">
        <v>0</v>
      </c>
      <c r="N636" s="1" t="s">
        <v>25</v>
      </c>
      <c r="O636" s="1"/>
      <c r="P636" s="1"/>
      <c r="Q636" s="1" t="s">
        <v>378</v>
      </c>
      <c r="R636" s="1" t="s">
        <v>689</v>
      </c>
      <c r="S636" s="1" t="s">
        <v>856</v>
      </c>
      <c r="T636" s="1"/>
    </row>
    <row r="637" customFormat="false" ht="15" hidden="false" customHeight="true" outlineLevel="0" collapsed="false">
      <c r="A637" s="1" t="s">
        <v>1309</v>
      </c>
      <c r="B637" s="1" t="n">
        <v>1883</v>
      </c>
      <c r="C637" s="1" t="n">
        <v>6</v>
      </c>
      <c r="D637" s="1" t="s">
        <v>38</v>
      </c>
      <c r="E637" s="1"/>
      <c r="F637" s="1"/>
      <c r="G637" s="1" t="n">
        <v>135</v>
      </c>
      <c r="H637" s="2" t="n">
        <v>340000</v>
      </c>
      <c r="I637" s="2" t="n">
        <f aca="false">(((H637 / 800) / IF(ISBLANK(R637), 1000000, IF(ISNA(VLOOKUP(R637, Mileages!$A$2:$C$34, 2, 0)), R637, VLOOKUP(R637, Mileages!$A$2:$C$34, 2, 0)))) + (F637 * IF(ISBLANK(P637), 1, P637) * IF(ISBLANK(T637), 0, IF(ISNA(VLOOKUP(T637, 'Fuel Costs'!$A$2:$C$42, 2, 0)), T637, VLOOKUP(T637, 'Fuel Costs'!$A$2:$C$42, 2, 0))) / IF(ISBLANK(O637), 1, O637))) * 100</f>
        <v>0.03541666667</v>
      </c>
      <c r="J637" s="2" t="n">
        <f aca="false">((H637 / 800) / (IF(ISBLANK(S637), 100, IF(ISNA(VLOOKUP(S637, Lives!$A$2:$C$35, 2, 0)), S637, VLOOKUP(S637, Lives!$A$2:$C$35, 2, 0))) * 12) + (IF(ISBLANK(Q637), 0, IF(ISNA(VLOOKUP(Q637, Wages!$A$2:$C$17, 2, 0)), Q637, VLOOKUP(Q637, Wages!$A$2:$C$17, 2, 0))) * IF(ISBLANK(N637), 0, IF(ISNA(VLOOKUP(N637, Crews!$A$2:$C$28, 2, 0)), N637, VLOOKUP(N637, Crews!$A$2:$C$28, 2, 0))))) * 400</f>
        <v>404.7619048</v>
      </c>
      <c r="K637" s="1"/>
      <c r="L637" s="1" t="s">
        <v>1308</v>
      </c>
      <c r="M637" s="1" t="n">
        <v>3</v>
      </c>
      <c r="N637" s="1"/>
      <c r="O637" s="1"/>
      <c r="P637" s="1"/>
      <c r="Q637" s="1"/>
      <c r="R637" s="1" t="s">
        <v>689</v>
      </c>
      <c r="S637" s="1" t="s">
        <v>856</v>
      </c>
      <c r="T637" s="1"/>
    </row>
    <row r="638" customFormat="false" ht="15" hidden="false" customHeight="true" outlineLevel="0" collapsed="false">
      <c r="A638" s="1" t="s">
        <v>1310</v>
      </c>
      <c r="B638" s="1" t="n">
        <v>1883</v>
      </c>
      <c r="C638" s="1" t="n">
        <v>6</v>
      </c>
      <c r="D638" s="1" t="s">
        <v>38</v>
      </c>
      <c r="E638" s="1"/>
      <c r="F638" s="1"/>
      <c r="G638" s="1" t="n">
        <v>135</v>
      </c>
      <c r="H638" s="2" t="n">
        <v>350000</v>
      </c>
      <c r="I638" s="2" t="n">
        <f aca="false">(((H638 / 800) / IF(ISBLANK(R638), 1000000, IF(ISNA(VLOOKUP(R638, Mileages!$A$2:$C$34, 2, 0)), R638, VLOOKUP(R638, Mileages!$A$2:$C$34, 2, 0)))) + (F638 * IF(ISBLANK(P638), 1, P638) * IF(ISBLANK(T638), 0, IF(ISNA(VLOOKUP(T638, 'Fuel Costs'!$A$2:$C$42, 2, 0)), T638, VLOOKUP(T638, 'Fuel Costs'!$A$2:$C$42, 2, 0))) / IF(ISBLANK(O638), 1, O638))) * 100</f>
        <v>0.03645833333</v>
      </c>
      <c r="J638" s="2" t="n">
        <f aca="false">((H638 / 800) / (IF(ISBLANK(S638), 100, IF(ISNA(VLOOKUP(S638, Lives!$A$2:$C$35, 2, 0)), S638, VLOOKUP(S638, Lives!$A$2:$C$35, 2, 0))) * 12) + (IF(ISBLANK(Q638), 0, IF(ISNA(VLOOKUP(Q638, Wages!$A$2:$C$17, 2, 0)), Q638, VLOOKUP(Q638, Wages!$A$2:$C$17, 2, 0))) * IF(ISBLANK(N638), 0, IF(ISNA(VLOOKUP(N638, Crews!$A$2:$C$28, 2, 0)), N638, VLOOKUP(N638, Crews!$A$2:$C$28, 2, 0))))) * 400</f>
        <v>5216.666667</v>
      </c>
      <c r="K638" s="1"/>
      <c r="L638" s="1" t="s">
        <v>1308</v>
      </c>
      <c r="M638" s="1" t="n">
        <v>4</v>
      </c>
      <c r="N638" s="1" t="s">
        <v>25</v>
      </c>
      <c r="O638" s="1"/>
      <c r="P638" s="1"/>
      <c r="Q638" s="1" t="s">
        <v>378</v>
      </c>
      <c r="R638" s="1" t="s">
        <v>689</v>
      </c>
      <c r="S638" s="1" t="s">
        <v>856</v>
      </c>
      <c r="T638" s="1"/>
    </row>
    <row r="639" customFormat="false" ht="15" hidden="false" customHeight="true" outlineLevel="0" collapsed="false">
      <c r="A639" s="1" t="s">
        <v>1311</v>
      </c>
      <c r="B639" s="1" t="n">
        <v>1883</v>
      </c>
      <c r="C639" s="1" t="n">
        <v>6</v>
      </c>
      <c r="D639" s="1" t="s">
        <v>38</v>
      </c>
      <c r="E639" s="1"/>
      <c r="F639" s="1"/>
      <c r="G639" s="1" t="n">
        <v>135</v>
      </c>
      <c r="H639" s="2" t="n">
        <v>350000</v>
      </c>
      <c r="I639" s="2" t="n">
        <f aca="false">(((H639 / 800) / IF(ISBLANK(R639), 1000000, IF(ISNA(VLOOKUP(R639, Mileages!$A$2:$C$34, 2, 0)), R639, VLOOKUP(R639, Mileages!$A$2:$C$34, 2, 0)))) + (F639 * IF(ISBLANK(P639), 1, P639) * IF(ISBLANK(T639), 0, IF(ISNA(VLOOKUP(T639, 'Fuel Costs'!$A$2:$C$42, 2, 0)), T639, VLOOKUP(T639, 'Fuel Costs'!$A$2:$C$42, 2, 0))) / IF(ISBLANK(O639), 1, O639))) * 100</f>
        <v>0.03645833333</v>
      </c>
      <c r="J639" s="2" t="n">
        <f aca="false">((H639 / 800) / (IF(ISBLANK(S639), 100, IF(ISNA(VLOOKUP(S639, Lives!$A$2:$C$35, 2, 0)), S639, VLOOKUP(S639, Lives!$A$2:$C$35, 2, 0))) * 12) + (IF(ISBLANK(Q639), 0, IF(ISNA(VLOOKUP(Q639, Wages!$A$2:$C$17, 2, 0)), Q639, VLOOKUP(Q639, Wages!$A$2:$C$17, 2, 0))) * IF(ISBLANK(N639), 0, IF(ISNA(VLOOKUP(N639, Crews!$A$2:$C$28, 2, 0)), N639, VLOOKUP(N639, Crews!$A$2:$C$28, 2, 0))))) * 400</f>
        <v>416.6666667</v>
      </c>
      <c r="K639" s="1"/>
      <c r="L639" s="1" t="s">
        <v>1308</v>
      </c>
      <c r="M639" s="1" t="n">
        <v>6</v>
      </c>
      <c r="N639" s="1"/>
      <c r="O639" s="1"/>
      <c r="P639" s="1"/>
      <c r="Q639" s="1"/>
      <c r="R639" s="1" t="s">
        <v>689</v>
      </c>
      <c r="S639" s="1" t="s">
        <v>856</v>
      </c>
      <c r="T639" s="1"/>
    </row>
    <row r="640" customFormat="false" ht="15" hidden="false" customHeight="true" outlineLevel="0" collapsed="false">
      <c r="A640" s="1" t="s">
        <v>1312</v>
      </c>
      <c r="B640" s="1" t="n">
        <v>1883</v>
      </c>
      <c r="C640" s="1" t="n">
        <v>6</v>
      </c>
      <c r="D640" s="1" t="s">
        <v>38</v>
      </c>
      <c r="E640" s="1"/>
      <c r="F640" s="1"/>
      <c r="G640" s="1" t="n">
        <v>135</v>
      </c>
      <c r="H640" s="2" t="n">
        <v>350000</v>
      </c>
      <c r="I640" s="2" t="n">
        <f aca="false">(((H640 / 800) / IF(ISBLANK(R640), 1000000, IF(ISNA(VLOOKUP(R640, Mileages!$A$2:$C$34, 2, 0)), R640, VLOOKUP(R640, Mileages!$A$2:$C$34, 2, 0)))) + (F640 * IF(ISBLANK(P640), 1, P640) * IF(ISBLANK(T640), 0, IF(ISNA(VLOOKUP(T640, 'Fuel Costs'!$A$2:$C$42, 2, 0)), T640, VLOOKUP(T640, 'Fuel Costs'!$A$2:$C$42, 2, 0))) / IF(ISBLANK(O640), 1, O640))) * 100</f>
        <v>0.03645833333</v>
      </c>
      <c r="J640" s="2" t="n">
        <f aca="false">((H640 / 800) / (IF(ISBLANK(S640), 100, IF(ISNA(VLOOKUP(S640, Lives!$A$2:$C$35, 2, 0)), S640, VLOOKUP(S640, Lives!$A$2:$C$35, 2, 0))) * 12) + (IF(ISBLANK(Q640), 0, IF(ISNA(VLOOKUP(Q640, Wages!$A$2:$C$17, 2, 0)), Q640, VLOOKUP(Q640, Wages!$A$2:$C$17, 2, 0))) * IF(ISBLANK(N640), 0, IF(ISNA(VLOOKUP(N640, Crews!$A$2:$C$28, 2, 0)), N640, VLOOKUP(N640, Crews!$A$2:$C$28, 2, 0))))) * 400</f>
        <v>145.8333333</v>
      </c>
      <c r="K640" s="1"/>
      <c r="L640" s="1" t="s">
        <v>1308</v>
      </c>
      <c r="M640" s="1" t="n">
        <v>7</v>
      </c>
      <c r="N640" s="1"/>
      <c r="O640" s="1"/>
      <c r="P640" s="1"/>
      <c r="Q640" s="1"/>
      <c r="R640" s="1" t="s">
        <v>689</v>
      </c>
      <c r="S640" s="5" t="s">
        <v>389</v>
      </c>
      <c r="T640" s="1"/>
    </row>
    <row r="641" customFormat="false" ht="15" hidden="false" customHeight="true" outlineLevel="0" collapsed="false">
      <c r="A641" s="1" t="s">
        <v>1313</v>
      </c>
      <c r="B641" s="1" t="n">
        <v>1883</v>
      </c>
      <c r="C641" s="1" t="n">
        <v>6</v>
      </c>
      <c r="D641" s="1" t="s">
        <v>38</v>
      </c>
      <c r="E641" s="1"/>
      <c r="F641" s="1"/>
      <c r="G641" s="1" t="n">
        <v>135</v>
      </c>
      <c r="H641" s="2" t="n">
        <v>350000</v>
      </c>
      <c r="I641" s="2" t="n">
        <f aca="false">(((H641 / 800) / IF(ISBLANK(R641), 1000000, IF(ISNA(VLOOKUP(R641, Mileages!$A$2:$C$34, 2, 0)), R641, VLOOKUP(R641, Mileages!$A$2:$C$34, 2, 0)))) + (F641 * IF(ISBLANK(P641), 1, P641) * IF(ISBLANK(T641), 0, IF(ISNA(VLOOKUP(T641, 'Fuel Costs'!$A$2:$C$42, 2, 0)), T641, VLOOKUP(T641, 'Fuel Costs'!$A$2:$C$42, 2, 0))) / IF(ISBLANK(O641), 1, O641))) * 100</f>
        <v>0.03645833333</v>
      </c>
      <c r="J641" s="2" t="n">
        <f aca="false">((H641 / 800) / (IF(ISBLANK(S641), 100, IF(ISNA(VLOOKUP(S641, Lives!$A$2:$C$35, 2, 0)), S641, VLOOKUP(S641, Lives!$A$2:$C$35, 2, 0))) * 12) + (IF(ISBLANK(Q641), 0, IF(ISNA(VLOOKUP(Q641, Wages!$A$2:$C$17, 2, 0)), Q641, VLOOKUP(Q641, Wages!$A$2:$C$17, 2, 0))) * IF(ISBLANK(N641), 0, IF(ISNA(VLOOKUP(N641, Crews!$A$2:$C$28, 2, 0)), N641, VLOOKUP(N641, Crews!$A$2:$C$28, 2, 0))))) * 400</f>
        <v>24145.83333</v>
      </c>
      <c r="K641" s="1"/>
      <c r="L641" s="1" t="s">
        <v>1308</v>
      </c>
      <c r="M641" s="1" t="n">
        <v>8</v>
      </c>
      <c r="N641" s="1" t="s">
        <v>551</v>
      </c>
      <c r="O641" s="1"/>
      <c r="P641" s="1"/>
      <c r="Q641" s="1" t="s">
        <v>551</v>
      </c>
      <c r="R641" s="1" t="s">
        <v>689</v>
      </c>
      <c r="S641" s="1" t="s">
        <v>389</v>
      </c>
      <c r="T641" s="1"/>
    </row>
    <row r="642" customFormat="false" ht="15" hidden="false" customHeight="true" outlineLevel="0" collapsed="false">
      <c r="A642" s="1" t="s">
        <v>1314</v>
      </c>
      <c r="B642" s="1" t="n">
        <v>1883</v>
      </c>
      <c r="C642" s="1" t="n">
        <v>10</v>
      </c>
      <c r="D642" s="1" t="s">
        <v>38</v>
      </c>
      <c r="E642" s="1"/>
      <c r="F642" s="1" t="n">
        <v>0</v>
      </c>
      <c r="G642" s="1" t="n">
        <v>135</v>
      </c>
      <c r="H642" s="2" t="n">
        <v>0</v>
      </c>
      <c r="I642" s="2" t="n">
        <f aca="false">(((H642 / 800) / IF(ISBLANK(R642), 1000000, IF(ISNA(VLOOKUP(R642, Mileages!$A$2:$C$34, 2, 0)), R642, VLOOKUP(R642, Mileages!$A$2:$C$34, 2, 0)))) + (F642 * IF(ISBLANK(P642), 1, P642) * IF(ISBLANK(T642), 0, IF(ISNA(VLOOKUP(T642, 'Fuel Costs'!$A$2:$C$42, 2, 0)), T642, VLOOKUP(T642, 'Fuel Costs'!$A$2:$C$42, 2, 0))) / IF(ISBLANK(O642), 1, O642))) * 100</f>
        <v>0</v>
      </c>
      <c r="J642" s="2" t="n">
        <f aca="false">((H642 / 800) / (IF(ISBLANK(S642), 100, IF(ISNA(VLOOKUP(S642, Lives!$A$2:$C$35, 2, 0)), S642, VLOOKUP(S642, Lives!$A$2:$C$35, 2, 0))) * 12) + (IF(ISBLANK(Q642), 0, IF(ISNA(VLOOKUP(Q642, Wages!$A$2:$C$17, 2, 0)), Q642, VLOOKUP(Q642, Wages!$A$2:$C$17, 2, 0))) * IF(ISBLANK(N642), 0, IF(ISNA(VLOOKUP(N642, Crews!$A$2:$C$28, 2, 0)), N642, VLOOKUP(N642, Crews!$A$2:$C$28, 2, 0))))) * 400</f>
        <v>0</v>
      </c>
      <c r="K642" s="1"/>
      <c r="L642" s="1" t="s">
        <v>1315</v>
      </c>
      <c r="M642" s="1" t="n">
        <v>1</v>
      </c>
      <c r="N642" s="1"/>
      <c r="O642" s="1"/>
      <c r="P642" s="1"/>
      <c r="Q642" s="1"/>
      <c r="R642" s="1"/>
      <c r="S642" s="1"/>
      <c r="T642" s="1"/>
    </row>
    <row r="643" customFormat="false" ht="15" hidden="false" customHeight="true" outlineLevel="0" collapsed="false">
      <c r="A643" s="1" t="s">
        <v>1316</v>
      </c>
      <c r="B643" s="1" t="n">
        <v>1883</v>
      </c>
      <c r="C643" s="1" t="n">
        <v>10</v>
      </c>
      <c r="D643" s="1" t="s">
        <v>38</v>
      </c>
      <c r="E643" s="1"/>
      <c r="F643" s="1" t="n">
        <v>0</v>
      </c>
      <c r="G643" s="1" t="n">
        <v>135</v>
      </c>
      <c r="H643" s="2" t="n">
        <v>0</v>
      </c>
      <c r="I643" s="2" t="n">
        <f aca="false">(((H643 / 800) / IF(ISBLANK(R643), 1000000, IF(ISNA(VLOOKUP(R643, Mileages!$A$2:$C$34, 2, 0)), R643, VLOOKUP(R643, Mileages!$A$2:$C$34, 2, 0)))) + (F643 * IF(ISBLANK(P643), 1, P643) * IF(ISBLANK(T643), 0, IF(ISNA(VLOOKUP(T643, 'Fuel Costs'!$A$2:$C$42, 2, 0)), T643, VLOOKUP(T643, 'Fuel Costs'!$A$2:$C$42, 2, 0))) / IF(ISBLANK(O643), 1, O643))) * 100</f>
        <v>0</v>
      </c>
      <c r="J643" s="2" t="n">
        <f aca="false">((H643 / 800) / (IF(ISBLANK(S643), 100, IF(ISNA(VLOOKUP(S643, Lives!$A$2:$C$35, 2, 0)), S643, VLOOKUP(S643, Lives!$A$2:$C$35, 2, 0))) * 12) + (IF(ISBLANK(Q643), 0, IF(ISNA(VLOOKUP(Q643, Wages!$A$2:$C$17, 2, 0)), Q643, VLOOKUP(Q643, Wages!$A$2:$C$17, 2, 0))) * IF(ISBLANK(N643), 0, IF(ISNA(VLOOKUP(N643, Crews!$A$2:$C$28, 2, 0)), N643, VLOOKUP(N643, Crews!$A$2:$C$28, 2, 0))))) * 400</f>
        <v>0</v>
      </c>
      <c r="K643" s="3" t="s">
        <v>1317</v>
      </c>
      <c r="L643" s="1" t="s">
        <v>1318</v>
      </c>
      <c r="M643" s="1" t="n">
        <v>1</v>
      </c>
      <c r="N643" s="1"/>
      <c r="O643" s="1"/>
      <c r="P643" s="1"/>
      <c r="Q643" s="1"/>
      <c r="R643" s="1"/>
      <c r="S643" s="1"/>
      <c r="T643" s="1"/>
    </row>
    <row r="644" customFormat="false" ht="15" hidden="false" customHeight="true" outlineLevel="0" collapsed="false">
      <c r="A644" s="1" t="s">
        <v>1319</v>
      </c>
      <c r="B644" s="1" t="n">
        <v>1883</v>
      </c>
      <c r="C644" s="1" t="n">
        <v>11</v>
      </c>
      <c r="D644" s="1" t="s">
        <v>21</v>
      </c>
      <c r="E644" s="1"/>
      <c r="F644" s="1"/>
      <c r="G644" s="1" t="n">
        <v>18</v>
      </c>
      <c r="H644" s="2" t="n">
        <v>100000</v>
      </c>
      <c r="I644" s="2" t="n">
        <f aca="false">(((H644 / 800) / IF(ISBLANK(R644), 1000000, IF(ISNA(VLOOKUP(R644, Mileages!$A$2:$C$34, 2, 0)), R644, VLOOKUP(R644, Mileages!$A$2:$C$34, 2, 0)))) + (F644 * IF(ISBLANK(P644), 1, P644) * IF(ISBLANK(T644), 0, IF(ISNA(VLOOKUP(T644, 'Fuel Costs'!$A$2:$C$42, 2, 0)), T644, VLOOKUP(T644, 'Fuel Costs'!$A$2:$C$42, 2, 0))) / IF(ISBLANK(O644), 1, O644))) * 100</f>
        <v>0.025</v>
      </c>
      <c r="J644" s="2" t="n">
        <f aca="false">((H644 / 800) / (IF(ISBLANK(S644), 100, IF(ISNA(VLOOKUP(S644, Lives!$A$2:$C$35, 2, 0)), S644, VLOOKUP(S644, Lives!$A$2:$C$35, 2, 0))) * 12) + (IF(ISBLANK(Q644), 0, IF(ISNA(VLOOKUP(Q644, Wages!$A$2:$C$17, 2, 0)), Q644, VLOOKUP(Q644, Wages!$A$2:$C$17, 2, 0))) * IF(ISBLANK(N644), 0, IF(ISNA(VLOOKUP(N644, Crews!$A$2:$C$28, 2, 0)), N644, VLOOKUP(N644, Crews!$A$2:$C$28, 2, 0))))) * 400</f>
        <v>4841.666667</v>
      </c>
      <c r="K644" s="3" t="s">
        <v>1320</v>
      </c>
      <c r="L644" s="1" t="s">
        <v>1321</v>
      </c>
      <c r="M644" s="1" t="n">
        <v>0</v>
      </c>
      <c r="N644" s="1" t="s">
        <v>25</v>
      </c>
      <c r="O644" s="1"/>
      <c r="P644" s="1"/>
      <c r="Q644" s="4" t="s">
        <v>41</v>
      </c>
      <c r="R644" s="5" t="s">
        <v>327</v>
      </c>
      <c r="S644" s="4" t="s">
        <v>43</v>
      </c>
      <c r="T644" s="1"/>
    </row>
    <row r="645" customFormat="false" ht="15" hidden="false" customHeight="true" outlineLevel="0" collapsed="false">
      <c r="A645" s="1" t="s">
        <v>1322</v>
      </c>
      <c r="B645" s="1" t="n">
        <v>1884</v>
      </c>
      <c r="C645" s="1" t="n">
        <v>6</v>
      </c>
      <c r="D645" s="1" t="s">
        <v>38</v>
      </c>
      <c r="E645" s="1" t="s">
        <v>274</v>
      </c>
      <c r="F645" s="1" t="n">
        <v>209</v>
      </c>
      <c r="G645" s="1" t="n">
        <v>135</v>
      </c>
      <c r="H645" s="2" t="n">
        <v>13150000</v>
      </c>
      <c r="I645" s="2" t="n">
        <f aca="false">(((H645 / 800) / IF(ISBLANK(R645), 1000000, IF(ISNA(VLOOKUP(R645, Mileages!$A$2:$C$34, 2, 0)), R645, VLOOKUP(R645, Mileages!$A$2:$C$34, 2, 0)))) + (F645 * IF(ISBLANK(P645), 1, P645) * IF(ISBLANK(T645), 0, IF(ISNA(VLOOKUP(T645, 'Fuel Costs'!$A$2:$C$42, 2, 0)), T645, VLOOKUP(T645, 'Fuel Costs'!$A$2:$C$42, 2, 0))) / IF(ISBLANK(O645), 1, O645))) * 100</f>
        <v>140.9770833</v>
      </c>
      <c r="J645" s="2" t="n">
        <f aca="false">((H645 / 800) / (IF(ISBLANK(S645), 100, IF(ISNA(VLOOKUP(S645, Lives!$A$2:$C$35, 2, 0)), S645, VLOOKUP(S645, Lives!$A$2:$C$35, 2, 0))) * 12) + (IF(ISBLANK(Q645), 0, IF(ISNA(VLOOKUP(Q645, Wages!$A$2:$C$17, 2, 0)), Q645, VLOOKUP(Q645, Wages!$A$2:$C$17, 2, 0))) * IF(ISBLANK(N645), 0, IF(ISNA(VLOOKUP(N645, Crews!$A$2:$C$28, 2, 0)), N645, VLOOKUP(N645, Crews!$A$2:$C$28, 2, 0))))) * 400</f>
        <v>34958.33333</v>
      </c>
      <c r="K645" s="3" t="s">
        <v>1323</v>
      </c>
      <c r="L645" s="1" t="s">
        <v>1324</v>
      </c>
      <c r="M645" s="1" t="n">
        <v>0</v>
      </c>
      <c r="N645" s="1" t="s">
        <v>590</v>
      </c>
      <c r="O645" s="1" t="n">
        <v>0.6</v>
      </c>
      <c r="P645" s="1"/>
      <c r="Q645" s="5" t="s">
        <v>284</v>
      </c>
      <c r="R645" s="1" t="s">
        <v>677</v>
      </c>
      <c r="S645" s="1" t="s">
        <v>677</v>
      </c>
      <c r="T645" s="1" t="s">
        <v>923</v>
      </c>
    </row>
    <row r="646" customFormat="false" ht="15" hidden="false" customHeight="true" outlineLevel="0" collapsed="false">
      <c r="A646" s="1" t="s">
        <v>1325</v>
      </c>
      <c r="B646" s="1" t="n">
        <v>1885</v>
      </c>
      <c r="C646" s="1" t="n">
        <v>2</v>
      </c>
      <c r="D646" s="1" t="s">
        <v>38</v>
      </c>
      <c r="E646" s="1"/>
      <c r="F646" s="1"/>
      <c r="G646" s="1" t="n">
        <v>80</v>
      </c>
      <c r="H646" s="2" t="n">
        <v>365000</v>
      </c>
      <c r="I646" s="2" t="n">
        <f aca="false">(((H646 / 800) / IF(ISBLANK(R646), 1000000, IF(ISNA(VLOOKUP(R646, Mileages!$A$2:$C$34, 2, 0)), R646, VLOOKUP(R646, Mileages!$A$2:$C$34, 2, 0)))) + (F646 * IF(ISBLANK(P646), 1, P646) * IF(ISBLANK(T646), 0, IF(ISNA(VLOOKUP(T646, 'Fuel Costs'!$A$2:$C$42, 2, 0)), T646, VLOOKUP(T646, 'Fuel Costs'!$A$2:$C$42, 2, 0))) / IF(ISBLANK(O646), 1, O646))) * 100</f>
        <v>0.03802083333</v>
      </c>
      <c r="J646" s="2" t="n">
        <f aca="false">((H646 / 800) / (IF(ISBLANK(S646), 100, IF(ISNA(VLOOKUP(S646, Lives!$A$2:$C$35, 2, 0)), S646, VLOOKUP(S646, Lives!$A$2:$C$35, 2, 0))) * 12) + (IF(ISBLANK(Q646), 0, IF(ISNA(VLOOKUP(Q646, Wages!$A$2:$C$17, 2, 0)), Q646, VLOOKUP(Q646, Wages!$A$2:$C$17, 2, 0))) * IF(ISBLANK(N646), 0, IF(ISNA(VLOOKUP(N646, Crews!$A$2:$C$28, 2, 0)), N646, VLOOKUP(N646, Crews!$A$2:$C$28, 2, 0))))) * 400</f>
        <v>152.0833333</v>
      </c>
      <c r="K646" s="1" t="s">
        <v>1326</v>
      </c>
      <c r="L646" s="1" t="s">
        <v>1327</v>
      </c>
      <c r="M646" s="1" t="n">
        <v>0</v>
      </c>
      <c r="N646" s="1"/>
      <c r="O646" s="1"/>
      <c r="P646" s="1"/>
      <c r="Q646" s="1"/>
      <c r="R646" s="1" t="s">
        <v>689</v>
      </c>
      <c r="S646" s="1" t="s">
        <v>389</v>
      </c>
      <c r="T646" s="1"/>
    </row>
    <row r="647" customFormat="false" ht="15" hidden="false" customHeight="true" outlineLevel="0" collapsed="false">
      <c r="A647" s="1" t="s">
        <v>1328</v>
      </c>
      <c r="B647" s="1" t="n">
        <v>1885</v>
      </c>
      <c r="C647" s="1" t="n">
        <v>2</v>
      </c>
      <c r="D647" s="1" t="s">
        <v>38</v>
      </c>
      <c r="E647" s="1"/>
      <c r="F647" s="1"/>
      <c r="G647" s="1" t="n">
        <v>80</v>
      </c>
      <c r="H647" s="2" t="n">
        <v>365000</v>
      </c>
      <c r="I647" s="2" t="n">
        <f aca="false">(((H647 / 800) / IF(ISBLANK(R647), 1000000, IF(ISNA(VLOOKUP(R647, Mileages!$A$2:$C$34, 2, 0)), R647, VLOOKUP(R647, Mileages!$A$2:$C$34, 2, 0)))) + (F647 * IF(ISBLANK(P647), 1, P647) * IF(ISBLANK(T647), 0, IF(ISNA(VLOOKUP(T647, 'Fuel Costs'!$A$2:$C$42, 2, 0)), T647, VLOOKUP(T647, 'Fuel Costs'!$A$2:$C$42, 2, 0))) / IF(ISBLANK(O647), 1, O647))) * 100</f>
        <v>0.03802083333</v>
      </c>
      <c r="J647" s="2" t="n">
        <f aca="false">((H647 / 800) / (IF(ISBLANK(S647), 100, IF(ISNA(VLOOKUP(S647, Lives!$A$2:$C$35, 2, 0)), S647, VLOOKUP(S647, Lives!$A$2:$C$35, 2, 0))) * 12) + (IF(ISBLANK(Q647), 0, IF(ISNA(VLOOKUP(Q647, Wages!$A$2:$C$17, 2, 0)), Q647, VLOOKUP(Q647, Wages!$A$2:$C$17, 2, 0))) * IF(ISBLANK(N647), 0, IF(ISNA(VLOOKUP(N647, Crews!$A$2:$C$28, 2, 0)), N647, VLOOKUP(N647, Crews!$A$2:$C$28, 2, 0))))) * 400</f>
        <v>152.0833333</v>
      </c>
      <c r="K647" s="1" t="s">
        <v>1326</v>
      </c>
      <c r="L647" s="1" t="s">
        <v>1329</v>
      </c>
      <c r="M647" s="1" t="n">
        <v>0</v>
      </c>
      <c r="N647" s="1"/>
      <c r="O647" s="1"/>
      <c r="P647" s="1"/>
      <c r="Q647" s="1"/>
      <c r="R647" s="1" t="s">
        <v>689</v>
      </c>
      <c r="S647" s="1" t="s">
        <v>389</v>
      </c>
      <c r="T647" s="1"/>
    </row>
    <row r="648" customFormat="false" ht="15" hidden="false" customHeight="true" outlineLevel="0" collapsed="false">
      <c r="A648" s="1" t="s">
        <v>1330</v>
      </c>
      <c r="B648" s="1" t="n">
        <v>1885</v>
      </c>
      <c r="C648" s="1" t="n">
        <v>6</v>
      </c>
      <c r="D648" s="1" t="s">
        <v>38</v>
      </c>
      <c r="E648" s="1" t="s">
        <v>274</v>
      </c>
      <c r="F648" s="1" t="n">
        <v>221</v>
      </c>
      <c r="G648" s="1" t="n">
        <v>140</v>
      </c>
      <c r="H648" s="2" t="n">
        <v>5935000</v>
      </c>
      <c r="I648" s="2" t="n">
        <f aca="false">(((H648 / 800) / IF(ISBLANK(R648), 1000000, IF(ISNA(VLOOKUP(R648, Mileages!$A$2:$C$34, 2, 0)), R648, VLOOKUP(R648, Mileages!$A$2:$C$34, 2, 0)))) + (F648 * IF(ISBLANK(P648), 1, P648) * IF(ISBLANK(T648), 0, IF(ISNA(VLOOKUP(T648, 'Fuel Costs'!$A$2:$C$42, 2, 0)), T648, VLOOKUP(T648, 'Fuel Costs'!$A$2:$C$42, 2, 0))) / IF(ISBLANK(O648), 1, O648))) * 100</f>
        <v>148.0752083</v>
      </c>
      <c r="J648" s="2" t="n">
        <f aca="false">((H648 / 800) / (IF(ISBLANK(S648), 100, IF(ISNA(VLOOKUP(S648, Lives!$A$2:$C$35, 2, 0)), S648, VLOOKUP(S648, Lives!$A$2:$C$35, 2, 0))) * 12) + (IF(ISBLANK(Q648), 0, IF(ISNA(VLOOKUP(Q648, Wages!$A$2:$C$17, 2, 0)), Q648, VLOOKUP(Q648, Wages!$A$2:$C$17, 2, 0))) * IF(ISBLANK(N648), 0, IF(ISNA(VLOOKUP(N648, Crews!$A$2:$C$28, 2, 0)), N648, VLOOKUP(N648, Crews!$A$2:$C$28, 2, 0))))) * 400</f>
        <v>28945.83333</v>
      </c>
      <c r="K648" s="3" t="s">
        <v>1331</v>
      </c>
      <c r="L648" s="1" t="s">
        <v>1332</v>
      </c>
      <c r="M648" s="1" t="n">
        <v>0</v>
      </c>
      <c r="N648" s="1" t="s">
        <v>590</v>
      </c>
      <c r="O648" s="1" t="n">
        <v>0.6</v>
      </c>
      <c r="P648" s="1"/>
      <c r="Q648" s="5" t="s">
        <v>284</v>
      </c>
      <c r="R648" s="1" t="s">
        <v>677</v>
      </c>
      <c r="S648" s="1" t="s">
        <v>677</v>
      </c>
      <c r="T648" s="1" t="s">
        <v>923</v>
      </c>
    </row>
    <row r="649" customFormat="false" ht="15" hidden="false" customHeight="true" outlineLevel="0" collapsed="false">
      <c r="A649" s="1" t="s">
        <v>1333</v>
      </c>
      <c r="B649" s="1" t="n">
        <v>1885</v>
      </c>
      <c r="C649" s="1" t="n">
        <v>7</v>
      </c>
      <c r="D649" s="1" t="s">
        <v>38</v>
      </c>
      <c r="E649" s="1"/>
      <c r="F649" s="1"/>
      <c r="G649" s="1" t="n">
        <v>160</v>
      </c>
      <c r="H649" s="2" t="n">
        <v>700000</v>
      </c>
      <c r="I649" s="2" t="n">
        <f aca="false">(((H649 / 800) / IF(ISBLANK(R649), 1000000, IF(ISNA(VLOOKUP(R649, Mileages!$A$2:$C$34, 2, 0)), R649, VLOOKUP(R649, Mileages!$A$2:$C$34, 2, 0)))) + (F649 * IF(ISBLANK(P649), 1, P649) * IF(ISBLANK(T649), 0, IF(ISNA(VLOOKUP(T649, 'Fuel Costs'!$A$2:$C$42, 2, 0)), T649, VLOOKUP(T649, 'Fuel Costs'!$A$2:$C$42, 2, 0))) / IF(ISBLANK(O649), 1, O649))) * 100</f>
        <v>0.07291666667</v>
      </c>
      <c r="J649" s="2" t="n">
        <f aca="false">((H649 / 800) / (IF(ISBLANK(S649), 100, IF(ISNA(VLOOKUP(S649, Lives!$A$2:$C$35, 2, 0)), S649, VLOOKUP(S649, Lives!$A$2:$C$35, 2, 0))) * 12) + (IF(ISBLANK(Q649), 0, IF(ISNA(VLOOKUP(Q649, Wages!$A$2:$C$17, 2, 0)), Q649, VLOOKUP(Q649, Wages!$A$2:$C$17, 2, 0))) * IF(ISBLANK(N649), 0, IF(ISNA(VLOOKUP(N649, Crews!$A$2:$C$28, 2, 0)), N649, VLOOKUP(N649, Crews!$A$2:$C$28, 2, 0))))) * 400</f>
        <v>5633.333333</v>
      </c>
      <c r="K649" s="3" t="s">
        <v>1334</v>
      </c>
      <c r="L649" s="1" t="s">
        <v>1335</v>
      </c>
      <c r="M649" s="1" t="n">
        <v>0</v>
      </c>
      <c r="N649" s="1" t="s">
        <v>25</v>
      </c>
      <c r="O649" s="1"/>
      <c r="P649" s="1"/>
      <c r="Q649" s="1" t="s">
        <v>378</v>
      </c>
      <c r="R649" s="1" t="s">
        <v>689</v>
      </c>
      <c r="S649" s="1" t="s">
        <v>856</v>
      </c>
      <c r="T649" s="1"/>
    </row>
    <row r="650" customFormat="false" ht="15" hidden="false" customHeight="true" outlineLevel="0" collapsed="false">
      <c r="A650" s="1" t="s">
        <v>1336</v>
      </c>
      <c r="B650" s="1" t="n">
        <v>1885</v>
      </c>
      <c r="C650" s="1" t="n">
        <v>7</v>
      </c>
      <c r="D650" s="1" t="s">
        <v>38</v>
      </c>
      <c r="E650" s="1"/>
      <c r="F650" s="1"/>
      <c r="G650" s="1" t="n">
        <v>160</v>
      </c>
      <c r="H650" s="2" t="n">
        <v>700000</v>
      </c>
      <c r="I650" s="2" t="n">
        <f aca="false">(((H650 / 800) / IF(ISBLANK(R650), 1000000, IF(ISNA(VLOOKUP(R650, Mileages!$A$2:$C$34, 2, 0)), R650, VLOOKUP(R650, Mileages!$A$2:$C$34, 2, 0)))) + (F650 * IF(ISBLANK(P650), 1, P650) * IF(ISBLANK(T650), 0, IF(ISNA(VLOOKUP(T650, 'Fuel Costs'!$A$2:$C$42, 2, 0)), T650, VLOOKUP(T650, 'Fuel Costs'!$A$2:$C$42, 2, 0))) / IF(ISBLANK(O650), 1, O650))) * 100</f>
        <v>0.07291666667</v>
      </c>
      <c r="J650" s="2" t="n">
        <f aca="false">((H650 / 800) / (IF(ISBLANK(S650), 100, IF(ISNA(VLOOKUP(S650, Lives!$A$2:$C$35, 2, 0)), S650, VLOOKUP(S650, Lives!$A$2:$C$35, 2, 0))) * 12) + (IF(ISBLANK(Q650), 0, IF(ISNA(VLOOKUP(Q650, Wages!$A$2:$C$17, 2, 0)), Q650, VLOOKUP(Q650, Wages!$A$2:$C$17, 2, 0))) * IF(ISBLANK(N650), 0, IF(ISNA(VLOOKUP(N650, Crews!$A$2:$C$28, 2, 0)), N650, VLOOKUP(N650, Crews!$A$2:$C$28, 2, 0))))) * 400</f>
        <v>5633.333333</v>
      </c>
      <c r="K650" s="1"/>
      <c r="L650" s="1" t="s">
        <v>1335</v>
      </c>
      <c r="M650" s="1" t="n">
        <v>1</v>
      </c>
      <c r="N650" s="1" t="s">
        <v>25</v>
      </c>
      <c r="O650" s="1"/>
      <c r="P650" s="1"/>
      <c r="Q650" s="1" t="s">
        <v>378</v>
      </c>
      <c r="R650" s="1" t="s">
        <v>689</v>
      </c>
      <c r="S650" s="1" t="s">
        <v>856</v>
      </c>
      <c r="T650" s="1"/>
    </row>
    <row r="651" customFormat="false" ht="15" hidden="false" customHeight="true" outlineLevel="0" collapsed="false">
      <c r="A651" s="1" t="s">
        <v>1337</v>
      </c>
      <c r="B651" s="1" t="n">
        <v>1885</v>
      </c>
      <c r="C651" s="1" t="n">
        <v>7</v>
      </c>
      <c r="D651" s="1" t="s">
        <v>38</v>
      </c>
      <c r="E651" s="1"/>
      <c r="F651" s="1"/>
      <c r="G651" s="1" t="n">
        <v>160</v>
      </c>
      <c r="H651" s="2" t="n">
        <v>709000</v>
      </c>
      <c r="I651" s="2" t="n">
        <f aca="false">(((H651 / 800) / IF(ISBLANK(R651), 1000000, IF(ISNA(VLOOKUP(R651, Mileages!$A$2:$C$34, 2, 0)), R651, VLOOKUP(R651, Mileages!$A$2:$C$34, 2, 0)))) + (F651 * IF(ISBLANK(P651), 1, P651) * IF(ISBLANK(T651), 0, IF(ISNA(VLOOKUP(T651, 'Fuel Costs'!$A$2:$C$42, 2, 0)), T651, VLOOKUP(T651, 'Fuel Costs'!$A$2:$C$42, 2, 0))) / IF(ISBLANK(O651), 1, O651))) * 100</f>
        <v>0.07385416667</v>
      </c>
      <c r="J651" s="2" t="n">
        <f aca="false">((H651 / 800) / (IF(ISBLANK(S651), 100, IF(ISNA(VLOOKUP(S651, Lives!$A$2:$C$35, 2, 0)), S651, VLOOKUP(S651, Lives!$A$2:$C$35, 2, 0))) * 12) + (IF(ISBLANK(Q651), 0, IF(ISNA(VLOOKUP(Q651, Wages!$A$2:$C$17, 2, 0)), Q651, VLOOKUP(Q651, Wages!$A$2:$C$17, 2, 0))) * IF(ISBLANK(N651), 0, IF(ISNA(VLOOKUP(N651, Crews!$A$2:$C$28, 2, 0)), N651, VLOOKUP(N651, Crews!$A$2:$C$28, 2, 0))))) * 400</f>
        <v>844.047619</v>
      </c>
      <c r="K651" s="1" t="s">
        <v>1224</v>
      </c>
      <c r="L651" s="1" t="s">
        <v>1335</v>
      </c>
      <c r="M651" s="1" t="n">
        <v>2</v>
      </c>
      <c r="N651" s="1"/>
      <c r="O651" s="1"/>
      <c r="P651" s="1"/>
      <c r="Q651" s="1"/>
      <c r="R651" s="1" t="s">
        <v>689</v>
      </c>
      <c r="S651" s="1" t="s">
        <v>856</v>
      </c>
      <c r="T651" s="1"/>
    </row>
    <row r="652" customFormat="false" ht="15" hidden="false" customHeight="true" outlineLevel="0" collapsed="false">
      <c r="A652" s="1" t="s">
        <v>1338</v>
      </c>
      <c r="B652" s="1" t="n">
        <v>1885</v>
      </c>
      <c r="C652" s="1" t="n">
        <v>7</v>
      </c>
      <c r="D652" s="1" t="s">
        <v>38</v>
      </c>
      <c r="E652" s="1"/>
      <c r="F652" s="1"/>
      <c r="G652" s="1" t="n">
        <v>160</v>
      </c>
      <c r="H652" s="2" t="n">
        <v>675000</v>
      </c>
      <c r="I652" s="2" t="n">
        <f aca="false">(((H652 / 800) / IF(ISBLANK(R652), 1000000, IF(ISNA(VLOOKUP(R652, Mileages!$A$2:$C$34, 2, 0)), R652, VLOOKUP(R652, Mileages!$A$2:$C$34, 2, 0)))) + (F652 * IF(ISBLANK(P652), 1, P652) * IF(ISBLANK(T652), 0, IF(ISNA(VLOOKUP(T652, 'Fuel Costs'!$A$2:$C$42, 2, 0)), T652, VLOOKUP(T652, 'Fuel Costs'!$A$2:$C$42, 2, 0))) / IF(ISBLANK(O652), 1, O652))) * 100</f>
        <v>0.0703125</v>
      </c>
      <c r="J652" s="2" t="n">
        <f aca="false">((H652 / 800) / (IF(ISBLANK(S652), 100, IF(ISNA(VLOOKUP(S652, Lives!$A$2:$C$35, 2, 0)), S652, VLOOKUP(S652, Lives!$A$2:$C$35, 2, 0))) * 12) + (IF(ISBLANK(Q652), 0, IF(ISNA(VLOOKUP(Q652, Wages!$A$2:$C$17, 2, 0)), Q652, VLOOKUP(Q652, Wages!$A$2:$C$17, 2, 0))) * IF(ISBLANK(N652), 0, IF(ISNA(VLOOKUP(N652, Crews!$A$2:$C$28, 2, 0)), N652, VLOOKUP(N652, Crews!$A$2:$C$28, 2, 0))))) * 400</f>
        <v>803.5714286</v>
      </c>
      <c r="K652" s="3" t="s">
        <v>1339</v>
      </c>
      <c r="L652" s="1" t="s">
        <v>1340</v>
      </c>
      <c r="M652" s="1" t="n">
        <v>0</v>
      </c>
      <c r="N652" s="1"/>
      <c r="O652" s="1"/>
      <c r="P652" s="1"/>
      <c r="Q652" s="1"/>
      <c r="R652" s="1" t="s">
        <v>689</v>
      </c>
      <c r="S652" s="1" t="s">
        <v>856</v>
      </c>
      <c r="T652" s="1"/>
    </row>
    <row r="653" customFormat="false" ht="15" hidden="false" customHeight="true" outlineLevel="0" collapsed="false">
      <c r="A653" s="1" t="s">
        <v>1341</v>
      </c>
      <c r="B653" s="1" t="n">
        <v>1885</v>
      </c>
      <c r="C653" s="1" t="n">
        <v>9</v>
      </c>
      <c r="D653" s="1" t="s">
        <v>21</v>
      </c>
      <c r="E653" s="1" t="s">
        <v>22</v>
      </c>
      <c r="F653" s="1" t="n">
        <v>1</v>
      </c>
      <c r="G653" s="1" t="n">
        <v>20</v>
      </c>
      <c r="H653" s="2" t="n">
        <v>5</v>
      </c>
      <c r="I653" s="2" t="n">
        <f aca="false">(((H653 / 800) / IF(ISBLANK(R653), 1000000, IF(ISNA(VLOOKUP(R653, Mileages!$A$2:$C$34, 2, 0)), R653, VLOOKUP(R653, Mileages!$A$2:$C$34, 2, 0)))) + (F653 * IF(ISBLANK(P653), 1, P653) * IF(ISBLANK(T653), 0, IF(ISNA(VLOOKUP(T653, 'Fuel Costs'!$A$2:$C$42, 2, 0)), T653, VLOOKUP(T653, 'Fuel Costs'!$A$2:$C$42, 2, 0))) / IF(ISBLANK(O653), 1, O653))) * 100</f>
        <v>6.25E-006</v>
      </c>
      <c r="J653" s="2" t="n">
        <f aca="false">((H653 / 800) / (IF(ISBLANK(S653), 100, IF(ISNA(VLOOKUP(S653, Lives!$A$2:$C$35, 2, 0)), S653, VLOOKUP(S653, Lives!$A$2:$C$35, 2, 0))) * 12) + (IF(ISBLANK(Q653), 0, IF(ISNA(VLOOKUP(Q653, Wages!$A$2:$C$17, 2, 0)), Q653, VLOOKUP(Q653, Wages!$A$2:$C$17, 2, 0))) * IF(ISBLANK(N653), 0, IF(ISNA(VLOOKUP(N653, Crews!$A$2:$C$28, 2, 0)), N653, VLOOKUP(N653, Crews!$A$2:$C$28, 2, 0))))) * 400</f>
        <v>6000.002083</v>
      </c>
      <c r="K653" s="3" t="s">
        <v>1342</v>
      </c>
      <c r="L653" s="1" t="s">
        <v>1343</v>
      </c>
      <c r="M653" s="1" t="n">
        <v>0</v>
      </c>
      <c r="N653" s="1" t="s">
        <v>25</v>
      </c>
      <c r="O653" s="1"/>
      <c r="P653" s="1"/>
      <c r="Q653" s="1" t="s">
        <v>26</v>
      </c>
      <c r="R653" s="5" t="s">
        <v>1344</v>
      </c>
      <c r="S653" s="4" t="s">
        <v>1344</v>
      </c>
      <c r="T653" s="1"/>
    </row>
    <row r="654" customFormat="false" ht="15" hidden="false" customHeight="true" outlineLevel="0" collapsed="false">
      <c r="A654" s="1" t="s">
        <v>1345</v>
      </c>
      <c r="B654" s="1" t="n">
        <v>1885</v>
      </c>
      <c r="C654" s="1" t="n">
        <v>9</v>
      </c>
      <c r="D654" s="1" t="s">
        <v>876</v>
      </c>
      <c r="E654" s="1" t="s">
        <v>1346</v>
      </c>
      <c r="F654" s="1" t="n">
        <v>22</v>
      </c>
      <c r="G654" s="1" t="n">
        <v>30</v>
      </c>
      <c r="H654" s="2" t="n">
        <v>220000</v>
      </c>
      <c r="I654" s="2" t="n">
        <f aca="false">(((H654 / 800) / IF(ISBLANK(R654), 1000000, IF(ISNA(VLOOKUP(R654, Mileages!$A$2:$C$34, 2, 0)), R654, VLOOKUP(R654, Mileages!$A$2:$C$34, 2, 0)))) + (F654 * IF(ISBLANK(P654), 1, P654) * IF(ISBLANK(T654), 0, IF(ISNA(VLOOKUP(T654, 'Fuel Costs'!$A$2:$C$42, 2, 0)), T654, VLOOKUP(T654, 'Fuel Costs'!$A$2:$C$42, 2, 0))) / IF(ISBLANK(O654), 1, O654))) * 100</f>
        <v>13.2275</v>
      </c>
      <c r="J654" s="2" t="n">
        <f aca="false">((H654 / 800) / (IF(ISBLANK(S654), 100, IF(ISNA(VLOOKUP(S654, Lives!$A$2:$C$35, 2, 0)), S654, VLOOKUP(S654, Lives!$A$2:$C$35, 2, 0))) * 12) + (IF(ISBLANK(Q654), 0, IF(ISNA(VLOOKUP(Q654, Wages!$A$2:$C$17, 2, 0)), Q654, VLOOKUP(Q654, Wages!$A$2:$C$17, 2, 0))) * IF(ISBLANK(N654), 0, IF(ISNA(VLOOKUP(N654, Crews!$A$2:$C$28, 2, 0)), N654, VLOOKUP(N654, Crews!$A$2:$C$28, 2, 0))))) * 400</f>
        <v>6183.333333</v>
      </c>
      <c r="K654" s="3" t="s">
        <v>1347</v>
      </c>
      <c r="L654" s="1" t="s">
        <v>1348</v>
      </c>
      <c r="M654" s="1" t="n">
        <v>0</v>
      </c>
      <c r="N654" s="1" t="s">
        <v>895</v>
      </c>
      <c r="O654" s="1"/>
      <c r="P654" s="1"/>
      <c r="Q654" s="1" t="s">
        <v>895</v>
      </c>
      <c r="R654" s="1" t="s">
        <v>1349</v>
      </c>
      <c r="S654" s="1" t="s">
        <v>1350</v>
      </c>
      <c r="T654" s="1" t="s">
        <v>1351</v>
      </c>
    </row>
    <row r="655" customFormat="false" ht="15" hidden="false" customHeight="true" outlineLevel="0" collapsed="false">
      <c r="A655" s="1" t="s">
        <v>1352</v>
      </c>
      <c r="B655" s="1" t="n">
        <v>1885</v>
      </c>
      <c r="C655" s="1" t="n">
        <v>11</v>
      </c>
      <c r="D655" s="1" t="s">
        <v>38</v>
      </c>
      <c r="E655" s="1"/>
      <c r="F655" s="1"/>
      <c r="G655" s="1" t="n">
        <v>160</v>
      </c>
      <c r="H655" s="2" t="n">
        <v>565000</v>
      </c>
      <c r="I655" s="2" t="n">
        <f aca="false">(((H655 / 800) / IF(ISBLANK(R655), 1000000, IF(ISNA(VLOOKUP(R655, Mileages!$A$2:$C$34, 2, 0)), R655, VLOOKUP(R655, Mileages!$A$2:$C$34, 2, 0)))) + (F655 * IF(ISBLANK(P655), 1, P655) * IF(ISBLANK(T655), 0, IF(ISNA(VLOOKUP(T655, 'Fuel Costs'!$A$2:$C$42, 2, 0)), T655, VLOOKUP(T655, 'Fuel Costs'!$A$2:$C$42, 2, 0))) / IF(ISBLANK(O655), 1, O655))) * 100</f>
        <v>0.05885416667</v>
      </c>
      <c r="J655" s="2" t="n">
        <f aca="false">((H655 / 800) / (IF(ISBLANK(S655), 100, IF(ISNA(VLOOKUP(S655, Lives!$A$2:$C$35, 2, 0)), S655, VLOOKUP(S655, Lives!$A$2:$C$35, 2, 0))) * 12) + (IF(ISBLANK(Q655), 0, IF(ISNA(VLOOKUP(Q655, Wages!$A$2:$C$17, 2, 0)), Q655, VLOOKUP(Q655, Wages!$A$2:$C$17, 2, 0))) * IF(ISBLANK(N655), 0, IF(ISNA(VLOOKUP(N655, Crews!$A$2:$C$28, 2, 0)), N655, VLOOKUP(N655, Crews!$A$2:$C$28, 2, 0))))) * 400</f>
        <v>235.4166667</v>
      </c>
      <c r="K655" s="3" t="s">
        <v>1353</v>
      </c>
      <c r="L655" s="1" t="s">
        <v>1112</v>
      </c>
      <c r="M655" s="1" t="n">
        <v>6</v>
      </c>
      <c r="N655" s="1"/>
      <c r="O655" s="1"/>
      <c r="P655" s="1"/>
      <c r="Q655" s="1"/>
      <c r="R655" s="1" t="s">
        <v>689</v>
      </c>
      <c r="S655" s="5" t="s">
        <v>389</v>
      </c>
      <c r="T655" s="1"/>
    </row>
    <row r="656" customFormat="false" ht="15" hidden="false" customHeight="true" outlineLevel="0" collapsed="false">
      <c r="A656" s="1" t="s">
        <v>1354</v>
      </c>
      <c r="B656" s="1" t="n">
        <v>1886</v>
      </c>
      <c r="C656" s="1" t="n">
        <v>1</v>
      </c>
      <c r="D656" s="1" t="s">
        <v>29</v>
      </c>
      <c r="E656" s="1" t="s">
        <v>274</v>
      </c>
      <c r="F656" s="1" t="n">
        <v>600</v>
      </c>
      <c r="G656" s="1" t="n">
        <v>30</v>
      </c>
      <c r="H656" s="2" t="n">
        <f aca="false">60000000*1.5</f>
        <v>90000000</v>
      </c>
      <c r="I656" s="2" t="n">
        <f aca="false">(((H656 / 800) / IF(ISBLANK(R656), 1000000, IF(ISNA(VLOOKUP(R656, Mileages!$A$2:$C$34, 2, 0)), R656, VLOOKUP(R656, Mileages!$A$2:$C$34, 2, 0)))) + (F656 * IF(ISBLANK(P656), 1, P656) * IF(ISBLANK(T656), 0, IF(ISNA(VLOOKUP(T656, 'Fuel Costs'!$A$2:$C$42, 2, 0)), T656, VLOOKUP(T656, 'Fuel Costs'!$A$2:$C$42, 2, 0))) / IF(ISBLANK(O656), 1, O656))) * 100</f>
        <v>65.625</v>
      </c>
      <c r="J656" s="2" t="n">
        <f aca="false">((H656 / 800) / (IF(ISBLANK(S656), 100, IF(ISNA(VLOOKUP(S656, Lives!$A$2:$C$35, 2, 0)), S656, VLOOKUP(S656, Lives!$A$2:$C$35, 2, 0))) * 12) + (IF(ISBLANK(Q656), 0, IF(ISNA(VLOOKUP(Q656, Wages!$A$2:$C$17, 2, 0)), Q656, VLOOKUP(Q656, Wages!$A$2:$C$17, 2, 0))) * IF(ISBLANK(N656), 0, IF(ISNA(VLOOKUP(N656, Crews!$A$2:$C$28, 2, 0)), N656, VLOOKUP(N656, Crews!$A$2:$C$28, 2, 0))))) * 400</f>
        <v>237500</v>
      </c>
      <c r="K656" s="3" t="s">
        <v>1355</v>
      </c>
      <c r="L656" s="1" t="s">
        <v>1356</v>
      </c>
      <c r="M656" s="1" t="n">
        <v>0</v>
      </c>
      <c r="N656" s="1" t="s">
        <v>323</v>
      </c>
      <c r="O656" s="1" t="n">
        <v>0.75</v>
      </c>
      <c r="P656" s="1" t="n">
        <v>0.1875</v>
      </c>
      <c r="Q656" s="1" t="s">
        <v>34</v>
      </c>
      <c r="R656" s="1" t="s">
        <v>574</v>
      </c>
      <c r="S656" s="1" t="s">
        <v>574</v>
      </c>
      <c r="T656" s="1" t="s">
        <v>923</v>
      </c>
    </row>
    <row r="657" customFormat="false" ht="15" hidden="false" customHeight="true" outlineLevel="0" collapsed="false">
      <c r="A657" s="1" t="s">
        <v>1357</v>
      </c>
      <c r="B657" s="1" t="n">
        <v>1886</v>
      </c>
      <c r="C657" s="1" t="n">
        <v>1</v>
      </c>
      <c r="D657" s="1" t="s">
        <v>29</v>
      </c>
      <c r="E657" s="1"/>
      <c r="F657" s="1"/>
      <c r="G657" s="1" t="n">
        <v>30</v>
      </c>
      <c r="H657" s="2" t="n">
        <v>0</v>
      </c>
      <c r="I657" s="2" t="n">
        <v>0</v>
      </c>
      <c r="J657" s="2"/>
      <c r="K657" s="1"/>
      <c r="L657" s="1" t="s">
        <v>279</v>
      </c>
      <c r="M657" s="1" t="n">
        <v>7</v>
      </c>
      <c r="N657" s="1"/>
      <c r="O657" s="1"/>
      <c r="P657" s="1"/>
      <c r="Q657" s="1"/>
      <c r="R657" s="1"/>
      <c r="S657" s="1"/>
      <c r="T657" s="1"/>
    </row>
    <row r="658" customFormat="false" ht="15" hidden="false" customHeight="true" outlineLevel="0" collapsed="false">
      <c r="A658" s="1" t="s">
        <v>1358</v>
      </c>
      <c r="B658" s="1" t="n">
        <v>1886</v>
      </c>
      <c r="C658" s="1" t="n">
        <v>2</v>
      </c>
      <c r="D658" s="1" t="s">
        <v>157</v>
      </c>
      <c r="E658" s="1" t="s">
        <v>274</v>
      </c>
      <c r="F658" s="1" t="n">
        <v>20</v>
      </c>
      <c r="G658" s="1" t="n">
        <v>40</v>
      </c>
      <c r="H658" s="2" t="n">
        <v>1550251</v>
      </c>
      <c r="I658" s="2" t="n">
        <f aca="false">(((H658 / 800) / IF(ISBLANK(R658), 1000000, IF(ISNA(VLOOKUP(R658, Mileages!$A$2:$C$34, 2, 0)), R658, VLOOKUP(R658, Mileages!$A$2:$C$34, 2, 0)))) + (F658 * IF(ISBLANK(P658), 1, P658) * IF(ISBLANK(T658), 0, IF(ISNA(VLOOKUP(T658, 'Fuel Costs'!$A$2:$C$42, 2, 0)), T658, VLOOKUP(T658, 'Fuel Costs'!$A$2:$C$42, 2, 0))) / IF(ISBLANK(O658), 1, O658))) * 100</f>
        <v>14.73923592</v>
      </c>
      <c r="J658" s="2" t="n">
        <f aca="false">((H658 / 800) / (IF(ISBLANK(S658), 100, IF(ISNA(VLOOKUP(S658, Lives!$A$2:$C$35, 2, 0)), S658, VLOOKUP(S658, Lives!$A$2:$C$35, 2, 0))) * 12) + (IF(ISBLANK(Q658), 0, IF(ISNA(VLOOKUP(Q658, Wages!$A$2:$C$17, 2, 0)), Q658, VLOOKUP(Q658, Wages!$A$2:$C$17, 2, 0))) * IF(ISBLANK(N658), 0, IF(ISNA(VLOOKUP(N658, Crews!$A$2:$C$28, 2, 0)), N658, VLOOKUP(N658, Crews!$A$2:$C$28, 2, 0))))) * 400</f>
        <v>17291.87583</v>
      </c>
      <c r="K658" s="3" t="s">
        <v>1359</v>
      </c>
      <c r="L658" s="1" t="s">
        <v>1360</v>
      </c>
      <c r="M658" s="1" t="n">
        <v>0</v>
      </c>
      <c r="N658" s="1" t="s">
        <v>283</v>
      </c>
      <c r="O658" s="1" t="n">
        <v>0.55</v>
      </c>
      <c r="P658" s="1"/>
      <c r="Q658" s="1" t="s">
        <v>284</v>
      </c>
      <c r="R658" s="1" t="s">
        <v>677</v>
      </c>
      <c r="S658" s="1" t="s">
        <v>677</v>
      </c>
      <c r="T658" s="1" t="s">
        <v>923</v>
      </c>
    </row>
    <row r="659" customFormat="false" ht="15" hidden="false" customHeight="true" outlineLevel="0" collapsed="false">
      <c r="A659" s="1" t="s">
        <v>1361</v>
      </c>
      <c r="B659" s="1" t="n">
        <v>1886</v>
      </c>
      <c r="C659" s="1" t="n">
        <v>2</v>
      </c>
      <c r="D659" s="1" t="s">
        <v>29</v>
      </c>
      <c r="E659" s="1" t="s">
        <v>274</v>
      </c>
      <c r="F659" s="1" t="n">
        <v>3550</v>
      </c>
      <c r="G659" s="1" t="n">
        <v>25</v>
      </c>
      <c r="H659" s="2" t="n">
        <f aca="false">18900000*3</f>
        <v>56700000</v>
      </c>
      <c r="I659" s="2" t="n">
        <f aca="false">(((H659 / 800) / IF(ISBLANK(R659), 1000000, IF(ISNA(VLOOKUP(R659, Mileages!$A$2:$C$34, 2, 0)), R659, VLOOKUP(R659, Mileages!$A$2:$C$34, 2, 0)))) + (F659 * IF(ISBLANK(P659), 1, P659) * IF(ISBLANK(T659), 0, IF(ISNA(VLOOKUP(T659, 'Fuel Costs'!$A$2:$C$42, 2, 0)), T659, VLOOKUP(T659, 'Fuel Costs'!$A$2:$C$42, 2, 0))) / IF(ISBLANK(O659), 1, O659))) * 100</f>
        <v>287.54375</v>
      </c>
      <c r="J659" s="2" t="n">
        <f aca="false">((H659 / 800) / (IF(ISBLANK(S659), 100, IF(ISNA(VLOOKUP(S659, Lives!$A$2:$C$35, 2, 0)), S659, VLOOKUP(S659, Lives!$A$2:$C$35, 2, 0))) * 12) + (IF(ISBLANK(Q659), 0, IF(ISNA(VLOOKUP(Q659, Wages!$A$2:$C$17, 2, 0)), Q659, VLOOKUP(Q659, Wages!$A$2:$C$17, 2, 0))) * IF(ISBLANK(N659), 0, IF(ISNA(VLOOKUP(N659, Crews!$A$2:$C$28, 2, 0)), N659, VLOOKUP(N659, Crews!$A$2:$C$28, 2, 0))))) * 400</f>
        <v>223625</v>
      </c>
      <c r="K659" s="3" t="s">
        <v>1362</v>
      </c>
      <c r="L659" s="1" t="s">
        <v>1363</v>
      </c>
      <c r="M659" s="1" t="n">
        <v>0</v>
      </c>
      <c r="N659" s="1" t="s">
        <v>323</v>
      </c>
      <c r="O659" s="1" t="n">
        <v>1</v>
      </c>
      <c r="P659" s="1" t="n">
        <v>0.2</v>
      </c>
      <c r="Q659" s="1" t="s">
        <v>34</v>
      </c>
      <c r="R659" s="1" t="s">
        <v>574</v>
      </c>
      <c r="S659" s="1" t="s">
        <v>574</v>
      </c>
      <c r="T659" s="1" t="s">
        <v>923</v>
      </c>
    </row>
    <row r="660" customFormat="false" ht="15" hidden="false" customHeight="true" outlineLevel="0" collapsed="false">
      <c r="A660" s="1" t="s">
        <v>1364</v>
      </c>
      <c r="B660" s="1" t="n">
        <v>1886</v>
      </c>
      <c r="C660" s="1" t="n">
        <v>2</v>
      </c>
      <c r="D660" s="1" t="s">
        <v>29</v>
      </c>
      <c r="E660" s="1"/>
      <c r="F660" s="1"/>
      <c r="G660" s="1" t="n">
        <v>30</v>
      </c>
      <c r="H660" s="2"/>
      <c r="I660" s="2"/>
      <c r="J660" s="2"/>
      <c r="K660" s="1"/>
      <c r="L660" s="1" t="s">
        <v>1365</v>
      </c>
      <c r="M660" s="1" t="n">
        <v>0</v>
      </c>
      <c r="N660" s="1"/>
      <c r="O660" s="1"/>
      <c r="P660" s="1"/>
      <c r="Q660" s="1"/>
      <c r="R660" s="1"/>
      <c r="S660" s="1"/>
      <c r="T660" s="1"/>
    </row>
    <row r="661" customFormat="false" ht="15" hidden="false" customHeight="true" outlineLevel="0" collapsed="false">
      <c r="A661" s="1" t="s">
        <v>1366</v>
      </c>
      <c r="B661" s="1" t="n">
        <v>1886</v>
      </c>
      <c r="C661" s="1" t="n">
        <v>4</v>
      </c>
      <c r="D661" s="1" t="s">
        <v>29</v>
      </c>
      <c r="E661" s="1" t="s">
        <v>274</v>
      </c>
      <c r="F661" s="1" t="n">
        <v>500</v>
      </c>
      <c r="G661" s="1" t="n">
        <v>25</v>
      </c>
      <c r="H661" s="2" t="n">
        <v>20000000</v>
      </c>
      <c r="I661" s="2" t="n">
        <f aca="false">(((H661 / 800) / IF(ISBLANK(R661), 1000000, IF(ISNA(VLOOKUP(R661, Mileages!$A$2:$C$34, 2, 0)), R661, VLOOKUP(R661, Mileages!$A$2:$C$34, 2, 0)))) + (F661 * IF(ISBLANK(P661), 1, P661) * IF(ISBLANK(T661), 0, IF(ISNA(VLOOKUP(T661, 'Fuel Costs'!$A$2:$C$42, 2, 0)), T661, VLOOKUP(T661, 'Fuel Costs'!$A$2:$C$42, 2, 0))) / IF(ISBLANK(O661), 1, O661))) * 100</f>
        <v>54.58333333</v>
      </c>
      <c r="J661" s="2" t="n">
        <f aca="false">((H661 / 800) / (IF(ISBLANK(S661), 100, IF(ISNA(VLOOKUP(S661, Lives!$A$2:$C$35, 2, 0)), S661, VLOOKUP(S661, Lives!$A$2:$C$35, 2, 0))) * 12) + (IF(ISBLANK(Q661), 0, IF(ISNA(VLOOKUP(Q661, Wages!$A$2:$C$17, 2, 0)), Q661, VLOOKUP(Q661, Wages!$A$2:$C$17, 2, 0))) * IF(ISBLANK(N661), 0, IF(ISNA(VLOOKUP(N661, Crews!$A$2:$C$28, 2, 0)), N661, VLOOKUP(N661, Crews!$A$2:$C$28, 2, 0))))) * 400</f>
        <v>208333.3333</v>
      </c>
      <c r="K661" s="1"/>
      <c r="L661" s="1" t="s">
        <v>1367</v>
      </c>
      <c r="M661" s="1" t="n">
        <v>0</v>
      </c>
      <c r="N661" s="1" t="s">
        <v>323</v>
      </c>
      <c r="O661" s="1" t="n">
        <v>0.75</v>
      </c>
      <c r="P661" s="1" t="n">
        <v>0.2</v>
      </c>
      <c r="Q661" s="1" t="s">
        <v>34</v>
      </c>
      <c r="R661" s="1" t="s">
        <v>574</v>
      </c>
      <c r="S661" s="1" t="s">
        <v>574</v>
      </c>
      <c r="T661" s="1" t="s">
        <v>923</v>
      </c>
    </row>
    <row r="662" customFormat="false" ht="15" hidden="false" customHeight="true" outlineLevel="0" collapsed="false">
      <c r="A662" s="1" t="s">
        <v>1368</v>
      </c>
      <c r="B662" s="1" t="n">
        <v>1886</v>
      </c>
      <c r="C662" s="1" t="n">
        <v>5</v>
      </c>
      <c r="D662" s="1" t="s">
        <v>876</v>
      </c>
      <c r="E662" s="1" t="s">
        <v>274</v>
      </c>
      <c r="F662" s="1" t="n">
        <v>6</v>
      </c>
      <c r="G662" s="1" t="n">
        <v>16</v>
      </c>
      <c r="H662" s="2" t="n">
        <v>295000</v>
      </c>
      <c r="I662" s="2" t="n">
        <f aca="false">(((H662 / 800) / IF(ISBLANK(R662), 1000000, IF(ISNA(VLOOKUP(R662, Mileages!$A$2:$C$34, 2, 0)), R662, VLOOKUP(R662, Mileages!$A$2:$C$34, 2, 0)))) + (F662 * IF(ISBLANK(P662), 1, P662) * IF(ISBLANK(T662), 0, IF(ISNA(VLOOKUP(T662, 'Fuel Costs'!$A$2:$C$42, 2, 0)), T662, VLOOKUP(T662, 'Fuel Costs'!$A$2:$C$42, 2, 0))) / IF(ISBLANK(O662), 1, O662))) * 100</f>
        <v>4.836875</v>
      </c>
      <c r="J662" s="2" t="n">
        <f aca="false">((H662 / 800) / (IF(ISBLANK(S662), 100, IF(ISNA(VLOOKUP(S662, Lives!$A$2:$C$35, 2, 0)), S662, VLOOKUP(S662, Lives!$A$2:$C$35, 2, 0))) * 12) + (IF(ISBLANK(Q662), 0, IF(ISNA(VLOOKUP(Q662, Wages!$A$2:$C$17, 2, 0)), Q662, VLOOKUP(Q662, Wages!$A$2:$C$17, 2, 0))) * IF(ISBLANK(N662), 0, IF(ISNA(VLOOKUP(N662, Crews!$A$2:$C$28, 2, 0)), N662, VLOOKUP(N662, Crews!$A$2:$C$28, 2, 0))))) * 400</f>
        <v>16245.83333</v>
      </c>
      <c r="K662" s="3" t="s">
        <v>1369</v>
      </c>
      <c r="L662" s="1" t="s">
        <v>1370</v>
      </c>
      <c r="M662" s="1" t="n">
        <v>0</v>
      </c>
      <c r="N662" s="1" t="s">
        <v>283</v>
      </c>
      <c r="O662" s="1" t="n">
        <v>0.5</v>
      </c>
      <c r="P662" s="1"/>
      <c r="Q662" s="1" t="s">
        <v>284</v>
      </c>
      <c r="R662" s="1" t="s">
        <v>677</v>
      </c>
      <c r="S662" s="1" t="s">
        <v>677</v>
      </c>
      <c r="T662" s="1" t="s">
        <v>923</v>
      </c>
    </row>
    <row r="663" customFormat="false" ht="15" hidden="false" customHeight="true" outlineLevel="0" collapsed="false">
      <c r="A663" s="1" t="s">
        <v>1371</v>
      </c>
      <c r="B663" s="1" t="n">
        <v>1886</v>
      </c>
      <c r="C663" s="1" t="n">
        <v>9</v>
      </c>
      <c r="D663" s="1" t="s">
        <v>38</v>
      </c>
      <c r="E663" s="1"/>
      <c r="F663" s="1"/>
      <c r="G663" s="1" t="n">
        <v>150</v>
      </c>
      <c r="H663" s="2" t="n">
        <v>331850</v>
      </c>
      <c r="I663" s="2" t="n">
        <f aca="false">(((H663 / 800) / IF(ISBLANK(R663), 1000000, IF(ISNA(VLOOKUP(R663, Mileages!$A$2:$C$34, 2, 0)), R663, VLOOKUP(R663, Mileages!$A$2:$C$34, 2, 0)))) + (F663 * IF(ISBLANK(P663), 1, P663) * IF(ISBLANK(T663), 0, IF(ISNA(VLOOKUP(T663, 'Fuel Costs'!$A$2:$C$42, 2, 0)), T663, VLOOKUP(T663, 'Fuel Costs'!$A$2:$C$42, 2, 0))) / IF(ISBLANK(O663), 1, O663))) * 100</f>
        <v>0.03456770833</v>
      </c>
      <c r="J663" s="2" t="n">
        <f aca="false">((H663 / 800) / (IF(ISBLANK(S663), 100, IF(ISNA(VLOOKUP(S663, Lives!$A$2:$C$35, 2, 0)), S663, VLOOKUP(S663, Lives!$A$2:$C$35, 2, 0))) * 12) + (IF(ISBLANK(Q663), 0, IF(ISNA(VLOOKUP(Q663, Wages!$A$2:$C$17, 2, 0)), Q663, VLOOKUP(Q663, Wages!$A$2:$C$17, 2, 0))) * IF(ISBLANK(N663), 0, IF(ISNA(VLOOKUP(N663, Crews!$A$2:$C$28, 2, 0)), N663, VLOOKUP(N663, Crews!$A$2:$C$28, 2, 0))))) * 400</f>
        <v>5195.059524</v>
      </c>
      <c r="K663" s="1" t="s">
        <v>1224</v>
      </c>
      <c r="L663" s="1" t="s">
        <v>1372</v>
      </c>
      <c r="M663" s="1" t="n">
        <v>0</v>
      </c>
      <c r="N663" s="1" t="s">
        <v>25</v>
      </c>
      <c r="O663" s="1"/>
      <c r="P663" s="1"/>
      <c r="Q663" s="1" t="s">
        <v>378</v>
      </c>
      <c r="R663" s="1" t="s">
        <v>689</v>
      </c>
      <c r="S663" s="1" t="s">
        <v>856</v>
      </c>
      <c r="T663" s="1"/>
    </row>
    <row r="664" customFormat="false" ht="15" hidden="false" customHeight="true" outlineLevel="0" collapsed="false">
      <c r="A664" s="1" t="s">
        <v>1373</v>
      </c>
      <c r="B664" s="1" t="n">
        <v>1886</v>
      </c>
      <c r="C664" s="1" t="n">
        <v>9</v>
      </c>
      <c r="D664" s="1" t="s">
        <v>38</v>
      </c>
      <c r="E664" s="1"/>
      <c r="F664" s="1"/>
      <c r="G664" s="1" t="n">
        <v>150</v>
      </c>
      <c r="H664" s="2" t="n">
        <v>331850</v>
      </c>
      <c r="I664" s="2" t="n">
        <f aca="false">(((H664 / 800) / IF(ISBLANK(R664), 1000000, IF(ISNA(VLOOKUP(R664, Mileages!$A$2:$C$34, 2, 0)), R664, VLOOKUP(R664, Mileages!$A$2:$C$34, 2, 0)))) + (F664 * IF(ISBLANK(P664), 1, P664) * IF(ISBLANK(T664), 0, IF(ISNA(VLOOKUP(T664, 'Fuel Costs'!$A$2:$C$42, 2, 0)), T664, VLOOKUP(T664, 'Fuel Costs'!$A$2:$C$42, 2, 0))) / IF(ISBLANK(O664), 1, O664))) * 100</f>
        <v>0.03456770833</v>
      </c>
      <c r="J664" s="2" t="n">
        <f aca="false">((H664 / 800) / (IF(ISBLANK(S664), 100, IF(ISNA(VLOOKUP(S664, Lives!$A$2:$C$35, 2, 0)), S664, VLOOKUP(S664, Lives!$A$2:$C$35, 2, 0))) * 12) + (IF(ISBLANK(Q664), 0, IF(ISNA(VLOOKUP(Q664, Wages!$A$2:$C$17, 2, 0)), Q664, VLOOKUP(Q664, Wages!$A$2:$C$17, 2, 0))) * IF(ISBLANK(N664), 0, IF(ISNA(VLOOKUP(N664, Crews!$A$2:$C$28, 2, 0)), N664, VLOOKUP(N664, Crews!$A$2:$C$28, 2, 0))))) * 400</f>
        <v>5195.059524</v>
      </c>
      <c r="K664" s="1" t="s">
        <v>1224</v>
      </c>
      <c r="L664" s="1" t="s">
        <v>1372</v>
      </c>
      <c r="M664" s="1" t="n">
        <v>1</v>
      </c>
      <c r="N664" s="1" t="s">
        <v>25</v>
      </c>
      <c r="O664" s="1"/>
      <c r="P664" s="1"/>
      <c r="Q664" s="1" t="s">
        <v>378</v>
      </c>
      <c r="R664" s="1" t="s">
        <v>689</v>
      </c>
      <c r="S664" s="1" t="s">
        <v>856</v>
      </c>
      <c r="T664" s="1"/>
    </row>
    <row r="665" customFormat="false" ht="15" hidden="false" customHeight="true" outlineLevel="0" collapsed="false">
      <c r="A665" s="1" t="s">
        <v>1374</v>
      </c>
      <c r="B665" s="1" t="n">
        <v>1886</v>
      </c>
      <c r="C665" s="1" t="n">
        <v>9</v>
      </c>
      <c r="D665" s="1" t="s">
        <v>38</v>
      </c>
      <c r="E665" s="1"/>
      <c r="F665" s="1"/>
      <c r="G665" s="1" t="n">
        <v>150</v>
      </c>
      <c r="H665" s="2" t="n">
        <v>331850</v>
      </c>
      <c r="I665" s="2" t="n">
        <f aca="false">(((H665 / 800) / IF(ISBLANK(R665), 1000000, IF(ISNA(VLOOKUP(R665, Mileages!$A$2:$C$34, 2, 0)), R665, VLOOKUP(R665, Mileages!$A$2:$C$34, 2, 0)))) + (F665 * IF(ISBLANK(P665), 1, P665) * IF(ISBLANK(T665), 0, IF(ISNA(VLOOKUP(T665, 'Fuel Costs'!$A$2:$C$42, 2, 0)), T665, VLOOKUP(T665, 'Fuel Costs'!$A$2:$C$42, 2, 0))) / IF(ISBLANK(O665), 1, O665))) * 100</f>
        <v>0.03456770833</v>
      </c>
      <c r="J665" s="2" t="n">
        <f aca="false">((H665 / 800) / (IF(ISBLANK(S665), 100, IF(ISNA(VLOOKUP(S665, Lives!$A$2:$C$35, 2, 0)), S665, VLOOKUP(S665, Lives!$A$2:$C$35, 2, 0))) * 12) + (IF(ISBLANK(Q665), 0, IF(ISNA(VLOOKUP(Q665, Wages!$A$2:$C$17, 2, 0)), Q665, VLOOKUP(Q665, Wages!$A$2:$C$17, 2, 0))) * IF(ISBLANK(N665), 0, IF(ISNA(VLOOKUP(N665, Crews!$A$2:$C$28, 2, 0)), N665, VLOOKUP(N665, Crews!$A$2:$C$28, 2, 0))))) * 400</f>
        <v>395.0595238</v>
      </c>
      <c r="K665" s="1" t="s">
        <v>1224</v>
      </c>
      <c r="L665" s="1" t="s">
        <v>1372</v>
      </c>
      <c r="M665" s="1" t="n">
        <v>2</v>
      </c>
      <c r="N665" s="1"/>
      <c r="O665" s="1"/>
      <c r="P665" s="1"/>
      <c r="Q665" s="1"/>
      <c r="R665" s="1" t="s">
        <v>689</v>
      </c>
      <c r="S665" s="1" t="s">
        <v>856</v>
      </c>
      <c r="T665" s="1"/>
    </row>
    <row r="666" customFormat="false" ht="15" hidden="false" customHeight="true" outlineLevel="0" collapsed="false">
      <c r="A666" s="1" t="s">
        <v>1375</v>
      </c>
      <c r="B666" s="1" t="n">
        <v>1886</v>
      </c>
      <c r="C666" s="1" t="n">
        <v>10</v>
      </c>
      <c r="D666" s="1" t="s">
        <v>157</v>
      </c>
      <c r="E666" s="1"/>
      <c r="F666" s="1"/>
      <c r="G666" s="1" t="n">
        <v>60</v>
      </c>
      <c r="H666" s="2" t="n">
        <v>560000</v>
      </c>
      <c r="I666" s="2" t="n">
        <f aca="false">(((H666 / 800) / IF(ISBLANK(R666), 1000000, IF(ISNA(VLOOKUP(R666, Mileages!$A$2:$C$34, 2, 0)), R666, VLOOKUP(R666, Mileages!$A$2:$C$34, 2, 0)))) + (F666 * IF(ISBLANK(P666), 1, P666) * IF(ISBLANK(T666), 0, IF(ISNA(VLOOKUP(T666, 'Fuel Costs'!$A$2:$C$42, 2, 0)), T666, VLOOKUP(T666, 'Fuel Costs'!$A$2:$C$42, 2, 0))) / IF(ISBLANK(O666), 1, O666))) * 100</f>
        <v>0.05833333333</v>
      </c>
      <c r="J666" s="2" t="n">
        <f aca="false">((H666 / 800) / (IF(ISBLANK(S666), 100, IF(ISNA(VLOOKUP(S666, Lives!$A$2:$C$35, 2, 0)), S666, VLOOKUP(S666, Lives!$A$2:$C$35, 2, 0))) * 12) + (IF(ISBLANK(Q666), 0, IF(ISNA(VLOOKUP(Q666, Wages!$A$2:$C$17, 2, 0)), Q666, VLOOKUP(Q666, Wages!$A$2:$C$17, 2, 0))) * IF(ISBLANK(N666), 0, IF(ISNA(VLOOKUP(N666, Crews!$A$2:$C$28, 2, 0)), N666, VLOOKUP(N666, Crews!$A$2:$C$28, 2, 0))))) * 400</f>
        <v>5033.333333</v>
      </c>
      <c r="K666" s="1"/>
      <c r="L666" s="1" t="s">
        <v>1076</v>
      </c>
      <c r="M666" s="1" t="n">
        <v>1</v>
      </c>
      <c r="N666" s="1" t="s">
        <v>25</v>
      </c>
      <c r="O666" s="1"/>
      <c r="P666" s="1"/>
      <c r="Q666" s="1" t="s">
        <v>378</v>
      </c>
      <c r="R666" s="1" t="s">
        <v>689</v>
      </c>
      <c r="S666" s="1" t="s">
        <v>389</v>
      </c>
      <c r="T666" s="1"/>
    </row>
    <row r="667" customFormat="false" ht="15" hidden="false" customHeight="true" outlineLevel="0" collapsed="false">
      <c r="A667" s="1" t="s">
        <v>1376</v>
      </c>
      <c r="B667" s="1" t="n">
        <v>1886</v>
      </c>
      <c r="C667" s="1" t="n">
        <v>10</v>
      </c>
      <c r="D667" s="1" t="s">
        <v>157</v>
      </c>
      <c r="E667" s="1"/>
      <c r="F667" s="1"/>
      <c r="G667" s="1" t="n">
        <v>60</v>
      </c>
      <c r="H667" s="2" t="n">
        <v>370000</v>
      </c>
      <c r="I667" s="2" t="n">
        <f aca="false">(((H667 / 800) / IF(ISBLANK(R667), 1000000, IF(ISNA(VLOOKUP(R667, Mileages!$A$2:$C$34, 2, 0)), R667, VLOOKUP(R667, Mileages!$A$2:$C$34, 2, 0)))) + (F667 * IF(ISBLANK(P667), 1, P667) * IF(ISBLANK(T667), 0, IF(ISNA(VLOOKUP(T667, 'Fuel Costs'!$A$2:$C$42, 2, 0)), T667, VLOOKUP(T667, 'Fuel Costs'!$A$2:$C$42, 2, 0))) / IF(ISBLANK(O667), 1, O667))) * 100</f>
        <v>0.03854166667</v>
      </c>
      <c r="J667" s="2" t="n">
        <f aca="false">((H667 / 800) / (IF(ISBLANK(S667), 100, IF(ISNA(VLOOKUP(S667, Lives!$A$2:$C$35, 2, 0)), S667, VLOOKUP(S667, Lives!$A$2:$C$35, 2, 0))) * 12) + (IF(ISBLANK(Q667), 0, IF(ISNA(VLOOKUP(Q667, Wages!$A$2:$C$17, 2, 0)), Q667, VLOOKUP(Q667, Wages!$A$2:$C$17, 2, 0))) * IF(ISBLANK(N667), 0, IF(ISNA(VLOOKUP(N667, Crews!$A$2:$C$28, 2, 0)), N667, VLOOKUP(N667, Crews!$A$2:$C$28, 2, 0))))) * 400</f>
        <v>440.4761905</v>
      </c>
      <c r="K667" s="1"/>
      <c r="L667" s="1" t="s">
        <v>1079</v>
      </c>
      <c r="M667" s="1" t="n">
        <v>1</v>
      </c>
      <c r="N667" s="1"/>
      <c r="O667" s="1"/>
      <c r="P667" s="1"/>
      <c r="Q667" s="1"/>
      <c r="R667" s="1" t="s">
        <v>689</v>
      </c>
      <c r="S667" s="1" t="s">
        <v>856</v>
      </c>
      <c r="T667" s="1"/>
    </row>
    <row r="668" customFormat="false" ht="15" hidden="false" customHeight="true" outlineLevel="0" collapsed="false">
      <c r="A668" s="1" t="s">
        <v>1377</v>
      </c>
      <c r="B668" s="1" t="n">
        <v>1886</v>
      </c>
      <c r="C668" s="1" t="n">
        <v>11</v>
      </c>
      <c r="D668" s="1" t="s">
        <v>38</v>
      </c>
      <c r="E668" s="1"/>
      <c r="F668" s="1"/>
      <c r="G668" s="1" t="n">
        <v>160</v>
      </c>
      <c r="H668" s="2" t="n">
        <v>645408</v>
      </c>
      <c r="I668" s="2" t="n">
        <f aca="false">(((H668 / 800) / IF(ISBLANK(R668), 1000000, IF(ISNA(VLOOKUP(R668, Mileages!$A$2:$C$34, 2, 0)), R668, VLOOKUP(R668, Mileages!$A$2:$C$34, 2, 0)))) + (F668 * IF(ISBLANK(P668), 1, P668) * IF(ISBLANK(T668), 0, IF(ISNA(VLOOKUP(T668, 'Fuel Costs'!$A$2:$C$42, 2, 0)), T668, VLOOKUP(T668, 'Fuel Costs'!$A$2:$C$42, 2, 0))) / IF(ISBLANK(O668), 1, O668))) * 100</f>
        <v>0.06723</v>
      </c>
      <c r="J668" s="2" t="n">
        <f aca="false">((H668 / 800) / (IF(ISBLANK(S668), 100, IF(ISNA(VLOOKUP(S668, Lives!$A$2:$C$35, 2, 0)), S668, VLOOKUP(S668, Lives!$A$2:$C$35, 2, 0))) * 12) + (IF(ISBLANK(Q668), 0, IF(ISNA(VLOOKUP(Q668, Wages!$A$2:$C$17, 2, 0)), Q668, VLOOKUP(Q668, Wages!$A$2:$C$17, 2, 0))) * IF(ISBLANK(N668), 0, IF(ISNA(VLOOKUP(N668, Crews!$A$2:$C$28, 2, 0)), N668, VLOOKUP(N668, Crews!$A$2:$C$28, 2, 0))))) * 400</f>
        <v>768.3428571</v>
      </c>
      <c r="K668" s="3" t="s">
        <v>1378</v>
      </c>
      <c r="L668" s="1" t="s">
        <v>1245</v>
      </c>
      <c r="M668" s="1" t="n">
        <v>1</v>
      </c>
      <c r="N668" s="1"/>
      <c r="O668" s="1"/>
      <c r="P668" s="1"/>
      <c r="Q668" s="1"/>
      <c r="R668" s="1" t="s">
        <v>689</v>
      </c>
      <c r="S668" s="1" t="s">
        <v>856</v>
      </c>
      <c r="T668" s="1"/>
    </row>
    <row r="669" customFormat="false" ht="15" hidden="false" customHeight="true" outlineLevel="0" collapsed="false">
      <c r="A669" s="1" t="s">
        <v>1379</v>
      </c>
      <c r="B669" s="1" t="n">
        <v>1886</v>
      </c>
      <c r="C669" s="1" t="n">
        <v>11</v>
      </c>
      <c r="D669" s="1" t="s">
        <v>38</v>
      </c>
      <c r="E669" s="1"/>
      <c r="F669" s="1"/>
      <c r="G669" s="1" t="n">
        <v>160</v>
      </c>
      <c r="H669" s="2" t="n">
        <v>645408</v>
      </c>
      <c r="I669" s="2" t="n">
        <f aca="false">(((H669 / 800) / IF(ISBLANK(R669), 1000000, IF(ISNA(VLOOKUP(R669, Mileages!$A$2:$C$34, 2, 0)), R669, VLOOKUP(R669, Mileages!$A$2:$C$34, 2, 0)))) + (F669 * IF(ISBLANK(P669), 1, P669) * IF(ISBLANK(T669), 0, IF(ISNA(VLOOKUP(T669, 'Fuel Costs'!$A$2:$C$42, 2, 0)), T669, VLOOKUP(T669, 'Fuel Costs'!$A$2:$C$42, 2, 0))) / IF(ISBLANK(O669), 1, O669))) * 100</f>
        <v>0.06723</v>
      </c>
      <c r="J669" s="2" t="n">
        <f aca="false">((H669 / 800) / (IF(ISBLANK(S669), 100, IF(ISNA(VLOOKUP(S669, Lives!$A$2:$C$35, 2, 0)), S669, VLOOKUP(S669, Lives!$A$2:$C$35, 2, 0))) * 12) + (IF(ISBLANK(Q669), 0, IF(ISNA(VLOOKUP(Q669, Wages!$A$2:$C$17, 2, 0)), Q669, VLOOKUP(Q669, Wages!$A$2:$C$17, 2, 0))) * IF(ISBLANK(N669), 0, IF(ISNA(VLOOKUP(N669, Crews!$A$2:$C$28, 2, 0)), N669, VLOOKUP(N669, Crews!$A$2:$C$28, 2, 0))))) * 400</f>
        <v>5568.342857</v>
      </c>
      <c r="K669" s="3" t="s">
        <v>1380</v>
      </c>
      <c r="L669" s="1" t="s">
        <v>1245</v>
      </c>
      <c r="M669" s="1" t="n">
        <v>4</v>
      </c>
      <c r="N669" s="1" t="s">
        <v>25</v>
      </c>
      <c r="O669" s="1"/>
      <c r="P669" s="1"/>
      <c r="Q669" s="1" t="s">
        <v>378</v>
      </c>
      <c r="R669" s="1" t="s">
        <v>689</v>
      </c>
      <c r="S669" s="1" t="s">
        <v>856</v>
      </c>
      <c r="T669" s="1"/>
    </row>
    <row r="670" customFormat="false" ht="15" hidden="false" customHeight="true" outlineLevel="0" collapsed="false">
      <c r="A670" s="1" t="s">
        <v>1381</v>
      </c>
      <c r="B670" s="1" t="n">
        <v>1886</v>
      </c>
      <c r="C670" s="1" t="n">
        <v>11</v>
      </c>
      <c r="D670" s="1" t="s">
        <v>38</v>
      </c>
      <c r="E670" s="1"/>
      <c r="F670" s="1"/>
      <c r="G670" s="1" t="n">
        <v>160</v>
      </c>
      <c r="H670" s="2" t="n">
        <v>645408</v>
      </c>
      <c r="I670" s="2" t="n">
        <f aca="false">(((H670 / 800) / IF(ISBLANK(R670), 1000000, IF(ISNA(VLOOKUP(R670, Mileages!$A$2:$C$34, 2, 0)), R670, VLOOKUP(R670, Mileages!$A$2:$C$34, 2, 0)))) + (F670 * IF(ISBLANK(P670), 1, P670) * IF(ISBLANK(T670), 0, IF(ISNA(VLOOKUP(T670, 'Fuel Costs'!$A$2:$C$42, 2, 0)), T670, VLOOKUP(T670, 'Fuel Costs'!$A$2:$C$42, 2, 0))) / IF(ISBLANK(O670), 1, O670))) * 100</f>
        <v>0.06723</v>
      </c>
      <c r="J670" s="2" t="n">
        <f aca="false">((H670 / 800) / (IF(ISBLANK(S670), 100, IF(ISNA(VLOOKUP(S670, Lives!$A$2:$C$35, 2, 0)), S670, VLOOKUP(S670, Lives!$A$2:$C$35, 2, 0))) * 12) + (IF(ISBLANK(Q670), 0, IF(ISNA(VLOOKUP(Q670, Wages!$A$2:$C$17, 2, 0)), Q670, VLOOKUP(Q670, Wages!$A$2:$C$17, 2, 0))) * IF(ISBLANK(N670), 0, IF(ISNA(VLOOKUP(N670, Crews!$A$2:$C$28, 2, 0)), N670, VLOOKUP(N670, Crews!$A$2:$C$28, 2, 0))))) * 400</f>
        <v>5568.342857</v>
      </c>
      <c r="K670" s="3" t="s">
        <v>1380</v>
      </c>
      <c r="L670" s="1" t="s">
        <v>1245</v>
      </c>
      <c r="M670" s="1" t="n">
        <v>5</v>
      </c>
      <c r="N670" s="1" t="s">
        <v>25</v>
      </c>
      <c r="O670" s="1"/>
      <c r="P670" s="1"/>
      <c r="Q670" s="1" t="s">
        <v>378</v>
      </c>
      <c r="R670" s="1" t="s">
        <v>689</v>
      </c>
      <c r="S670" s="1" t="s">
        <v>856</v>
      </c>
      <c r="T670" s="1"/>
    </row>
    <row r="671" customFormat="false" ht="15" hidden="false" customHeight="true" outlineLevel="0" collapsed="false">
      <c r="A671" s="1" t="s">
        <v>1382</v>
      </c>
      <c r="B671" s="1" t="n">
        <v>1886</v>
      </c>
      <c r="C671" s="1" t="n">
        <v>12</v>
      </c>
      <c r="D671" s="1" t="s">
        <v>38</v>
      </c>
      <c r="E671" s="1" t="s">
        <v>274</v>
      </c>
      <c r="F671" s="1" t="n">
        <v>208</v>
      </c>
      <c r="G671" s="1" t="n">
        <v>140</v>
      </c>
      <c r="H671" s="2" t="n">
        <v>14750000</v>
      </c>
      <c r="I671" s="2" t="n">
        <f aca="false">(((H671 / 800) / IF(ISBLANK(R671), 1000000, IF(ISNA(VLOOKUP(R671, Mileages!$A$2:$C$34, 2, 0)), R671, VLOOKUP(R671, Mileages!$A$2:$C$34, 2, 0)))) + (F671 * IF(ISBLANK(P671), 1, P671) * IF(ISBLANK(T671), 0, IF(ISNA(VLOOKUP(T671, 'Fuel Costs'!$A$2:$C$42, 2, 0)), T671, VLOOKUP(T671, 'Fuel Costs'!$A$2:$C$42, 2, 0))) / IF(ISBLANK(O671), 1, O671))) * 100</f>
        <v>140.5104167</v>
      </c>
      <c r="J671" s="2" t="n">
        <f aca="false">((H671 / 800) / (IF(ISBLANK(S671), 100, IF(ISNA(VLOOKUP(S671, Lives!$A$2:$C$35, 2, 0)), S671, VLOOKUP(S671, Lives!$A$2:$C$35, 2, 0))) * 12) + (IF(ISBLANK(Q671), 0, IF(ISNA(VLOOKUP(Q671, Wages!$A$2:$C$17, 2, 0)), Q671, VLOOKUP(Q671, Wages!$A$2:$C$17, 2, 0))) * IF(ISBLANK(N671), 0, IF(ISNA(VLOOKUP(N671, Crews!$A$2:$C$28, 2, 0)), N671, VLOOKUP(N671, Crews!$A$2:$C$28, 2, 0))))) * 400</f>
        <v>36291.66667</v>
      </c>
      <c r="K671" s="3" t="s">
        <v>1383</v>
      </c>
      <c r="L671" s="1" t="s">
        <v>1384</v>
      </c>
      <c r="M671" s="1" t="n">
        <v>0</v>
      </c>
      <c r="N671" s="1" t="s">
        <v>590</v>
      </c>
      <c r="O671" s="1" t="n">
        <v>0.6</v>
      </c>
      <c r="P671" s="1"/>
      <c r="Q671" s="5" t="s">
        <v>284</v>
      </c>
      <c r="R671" s="1" t="s">
        <v>677</v>
      </c>
      <c r="S671" s="1" t="s">
        <v>677</v>
      </c>
      <c r="T671" s="1" t="s">
        <v>923</v>
      </c>
    </row>
    <row r="672" customFormat="false" ht="15" hidden="false" customHeight="true" outlineLevel="0" collapsed="false">
      <c r="A672" s="1" t="s">
        <v>1385</v>
      </c>
      <c r="B672" s="1" t="n">
        <v>1887</v>
      </c>
      <c r="C672" s="1" t="n">
        <v>4</v>
      </c>
      <c r="D672" s="1" t="s">
        <v>38</v>
      </c>
      <c r="E672" s="1"/>
      <c r="F672" s="1"/>
      <c r="G672" s="1" t="n">
        <v>130</v>
      </c>
      <c r="H672" s="2" t="n">
        <v>300000</v>
      </c>
      <c r="I672" s="2" t="n">
        <f aca="false">(((H672 / 800) / IF(ISBLANK(R672), 1000000, IF(ISNA(VLOOKUP(R672, Mileages!$A$2:$C$34, 2, 0)), R672, VLOOKUP(R672, Mileages!$A$2:$C$34, 2, 0)))) + (F672 * IF(ISBLANK(P672), 1, P672) * IF(ISBLANK(T672), 0, IF(ISNA(VLOOKUP(T672, 'Fuel Costs'!$A$2:$C$42, 2, 0)), T672, VLOOKUP(T672, 'Fuel Costs'!$A$2:$C$42, 2, 0))) / IF(ISBLANK(O672), 1, O672))) * 100</f>
        <v>0.03125</v>
      </c>
      <c r="J672" s="2" t="n">
        <f aca="false">((H672 / 800) / (IF(ISBLANK(S672), 100, IF(ISNA(VLOOKUP(S672, Lives!$A$2:$C$35, 2, 0)), S672, VLOOKUP(S672, Lives!$A$2:$C$35, 2, 0))) * 12) + (IF(ISBLANK(Q672), 0, IF(ISNA(VLOOKUP(Q672, Wages!$A$2:$C$17, 2, 0)), Q672, VLOOKUP(Q672, Wages!$A$2:$C$17, 2, 0))) * IF(ISBLANK(N672), 0, IF(ISNA(VLOOKUP(N672, Crews!$A$2:$C$28, 2, 0)), N672, VLOOKUP(N672, Crews!$A$2:$C$28, 2, 0))))) * 400</f>
        <v>357.1428571</v>
      </c>
      <c r="K672" s="1"/>
      <c r="L672" s="1" t="s">
        <v>1386</v>
      </c>
      <c r="M672" s="1" t="n">
        <v>0</v>
      </c>
      <c r="N672" s="1"/>
      <c r="O672" s="1"/>
      <c r="P672" s="1"/>
      <c r="Q672" s="1"/>
      <c r="R672" s="1" t="s">
        <v>689</v>
      </c>
      <c r="S672" s="1" t="s">
        <v>856</v>
      </c>
      <c r="T672" s="1"/>
    </row>
    <row r="673" customFormat="false" ht="15" hidden="false" customHeight="true" outlineLevel="0" collapsed="false">
      <c r="A673" s="1" t="s">
        <v>1387</v>
      </c>
      <c r="B673" s="1" t="n">
        <v>1887</v>
      </c>
      <c r="C673" s="1" t="n">
        <v>4</v>
      </c>
      <c r="D673" s="1" t="s">
        <v>38</v>
      </c>
      <c r="E673" s="1"/>
      <c r="F673" s="1"/>
      <c r="G673" s="1" t="n">
        <v>130</v>
      </c>
      <c r="H673" s="2" t="n">
        <v>300000</v>
      </c>
      <c r="I673" s="2" t="n">
        <f aca="false">(((H673 / 800) / IF(ISBLANK(R673), 1000000, IF(ISNA(VLOOKUP(R673, Mileages!$A$2:$C$34, 2, 0)), R673, VLOOKUP(R673, Mileages!$A$2:$C$34, 2, 0)))) + (F673 * IF(ISBLANK(P673), 1, P673) * IF(ISBLANK(T673), 0, IF(ISNA(VLOOKUP(T673, 'Fuel Costs'!$A$2:$C$42, 2, 0)), T673, VLOOKUP(T673, 'Fuel Costs'!$A$2:$C$42, 2, 0))) / IF(ISBLANK(O673), 1, O673))) * 100</f>
        <v>0.03125</v>
      </c>
      <c r="J673" s="2" t="n">
        <f aca="false">((H673 / 800) / (IF(ISBLANK(S673), 100, IF(ISNA(VLOOKUP(S673, Lives!$A$2:$C$35, 2, 0)), S673, VLOOKUP(S673, Lives!$A$2:$C$35, 2, 0))) * 12) + (IF(ISBLANK(Q673), 0, IF(ISNA(VLOOKUP(Q673, Wages!$A$2:$C$17, 2, 0)), Q673, VLOOKUP(Q673, Wages!$A$2:$C$17, 2, 0))) * IF(ISBLANK(N673), 0, IF(ISNA(VLOOKUP(N673, Crews!$A$2:$C$28, 2, 0)), N673, VLOOKUP(N673, Crews!$A$2:$C$28, 2, 0))))) * 400</f>
        <v>5157.142857</v>
      </c>
      <c r="K673" s="1"/>
      <c r="L673" s="1" t="s">
        <v>1386</v>
      </c>
      <c r="M673" s="1" t="n">
        <v>1</v>
      </c>
      <c r="N673" s="1" t="s">
        <v>25</v>
      </c>
      <c r="O673" s="1"/>
      <c r="P673" s="1"/>
      <c r="Q673" s="1" t="s">
        <v>378</v>
      </c>
      <c r="R673" s="1" t="s">
        <v>689</v>
      </c>
      <c r="S673" s="1" t="s">
        <v>856</v>
      </c>
      <c r="T673" s="1"/>
    </row>
    <row r="674" customFormat="false" ht="15" hidden="false" customHeight="true" outlineLevel="0" collapsed="false">
      <c r="A674" s="1" t="s">
        <v>1388</v>
      </c>
      <c r="B674" s="1" t="n">
        <v>1887</v>
      </c>
      <c r="C674" s="1" t="n">
        <v>4</v>
      </c>
      <c r="D674" s="1" t="s">
        <v>38</v>
      </c>
      <c r="E674" s="1"/>
      <c r="F674" s="1"/>
      <c r="G674" s="1" t="n">
        <v>130</v>
      </c>
      <c r="H674" s="2" t="n">
        <v>300000</v>
      </c>
      <c r="I674" s="2" t="n">
        <f aca="false">(((H674 / 800) / IF(ISBLANK(R674), 1000000, IF(ISNA(VLOOKUP(R674, Mileages!$A$2:$C$34, 2, 0)), R674, VLOOKUP(R674, Mileages!$A$2:$C$34, 2, 0)))) + (F674 * IF(ISBLANK(P674), 1, P674) * IF(ISBLANK(T674), 0, IF(ISNA(VLOOKUP(T674, 'Fuel Costs'!$A$2:$C$42, 2, 0)), T674, VLOOKUP(T674, 'Fuel Costs'!$A$2:$C$42, 2, 0))) / IF(ISBLANK(O674), 1, O674))) * 100</f>
        <v>0.03125</v>
      </c>
      <c r="J674" s="2" t="n">
        <f aca="false">((H674 / 800) / (IF(ISBLANK(S674), 100, IF(ISNA(VLOOKUP(S674, Lives!$A$2:$C$35, 2, 0)), S674, VLOOKUP(S674, Lives!$A$2:$C$35, 2, 0))) * 12) + (IF(ISBLANK(Q674), 0, IF(ISNA(VLOOKUP(Q674, Wages!$A$2:$C$17, 2, 0)), Q674, VLOOKUP(Q674, Wages!$A$2:$C$17, 2, 0))) * IF(ISBLANK(N674), 0, IF(ISNA(VLOOKUP(N674, Crews!$A$2:$C$28, 2, 0)), N674, VLOOKUP(N674, Crews!$A$2:$C$28, 2, 0))))) * 400</f>
        <v>5157.142857</v>
      </c>
      <c r="K674" s="1"/>
      <c r="L674" s="1" t="s">
        <v>1386</v>
      </c>
      <c r="M674" s="1" t="n">
        <v>2</v>
      </c>
      <c r="N674" s="1" t="s">
        <v>25</v>
      </c>
      <c r="O674" s="1"/>
      <c r="P674" s="1"/>
      <c r="Q674" s="1" t="s">
        <v>378</v>
      </c>
      <c r="R674" s="1" t="s">
        <v>689</v>
      </c>
      <c r="S674" s="1" t="s">
        <v>856</v>
      </c>
      <c r="T674" s="1"/>
    </row>
    <row r="675" customFormat="false" ht="15" hidden="false" customHeight="true" outlineLevel="0" collapsed="false">
      <c r="A675" s="1" t="s">
        <v>1389</v>
      </c>
      <c r="B675" s="1" t="n">
        <v>1887</v>
      </c>
      <c r="C675" s="1" t="n">
        <v>4</v>
      </c>
      <c r="D675" s="1" t="s">
        <v>157</v>
      </c>
      <c r="E675" s="1"/>
      <c r="F675" s="1"/>
      <c r="G675" s="1" t="n">
        <v>60</v>
      </c>
      <c r="H675" s="2" t="n">
        <v>270000</v>
      </c>
      <c r="I675" s="2" t="n">
        <f aca="false">(((H675 / 800) / IF(ISBLANK(R675), 1000000, IF(ISNA(VLOOKUP(R675, Mileages!$A$2:$C$34, 2, 0)), R675, VLOOKUP(R675, Mileages!$A$2:$C$34, 2, 0)))) + (F675 * IF(ISBLANK(P675), 1, P675) * IF(ISBLANK(T675), 0, IF(ISNA(VLOOKUP(T675, 'Fuel Costs'!$A$2:$C$42, 2, 0)), T675, VLOOKUP(T675, 'Fuel Costs'!$A$2:$C$42, 2, 0))) / IF(ISBLANK(O675), 1, O675))) * 100</f>
        <v>0.028125</v>
      </c>
      <c r="J675" s="2" t="n">
        <f aca="false">((H675 / 800) / (IF(ISBLANK(S675), 100, IF(ISNA(VLOOKUP(S675, Lives!$A$2:$C$35, 2, 0)), S675, VLOOKUP(S675, Lives!$A$2:$C$35, 2, 0))) * 12) + (IF(ISBLANK(Q675), 0, IF(ISNA(VLOOKUP(Q675, Wages!$A$2:$C$17, 2, 0)), Q675, VLOOKUP(Q675, Wages!$A$2:$C$17, 2, 0))) * IF(ISBLANK(N675), 0, IF(ISNA(VLOOKUP(N675, Crews!$A$2:$C$28, 2, 0)), N675, VLOOKUP(N675, Crews!$A$2:$C$28, 2, 0))))) * 400</f>
        <v>4912.5</v>
      </c>
      <c r="K675" s="1"/>
      <c r="L675" s="1" t="s">
        <v>990</v>
      </c>
      <c r="M675" s="1" t="n">
        <v>1</v>
      </c>
      <c r="N675" s="1" t="s">
        <v>25</v>
      </c>
      <c r="O675" s="1"/>
      <c r="P675" s="1"/>
      <c r="Q675" s="1" t="s">
        <v>378</v>
      </c>
      <c r="R675" s="1" t="s">
        <v>689</v>
      </c>
      <c r="S675" s="1" t="s">
        <v>389</v>
      </c>
      <c r="T675" s="1"/>
    </row>
    <row r="676" customFormat="false" ht="15" hidden="false" customHeight="true" outlineLevel="0" collapsed="false">
      <c r="A676" s="1" t="s">
        <v>1390</v>
      </c>
      <c r="B676" s="1" t="n">
        <v>1887</v>
      </c>
      <c r="C676" s="1" t="n">
        <v>4</v>
      </c>
      <c r="D676" s="1" t="s">
        <v>157</v>
      </c>
      <c r="E676" s="1"/>
      <c r="F676" s="1"/>
      <c r="G676" s="1" t="n">
        <v>60</v>
      </c>
      <c r="H676" s="2" t="n">
        <v>320000</v>
      </c>
      <c r="I676" s="2" t="n">
        <f aca="false">(((H676 / 800) / IF(ISBLANK(R676), 1000000, IF(ISNA(VLOOKUP(R676, Mileages!$A$2:$C$34, 2, 0)), R676, VLOOKUP(R676, Mileages!$A$2:$C$34, 2, 0)))) + (F676 * IF(ISBLANK(P676), 1, P676) * IF(ISBLANK(T676), 0, IF(ISNA(VLOOKUP(T676, 'Fuel Costs'!$A$2:$C$42, 2, 0)), T676, VLOOKUP(T676, 'Fuel Costs'!$A$2:$C$42, 2, 0))) / IF(ISBLANK(O676), 1, O676))) * 100</f>
        <v>0.03333333333</v>
      </c>
      <c r="J676" s="2" t="n">
        <f aca="false">((H676 / 800) / (IF(ISBLANK(S676), 100, IF(ISNA(VLOOKUP(S676, Lives!$A$2:$C$35, 2, 0)), S676, VLOOKUP(S676, Lives!$A$2:$C$35, 2, 0))) * 12) + (IF(ISBLANK(Q676), 0, IF(ISNA(VLOOKUP(Q676, Wages!$A$2:$C$17, 2, 0)), Q676, VLOOKUP(Q676, Wages!$A$2:$C$17, 2, 0))) * IF(ISBLANK(N676), 0, IF(ISNA(VLOOKUP(N676, Crews!$A$2:$C$28, 2, 0)), N676, VLOOKUP(N676, Crews!$A$2:$C$28, 2, 0))))) * 400</f>
        <v>380.952381</v>
      </c>
      <c r="K676" s="1"/>
      <c r="L676" s="1" t="s">
        <v>919</v>
      </c>
      <c r="M676" s="1" t="n">
        <v>1</v>
      </c>
      <c r="N676" s="1"/>
      <c r="O676" s="1"/>
      <c r="P676" s="1"/>
      <c r="Q676" s="1"/>
      <c r="R676" s="1" t="s">
        <v>689</v>
      </c>
      <c r="S676" s="1" t="s">
        <v>856</v>
      </c>
      <c r="T676" s="1"/>
    </row>
    <row r="677" customFormat="false" ht="15" hidden="false" customHeight="true" outlineLevel="0" collapsed="false">
      <c r="A677" s="1" t="s">
        <v>1391</v>
      </c>
      <c r="B677" s="1" t="n">
        <v>1887</v>
      </c>
      <c r="C677" s="1" t="n">
        <v>7</v>
      </c>
      <c r="D677" s="1" t="s">
        <v>38</v>
      </c>
      <c r="E677" s="1"/>
      <c r="F677" s="1"/>
      <c r="G677" s="1" t="n">
        <v>150</v>
      </c>
      <c r="H677" s="2" t="n">
        <v>304000</v>
      </c>
      <c r="I677" s="2" t="n">
        <f aca="false">(((H677 / 800) / IF(ISBLANK(R677), 1000000, IF(ISNA(VLOOKUP(R677, Mileages!$A$2:$C$34, 2, 0)), R677, VLOOKUP(R677, Mileages!$A$2:$C$34, 2, 0)))) + (F677 * IF(ISBLANK(P677), 1, P677) * IF(ISBLANK(T677), 0, IF(ISNA(VLOOKUP(T677, 'Fuel Costs'!$A$2:$C$42, 2, 0)), T677, VLOOKUP(T677, 'Fuel Costs'!$A$2:$C$42, 2, 0))) / IF(ISBLANK(O677), 1, O677))) * 100</f>
        <v>0.03166666667</v>
      </c>
      <c r="J677" s="2" t="n">
        <f aca="false">((H677 / 800) / (IF(ISBLANK(S677), 100, IF(ISNA(VLOOKUP(S677, Lives!$A$2:$C$35, 2, 0)), S677, VLOOKUP(S677, Lives!$A$2:$C$35, 2, 0))) * 12) + (IF(ISBLANK(Q677), 0, IF(ISNA(VLOOKUP(Q677, Wages!$A$2:$C$17, 2, 0)), Q677, VLOOKUP(Q677, Wages!$A$2:$C$17, 2, 0))) * IF(ISBLANK(N677), 0, IF(ISNA(VLOOKUP(N677, Crews!$A$2:$C$28, 2, 0)), N677, VLOOKUP(N677, Crews!$A$2:$C$28, 2, 0))))) * 400</f>
        <v>126.6666667</v>
      </c>
      <c r="K677" s="3" t="s">
        <v>1392</v>
      </c>
      <c r="L677" s="1" t="s">
        <v>1393</v>
      </c>
      <c r="M677" s="1" t="n">
        <v>0</v>
      </c>
      <c r="N677" s="1"/>
      <c r="O677" s="1"/>
      <c r="P677" s="1"/>
      <c r="Q677" s="1"/>
      <c r="R677" s="1" t="s">
        <v>689</v>
      </c>
      <c r="S677" s="5" t="s">
        <v>389</v>
      </c>
      <c r="T677" s="1"/>
    </row>
    <row r="678" customFormat="false" ht="15" hidden="false" customHeight="true" outlineLevel="0" collapsed="false">
      <c r="A678" s="1" t="s">
        <v>1394</v>
      </c>
      <c r="B678" s="1" t="n">
        <v>1887</v>
      </c>
      <c r="C678" s="1" t="n">
        <v>7</v>
      </c>
      <c r="D678" s="1" t="s">
        <v>38</v>
      </c>
      <c r="E678" s="1"/>
      <c r="F678" s="1"/>
      <c r="G678" s="1" t="n">
        <v>150</v>
      </c>
      <c r="H678" s="2" t="n">
        <v>304000</v>
      </c>
      <c r="I678" s="2" t="n">
        <f aca="false">(((H678 / 800) / IF(ISBLANK(R678), 1000000, IF(ISNA(VLOOKUP(R678, Mileages!$A$2:$C$34, 2, 0)), R678, VLOOKUP(R678, Mileages!$A$2:$C$34, 2, 0)))) + (F678 * IF(ISBLANK(P678), 1, P678) * IF(ISBLANK(T678), 0, IF(ISNA(VLOOKUP(T678, 'Fuel Costs'!$A$2:$C$42, 2, 0)), T678, VLOOKUP(T678, 'Fuel Costs'!$A$2:$C$42, 2, 0))) / IF(ISBLANK(O678), 1, O678))) * 100</f>
        <v>0.03166666667</v>
      </c>
      <c r="J678" s="2" t="n">
        <f aca="false">((H678 / 800) / (IF(ISBLANK(S678), 100, IF(ISNA(VLOOKUP(S678, Lives!$A$2:$C$35, 2, 0)), S678, VLOOKUP(S678, Lives!$A$2:$C$35, 2, 0))) * 12) + (IF(ISBLANK(Q678), 0, IF(ISNA(VLOOKUP(Q678, Wages!$A$2:$C$17, 2, 0)), Q678, VLOOKUP(Q678, Wages!$A$2:$C$17, 2, 0))) * IF(ISBLANK(N678), 0, IF(ISNA(VLOOKUP(N678, Crews!$A$2:$C$28, 2, 0)), N678, VLOOKUP(N678, Crews!$A$2:$C$28, 2, 0))))) * 400</f>
        <v>24126.66667</v>
      </c>
      <c r="K678" s="1"/>
      <c r="L678" s="1" t="s">
        <v>1393</v>
      </c>
      <c r="M678" s="1" t="n">
        <v>1</v>
      </c>
      <c r="N678" s="1" t="s">
        <v>551</v>
      </c>
      <c r="O678" s="1"/>
      <c r="P678" s="1"/>
      <c r="Q678" s="1" t="s">
        <v>551</v>
      </c>
      <c r="R678" s="1" t="s">
        <v>689</v>
      </c>
      <c r="S678" s="1" t="s">
        <v>389</v>
      </c>
      <c r="T678" s="1"/>
    </row>
    <row r="679" customFormat="false" ht="15" hidden="false" customHeight="true" outlineLevel="0" collapsed="false">
      <c r="A679" s="1" t="s">
        <v>1395</v>
      </c>
      <c r="B679" s="1" t="n">
        <v>1887</v>
      </c>
      <c r="C679" s="1" t="n">
        <v>7</v>
      </c>
      <c r="D679" s="1" t="s">
        <v>38</v>
      </c>
      <c r="E679" s="1"/>
      <c r="F679" s="1"/>
      <c r="G679" s="1" t="n">
        <v>150</v>
      </c>
      <c r="H679" s="2" t="n">
        <v>304000</v>
      </c>
      <c r="I679" s="2" t="n">
        <f aca="false">(((H679 / 800) / IF(ISBLANK(R679), 1000000, IF(ISNA(VLOOKUP(R679, Mileages!$A$2:$C$34, 2, 0)), R679, VLOOKUP(R679, Mileages!$A$2:$C$34, 2, 0)))) + (F679 * IF(ISBLANK(P679), 1, P679) * IF(ISBLANK(T679), 0, IF(ISNA(VLOOKUP(T679, 'Fuel Costs'!$A$2:$C$42, 2, 0)), T679, VLOOKUP(T679, 'Fuel Costs'!$A$2:$C$42, 2, 0))) / IF(ISBLANK(O679), 1, O679))) * 100</f>
        <v>0.03166666667</v>
      </c>
      <c r="J679" s="2" t="n">
        <f aca="false">((H679 / 800) / (IF(ISBLANK(S679), 100, IF(ISNA(VLOOKUP(S679, Lives!$A$2:$C$35, 2, 0)), S679, VLOOKUP(S679, Lives!$A$2:$C$35, 2, 0))) * 12) + (IF(ISBLANK(Q679), 0, IF(ISNA(VLOOKUP(Q679, Wages!$A$2:$C$17, 2, 0)), Q679, VLOOKUP(Q679, Wages!$A$2:$C$17, 2, 0))) * IF(ISBLANK(N679), 0, IF(ISNA(VLOOKUP(N679, Crews!$A$2:$C$28, 2, 0)), N679, VLOOKUP(N679, Crews!$A$2:$C$28, 2, 0))))) * 400</f>
        <v>5161.904762</v>
      </c>
      <c r="K679" s="3" t="s">
        <v>1396</v>
      </c>
      <c r="L679" s="1" t="s">
        <v>1397</v>
      </c>
      <c r="M679" s="1" t="n">
        <v>0</v>
      </c>
      <c r="N679" s="1" t="s">
        <v>25</v>
      </c>
      <c r="O679" s="1"/>
      <c r="P679" s="1"/>
      <c r="Q679" s="1" t="s">
        <v>378</v>
      </c>
      <c r="R679" s="1" t="s">
        <v>689</v>
      </c>
      <c r="S679" s="1" t="s">
        <v>856</v>
      </c>
      <c r="T679" s="1"/>
    </row>
    <row r="680" customFormat="false" ht="15" hidden="false" customHeight="true" outlineLevel="0" collapsed="false">
      <c r="A680" s="1" t="s">
        <v>1398</v>
      </c>
      <c r="B680" s="1" t="n">
        <v>1887</v>
      </c>
      <c r="C680" s="1" t="n">
        <v>7</v>
      </c>
      <c r="D680" s="1" t="s">
        <v>38</v>
      </c>
      <c r="E680" s="1"/>
      <c r="F680" s="1"/>
      <c r="G680" s="1" t="n">
        <v>150</v>
      </c>
      <c r="H680" s="2" t="n">
        <v>304000</v>
      </c>
      <c r="I680" s="2" t="n">
        <f aca="false">(((H680 / 800) / IF(ISBLANK(R680), 1000000, IF(ISNA(VLOOKUP(R680, Mileages!$A$2:$C$34, 2, 0)), R680, VLOOKUP(R680, Mileages!$A$2:$C$34, 2, 0)))) + (F680 * IF(ISBLANK(P680), 1, P680) * IF(ISBLANK(T680), 0, IF(ISNA(VLOOKUP(T680, 'Fuel Costs'!$A$2:$C$42, 2, 0)), T680, VLOOKUP(T680, 'Fuel Costs'!$A$2:$C$42, 2, 0))) / IF(ISBLANK(O680), 1, O680))) * 100</f>
        <v>0.03166666667</v>
      </c>
      <c r="J680" s="2" t="n">
        <f aca="false">((H680 / 800) / (IF(ISBLANK(S680), 100, IF(ISNA(VLOOKUP(S680, Lives!$A$2:$C$35, 2, 0)), S680, VLOOKUP(S680, Lives!$A$2:$C$35, 2, 0))) * 12) + (IF(ISBLANK(Q680), 0, IF(ISNA(VLOOKUP(Q680, Wages!$A$2:$C$17, 2, 0)), Q680, VLOOKUP(Q680, Wages!$A$2:$C$17, 2, 0))) * IF(ISBLANK(N680), 0, IF(ISNA(VLOOKUP(N680, Crews!$A$2:$C$28, 2, 0)), N680, VLOOKUP(N680, Crews!$A$2:$C$28, 2, 0))))) * 400</f>
        <v>361.9047619</v>
      </c>
      <c r="K680" s="3" t="s">
        <v>1396</v>
      </c>
      <c r="L680" s="1" t="s">
        <v>1399</v>
      </c>
      <c r="M680" s="1" t="n">
        <v>0</v>
      </c>
      <c r="N680" s="1"/>
      <c r="O680" s="1"/>
      <c r="P680" s="1"/>
      <c r="Q680" s="1"/>
      <c r="R680" s="1" t="s">
        <v>689</v>
      </c>
      <c r="S680" s="1" t="s">
        <v>856</v>
      </c>
      <c r="T680" s="1"/>
    </row>
    <row r="681" customFormat="false" ht="15" hidden="false" customHeight="true" outlineLevel="0" collapsed="false">
      <c r="A681" s="1" t="s">
        <v>1400</v>
      </c>
      <c r="B681" s="1" t="n">
        <v>1887</v>
      </c>
      <c r="C681" s="1" t="n">
        <v>7</v>
      </c>
      <c r="D681" s="1" t="s">
        <v>38</v>
      </c>
      <c r="E681" s="1"/>
      <c r="F681" s="1"/>
      <c r="G681" s="1" t="n">
        <v>150</v>
      </c>
      <c r="H681" s="2" t="n">
        <v>304000</v>
      </c>
      <c r="I681" s="2" t="n">
        <f aca="false">(((H681 / 800) / IF(ISBLANK(R681), 1000000, IF(ISNA(VLOOKUP(R681, Mileages!$A$2:$C$34, 2, 0)), R681, VLOOKUP(R681, Mileages!$A$2:$C$34, 2, 0)))) + (F681 * IF(ISBLANK(P681), 1, P681) * IF(ISBLANK(T681), 0, IF(ISNA(VLOOKUP(T681, 'Fuel Costs'!$A$2:$C$42, 2, 0)), T681, VLOOKUP(T681, 'Fuel Costs'!$A$2:$C$42, 2, 0))) / IF(ISBLANK(O681), 1, O681))) * 100</f>
        <v>0.03166666667</v>
      </c>
      <c r="J681" s="2" t="n">
        <f aca="false">((H681 / 800) / (IF(ISBLANK(S681), 100, IF(ISNA(VLOOKUP(S681, Lives!$A$2:$C$35, 2, 0)), S681, VLOOKUP(S681, Lives!$A$2:$C$35, 2, 0))) * 12) + (IF(ISBLANK(Q681), 0, IF(ISNA(VLOOKUP(Q681, Wages!$A$2:$C$17, 2, 0)), Q681, VLOOKUP(Q681, Wages!$A$2:$C$17, 2, 0))) * IF(ISBLANK(N681), 0, IF(ISNA(VLOOKUP(N681, Crews!$A$2:$C$28, 2, 0)), N681, VLOOKUP(N681, Crews!$A$2:$C$28, 2, 0))))) * 400</f>
        <v>5161.904762</v>
      </c>
      <c r="K681" s="3" t="s">
        <v>1396</v>
      </c>
      <c r="L681" s="1" t="s">
        <v>1401</v>
      </c>
      <c r="M681" s="1" t="n">
        <v>0</v>
      </c>
      <c r="N681" s="1" t="s">
        <v>25</v>
      </c>
      <c r="O681" s="1"/>
      <c r="P681" s="1"/>
      <c r="Q681" s="1" t="s">
        <v>378</v>
      </c>
      <c r="R681" s="1" t="s">
        <v>689</v>
      </c>
      <c r="S681" s="1" t="s">
        <v>856</v>
      </c>
      <c r="T681" s="1"/>
    </row>
    <row r="682" customFormat="false" ht="15" hidden="false" customHeight="true" outlineLevel="0" collapsed="false">
      <c r="A682" s="1" t="s">
        <v>1402</v>
      </c>
      <c r="B682" s="1" t="n">
        <v>1887</v>
      </c>
      <c r="C682" s="1" t="n">
        <v>8</v>
      </c>
      <c r="D682" s="1" t="s">
        <v>38</v>
      </c>
      <c r="E682" s="1"/>
      <c r="F682" s="1"/>
      <c r="G682" s="1" t="n">
        <v>150</v>
      </c>
      <c r="H682" s="2" t="n">
        <v>331850</v>
      </c>
      <c r="I682" s="2" t="n">
        <f aca="false">(((H682 / 800) / IF(ISBLANK(R682), 1000000, IF(ISNA(VLOOKUP(R682, Mileages!$A$2:$C$34, 2, 0)), R682, VLOOKUP(R682, Mileages!$A$2:$C$34, 2, 0)))) + (F682 * IF(ISBLANK(P682), 1, P682) * IF(ISBLANK(T682), 0, IF(ISNA(VLOOKUP(T682, 'Fuel Costs'!$A$2:$C$42, 2, 0)), T682, VLOOKUP(T682, 'Fuel Costs'!$A$2:$C$42, 2, 0))) / IF(ISBLANK(O682), 1, O682))) * 100</f>
        <v>0.03456770833</v>
      </c>
      <c r="J682" s="2" t="n">
        <f aca="false">((H682 / 800) / (IF(ISBLANK(S682), 100, IF(ISNA(VLOOKUP(S682, Lives!$A$2:$C$35, 2, 0)), S682, VLOOKUP(S682, Lives!$A$2:$C$35, 2, 0))) * 12) + (IF(ISBLANK(Q682), 0, IF(ISNA(VLOOKUP(Q682, Wages!$A$2:$C$17, 2, 0)), Q682, VLOOKUP(Q682, Wages!$A$2:$C$17, 2, 0))) * IF(ISBLANK(N682), 0, IF(ISNA(VLOOKUP(N682, Crews!$A$2:$C$28, 2, 0)), N682, VLOOKUP(N682, Crews!$A$2:$C$28, 2, 0))))) * 400</f>
        <v>395.0595238</v>
      </c>
      <c r="K682" s="1" t="s">
        <v>1224</v>
      </c>
      <c r="L682" s="1" t="s">
        <v>1372</v>
      </c>
      <c r="M682" s="1" t="n">
        <v>4</v>
      </c>
      <c r="N682" s="1"/>
      <c r="O682" s="1"/>
      <c r="P682" s="1"/>
      <c r="Q682" s="1"/>
      <c r="R682" s="1" t="s">
        <v>689</v>
      </c>
      <c r="S682" s="1" t="s">
        <v>856</v>
      </c>
      <c r="T682" s="1"/>
    </row>
    <row r="683" customFormat="false" ht="15" hidden="false" customHeight="true" outlineLevel="0" collapsed="false">
      <c r="A683" s="1" t="s">
        <v>1403</v>
      </c>
      <c r="B683" s="1" t="n">
        <v>1887</v>
      </c>
      <c r="C683" s="1" t="n">
        <v>8</v>
      </c>
      <c r="D683" s="1" t="s">
        <v>38</v>
      </c>
      <c r="E683" s="1"/>
      <c r="F683" s="1"/>
      <c r="G683" s="1" t="n">
        <v>150</v>
      </c>
      <c r="H683" s="2" t="n">
        <v>331850</v>
      </c>
      <c r="I683" s="2" t="n">
        <f aca="false">(((H683 / 800) / IF(ISBLANK(R683), 1000000, IF(ISNA(VLOOKUP(R683, Mileages!$A$2:$C$34, 2, 0)), R683, VLOOKUP(R683, Mileages!$A$2:$C$34, 2, 0)))) + (F683 * IF(ISBLANK(P683), 1, P683) * IF(ISBLANK(T683), 0, IF(ISNA(VLOOKUP(T683, 'Fuel Costs'!$A$2:$C$42, 2, 0)), T683, VLOOKUP(T683, 'Fuel Costs'!$A$2:$C$42, 2, 0))) / IF(ISBLANK(O683), 1, O683))) * 100</f>
        <v>0.03456770833</v>
      </c>
      <c r="J683" s="2" t="n">
        <f aca="false">((H683 / 800) / (IF(ISBLANK(S683), 100, IF(ISNA(VLOOKUP(S683, Lives!$A$2:$C$35, 2, 0)), S683, VLOOKUP(S683, Lives!$A$2:$C$35, 2, 0))) * 12) + (IF(ISBLANK(Q683), 0, IF(ISNA(VLOOKUP(Q683, Wages!$A$2:$C$17, 2, 0)), Q683, VLOOKUP(Q683, Wages!$A$2:$C$17, 2, 0))) * IF(ISBLANK(N683), 0, IF(ISNA(VLOOKUP(N683, Crews!$A$2:$C$28, 2, 0)), N683, VLOOKUP(N683, Crews!$A$2:$C$28, 2, 0))))) * 400</f>
        <v>138.2708333</v>
      </c>
      <c r="K683" s="1" t="s">
        <v>1224</v>
      </c>
      <c r="L683" s="1" t="s">
        <v>1372</v>
      </c>
      <c r="M683" s="1" t="n">
        <v>5</v>
      </c>
      <c r="N683" s="1"/>
      <c r="O683" s="1"/>
      <c r="P683" s="1"/>
      <c r="Q683" s="1"/>
      <c r="R683" s="1" t="s">
        <v>689</v>
      </c>
      <c r="S683" s="1" t="s">
        <v>389</v>
      </c>
      <c r="T683" s="1"/>
    </row>
    <row r="684" customFormat="false" ht="15" hidden="false" customHeight="true" outlineLevel="0" collapsed="false">
      <c r="A684" s="1" t="s">
        <v>1404</v>
      </c>
      <c r="B684" s="1" t="n">
        <v>1887</v>
      </c>
      <c r="C684" s="1" t="n">
        <v>8</v>
      </c>
      <c r="D684" s="1" t="s">
        <v>38</v>
      </c>
      <c r="E684" s="1"/>
      <c r="F684" s="1"/>
      <c r="G684" s="1" t="n">
        <v>150</v>
      </c>
      <c r="H684" s="2" t="n">
        <v>331850</v>
      </c>
      <c r="I684" s="2" t="n">
        <f aca="false">(((H684 / 800) / IF(ISBLANK(R684), 1000000, IF(ISNA(VLOOKUP(R684, Mileages!$A$2:$C$34, 2, 0)), R684, VLOOKUP(R684, Mileages!$A$2:$C$34, 2, 0)))) + (F684 * IF(ISBLANK(P684), 1, P684) * IF(ISBLANK(T684), 0, IF(ISNA(VLOOKUP(T684, 'Fuel Costs'!$A$2:$C$42, 2, 0)), T684, VLOOKUP(T684, 'Fuel Costs'!$A$2:$C$42, 2, 0))) / IF(ISBLANK(O684), 1, O684))) * 100</f>
        <v>0.03456770833</v>
      </c>
      <c r="J684" s="2" t="n">
        <f aca="false">((H684 / 800) / (IF(ISBLANK(S684), 100, IF(ISNA(VLOOKUP(S684, Lives!$A$2:$C$35, 2, 0)), S684, VLOOKUP(S684, Lives!$A$2:$C$35, 2, 0))) * 12) + (IF(ISBLANK(Q684), 0, IF(ISNA(VLOOKUP(Q684, Wages!$A$2:$C$17, 2, 0)), Q684, VLOOKUP(Q684, Wages!$A$2:$C$17, 2, 0))) * IF(ISBLANK(N684), 0, IF(ISNA(VLOOKUP(N684, Crews!$A$2:$C$28, 2, 0)), N684, VLOOKUP(N684, Crews!$A$2:$C$28, 2, 0))))) * 400</f>
        <v>138.2708333</v>
      </c>
      <c r="K684" s="1" t="s">
        <v>1224</v>
      </c>
      <c r="L684" s="1" t="s">
        <v>1372</v>
      </c>
      <c r="M684" s="1" t="n">
        <v>6</v>
      </c>
      <c r="N684" s="1"/>
      <c r="O684" s="1"/>
      <c r="P684" s="1"/>
      <c r="Q684" s="1"/>
      <c r="R684" s="1" t="s">
        <v>689</v>
      </c>
      <c r="S684" s="1" t="s">
        <v>389</v>
      </c>
      <c r="T684" s="1"/>
    </row>
    <row r="685" customFormat="false" ht="15" hidden="false" customHeight="true" outlineLevel="0" collapsed="false">
      <c r="A685" s="1" t="s">
        <v>1405</v>
      </c>
      <c r="B685" s="1" t="n">
        <v>1887</v>
      </c>
      <c r="C685" s="1" t="n">
        <v>8</v>
      </c>
      <c r="D685" s="1" t="s">
        <v>38</v>
      </c>
      <c r="E685" s="1"/>
      <c r="F685" s="1"/>
      <c r="G685" s="1" t="n">
        <v>150</v>
      </c>
      <c r="H685" s="2" t="n">
        <v>331850</v>
      </c>
      <c r="I685" s="2" t="n">
        <f aca="false">(((H685 / 800) / IF(ISBLANK(R685), 1000000, IF(ISNA(VLOOKUP(R685, Mileages!$A$2:$C$34, 2, 0)), R685, VLOOKUP(R685, Mileages!$A$2:$C$34, 2, 0)))) + (F685 * IF(ISBLANK(P685), 1, P685) * IF(ISBLANK(T685), 0, IF(ISNA(VLOOKUP(T685, 'Fuel Costs'!$A$2:$C$42, 2, 0)), T685, VLOOKUP(T685, 'Fuel Costs'!$A$2:$C$42, 2, 0))) / IF(ISBLANK(O685), 1, O685))) * 100</f>
        <v>0.03456770833</v>
      </c>
      <c r="J685" s="2" t="n">
        <f aca="false">((H685 / 800) / (IF(ISBLANK(S685), 100, IF(ISNA(VLOOKUP(S685, Lives!$A$2:$C$35, 2, 0)), S685, VLOOKUP(S685, Lives!$A$2:$C$35, 2, 0))) * 12) + (IF(ISBLANK(Q685), 0, IF(ISNA(VLOOKUP(Q685, Wages!$A$2:$C$17, 2, 0)), Q685, VLOOKUP(Q685, Wages!$A$2:$C$17, 2, 0))) * IF(ISBLANK(N685), 0, IF(ISNA(VLOOKUP(N685, Crews!$A$2:$C$28, 2, 0)), N685, VLOOKUP(N685, Crews!$A$2:$C$28, 2, 0))))) * 400</f>
        <v>138.2708333</v>
      </c>
      <c r="K685" s="1" t="s">
        <v>1224</v>
      </c>
      <c r="L685" s="1" t="s">
        <v>1372</v>
      </c>
      <c r="M685" s="1" t="n">
        <v>7</v>
      </c>
      <c r="N685" s="1"/>
      <c r="O685" s="1"/>
      <c r="P685" s="1"/>
      <c r="Q685" s="1"/>
      <c r="R685" s="1" t="s">
        <v>689</v>
      </c>
      <c r="S685" s="1" t="s">
        <v>389</v>
      </c>
      <c r="T685" s="1"/>
    </row>
    <row r="686" customFormat="false" ht="15" hidden="false" customHeight="true" outlineLevel="0" collapsed="false">
      <c r="A686" s="1" t="s">
        <v>1406</v>
      </c>
      <c r="B686" s="1" t="n">
        <v>1887</v>
      </c>
      <c r="C686" s="1" t="n">
        <v>8</v>
      </c>
      <c r="D686" s="1" t="s">
        <v>38</v>
      </c>
      <c r="E686" s="1" t="s">
        <v>274</v>
      </c>
      <c r="F686" s="1" t="n">
        <v>244</v>
      </c>
      <c r="G686" s="1" t="n">
        <v>145</v>
      </c>
      <c r="H686" s="2" t="n">
        <v>5015500</v>
      </c>
      <c r="I686" s="2" t="n">
        <f aca="false">(((H686 / 800) / IF(ISBLANK(R686), 1000000, IF(ISNA(VLOOKUP(R686, Mileages!$A$2:$C$34, 2, 0)), R686, VLOOKUP(R686, Mileages!$A$2:$C$34, 2, 0)))) + (F686 * IF(ISBLANK(P686), 1, P686) * IF(ISBLANK(T686), 0, IF(ISNA(VLOOKUP(T686, 'Fuel Costs'!$A$2:$C$42, 2, 0)), T686, VLOOKUP(T686, 'Fuel Costs'!$A$2:$C$42, 2, 0))) / IF(ISBLANK(O686), 1, O686))) * 100</f>
        <v>163.2936042</v>
      </c>
      <c r="J686" s="2" t="n">
        <f aca="false">((H686 / 800) / (IF(ISBLANK(S686), 100, IF(ISNA(VLOOKUP(S686, Lives!$A$2:$C$35, 2, 0)), S686, VLOOKUP(S686, Lives!$A$2:$C$35, 2, 0))) * 12) + (IF(ISBLANK(Q686), 0, IF(ISNA(VLOOKUP(Q686, Wages!$A$2:$C$17, 2, 0)), Q686, VLOOKUP(Q686, Wages!$A$2:$C$17, 2, 0))) * IF(ISBLANK(N686), 0, IF(ISNA(VLOOKUP(N686, Crews!$A$2:$C$28, 2, 0)), N686, VLOOKUP(N686, Crews!$A$2:$C$28, 2, 0))))) * 400</f>
        <v>28179.58333</v>
      </c>
      <c r="K686" s="3" t="s">
        <v>1407</v>
      </c>
      <c r="L686" s="1" t="s">
        <v>1408</v>
      </c>
      <c r="M686" s="1" t="n">
        <v>0</v>
      </c>
      <c r="N686" s="1" t="s">
        <v>590</v>
      </c>
      <c r="O686" s="1" t="n">
        <v>0.6</v>
      </c>
      <c r="P686" s="1"/>
      <c r="Q686" s="5" t="s">
        <v>284</v>
      </c>
      <c r="R686" s="1" t="s">
        <v>677</v>
      </c>
      <c r="S686" s="1" t="s">
        <v>677</v>
      </c>
      <c r="T686" s="1" t="s">
        <v>923</v>
      </c>
    </row>
    <row r="687" customFormat="false" ht="15" hidden="false" customHeight="true" outlineLevel="0" collapsed="false">
      <c r="A687" s="1" t="s">
        <v>1409</v>
      </c>
      <c r="B687" s="1" t="n">
        <v>1887</v>
      </c>
      <c r="C687" s="1" t="n">
        <v>8</v>
      </c>
      <c r="D687" s="1" t="s">
        <v>38</v>
      </c>
      <c r="E687" s="1"/>
      <c r="F687" s="1"/>
      <c r="G687" s="1" t="n">
        <v>150</v>
      </c>
      <c r="H687" s="2" t="n">
        <v>345000</v>
      </c>
      <c r="I687" s="2" t="n">
        <f aca="false">(((H687 / 800) / IF(ISBLANK(R687), 1000000, IF(ISNA(VLOOKUP(R687, Mileages!$A$2:$C$34, 2, 0)), R687, VLOOKUP(R687, Mileages!$A$2:$C$34, 2, 0)))) + (F687 * IF(ISBLANK(P687), 1, P687) * IF(ISBLANK(T687), 0, IF(ISNA(VLOOKUP(T687, 'Fuel Costs'!$A$2:$C$42, 2, 0)), T687, VLOOKUP(T687, 'Fuel Costs'!$A$2:$C$42, 2, 0))) / IF(ISBLANK(O687), 1, O687))) * 100</f>
        <v>0.0359375</v>
      </c>
      <c r="J687" s="2" t="n">
        <f aca="false">((H687 / 800) / (IF(ISBLANK(S687), 100, IF(ISNA(VLOOKUP(S687, Lives!$A$2:$C$35, 2, 0)), S687, VLOOKUP(S687, Lives!$A$2:$C$35, 2, 0))) * 12) + (IF(ISBLANK(Q687), 0, IF(ISNA(VLOOKUP(Q687, Wages!$A$2:$C$17, 2, 0)), Q687, VLOOKUP(Q687, Wages!$A$2:$C$17, 2, 0))) * IF(ISBLANK(N687), 0, IF(ISNA(VLOOKUP(N687, Crews!$A$2:$C$28, 2, 0)), N687, VLOOKUP(N687, Crews!$A$2:$C$28, 2, 0))))) * 400</f>
        <v>410.7142857</v>
      </c>
      <c r="K687" s="3" t="s">
        <v>1410</v>
      </c>
      <c r="L687" s="1" t="s">
        <v>1122</v>
      </c>
      <c r="M687" s="1" t="n">
        <v>1</v>
      </c>
      <c r="N687" s="1"/>
      <c r="O687" s="1"/>
      <c r="P687" s="1"/>
      <c r="Q687" s="1"/>
      <c r="R687" s="1" t="s">
        <v>689</v>
      </c>
      <c r="S687" s="1" t="s">
        <v>856</v>
      </c>
      <c r="T687" s="1"/>
    </row>
    <row r="688" customFormat="false" ht="15" hidden="false" customHeight="true" outlineLevel="0" collapsed="false">
      <c r="A688" s="1" t="s">
        <v>1411</v>
      </c>
      <c r="B688" s="1" t="n">
        <v>1887</v>
      </c>
      <c r="C688" s="1" t="n">
        <v>9</v>
      </c>
      <c r="D688" s="1" t="s">
        <v>38</v>
      </c>
      <c r="E688" s="1" t="s">
        <v>274</v>
      </c>
      <c r="F688" s="1" t="n">
        <v>233</v>
      </c>
      <c r="G688" s="1" t="n">
        <v>145</v>
      </c>
      <c r="H688" s="2" t="n">
        <v>10038000</v>
      </c>
      <c r="I688" s="2" t="n">
        <f aca="false">(((H688 / 800) / IF(ISBLANK(R688), 1000000, IF(ISNA(VLOOKUP(R688, Mileages!$A$2:$C$34, 2, 0)), R688, VLOOKUP(R688, Mileages!$A$2:$C$34, 2, 0)))) + (F688 * IF(ISBLANK(P688), 1, P688) * IF(ISBLANK(T688), 0, IF(ISNA(VLOOKUP(T688, 'Fuel Costs'!$A$2:$C$42, 2, 0)), T688, VLOOKUP(T688, 'Fuel Costs'!$A$2:$C$42, 2, 0))) / IF(ISBLANK(O688), 1, O688))) * 100</f>
        <v>156.5880833</v>
      </c>
      <c r="J688" s="2" t="n">
        <f aca="false">((H688 / 800) / (IF(ISBLANK(S688), 100, IF(ISNA(VLOOKUP(S688, Lives!$A$2:$C$35, 2, 0)), S688, VLOOKUP(S688, Lives!$A$2:$C$35, 2, 0))) * 12) + (IF(ISBLANK(Q688), 0, IF(ISNA(VLOOKUP(Q688, Wages!$A$2:$C$17, 2, 0)), Q688, VLOOKUP(Q688, Wages!$A$2:$C$17, 2, 0))) * IF(ISBLANK(N688), 0, IF(ISNA(VLOOKUP(N688, Crews!$A$2:$C$28, 2, 0)), N688, VLOOKUP(N688, Crews!$A$2:$C$28, 2, 0))))) * 400</f>
        <v>32365</v>
      </c>
      <c r="K688" s="3" t="s">
        <v>1412</v>
      </c>
      <c r="L688" s="1" t="s">
        <v>1413</v>
      </c>
      <c r="M688" s="1" t="n">
        <v>0</v>
      </c>
      <c r="N688" s="1" t="s">
        <v>590</v>
      </c>
      <c r="O688" s="1" t="n">
        <v>0.6</v>
      </c>
      <c r="P688" s="1"/>
      <c r="Q688" s="5" t="s">
        <v>284</v>
      </c>
      <c r="R688" s="1" t="s">
        <v>677</v>
      </c>
      <c r="S688" s="1" t="s">
        <v>677</v>
      </c>
      <c r="T688" s="1" t="s">
        <v>923</v>
      </c>
    </row>
    <row r="689" customFormat="false" ht="15" hidden="false" customHeight="true" outlineLevel="0" collapsed="false">
      <c r="A689" s="1" t="s">
        <v>1414</v>
      </c>
      <c r="B689" s="1" t="n">
        <v>1887</v>
      </c>
      <c r="C689" s="1" t="n">
        <v>11</v>
      </c>
      <c r="D689" s="1" t="s">
        <v>38</v>
      </c>
      <c r="E689" s="1"/>
      <c r="F689" s="1"/>
      <c r="G689" s="1" t="n">
        <v>160</v>
      </c>
      <c r="H689" s="2" t="n">
        <v>597600</v>
      </c>
      <c r="I689" s="2" t="n">
        <f aca="false">(((H689 / 800) / IF(ISBLANK(R689), 1000000, IF(ISNA(VLOOKUP(R689, Mileages!$A$2:$C$34, 2, 0)), R689, VLOOKUP(R689, Mileages!$A$2:$C$34, 2, 0)))) + (F689 * IF(ISBLANK(P689), 1, P689) * IF(ISBLANK(T689), 0, IF(ISNA(VLOOKUP(T689, 'Fuel Costs'!$A$2:$C$42, 2, 0)), T689, VLOOKUP(T689, 'Fuel Costs'!$A$2:$C$42, 2, 0))) / IF(ISBLANK(O689), 1, O689))) * 100</f>
        <v>0.06225</v>
      </c>
      <c r="J689" s="2" t="n">
        <f aca="false">((H689 / 800) / (IF(ISBLANK(S689), 100, IF(ISNA(VLOOKUP(S689, Lives!$A$2:$C$35, 2, 0)), S689, VLOOKUP(S689, Lives!$A$2:$C$35, 2, 0))) * 12) + (IF(ISBLANK(Q689), 0, IF(ISNA(VLOOKUP(Q689, Wages!$A$2:$C$17, 2, 0)), Q689, VLOOKUP(Q689, Wages!$A$2:$C$17, 2, 0))) * IF(ISBLANK(N689), 0, IF(ISNA(VLOOKUP(N689, Crews!$A$2:$C$28, 2, 0)), N689, VLOOKUP(N689, Crews!$A$2:$C$28, 2, 0))))) * 400</f>
        <v>711.4285714</v>
      </c>
      <c r="K689" s="3" t="s">
        <v>1415</v>
      </c>
      <c r="L689" s="1" t="s">
        <v>1112</v>
      </c>
      <c r="M689" s="1" t="n">
        <v>1</v>
      </c>
      <c r="N689" s="1"/>
      <c r="O689" s="1"/>
      <c r="P689" s="1"/>
      <c r="Q689" s="1"/>
      <c r="R689" s="1" t="s">
        <v>689</v>
      </c>
      <c r="S689" s="1" t="s">
        <v>856</v>
      </c>
      <c r="T689" s="1"/>
    </row>
    <row r="690" customFormat="false" ht="15" hidden="false" customHeight="true" outlineLevel="0" collapsed="false">
      <c r="A690" s="1" t="s">
        <v>1416</v>
      </c>
      <c r="B690" s="1" t="n">
        <v>1887</v>
      </c>
      <c r="C690" s="1" t="n">
        <v>11</v>
      </c>
      <c r="D690" s="1" t="s">
        <v>38</v>
      </c>
      <c r="E690" s="1"/>
      <c r="F690" s="1"/>
      <c r="G690" s="1" t="n">
        <v>160</v>
      </c>
      <c r="H690" s="2" t="n">
        <v>597600</v>
      </c>
      <c r="I690" s="2" t="n">
        <f aca="false">(((H690 / 800) / IF(ISBLANK(R690), 1000000, IF(ISNA(VLOOKUP(R690, Mileages!$A$2:$C$34, 2, 0)), R690, VLOOKUP(R690, Mileages!$A$2:$C$34, 2, 0)))) + (F690 * IF(ISBLANK(P690), 1, P690) * IF(ISBLANK(T690), 0, IF(ISNA(VLOOKUP(T690, 'Fuel Costs'!$A$2:$C$42, 2, 0)), T690, VLOOKUP(T690, 'Fuel Costs'!$A$2:$C$42, 2, 0))) / IF(ISBLANK(O690), 1, O690))) * 100</f>
        <v>0.06225</v>
      </c>
      <c r="J690" s="2" t="n">
        <f aca="false">((H690 / 800) / (IF(ISBLANK(S690), 100, IF(ISNA(VLOOKUP(S690, Lives!$A$2:$C$35, 2, 0)), S690, VLOOKUP(S690, Lives!$A$2:$C$35, 2, 0))) * 12) + (IF(ISBLANK(Q690), 0, IF(ISNA(VLOOKUP(Q690, Wages!$A$2:$C$17, 2, 0)), Q690, VLOOKUP(Q690, Wages!$A$2:$C$17, 2, 0))) * IF(ISBLANK(N690), 0, IF(ISNA(VLOOKUP(N690, Crews!$A$2:$C$28, 2, 0)), N690, VLOOKUP(N690, Crews!$A$2:$C$28, 2, 0))))) * 400</f>
        <v>5511.428571</v>
      </c>
      <c r="K690" s="3" t="s">
        <v>1415</v>
      </c>
      <c r="L690" s="1" t="s">
        <v>1112</v>
      </c>
      <c r="M690" s="1" t="n">
        <v>4</v>
      </c>
      <c r="N690" s="1" t="s">
        <v>25</v>
      </c>
      <c r="O690" s="1"/>
      <c r="P690" s="1"/>
      <c r="Q690" s="1" t="s">
        <v>378</v>
      </c>
      <c r="R690" s="1" t="s">
        <v>689</v>
      </c>
      <c r="S690" s="1" t="s">
        <v>856</v>
      </c>
      <c r="T690" s="1"/>
    </row>
    <row r="691" customFormat="false" ht="15" hidden="false" customHeight="true" outlineLevel="0" collapsed="false">
      <c r="A691" s="1" t="s">
        <v>1417</v>
      </c>
      <c r="B691" s="1" t="n">
        <v>1887</v>
      </c>
      <c r="C691" s="1" t="n">
        <v>11</v>
      </c>
      <c r="D691" s="1" t="s">
        <v>38</v>
      </c>
      <c r="E691" s="1"/>
      <c r="F691" s="1"/>
      <c r="G691" s="1" t="n">
        <v>160</v>
      </c>
      <c r="H691" s="2" t="n">
        <v>597600</v>
      </c>
      <c r="I691" s="2" t="n">
        <f aca="false">(((H691 / 800) / IF(ISBLANK(R691), 1000000, IF(ISNA(VLOOKUP(R691, Mileages!$A$2:$C$34, 2, 0)), R691, VLOOKUP(R691, Mileages!$A$2:$C$34, 2, 0)))) + (F691 * IF(ISBLANK(P691), 1, P691) * IF(ISBLANK(T691), 0, IF(ISNA(VLOOKUP(T691, 'Fuel Costs'!$A$2:$C$42, 2, 0)), T691, VLOOKUP(T691, 'Fuel Costs'!$A$2:$C$42, 2, 0))) / IF(ISBLANK(O691), 1, O691))) * 100</f>
        <v>0.06225</v>
      </c>
      <c r="J691" s="2" t="n">
        <f aca="false">((H691 / 800) / (IF(ISBLANK(S691), 100, IF(ISNA(VLOOKUP(S691, Lives!$A$2:$C$35, 2, 0)), S691, VLOOKUP(S691, Lives!$A$2:$C$35, 2, 0))) * 12) + (IF(ISBLANK(Q691), 0, IF(ISNA(VLOOKUP(Q691, Wages!$A$2:$C$17, 2, 0)), Q691, VLOOKUP(Q691, Wages!$A$2:$C$17, 2, 0))) * IF(ISBLANK(N691), 0, IF(ISNA(VLOOKUP(N691, Crews!$A$2:$C$28, 2, 0)), N691, VLOOKUP(N691, Crews!$A$2:$C$28, 2, 0))))) * 400</f>
        <v>5511.428571</v>
      </c>
      <c r="K691" s="3" t="s">
        <v>1415</v>
      </c>
      <c r="L691" s="1" t="s">
        <v>1112</v>
      </c>
      <c r="M691" s="1" t="n">
        <v>5</v>
      </c>
      <c r="N691" s="1" t="s">
        <v>25</v>
      </c>
      <c r="O691" s="1"/>
      <c r="P691" s="1"/>
      <c r="Q691" s="1" t="s">
        <v>378</v>
      </c>
      <c r="R691" s="1" t="s">
        <v>689</v>
      </c>
      <c r="S691" s="1" t="s">
        <v>856</v>
      </c>
      <c r="T691" s="1"/>
    </row>
    <row r="692" customFormat="false" ht="15" hidden="false" customHeight="true" outlineLevel="0" collapsed="false">
      <c r="A692" s="1" t="s">
        <v>1418</v>
      </c>
      <c r="B692" s="1" t="n">
        <v>1887</v>
      </c>
      <c r="C692" s="1" t="n">
        <v>11</v>
      </c>
      <c r="D692" s="1" t="s">
        <v>38</v>
      </c>
      <c r="E692" s="1"/>
      <c r="F692" s="1"/>
      <c r="G692" s="1" t="n">
        <v>160</v>
      </c>
      <c r="H692" s="2" t="n">
        <v>717120</v>
      </c>
      <c r="I692" s="2" t="n">
        <f aca="false">(((H692 / 800) / IF(ISBLANK(R692), 1000000, IF(ISNA(VLOOKUP(R692, Mileages!$A$2:$C$34, 2, 0)), R692, VLOOKUP(R692, Mileages!$A$2:$C$34, 2, 0)))) + (F692 * IF(ISBLANK(P692), 1, P692) * IF(ISBLANK(T692), 0, IF(ISNA(VLOOKUP(T692, 'Fuel Costs'!$A$2:$C$42, 2, 0)), T692, VLOOKUP(T692, 'Fuel Costs'!$A$2:$C$42, 2, 0))) / IF(ISBLANK(O692), 1, O692))) * 100</f>
        <v>0.0747</v>
      </c>
      <c r="J692" s="2" t="n">
        <f aca="false">((H692 / 800) / (IF(ISBLANK(S692), 100, IF(ISNA(VLOOKUP(S692, Lives!$A$2:$C$35, 2, 0)), S692, VLOOKUP(S692, Lives!$A$2:$C$35, 2, 0))) * 12) + (IF(ISBLANK(Q692), 0, IF(ISNA(VLOOKUP(Q692, Wages!$A$2:$C$17, 2, 0)), Q692, VLOOKUP(Q692, Wages!$A$2:$C$17, 2, 0))) * IF(ISBLANK(N692), 0, IF(ISNA(VLOOKUP(N692, Crews!$A$2:$C$28, 2, 0)), N692, VLOOKUP(N692, Crews!$A$2:$C$28, 2, 0))))) * 400</f>
        <v>853.7142857</v>
      </c>
      <c r="K692" s="3" t="s">
        <v>1380</v>
      </c>
      <c r="L692" s="1" t="s">
        <v>1141</v>
      </c>
      <c r="M692" s="1" t="n">
        <v>1</v>
      </c>
      <c r="N692" s="1"/>
      <c r="O692" s="1"/>
      <c r="P692" s="1"/>
      <c r="Q692" s="1"/>
      <c r="R692" s="1" t="s">
        <v>689</v>
      </c>
      <c r="S692" s="1" t="s">
        <v>856</v>
      </c>
      <c r="T692" s="1"/>
    </row>
    <row r="693" customFormat="false" ht="15" hidden="false" customHeight="true" outlineLevel="0" collapsed="false">
      <c r="A693" s="1" t="s">
        <v>1419</v>
      </c>
      <c r="B693" s="1" t="n">
        <v>1887</v>
      </c>
      <c r="C693" s="1" t="n">
        <v>11</v>
      </c>
      <c r="D693" s="1" t="s">
        <v>38</v>
      </c>
      <c r="E693" s="1"/>
      <c r="F693" s="1"/>
      <c r="G693" s="1" t="n">
        <v>160</v>
      </c>
      <c r="H693" s="2" t="n">
        <v>717120</v>
      </c>
      <c r="I693" s="2" t="n">
        <f aca="false">(((H693 / 800) / IF(ISBLANK(R693), 1000000, IF(ISNA(VLOOKUP(R693, Mileages!$A$2:$C$34, 2, 0)), R693, VLOOKUP(R693, Mileages!$A$2:$C$34, 2, 0)))) + (F693 * IF(ISBLANK(P693), 1, P693) * IF(ISBLANK(T693), 0, IF(ISNA(VLOOKUP(T693, 'Fuel Costs'!$A$2:$C$42, 2, 0)), T693, VLOOKUP(T693, 'Fuel Costs'!$A$2:$C$42, 2, 0))) / IF(ISBLANK(O693), 1, O693))) * 100</f>
        <v>0.0747</v>
      </c>
      <c r="J693" s="2" t="n">
        <f aca="false">((H693 / 800) / (IF(ISBLANK(S693), 100, IF(ISNA(VLOOKUP(S693, Lives!$A$2:$C$35, 2, 0)), S693, VLOOKUP(S693, Lives!$A$2:$C$35, 2, 0))) * 12) + (IF(ISBLANK(Q693), 0, IF(ISNA(VLOOKUP(Q693, Wages!$A$2:$C$17, 2, 0)), Q693, VLOOKUP(Q693, Wages!$A$2:$C$17, 2, 0))) * IF(ISBLANK(N693), 0, IF(ISNA(VLOOKUP(N693, Crews!$A$2:$C$28, 2, 0)), N693, VLOOKUP(N693, Crews!$A$2:$C$28, 2, 0))))) * 400</f>
        <v>5653.714286</v>
      </c>
      <c r="K693" s="3" t="s">
        <v>1380</v>
      </c>
      <c r="L693" s="1" t="s">
        <v>1141</v>
      </c>
      <c r="M693" s="1" t="n">
        <v>4</v>
      </c>
      <c r="N693" s="1" t="s">
        <v>25</v>
      </c>
      <c r="O693" s="1"/>
      <c r="P693" s="1"/>
      <c r="Q693" s="1" t="s">
        <v>378</v>
      </c>
      <c r="R693" s="1" t="s">
        <v>689</v>
      </c>
      <c r="S693" s="1" t="s">
        <v>856</v>
      </c>
      <c r="T693" s="1"/>
    </row>
    <row r="694" customFormat="false" ht="15" hidden="false" customHeight="true" outlineLevel="0" collapsed="false">
      <c r="A694" s="1" t="s">
        <v>1420</v>
      </c>
      <c r="B694" s="1" t="n">
        <v>1887</v>
      </c>
      <c r="C694" s="1" t="n">
        <v>11</v>
      </c>
      <c r="D694" s="1" t="s">
        <v>38</v>
      </c>
      <c r="E694" s="1"/>
      <c r="F694" s="1"/>
      <c r="G694" s="1" t="n">
        <v>160</v>
      </c>
      <c r="H694" s="2" t="n">
        <v>717120</v>
      </c>
      <c r="I694" s="2" t="n">
        <f aca="false">(((H694 / 800) / IF(ISBLANK(R694), 1000000, IF(ISNA(VLOOKUP(R694, Mileages!$A$2:$C$34, 2, 0)), R694, VLOOKUP(R694, Mileages!$A$2:$C$34, 2, 0)))) + (F694 * IF(ISBLANK(P694), 1, P694) * IF(ISBLANK(T694), 0, IF(ISNA(VLOOKUP(T694, 'Fuel Costs'!$A$2:$C$42, 2, 0)), T694, VLOOKUP(T694, 'Fuel Costs'!$A$2:$C$42, 2, 0))) / IF(ISBLANK(O694), 1, O694))) * 100</f>
        <v>0.0747</v>
      </c>
      <c r="J694" s="2" t="n">
        <f aca="false">((H694 / 800) / (IF(ISBLANK(S694), 100, IF(ISNA(VLOOKUP(S694, Lives!$A$2:$C$35, 2, 0)), S694, VLOOKUP(S694, Lives!$A$2:$C$35, 2, 0))) * 12) + (IF(ISBLANK(Q694), 0, IF(ISNA(VLOOKUP(Q694, Wages!$A$2:$C$17, 2, 0)), Q694, VLOOKUP(Q694, Wages!$A$2:$C$17, 2, 0))) * IF(ISBLANK(N694), 0, IF(ISNA(VLOOKUP(N694, Crews!$A$2:$C$28, 2, 0)), N694, VLOOKUP(N694, Crews!$A$2:$C$28, 2, 0))))) * 400</f>
        <v>5653.714286</v>
      </c>
      <c r="K694" s="3" t="s">
        <v>1380</v>
      </c>
      <c r="L694" s="1" t="s">
        <v>1141</v>
      </c>
      <c r="M694" s="1" t="n">
        <v>5</v>
      </c>
      <c r="N694" s="1" t="s">
        <v>25</v>
      </c>
      <c r="O694" s="1"/>
      <c r="P694" s="1"/>
      <c r="Q694" s="1" t="s">
        <v>378</v>
      </c>
      <c r="R694" s="1" t="s">
        <v>689</v>
      </c>
      <c r="S694" s="1" t="s">
        <v>856</v>
      </c>
      <c r="T694" s="1"/>
    </row>
    <row r="695" customFormat="false" ht="15" hidden="false" customHeight="true" outlineLevel="0" collapsed="false">
      <c r="A695" s="1" t="s">
        <v>1421</v>
      </c>
      <c r="B695" s="1" t="n">
        <v>1887</v>
      </c>
      <c r="C695" s="1" t="n">
        <v>11</v>
      </c>
      <c r="D695" s="1" t="s">
        <v>38</v>
      </c>
      <c r="E695" s="1"/>
      <c r="F695" s="1"/>
      <c r="G695" s="1" t="n">
        <v>160</v>
      </c>
      <c r="H695" s="2" t="n">
        <v>510000</v>
      </c>
      <c r="I695" s="2" t="n">
        <f aca="false">(((H695 / 800) / IF(ISBLANK(R695), 1000000, IF(ISNA(VLOOKUP(R695, Mileages!$A$2:$C$34, 2, 0)), R695, VLOOKUP(R695, Mileages!$A$2:$C$34, 2, 0)))) + (F695 * IF(ISBLANK(P695), 1, P695) * IF(ISBLANK(T695), 0, IF(ISNA(VLOOKUP(T695, 'Fuel Costs'!$A$2:$C$42, 2, 0)), T695, VLOOKUP(T695, 'Fuel Costs'!$A$2:$C$42, 2, 0))) / IF(ISBLANK(O695), 1, O695))) * 100</f>
        <v>0.053125</v>
      </c>
      <c r="J695" s="2" t="n">
        <f aca="false">((H695 / 800) / (IF(ISBLANK(S695), 100, IF(ISNA(VLOOKUP(S695, Lives!$A$2:$C$35, 2, 0)), S695, VLOOKUP(S695, Lives!$A$2:$C$35, 2, 0))) * 12) + (IF(ISBLANK(Q695), 0, IF(ISNA(VLOOKUP(Q695, Wages!$A$2:$C$17, 2, 0)), Q695, VLOOKUP(Q695, Wages!$A$2:$C$17, 2, 0))) * IF(ISBLANK(N695), 0, IF(ISNA(VLOOKUP(N695, Crews!$A$2:$C$28, 2, 0)), N695, VLOOKUP(N695, Crews!$A$2:$C$28, 2, 0))))) * 400</f>
        <v>607.1428571</v>
      </c>
      <c r="K695" s="3" t="s">
        <v>1415</v>
      </c>
      <c r="L695" s="1" t="s">
        <v>1241</v>
      </c>
      <c r="M695" s="1" t="n">
        <v>1</v>
      </c>
      <c r="N695" s="1"/>
      <c r="O695" s="1"/>
      <c r="P695" s="1"/>
      <c r="Q695" s="1"/>
      <c r="R695" s="1" t="s">
        <v>689</v>
      </c>
      <c r="S695" s="1" t="s">
        <v>856</v>
      </c>
      <c r="T695" s="1"/>
    </row>
    <row r="696" customFormat="false" ht="15" hidden="false" customHeight="true" outlineLevel="0" collapsed="false">
      <c r="A696" s="1" t="s">
        <v>1422</v>
      </c>
      <c r="B696" s="1" t="n">
        <v>1887</v>
      </c>
      <c r="C696" s="1" t="n">
        <v>11</v>
      </c>
      <c r="D696" s="1" t="s">
        <v>38</v>
      </c>
      <c r="E696" s="1"/>
      <c r="F696" s="1"/>
      <c r="G696" s="1" t="n">
        <v>160</v>
      </c>
      <c r="H696" s="2" t="n">
        <v>510000</v>
      </c>
      <c r="I696" s="2" t="n">
        <f aca="false">(((H696 / 800) / IF(ISBLANK(R696), 1000000, IF(ISNA(VLOOKUP(R696, Mileages!$A$2:$C$34, 2, 0)), R696, VLOOKUP(R696, Mileages!$A$2:$C$34, 2, 0)))) + (F696 * IF(ISBLANK(P696), 1, P696) * IF(ISBLANK(T696), 0, IF(ISNA(VLOOKUP(T696, 'Fuel Costs'!$A$2:$C$42, 2, 0)), T696, VLOOKUP(T696, 'Fuel Costs'!$A$2:$C$42, 2, 0))) / IF(ISBLANK(O696), 1, O696))) * 100</f>
        <v>0.053125</v>
      </c>
      <c r="J696" s="2" t="n">
        <f aca="false">((H696 / 800) / (IF(ISBLANK(S696), 100, IF(ISNA(VLOOKUP(S696, Lives!$A$2:$C$35, 2, 0)), S696, VLOOKUP(S696, Lives!$A$2:$C$35, 2, 0))) * 12) + (IF(ISBLANK(Q696), 0, IF(ISNA(VLOOKUP(Q696, Wages!$A$2:$C$17, 2, 0)), Q696, VLOOKUP(Q696, Wages!$A$2:$C$17, 2, 0))) * IF(ISBLANK(N696), 0, IF(ISNA(VLOOKUP(N696, Crews!$A$2:$C$28, 2, 0)), N696, VLOOKUP(N696, Crews!$A$2:$C$28, 2, 0))))) * 400</f>
        <v>5407.142857</v>
      </c>
      <c r="K696" s="3" t="s">
        <v>1415</v>
      </c>
      <c r="L696" s="1" t="s">
        <v>1241</v>
      </c>
      <c r="M696" s="1" t="n">
        <v>4</v>
      </c>
      <c r="N696" s="1" t="s">
        <v>25</v>
      </c>
      <c r="O696" s="1"/>
      <c r="P696" s="1"/>
      <c r="Q696" s="1" t="s">
        <v>378</v>
      </c>
      <c r="R696" s="1" t="s">
        <v>689</v>
      </c>
      <c r="S696" s="1" t="s">
        <v>856</v>
      </c>
      <c r="T696" s="1"/>
    </row>
    <row r="697" customFormat="false" ht="15" hidden="false" customHeight="true" outlineLevel="0" collapsed="false">
      <c r="A697" s="1" t="s">
        <v>1423</v>
      </c>
      <c r="B697" s="1" t="n">
        <v>1887</v>
      </c>
      <c r="C697" s="1" t="n">
        <v>11</v>
      </c>
      <c r="D697" s="1" t="s">
        <v>38</v>
      </c>
      <c r="E697" s="1"/>
      <c r="F697" s="1"/>
      <c r="G697" s="1" t="n">
        <v>160</v>
      </c>
      <c r="H697" s="2" t="n">
        <v>510000</v>
      </c>
      <c r="I697" s="2" t="n">
        <f aca="false">(((H697 / 800) / IF(ISBLANK(R697), 1000000, IF(ISNA(VLOOKUP(R697, Mileages!$A$2:$C$34, 2, 0)), R697, VLOOKUP(R697, Mileages!$A$2:$C$34, 2, 0)))) + (F697 * IF(ISBLANK(P697), 1, P697) * IF(ISBLANK(T697), 0, IF(ISNA(VLOOKUP(T697, 'Fuel Costs'!$A$2:$C$42, 2, 0)), T697, VLOOKUP(T697, 'Fuel Costs'!$A$2:$C$42, 2, 0))) / IF(ISBLANK(O697), 1, O697))) * 100</f>
        <v>0.053125</v>
      </c>
      <c r="J697" s="2" t="n">
        <f aca="false">((H697 / 800) / (IF(ISBLANK(S697), 100, IF(ISNA(VLOOKUP(S697, Lives!$A$2:$C$35, 2, 0)), S697, VLOOKUP(S697, Lives!$A$2:$C$35, 2, 0))) * 12) + (IF(ISBLANK(Q697), 0, IF(ISNA(VLOOKUP(Q697, Wages!$A$2:$C$17, 2, 0)), Q697, VLOOKUP(Q697, Wages!$A$2:$C$17, 2, 0))) * IF(ISBLANK(N697), 0, IF(ISNA(VLOOKUP(N697, Crews!$A$2:$C$28, 2, 0)), N697, VLOOKUP(N697, Crews!$A$2:$C$28, 2, 0))))) * 400</f>
        <v>5407.142857</v>
      </c>
      <c r="K697" s="3" t="s">
        <v>1415</v>
      </c>
      <c r="L697" s="1" t="s">
        <v>1241</v>
      </c>
      <c r="M697" s="1" t="n">
        <v>5</v>
      </c>
      <c r="N697" s="1" t="s">
        <v>25</v>
      </c>
      <c r="O697" s="1"/>
      <c r="P697" s="1"/>
      <c r="Q697" s="1" t="s">
        <v>378</v>
      </c>
      <c r="R697" s="1" t="s">
        <v>689</v>
      </c>
      <c r="S697" s="1" t="s">
        <v>856</v>
      </c>
      <c r="T697" s="1"/>
    </row>
    <row r="698" customFormat="false" ht="15" hidden="false" customHeight="true" outlineLevel="0" collapsed="false">
      <c r="A698" s="1" t="s">
        <v>1424</v>
      </c>
      <c r="B698" s="1" t="n">
        <v>1888</v>
      </c>
      <c r="C698" s="1" t="n">
        <v>11</v>
      </c>
      <c r="D698" s="1" t="s">
        <v>38</v>
      </c>
      <c r="E698" s="1"/>
      <c r="F698" s="1"/>
      <c r="G698" s="1" t="n">
        <v>150</v>
      </c>
      <c r="H698" s="2" t="n">
        <v>333000</v>
      </c>
      <c r="I698" s="2" t="n">
        <f aca="false">(((H698 / 800) / IF(ISBLANK(R698), 1000000, IF(ISNA(VLOOKUP(R698, Mileages!$A$2:$C$34, 2, 0)), R698, VLOOKUP(R698, Mileages!$A$2:$C$34, 2, 0)))) + (F698 * IF(ISBLANK(P698), 1, P698) * IF(ISBLANK(T698), 0, IF(ISNA(VLOOKUP(T698, 'Fuel Costs'!$A$2:$C$42, 2, 0)), T698, VLOOKUP(T698, 'Fuel Costs'!$A$2:$C$42, 2, 0))) / IF(ISBLANK(O698), 1, O698))) * 100</f>
        <v>0.0346875</v>
      </c>
      <c r="J698" s="2" t="n">
        <f aca="false">((H698 / 800) / (IF(ISBLANK(S698), 100, IF(ISNA(VLOOKUP(S698, Lives!$A$2:$C$35, 2, 0)), S698, VLOOKUP(S698, Lives!$A$2:$C$35, 2, 0))) * 12) + (IF(ISBLANK(Q698), 0, IF(ISNA(VLOOKUP(Q698, Wages!$A$2:$C$17, 2, 0)), Q698, VLOOKUP(Q698, Wages!$A$2:$C$17, 2, 0))) * IF(ISBLANK(N698), 0, IF(ISNA(VLOOKUP(N698, Crews!$A$2:$C$28, 2, 0)), N698, VLOOKUP(N698, Crews!$A$2:$C$28, 2, 0))))) * 400</f>
        <v>396.4285714</v>
      </c>
      <c r="K698" s="3" t="s">
        <v>1425</v>
      </c>
      <c r="L698" s="1" t="s">
        <v>1372</v>
      </c>
      <c r="M698" s="1" t="n">
        <v>3</v>
      </c>
      <c r="N698" s="1"/>
      <c r="O698" s="1"/>
      <c r="P698" s="1"/>
      <c r="Q698" s="1"/>
      <c r="R698" s="1" t="s">
        <v>689</v>
      </c>
      <c r="S698" s="1" t="s">
        <v>856</v>
      </c>
      <c r="T698" s="1"/>
    </row>
    <row r="699" customFormat="false" ht="15" hidden="false" customHeight="true" outlineLevel="0" collapsed="false">
      <c r="A699" s="1" t="s">
        <v>1426</v>
      </c>
      <c r="B699" s="1" t="n">
        <v>1888</v>
      </c>
      <c r="C699" s="1" t="n">
        <v>12</v>
      </c>
      <c r="D699" s="1" t="s">
        <v>38</v>
      </c>
      <c r="E699" s="1"/>
      <c r="F699" s="1"/>
      <c r="G699" s="1" t="n">
        <v>160</v>
      </c>
      <c r="H699" s="2" t="n">
        <v>500000</v>
      </c>
      <c r="I699" s="2" t="n">
        <f aca="false">(((H699 / 800) / IF(ISBLANK(R699), 1000000, IF(ISNA(VLOOKUP(R699, Mileages!$A$2:$C$34, 2, 0)), R699, VLOOKUP(R699, Mileages!$A$2:$C$34, 2, 0)))) + (F699 * IF(ISBLANK(P699), 1, P699) * IF(ISBLANK(T699), 0, IF(ISNA(VLOOKUP(T699, 'Fuel Costs'!$A$2:$C$42, 2, 0)), T699, VLOOKUP(T699, 'Fuel Costs'!$A$2:$C$42, 2, 0))) / IF(ISBLANK(O699), 1, O699))) * 100</f>
        <v>0.05208333333</v>
      </c>
      <c r="J699" s="2" t="n">
        <f aca="false">((H699 / 800) / (IF(ISBLANK(S699), 100, IF(ISNA(VLOOKUP(S699, Lives!$A$2:$C$35, 2, 0)), S699, VLOOKUP(S699, Lives!$A$2:$C$35, 2, 0))) * 12) + (IF(ISBLANK(Q699), 0, IF(ISNA(VLOOKUP(Q699, Wages!$A$2:$C$17, 2, 0)), Q699, VLOOKUP(Q699, Wages!$A$2:$C$17, 2, 0))) * IF(ISBLANK(N699), 0, IF(ISNA(VLOOKUP(N699, Crews!$A$2:$C$28, 2, 0)), N699, VLOOKUP(N699, Crews!$A$2:$C$28, 2, 0))))) * 400</f>
        <v>208.3333333</v>
      </c>
      <c r="K699" s="3" t="s">
        <v>1353</v>
      </c>
      <c r="L699" s="1" t="s">
        <v>1241</v>
      </c>
      <c r="M699" s="1" t="n">
        <v>6</v>
      </c>
      <c r="N699" s="1"/>
      <c r="O699" s="1"/>
      <c r="P699" s="1"/>
      <c r="Q699" s="1"/>
      <c r="R699" s="1" t="s">
        <v>689</v>
      </c>
      <c r="S699" s="5" t="s">
        <v>389</v>
      </c>
      <c r="T699" s="1"/>
    </row>
    <row r="700" customFormat="false" ht="15" hidden="false" customHeight="true" outlineLevel="0" collapsed="false">
      <c r="A700" s="1" t="s">
        <v>1427</v>
      </c>
      <c r="B700" s="1" t="n">
        <v>1889</v>
      </c>
      <c r="C700" s="1" t="n">
        <v>2</v>
      </c>
      <c r="D700" s="1" t="s">
        <v>38</v>
      </c>
      <c r="E700" s="1" t="s">
        <v>274</v>
      </c>
      <c r="F700" s="1" t="n">
        <v>218</v>
      </c>
      <c r="G700" s="1" t="n">
        <v>130</v>
      </c>
      <c r="H700" s="2" t="n">
        <v>10020000</v>
      </c>
      <c r="I700" s="2" t="n">
        <f aca="false">(((H700 / 800) / IF(ISBLANK(R700), 1000000, IF(ISNA(VLOOKUP(R700, Mileages!$A$2:$C$34, 2, 0)), R700, VLOOKUP(R700, Mileages!$A$2:$C$34, 2, 0)))) + (F700 * IF(ISBLANK(P700), 1, P700) * IF(ISBLANK(T700), 0, IF(ISNA(VLOOKUP(T700, 'Fuel Costs'!$A$2:$C$42, 2, 0)), T700, VLOOKUP(T700, 'Fuel Costs'!$A$2:$C$42, 2, 0))) / IF(ISBLANK(O700), 1, O700))) * 100</f>
        <v>146.5858333</v>
      </c>
      <c r="J700" s="2" t="n">
        <f aca="false">((H700 / 800) / (IF(ISBLANK(S700), 100, IF(ISNA(VLOOKUP(S700, Lives!$A$2:$C$35, 2, 0)), S700, VLOOKUP(S700, Lives!$A$2:$C$35, 2, 0))) * 12) + (IF(ISBLANK(Q700), 0, IF(ISNA(VLOOKUP(Q700, Wages!$A$2:$C$17, 2, 0)), Q700, VLOOKUP(Q700, Wages!$A$2:$C$17, 2, 0))) * IF(ISBLANK(N700), 0, IF(ISNA(VLOOKUP(N700, Crews!$A$2:$C$28, 2, 0)), N700, VLOOKUP(N700, Crews!$A$2:$C$28, 2, 0))))) * 400</f>
        <v>32350</v>
      </c>
      <c r="K700" s="3" t="s">
        <v>1428</v>
      </c>
      <c r="L700" s="1" t="s">
        <v>1429</v>
      </c>
      <c r="M700" s="1" t="n">
        <v>0</v>
      </c>
      <c r="N700" s="1" t="s">
        <v>590</v>
      </c>
      <c r="O700" s="1" t="n">
        <v>0.6</v>
      </c>
      <c r="P700" s="1"/>
      <c r="Q700" s="5" t="s">
        <v>284</v>
      </c>
      <c r="R700" s="1" t="s">
        <v>677</v>
      </c>
      <c r="S700" s="1" t="s">
        <v>677</v>
      </c>
      <c r="T700" s="1" t="s">
        <v>923</v>
      </c>
    </row>
    <row r="701" customFormat="false" ht="15" hidden="false" customHeight="true" outlineLevel="0" collapsed="false">
      <c r="A701" s="1" t="s">
        <v>1430</v>
      </c>
      <c r="B701" s="1" t="n">
        <v>1889</v>
      </c>
      <c r="C701" s="1" t="n">
        <v>2</v>
      </c>
      <c r="D701" s="1" t="s">
        <v>38</v>
      </c>
      <c r="E701" s="1" t="s">
        <v>274</v>
      </c>
      <c r="F701" s="1"/>
      <c r="G701" s="1" t="n">
        <v>130</v>
      </c>
      <c r="H701" s="2" t="n">
        <v>0</v>
      </c>
      <c r="I701" s="2" t="n">
        <f aca="false">(((H701 / 800) / IF(ISBLANK(R701), 1000000, IF(ISNA(VLOOKUP(R701, Mileages!$A$2:$C$34, 2, 0)), R701, VLOOKUP(R701, Mileages!$A$2:$C$34, 2, 0)))) + (F701 * IF(ISBLANK(P701), 1, P701) * IF(ISBLANK(T701), 0, IF(ISNA(VLOOKUP(T701, 'Fuel Costs'!$A$2:$C$42, 2, 0)), T701, VLOOKUP(T701, 'Fuel Costs'!$A$2:$C$42, 2, 0))) / IF(ISBLANK(O701), 1, O701))) * 100</f>
        <v>0</v>
      </c>
      <c r="J701" s="2" t="n">
        <f aca="false">((H701 / 800) / (IF(ISBLANK(S701), 100, IF(ISNA(VLOOKUP(S701, Lives!$A$2:$C$35, 2, 0)), S701, VLOOKUP(S701, Lives!$A$2:$C$35, 2, 0))) * 12) + (IF(ISBLANK(Q701), 0, IF(ISNA(VLOOKUP(Q701, Wages!$A$2:$C$17, 2, 0)), Q701, VLOOKUP(Q701, Wages!$A$2:$C$17, 2, 0))) * IF(ISBLANK(N701), 0, IF(ISNA(VLOOKUP(N701, Crews!$A$2:$C$28, 2, 0)), N701, VLOOKUP(N701, Crews!$A$2:$C$28, 2, 0))))) * 400</f>
        <v>0</v>
      </c>
      <c r="K701" s="1"/>
      <c r="L701" s="1" t="s">
        <v>1429</v>
      </c>
      <c r="M701" s="1" t="n">
        <v>1</v>
      </c>
      <c r="N701" s="1"/>
      <c r="O701" s="1"/>
      <c r="P701" s="1"/>
      <c r="Q701" s="1"/>
      <c r="R701" s="1"/>
      <c r="S701" s="1"/>
      <c r="T701" s="1"/>
    </row>
    <row r="702" customFormat="false" ht="15" hidden="false" customHeight="true" outlineLevel="0" collapsed="false">
      <c r="A702" s="1" t="s">
        <v>1431</v>
      </c>
      <c r="B702" s="1" t="n">
        <v>1889</v>
      </c>
      <c r="C702" s="1" t="n">
        <v>5</v>
      </c>
      <c r="D702" s="1" t="s">
        <v>876</v>
      </c>
      <c r="E702" s="1"/>
      <c r="F702" s="1"/>
      <c r="G702" s="1" t="n">
        <v>16</v>
      </c>
      <c r="H702" s="2" t="n">
        <v>410000</v>
      </c>
      <c r="I702" s="2" t="n">
        <f aca="false">(((H702 / 800) / IF(ISBLANK(R702), 1000000, IF(ISNA(VLOOKUP(R702, Mileages!$A$2:$C$34, 2, 0)), R702, VLOOKUP(R702, Mileages!$A$2:$C$34, 2, 0)))) + (F702 * IF(ISBLANK(P702), 1, P702) * IF(ISBLANK(T702), 0, IF(ISNA(VLOOKUP(T702, 'Fuel Costs'!$A$2:$C$42, 2, 0)), T702, VLOOKUP(T702, 'Fuel Costs'!$A$2:$C$42, 2, 0))) / IF(ISBLANK(O702), 1, O702))) * 100</f>
        <v>0.04270833333</v>
      </c>
      <c r="J702" s="2" t="n">
        <f aca="false">((H702 / 800) / (IF(ISBLANK(S702), 100, IF(ISNA(VLOOKUP(S702, Lives!$A$2:$C$35, 2, 0)), S702, VLOOKUP(S702, Lives!$A$2:$C$35, 2, 0))) * 12) + (IF(ISBLANK(Q702), 0, IF(ISNA(VLOOKUP(Q702, Wages!$A$2:$C$17, 2, 0)), Q702, VLOOKUP(Q702, Wages!$A$2:$C$17, 2, 0))) * IF(ISBLANK(N702), 0, IF(ISNA(VLOOKUP(N702, Crews!$A$2:$C$28, 2, 0)), N702, VLOOKUP(N702, Crews!$A$2:$C$28, 2, 0))))) * 400</f>
        <v>6488.095238</v>
      </c>
      <c r="K702" s="1" t="s">
        <v>1432</v>
      </c>
      <c r="L702" s="1" t="s">
        <v>1433</v>
      </c>
      <c r="M702" s="1" t="n">
        <v>0</v>
      </c>
      <c r="N702" s="1" t="s">
        <v>895</v>
      </c>
      <c r="O702" s="1"/>
      <c r="P702" s="1"/>
      <c r="Q702" s="1" t="s">
        <v>895</v>
      </c>
      <c r="R702" s="1" t="s">
        <v>689</v>
      </c>
      <c r="S702" s="1" t="s">
        <v>856</v>
      </c>
      <c r="T702" s="1"/>
    </row>
    <row r="703" customFormat="false" ht="15" hidden="false" customHeight="true" outlineLevel="0" collapsed="false">
      <c r="A703" s="1" t="s">
        <v>1434</v>
      </c>
      <c r="B703" s="1" t="n">
        <v>1889</v>
      </c>
      <c r="C703" s="1" t="n">
        <v>6</v>
      </c>
      <c r="D703" s="1" t="s">
        <v>38</v>
      </c>
      <c r="E703" s="1"/>
      <c r="F703" s="1"/>
      <c r="G703" s="1" t="n">
        <v>160</v>
      </c>
      <c r="H703" s="2" t="n">
        <v>675000</v>
      </c>
      <c r="I703" s="2" t="n">
        <f aca="false">(((H703 / 800) / IF(ISBLANK(R703), 1000000, IF(ISNA(VLOOKUP(R703, Mileages!$A$2:$C$34, 2, 0)), R703, VLOOKUP(R703, Mileages!$A$2:$C$34, 2, 0)))) + (F703 * IF(ISBLANK(P703), 1, P703) * IF(ISBLANK(T703), 0, IF(ISNA(VLOOKUP(T703, 'Fuel Costs'!$A$2:$C$42, 2, 0)), T703, VLOOKUP(T703, 'Fuel Costs'!$A$2:$C$42, 2, 0))) / IF(ISBLANK(O703), 1, O703))) * 100</f>
        <v>0.0703125</v>
      </c>
      <c r="J703" s="2" t="n">
        <f aca="false">((H703 / 800) / (IF(ISBLANK(S703), 100, IF(ISNA(VLOOKUP(S703, Lives!$A$2:$C$35, 2, 0)), S703, VLOOKUP(S703, Lives!$A$2:$C$35, 2, 0))) * 12) + (IF(ISBLANK(Q703), 0, IF(ISNA(VLOOKUP(Q703, Wages!$A$2:$C$17, 2, 0)), Q703, VLOOKUP(Q703, Wages!$A$2:$C$17, 2, 0))) * IF(ISBLANK(N703), 0, IF(ISNA(VLOOKUP(N703, Crews!$A$2:$C$28, 2, 0)), N703, VLOOKUP(N703, Crews!$A$2:$C$28, 2, 0))))) * 400</f>
        <v>5603.571429</v>
      </c>
      <c r="K703" s="3" t="s">
        <v>1435</v>
      </c>
      <c r="L703" s="1" t="s">
        <v>1436</v>
      </c>
      <c r="M703" s="1" t="n">
        <v>0</v>
      </c>
      <c r="N703" s="1" t="s">
        <v>25</v>
      </c>
      <c r="O703" s="1"/>
      <c r="P703" s="1"/>
      <c r="Q703" s="1" t="s">
        <v>378</v>
      </c>
      <c r="R703" s="1" t="s">
        <v>689</v>
      </c>
      <c r="S703" s="1" t="s">
        <v>856</v>
      </c>
      <c r="T703" s="1"/>
    </row>
    <row r="704" customFormat="false" ht="15" hidden="false" customHeight="true" outlineLevel="0" collapsed="false">
      <c r="A704" s="1" t="s">
        <v>1437</v>
      </c>
      <c r="B704" s="1" t="n">
        <v>1889</v>
      </c>
      <c r="C704" s="1" t="n">
        <v>6</v>
      </c>
      <c r="D704" s="1" t="s">
        <v>38</v>
      </c>
      <c r="E704" s="1"/>
      <c r="F704" s="1"/>
      <c r="G704" s="1" t="n">
        <v>160</v>
      </c>
      <c r="H704" s="2" t="n">
        <v>675000</v>
      </c>
      <c r="I704" s="2" t="n">
        <f aca="false">(((H704 / 800) / IF(ISBLANK(R704), 1000000, IF(ISNA(VLOOKUP(R704, Mileages!$A$2:$C$34, 2, 0)), R704, VLOOKUP(R704, Mileages!$A$2:$C$34, 2, 0)))) + (F704 * IF(ISBLANK(P704), 1, P704) * IF(ISBLANK(T704), 0, IF(ISNA(VLOOKUP(T704, 'Fuel Costs'!$A$2:$C$42, 2, 0)), T704, VLOOKUP(T704, 'Fuel Costs'!$A$2:$C$42, 2, 0))) / IF(ISBLANK(O704), 1, O704))) * 100</f>
        <v>0.0703125</v>
      </c>
      <c r="J704" s="2" t="n">
        <f aca="false">((H704 / 800) / (IF(ISBLANK(S704), 100, IF(ISNA(VLOOKUP(S704, Lives!$A$2:$C$35, 2, 0)), S704, VLOOKUP(S704, Lives!$A$2:$C$35, 2, 0))) * 12) + (IF(ISBLANK(Q704), 0, IF(ISNA(VLOOKUP(Q704, Wages!$A$2:$C$17, 2, 0)), Q704, VLOOKUP(Q704, Wages!$A$2:$C$17, 2, 0))) * IF(ISBLANK(N704), 0, IF(ISNA(VLOOKUP(N704, Crews!$A$2:$C$28, 2, 0)), N704, VLOOKUP(N704, Crews!$A$2:$C$28, 2, 0))))) * 400</f>
        <v>5081.25</v>
      </c>
      <c r="K704" s="3" t="s">
        <v>1435</v>
      </c>
      <c r="L704" s="1" t="s">
        <v>1436</v>
      </c>
      <c r="M704" s="1" t="n">
        <v>1</v>
      </c>
      <c r="N704" s="1" t="s">
        <v>25</v>
      </c>
      <c r="O704" s="1"/>
      <c r="P704" s="1"/>
      <c r="Q704" s="1" t="s">
        <v>378</v>
      </c>
      <c r="R704" s="1" t="s">
        <v>689</v>
      </c>
      <c r="S704" s="5" t="s">
        <v>389</v>
      </c>
      <c r="T704" s="1"/>
    </row>
    <row r="705" customFormat="false" ht="15" hidden="false" customHeight="true" outlineLevel="0" collapsed="false">
      <c r="A705" s="1" t="s">
        <v>1438</v>
      </c>
      <c r="B705" s="1" t="n">
        <v>1889</v>
      </c>
      <c r="C705" s="1" t="n">
        <v>8</v>
      </c>
      <c r="D705" s="1" t="s">
        <v>29</v>
      </c>
      <c r="E705" s="1" t="s">
        <v>274</v>
      </c>
      <c r="F705" s="1" t="n">
        <v>20</v>
      </c>
      <c r="G705" s="1" t="n">
        <v>8</v>
      </c>
      <c r="H705" s="2" t="n">
        <v>120000</v>
      </c>
      <c r="I705" s="2" t="n">
        <f aca="false">(((H705 / 800) / IF(ISBLANK(R705), 1000000, IF(ISNA(VLOOKUP(R705, Mileages!$A$2:$C$34, 2, 0)), R705, VLOOKUP(R705, Mileages!$A$2:$C$34, 2, 0)))) + (F705 * IF(ISBLANK(P705), 1, P705) * IF(ISBLANK(T705), 0, IF(ISNA(VLOOKUP(T705, 'Fuel Costs'!$A$2:$C$42, 2, 0)), T705, VLOOKUP(T705, 'Fuel Costs'!$A$2:$C$42, 2, 0))) / IF(ISBLANK(O705), 1, O705))) * 100</f>
        <v>1.6075</v>
      </c>
      <c r="J705" s="2" t="n">
        <f aca="false">((H705 / 800) / (IF(ISBLANK(S705), 100, IF(ISNA(VLOOKUP(S705, Lives!$A$2:$C$35, 2, 0)), S705, VLOOKUP(S705, Lives!$A$2:$C$35, 2, 0))) * 12) + (IF(ISBLANK(Q705), 0, IF(ISNA(VLOOKUP(Q705, Wages!$A$2:$C$17, 2, 0)), Q705, VLOOKUP(Q705, Wages!$A$2:$C$17, 2, 0))) * IF(ISBLANK(N705), 0, IF(ISNA(VLOOKUP(N705, Crews!$A$2:$C$28, 2, 0)), N705, VLOOKUP(N705, Crews!$A$2:$C$28, 2, 0))))) * 400</f>
        <v>16050</v>
      </c>
      <c r="K705" s="3" t="s">
        <v>1439</v>
      </c>
      <c r="L705" s="1" t="s">
        <v>1440</v>
      </c>
      <c r="M705" s="1" t="n">
        <v>0</v>
      </c>
      <c r="N705" s="1" t="s">
        <v>33</v>
      </c>
      <c r="O705" s="1" t="n">
        <v>1</v>
      </c>
      <c r="P705" s="1" t="n">
        <v>0.2</v>
      </c>
      <c r="Q705" s="1" t="s">
        <v>34</v>
      </c>
      <c r="R705" s="1" t="s">
        <v>574</v>
      </c>
      <c r="S705" s="1" t="s">
        <v>574</v>
      </c>
      <c r="T705" s="1" t="s">
        <v>923</v>
      </c>
    </row>
    <row r="706" customFormat="false" ht="15" hidden="false" customHeight="true" outlineLevel="0" collapsed="false">
      <c r="A706" s="1" t="s">
        <v>1441</v>
      </c>
      <c r="B706" s="1" t="n">
        <v>1889</v>
      </c>
      <c r="C706" s="1" t="n">
        <v>8</v>
      </c>
      <c r="D706" s="1" t="s">
        <v>29</v>
      </c>
      <c r="E706" s="1" t="s">
        <v>274</v>
      </c>
      <c r="F706" s="1" t="n">
        <v>20</v>
      </c>
      <c r="G706" s="1" t="n">
        <v>8</v>
      </c>
      <c r="H706" s="2" t="n">
        <v>120000</v>
      </c>
      <c r="I706" s="2" t="n">
        <f aca="false">(((H706 / 800) / IF(ISBLANK(R706), 1000000, IF(ISNA(VLOOKUP(R706, Mileages!$A$2:$C$34, 2, 0)), R706, VLOOKUP(R706, Mileages!$A$2:$C$34, 2, 0)))) + (F706 * IF(ISBLANK(P706), 1, P706) * IF(ISBLANK(T706), 0, IF(ISNA(VLOOKUP(T706, 'Fuel Costs'!$A$2:$C$42, 2, 0)), T706, VLOOKUP(T706, 'Fuel Costs'!$A$2:$C$42, 2, 0))) / IF(ISBLANK(O706), 1, O706))) * 100</f>
        <v>1.6075</v>
      </c>
      <c r="J706" s="2" t="n">
        <f aca="false">((H706 / 800) / (IF(ISBLANK(S706), 100, IF(ISNA(VLOOKUP(S706, Lives!$A$2:$C$35, 2, 0)), S706, VLOOKUP(S706, Lives!$A$2:$C$35, 2, 0))) * 12) + (IF(ISBLANK(Q706), 0, IF(ISNA(VLOOKUP(Q706, Wages!$A$2:$C$17, 2, 0)), Q706, VLOOKUP(Q706, Wages!$A$2:$C$17, 2, 0))) * IF(ISBLANK(N706), 0, IF(ISNA(VLOOKUP(N706, Crews!$A$2:$C$28, 2, 0)), N706, VLOOKUP(N706, Crews!$A$2:$C$28, 2, 0))))) * 400</f>
        <v>16050</v>
      </c>
      <c r="K706" s="3" t="s">
        <v>1439</v>
      </c>
      <c r="L706" s="1" t="s">
        <v>1440</v>
      </c>
      <c r="M706" s="1" t="n">
        <v>1</v>
      </c>
      <c r="N706" s="1" t="s">
        <v>33</v>
      </c>
      <c r="O706" s="1" t="n">
        <v>1</v>
      </c>
      <c r="P706" s="1" t="n">
        <v>0.2</v>
      </c>
      <c r="Q706" s="1" t="s">
        <v>34</v>
      </c>
      <c r="R706" s="1" t="s">
        <v>574</v>
      </c>
      <c r="S706" s="1" t="s">
        <v>574</v>
      </c>
      <c r="T706" s="1" t="s">
        <v>923</v>
      </c>
    </row>
    <row r="707" customFormat="false" ht="15" hidden="false" customHeight="true" outlineLevel="0" collapsed="false">
      <c r="A707" s="1" t="s">
        <v>1442</v>
      </c>
      <c r="B707" s="1" t="n">
        <v>1889</v>
      </c>
      <c r="C707" s="1" t="n">
        <v>8</v>
      </c>
      <c r="D707" s="1" t="s">
        <v>29</v>
      </c>
      <c r="E707" s="1" t="s">
        <v>274</v>
      </c>
      <c r="F707" s="1" t="n">
        <v>20</v>
      </c>
      <c r="G707" s="1" t="n">
        <v>8</v>
      </c>
      <c r="H707" s="2" t="n">
        <v>120000</v>
      </c>
      <c r="I707" s="2" t="n">
        <f aca="false">(((H707 / 800) / IF(ISBLANK(R707), 1000000, IF(ISNA(VLOOKUP(R707, Mileages!$A$2:$C$34, 2, 0)), R707, VLOOKUP(R707, Mileages!$A$2:$C$34, 2, 0)))) + (F707 * IF(ISBLANK(P707), 1, P707) * IF(ISBLANK(T707), 0, IF(ISNA(VLOOKUP(T707, 'Fuel Costs'!$A$2:$C$42, 2, 0)), T707, VLOOKUP(T707, 'Fuel Costs'!$A$2:$C$42, 2, 0))) / IF(ISBLANK(O707), 1, O707))) * 100</f>
        <v>1.6075</v>
      </c>
      <c r="J707" s="2" t="n">
        <f aca="false">((H707 / 800) / (IF(ISBLANK(S707), 100, IF(ISNA(VLOOKUP(S707, Lives!$A$2:$C$35, 2, 0)), S707, VLOOKUP(S707, Lives!$A$2:$C$35, 2, 0))) * 12) + (IF(ISBLANK(Q707), 0, IF(ISNA(VLOOKUP(Q707, Wages!$A$2:$C$17, 2, 0)), Q707, VLOOKUP(Q707, Wages!$A$2:$C$17, 2, 0))) * IF(ISBLANK(N707), 0, IF(ISNA(VLOOKUP(N707, Crews!$A$2:$C$28, 2, 0)), N707, VLOOKUP(N707, Crews!$A$2:$C$28, 2, 0))))) * 400</f>
        <v>16050</v>
      </c>
      <c r="K707" s="3" t="s">
        <v>1439</v>
      </c>
      <c r="L707" s="1" t="s">
        <v>1440</v>
      </c>
      <c r="M707" s="1" t="n">
        <v>2</v>
      </c>
      <c r="N707" s="1" t="s">
        <v>33</v>
      </c>
      <c r="O707" s="1" t="n">
        <v>1</v>
      </c>
      <c r="P707" s="1" t="n">
        <v>0.2</v>
      </c>
      <c r="Q707" s="1" t="s">
        <v>34</v>
      </c>
      <c r="R707" s="1" t="s">
        <v>574</v>
      </c>
      <c r="S707" s="1" t="s">
        <v>574</v>
      </c>
      <c r="T707" s="1" t="s">
        <v>923</v>
      </c>
    </row>
    <row r="708" customFormat="false" ht="15" hidden="false" customHeight="true" outlineLevel="0" collapsed="false">
      <c r="A708" s="1" t="s">
        <v>1443</v>
      </c>
      <c r="B708" s="1" t="n">
        <v>1889</v>
      </c>
      <c r="C708" s="1" t="n">
        <v>8</v>
      </c>
      <c r="D708" s="1" t="s">
        <v>29</v>
      </c>
      <c r="E708" s="1" t="s">
        <v>274</v>
      </c>
      <c r="F708" s="1" t="n">
        <v>20</v>
      </c>
      <c r="G708" s="1" t="n">
        <v>8</v>
      </c>
      <c r="H708" s="2" t="n">
        <v>120000</v>
      </c>
      <c r="I708" s="2" t="n">
        <f aca="false">(((H708 / 800) / IF(ISBLANK(R708), 1000000, IF(ISNA(VLOOKUP(R708, Mileages!$A$2:$C$34, 2, 0)), R708, VLOOKUP(R708, Mileages!$A$2:$C$34, 2, 0)))) + (F708 * IF(ISBLANK(P708), 1, P708) * IF(ISBLANK(T708), 0, IF(ISNA(VLOOKUP(T708, 'Fuel Costs'!$A$2:$C$42, 2, 0)), T708, VLOOKUP(T708, 'Fuel Costs'!$A$2:$C$42, 2, 0))) / IF(ISBLANK(O708), 1, O708))) * 100</f>
        <v>1.6075</v>
      </c>
      <c r="J708" s="2" t="n">
        <f aca="false">((H708 / 800) / (IF(ISBLANK(S708), 100, IF(ISNA(VLOOKUP(S708, Lives!$A$2:$C$35, 2, 0)), S708, VLOOKUP(S708, Lives!$A$2:$C$35, 2, 0))) * 12) + (IF(ISBLANK(Q708), 0, IF(ISNA(VLOOKUP(Q708, Wages!$A$2:$C$17, 2, 0)), Q708, VLOOKUP(Q708, Wages!$A$2:$C$17, 2, 0))) * IF(ISBLANK(N708), 0, IF(ISNA(VLOOKUP(N708, Crews!$A$2:$C$28, 2, 0)), N708, VLOOKUP(N708, Crews!$A$2:$C$28, 2, 0))))) * 400</f>
        <v>16050</v>
      </c>
      <c r="K708" s="3" t="s">
        <v>1439</v>
      </c>
      <c r="L708" s="1" t="s">
        <v>1440</v>
      </c>
      <c r="M708" s="1" t="n">
        <v>3</v>
      </c>
      <c r="N708" s="1" t="s">
        <v>33</v>
      </c>
      <c r="O708" s="1" t="n">
        <v>1</v>
      </c>
      <c r="P708" s="1" t="n">
        <v>0.2</v>
      </c>
      <c r="Q708" s="1" t="s">
        <v>34</v>
      </c>
      <c r="R708" s="1" t="s">
        <v>574</v>
      </c>
      <c r="S708" s="1" t="s">
        <v>574</v>
      </c>
      <c r="T708" s="1" t="s">
        <v>923</v>
      </c>
    </row>
    <row r="709" customFormat="false" ht="15" hidden="false" customHeight="true" outlineLevel="0" collapsed="false">
      <c r="A709" s="1" t="s">
        <v>1444</v>
      </c>
      <c r="B709" s="1" t="n">
        <v>1889</v>
      </c>
      <c r="C709" s="1" t="n">
        <v>8</v>
      </c>
      <c r="D709" s="1" t="s">
        <v>29</v>
      </c>
      <c r="E709" s="1" t="s">
        <v>274</v>
      </c>
      <c r="F709" s="1" t="n">
        <v>20</v>
      </c>
      <c r="G709" s="1" t="n">
        <v>8</v>
      </c>
      <c r="H709" s="2" t="n">
        <v>120000</v>
      </c>
      <c r="I709" s="2" t="n">
        <f aca="false">(((H709 / 800) / IF(ISBLANK(R709), 1000000, IF(ISNA(VLOOKUP(R709, Mileages!$A$2:$C$34, 2, 0)), R709, VLOOKUP(R709, Mileages!$A$2:$C$34, 2, 0)))) + (F709 * IF(ISBLANK(P709), 1, P709) * IF(ISBLANK(T709), 0, IF(ISNA(VLOOKUP(T709, 'Fuel Costs'!$A$2:$C$42, 2, 0)), T709, VLOOKUP(T709, 'Fuel Costs'!$A$2:$C$42, 2, 0))) / IF(ISBLANK(O709), 1, O709))) * 100</f>
        <v>1.6075</v>
      </c>
      <c r="J709" s="2" t="n">
        <f aca="false">((H709 / 800) / (IF(ISBLANK(S709), 100, IF(ISNA(VLOOKUP(S709, Lives!$A$2:$C$35, 2, 0)), S709, VLOOKUP(S709, Lives!$A$2:$C$35, 2, 0))) * 12) + (IF(ISBLANK(Q709), 0, IF(ISNA(VLOOKUP(Q709, Wages!$A$2:$C$17, 2, 0)), Q709, VLOOKUP(Q709, Wages!$A$2:$C$17, 2, 0))) * IF(ISBLANK(N709), 0, IF(ISNA(VLOOKUP(N709, Crews!$A$2:$C$28, 2, 0)), N709, VLOOKUP(N709, Crews!$A$2:$C$28, 2, 0))))) * 400</f>
        <v>16050</v>
      </c>
      <c r="K709" s="3" t="s">
        <v>1439</v>
      </c>
      <c r="L709" s="1" t="s">
        <v>1440</v>
      </c>
      <c r="M709" s="1" t="n">
        <v>4</v>
      </c>
      <c r="N709" s="1" t="s">
        <v>33</v>
      </c>
      <c r="O709" s="1" t="n">
        <v>1</v>
      </c>
      <c r="P709" s="1" t="n">
        <v>0.2</v>
      </c>
      <c r="Q709" s="1" t="s">
        <v>34</v>
      </c>
      <c r="R709" s="1" t="s">
        <v>574</v>
      </c>
      <c r="S709" s="1" t="s">
        <v>574</v>
      </c>
      <c r="T709" s="1" t="s">
        <v>923</v>
      </c>
    </row>
    <row r="710" customFormat="false" ht="15" hidden="false" customHeight="true" outlineLevel="0" collapsed="false">
      <c r="A710" s="1" t="s">
        <v>1445</v>
      </c>
      <c r="B710" s="1" t="n">
        <v>1889</v>
      </c>
      <c r="C710" s="1" t="n">
        <v>8</v>
      </c>
      <c r="D710" s="1" t="s">
        <v>29</v>
      </c>
      <c r="E710" s="1" t="s">
        <v>274</v>
      </c>
      <c r="F710" s="1" t="n">
        <v>20</v>
      </c>
      <c r="G710" s="1" t="n">
        <v>8</v>
      </c>
      <c r="H710" s="2" t="n">
        <v>120000</v>
      </c>
      <c r="I710" s="2" t="n">
        <f aca="false">(((H710 / 800) / IF(ISBLANK(R710), 1000000, IF(ISNA(VLOOKUP(R710, Mileages!$A$2:$C$34, 2, 0)), R710, VLOOKUP(R710, Mileages!$A$2:$C$34, 2, 0)))) + (F710 * IF(ISBLANK(P710), 1, P710) * IF(ISBLANK(T710), 0, IF(ISNA(VLOOKUP(T710, 'Fuel Costs'!$A$2:$C$42, 2, 0)), T710, VLOOKUP(T710, 'Fuel Costs'!$A$2:$C$42, 2, 0))) / IF(ISBLANK(O710), 1, O710))) * 100</f>
        <v>1.6075</v>
      </c>
      <c r="J710" s="2" t="n">
        <f aca="false">((H710 / 800) / (IF(ISBLANK(S710), 100, IF(ISNA(VLOOKUP(S710, Lives!$A$2:$C$35, 2, 0)), S710, VLOOKUP(S710, Lives!$A$2:$C$35, 2, 0))) * 12) + (IF(ISBLANK(Q710), 0, IF(ISNA(VLOOKUP(Q710, Wages!$A$2:$C$17, 2, 0)), Q710, VLOOKUP(Q710, Wages!$A$2:$C$17, 2, 0))) * IF(ISBLANK(N710), 0, IF(ISNA(VLOOKUP(N710, Crews!$A$2:$C$28, 2, 0)), N710, VLOOKUP(N710, Crews!$A$2:$C$28, 2, 0))))) * 400</f>
        <v>16050</v>
      </c>
      <c r="K710" s="3" t="s">
        <v>1439</v>
      </c>
      <c r="L710" s="1" t="s">
        <v>1440</v>
      </c>
      <c r="M710" s="1" t="n">
        <v>5</v>
      </c>
      <c r="N710" s="1" t="s">
        <v>33</v>
      </c>
      <c r="O710" s="1" t="n">
        <v>1</v>
      </c>
      <c r="P710" s="1" t="n">
        <v>0.2</v>
      </c>
      <c r="Q710" s="1" t="s">
        <v>34</v>
      </c>
      <c r="R710" s="1" t="s">
        <v>574</v>
      </c>
      <c r="S710" s="1" t="s">
        <v>574</v>
      </c>
      <c r="T710" s="1" t="s">
        <v>923</v>
      </c>
    </row>
    <row r="711" customFormat="false" ht="15" hidden="false" customHeight="true" outlineLevel="0" collapsed="false">
      <c r="A711" s="1" t="s">
        <v>1446</v>
      </c>
      <c r="B711" s="1" t="n">
        <v>1889</v>
      </c>
      <c r="C711" s="1" t="n">
        <v>9</v>
      </c>
      <c r="D711" s="1" t="s">
        <v>38</v>
      </c>
      <c r="E711" s="1"/>
      <c r="F711" s="1"/>
      <c r="G711" s="1" t="n">
        <v>160</v>
      </c>
      <c r="H711" s="2" t="n">
        <v>700000</v>
      </c>
      <c r="I711" s="2" t="n">
        <f aca="false">(((H711 / 800) / IF(ISBLANK(R711), 1000000, IF(ISNA(VLOOKUP(R711, Mileages!$A$2:$C$34, 2, 0)), R711, VLOOKUP(R711, Mileages!$A$2:$C$34, 2, 0)))) + (F711 * IF(ISBLANK(P711), 1, P711) * IF(ISBLANK(T711), 0, IF(ISNA(VLOOKUP(T711, 'Fuel Costs'!$A$2:$C$42, 2, 0)), T711, VLOOKUP(T711, 'Fuel Costs'!$A$2:$C$42, 2, 0))) / IF(ISBLANK(O711), 1, O711))) * 100</f>
        <v>0.07291666667</v>
      </c>
      <c r="J711" s="2" t="n">
        <f aca="false">((H711 / 800) / (IF(ISBLANK(S711), 100, IF(ISNA(VLOOKUP(S711, Lives!$A$2:$C$35, 2, 0)), S711, VLOOKUP(S711, Lives!$A$2:$C$35, 2, 0))) * 12) + (IF(ISBLANK(Q711), 0, IF(ISNA(VLOOKUP(Q711, Wages!$A$2:$C$17, 2, 0)), Q711, VLOOKUP(Q711, Wages!$A$2:$C$17, 2, 0))) * IF(ISBLANK(N711), 0, IF(ISNA(VLOOKUP(N711, Crews!$A$2:$C$28, 2, 0)), N711, VLOOKUP(N711, Crews!$A$2:$C$28, 2, 0))))) * 400</f>
        <v>5633.333333</v>
      </c>
      <c r="K711" s="3" t="s">
        <v>1447</v>
      </c>
      <c r="L711" s="1" t="s">
        <v>1448</v>
      </c>
      <c r="M711" s="1" t="n">
        <v>0</v>
      </c>
      <c r="N711" s="1" t="s">
        <v>25</v>
      </c>
      <c r="O711" s="1"/>
      <c r="P711" s="1"/>
      <c r="Q711" s="1" t="s">
        <v>378</v>
      </c>
      <c r="R711" s="1" t="s">
        <v>689</v>
      </c>
      <c r="S711" s="1" t="s">
        <v>856</v>
      </c>
      <c r="T711" s="1"/>
    </row>
    <row r="712" customFormat="false" ht="15" hidden="false" customHeight="true" outlineLevel="0" collapsed="false">
      <c r="A712" s="1" t="s">
        <v>1449</v>
      </c>
      <c r="B712" s="1" t="n">
        <v>1889</v>
      </c>
      <c r="C712" s="1" t="n">
        <v>9</v>
      </c>
      <c r="D712" s="1" t="s">
        <v>38</v>
      </c>
      <c r="E712" s="1"/>
      <c r="F712" s="1"/>
      <c r="G712" s="1" t="n">
        <v>160</v>
      </c>
      <c r="H712" s="2" t="n">
        <v>709000</v>
      </c>
      <c r="I712" s="2" t="n">
        <f aca="false">(((H712 / 800) / IF(ISBLANK(R712), 1000000, IF(ISNA(VLOOKUP(R712, Mileages!$A$2:$C$34, 2, 0)), R712, VLOOKUP(R712, Mileages!$A$2:$C$34, 2, 0)))) + (F712 * IF(ISBLANK(P712), 1, P712) * IF(ISBLANK(T712), 0, IF(ISNA(VLOOKUP(T712, 'Fuel Costs'!$A$2:$C$42, 2, 0)), T712, VLOOKUP(T712, 'Fuel Costs'!$A$2:$C$42, 2, 0))) / IF(ISBLANK(O712), 1, O712))) * 100</f>
        <v>0.07385416667</v>
      </c>
      <c r="J712" s="2" t="n">
        <f aca="false">((H712 / 800) / (IF(ISBLANK(S712), 100, IF(ISNA(VLOOKUP(S712, Lives!$A$2:$C$35, 2, 0)), S712, VLOOKUP(S712, Lives!$A$2:$C$35, 2, 0))) * 12) + (IF(ISBLANK(Q712), 0, IF(ISNA(VLOOKUP(Q712, Wages!$A$2:$C$17, 2, 0)), Q712, VLOOKUP(Q712, Wages!$A$2:$C$17, 2, 0))) * IF(ISBLANK(N712), 0, IF(ISNA(VLOOKUP(N712, Crews!$A$2:$C$28, 2, 0)), N712, VLOOKUP(N712, Crews!$A$2:$C$28, 2, 0))))) * 400</f>
        <v>844.047619</v>
      </c>
      <c r="K712" s="1" t="s">
        <v>1224</v>
      </c>
      <c r="L712" s="1" t="s">
        <v>1448</v>
      </c>
      <c r="M712" s="1" t="n">
        <v>1</v>
      </c>
      <c r="N712" s="1"/>
      <c r="O712" s="1"/>
      <c r="P712" s="1"/>
      <c r="Q712" s="1"/>
      <c r="R712" s="1" t="s">
        <v>689</v>
      </c>
      <c r="S712" s="1" t="s">
        <v>856</v>
      </c>
      <c r="T712" s="1"/>
    </row>
    <row r="713" customFormat="false" ht="15" hidden="false" customHeight="true" outlineLevel="0" collapsed="false">
      <c r="A713" s="1" t="s">
        <v>1450</v>
      </c>
      <c r="B713" s="1" t="n">
        <v>1889</v>
      </c>
      <c r="C713" s="1" t="n">
        <v>10</v>
      </c>
      <c r="D713" s="1" t="s">
        <v>38</v>
      </c>
      <c r="E713" s="1"/>
      <c r="F713" s="1"/>
      <c r="G713" s="1" t="n">
        <v>160</v>
      </c>
      <c r="H713" s="2" t="n">
        <v>333000</v>
      </c>
      <c r="I713" s="2" t="n">
        <f aca="false">(((H713 / 800) / IF(ISBLANK(R713), 1000000, IF(ISNA(VLOOKUP(R713, Mileages!$A$2:$C$34, 2, 0)), R713, VLOOKUP(R713, Mileages!$A$2:$C$34, 2, 0)))) + (F713 * IF(ISBLANK(P713), 1, P713) * IF(ISBLANK(T713), 0, IF(ISNA(VLOOKUP(T713, 'Fuel Costs'!$A$2:$C$42, 2, 0)), T713, VLOOKUP(T713, 'Fuel Costs'!$A$2:$C$42, 2, 0))) / IF(ISBLANK(O713), 1, O713))) * 100</f>
        <v>0.0346875</v>
      </c>
      <c r="J713" s="2" t="n">
        <f aca="false">((H713 / 800) / (IF(ISBLANK(S713), 100, IF(ISNA(VLOOKUP(S713, Lives!$A$2:$C$35, 2, 0)), S713, VLOOKUP(S713, Lives!$A$2:$C$35, 2, 0))) * 12) + (IF(ISBLANK(Q713), 0, IF(ISNA(VLOOKUP(Q713, Wages!$A$2:$C$17, 2, 0)), Q713, VLOOKUP(Q713, Wages!$A$2:$C$17, 2, 0))) * IF(ISBLANK(N713), 0, IF(ISNA(VLOOKUP(N713, Crews!$A$2:$C$28, 2, 0)), N713, VLOOKUP(N713, Crews!$A$2:$C$28, 2, 0))))) * 400</f>
        <v>396.4285714</v>
      </c>
      <c r="K713" s="3" t="s">
        <v>1451</v>
      </c>
      <c r="L713" s="1" t="s">
        <v>1452</v>
      </c>
      <c r="M713" s="1" t="n">
        <v>0</v>
      </c>
      <c r="N713" s="1"/>
      <c r="O713" s="1"/>
      <c r="P713" s="1"/>
      <c r="Q713" s="1"/>
      <c r="R713" s="1" t="s">
        <v>689</v>
      </c>
      <c r="S713" s="1" t="s">
        <v>856</v>
      </c>
      <c r="T713" s="1"/>
    </row>
    <row r="714" customFormat="false" ht="15" hidden="false" customHeight="true" outlineLevel="0" collapsed="false">
      <c r="A714" s="1" t="s">
        <v>1453</v>
      </c>
      <c r="B714" s="1" t="n">
        <v>1889</v>
      </c>
      <c r="C714" s="1" t="n">
        <v>10</v>
      </c>
      <c r="D714" s="1" t="s">
        <v>38</v>
      </c>
      <c r="E714" s="1"/>
      <c r="F714" s="1"/>
      <c r="G714" s="1" t="n">
        <v>160</v>
      </c>
      <c r="H714" s="2" t="n">
        <v>333000</v>
      </c>
      <c r="I714" s="2" t="n">
        <f aca="false">(((H714 / 800) / IF(ISBLANK(R714), 1000000, IF(ISNA(VLOOKUP(R714, Mileages!$A$2:$C$34, 2, 0)), R714, VLOOKUP(R714, Mileages!$A$2:$C$34, 2, 0)))) + (F714 * IF(ISBLANK(P714), 1, P714) * IF(ISBLANK(T714), 0, IF(ISNA(VLOOKUP(T714, 'Fuel Costs'!$A$2:$C$42, 2, 0)), T714, VLOOKUP(T714, 'Fuel Costs'!$A$2:$C$42, 2, 0))) / IF(ISBLANK(O714), 1, O714))) * 100</f>
        <v>0.0346875</v>
      </c>
      <c r="J714" s="2" t="n">
        <f aca="false">((H714 / 800) / (IF(ISBLANK(S714), 100, IF(ISNA(VLOOKUP(S714, Lives!$A$2:$C$35, 2, 0)), S714, VLOOKUP(S714, Lives!$A$2:$C$35, 2, 0))) * 12) + (IF(ISBLANK(Q714), 0, IF(ISNA(VLOOKUP(Q714, Wages!$A$2:$C$17, 2, 0)), Q714, VLOOKUP(Q714, Wages!$A$2:$C$17, 2, 0))) * IF(ISBLANK(N714), 0, IF(ISNA(VLOOKUP(N714, Crews!$A$2:$C$28, 2, 0)), N714, VLOOKUP(N714, Crews!$A$2:$C$28, 2, 0))))) * 400</f>
        <v>5196.428571</v>
      </c>
      <c r="K714" s="1" t="s">
        <v>437</v>
      </c>
      <c r="L714" s="1" t="s">
        <v>1452</v>
      </c>
      <c r="M714" s="1" t="n">
        <v>1</v>
      </c>
      <c r="N714" s="1" t="s">
        <v>25</v>
      </c>
      <c r="O714" s="1"/>
      <c r="P714" s="1"/>
      <c r="Q714" s="1" t="s">
        <v>378</v>
      </c>
      <c r="R714" s="1" t="s">
        <v>689</v>
      </c>
      <c r="S714" s="1" t="s">
        <v>856</v>
      </c>
      <c r="T714" s="1"/>
    </row>
    <row r="715" customFormat="false" ht="15" hidden="false" customHeight="true" outlineLevel="0" collapsed="false">
      <c r="A715" s="1" t="s">
        <v>1454</v>
      </c>
      <c r="B715" s="1" t="n">
        <v>1889</v>
      </c>
      <c r="C715" s="1" t="n">
        <v>10</v>
      </c>
      <c r="D715" s="1" t="s">
        <v>38</v>
      </c>
      <c r="E715" s="1"/>
      <c r="F715" s="1"/>
      <c r="G715" s="1" t="n">
        <v>160</v>
      </c>
      <c r="H715" s="2" t="n">
        <v>333000</v>
      </c>
      <c r="I715" s="2" t="n">
        <f aca="false">(((H715 / 800) / IF(ISBLANK(R715), 1000000, IF(ISNA(VLOOKUP(R715, Mileages!$A$2:$C$34, 2, 0)), R715, VLOOKUP(R715, Mileages!$A$2:$C$34, 2, 0)))) + (F715 * IF(ISBLANK(P715), 1, P715) * IF(ISBLANK(T715), 0, IF(ISNA(VLOOKUP(T715, 'Fuel Costs'!$A$2:$C$42, 2, 0)), T715, VLOOKUP(T715, 'Fuel Costs'!$A$2:$C$42, 2, 0))) / IF(ISBLANK(O715), 1, O715))) * 100</f>
        <v>0.0346875</v>
      </c>
      <c r="J715" s="2" t="n">
        <f aca="false">((H715 / 800) / (IF(ISBLANK(S715), 100, IF(ISNA(VLOOKUP(S715, Lives!$A$2:$C$35, 2, 0)), S715, VLOOKUP(S715, Lives!$A$2:$C$35, 2, 0))) * 12) + (IF(ISBLANK(Q715), 0, IF(ISNA(VLOOKUP(Q715, Wages!$A$2:$C$17, 2, 0)), Q715, VLOOKUP(Q715, Wages!$A$2:$C$17, 2, 0))) * IF(ISBLANK(N715), 0, IF(ISNA(VLOOKUP(N715, Crews!$A$2:$C$28, 2, 0)), N715, VLOOKUP(N715, Crews!$A$2:$C$28, 2, 0))))) * 400</f>
        <v>5196.428571</v>
      </c>
      <c r="K715" s="1" t="s">
        <v>437</v>
      </c>
      <c r="L715" s="1" t="s">
        <v>1452</v>
      </c>
      <c r="M715" s="1" t="n">
        <v>2</v>
      </c>
      <c r="N715" s="1" t="s">
        <v>25</v>
      </c>
      <c r="O715" s="1"/>
      <c r="P715" s="1"/>
      <c r="Q715" s="1" t="s">
        <v>378</v>
      </c>
      <c r="R715" s="1" t="s">
        <v>689</v>
      </c>
      <c r="S715" s="1" t="s">
        <v>856</v>
      </c>
      <c r="T715" s="1"/>
    </row>
    <row r="716" customFormat="false" ht="15" hidden="false" customHeight="true" outlineLevel="0" collapsed="false">
      <c r="A716" s="1" t="s">
        <v>1455</v>
      </c>
      <c r="B716" s="1" t="n">
        <v>1889</v>
      </c>
      <c r="C716" s="1" t="n">
        <v>10</v>
      </c>
      <c r="D716" s="1" t="s">
        <v>38</v>
      </c>
      <c r="E716" s="1"/>
      <c r="F716" s="1"/>
      <c r="G716" s="1" t="n">
        <v>160</v>
      </c>
      <c r="H716" s="2" t="n">
        <v>320000</v>
      </c>
      <c r="I716" s="2" t="n">
        <f aca="false">(((H716 / 800) / IF(ISBLANK(R716), 1000000, IF(ISNA(VLOOKUP(R716, Mileages!$A$2:$C$34, 2, 0)), R716, VLOOKUP(R716, Mileages!$A$2:$C$34, 2, 0)))) + (F716 * IF(ISBLANK(P716), 1, P716) * IF(ISBLANK(T716), 0, IF(ISNA(VLOOKUP(T716, 'Fuel Costs'!$A$2:$C$42, 2, 0)), T716, VLOOKUP(T716, 'Fuel Costs'!$A$2:$C$42, 2, 0))) / IF(ISBLANK(O716), 1, O716))) * 100</f>
        <v>0.03333333333</v>
      </c>
      <c r="J716" s="2" t="n">
        <f aca="false">((H716 / 800) / (IF(ISBLANK(S716), 100, IF(ISNA(VLOOKUP(S716, Lives!$A$2:$C$35, 2, 0)), S716, VLOOKUP(S716, Lives!$A$2:$C$35, 2, 0))) * 12) + (IF(ISBLANK(Q716), 0, IF(ISNA(VLOOKUP(Q716, Wages!$A$2:$C$17, 2, 0)), Q716, VLOOKUP(Q716, Wages!$A$2:$C$17, 2, 0))) * IF(ISBLANK(N716), 0, IF(ISNA(VLOOKUP(N716, Crews!$A$2:$C$28, 2, 0)), N716, VLOOKUP(N716, Crews!$A$2:$C$28, 2, 0))))) * 400</f>
        <v>380.952381</v>
      </c>
      <c r="K716" s="1" t="s">
        <v>437</v>
      </c>
      <c r="L716" s="1" t="s">
        <v>1452</v>
      </c>
      <c r="M716" s="1" t="n">
        <v>3</v>
      </c>
      <c r="N716" s="1"/>
      <c r="O716" s="1"/>
      <c r="P716" s="1"/>
      <c r="Q716" s="1"/>
      <c r="R716" s="1" t="s">
        <v>689</v>
      </c>
      <c r="S716" s="1" t="s">
        <v>856</v>
      </c>
      <c r="T716" s="1"/>
    </row>
    <row r="717" customFormat="false" ht="15" hidden="false" customHeight="true" outlineLevel="0" collapsed="false">
      <c r="A717" s="1" t="s">
        <v>1456</v>
      </c>
      <c r="B717" s="1" t="n">
        <v>1889</v>
      </c>
      <c r="C717" s="1" t="n">
        <v>10</v>
      </c>
      <c r="D717" s="1" t="s">
        <v>38</v>
      </c>
      <c r="E717" s="1"/>
      <c r="F717" s="1"/>
      <c r="G717" s="1" t="n">
        <v>160</v>
      </c>
      <c r="H717" s="2" t="n">
        <v>320000</v>
      </c>
      <c r="I717" s="2" t="n">
        <f aca="false">(((H717 / 800) / IF(ISBLANK(R717), 1000000, IF(ISNA(VLOOKUP(R717, Mileages!$A$2:$C$34, 2, 0)), R717, VLOOKUP(R717, Mileages!$A$2:$C$34, 2, 0)))) + (F717 * IF(ISBLANK(P717), 1, P717) * IF(ISBLANK(T717), 0, IF(ISNA(VLOOKUP(T717, 'Fuel Costs'!$A$2:$C$42, 2, 0)), T717, VLOOKUP(T717, 'Fuel Costs'!$A$2:$C$42, 2, 0))) / IF(ISBLANK(O717), 1, O717))) * 100</f>
        <v>0.03333333333</v>
      </c>
      <c r="J717" s="2" t="n">
        <f aca="false">((H717 / 800) / (IF(ISBLANK(S717), 100, IF(ISNA(VLOOKUP(S717, Lives!$A$2:$C$35, 2, 0)), S717, VLOOKUP(S717, Lives!$A$2:$C$35, 2, 0))) * 12) + (IF(ISBLANK(Q717), 0, IF(ISNA(VLOOKUP(Q717, Wages!$A$2:$C$17, 2, 0)), Q717, VLOOKUP(Q717, Wages!$A$2:$C$17, 2, 0))) * IF(ISBLANK(N717), 0, IF(ISNA(VLOOKUP(N717, Crews!$A$2:$C$28, 2, 0)), N717, VLOOKUP(N717, Crews!$A$2:$C$28, 2, 0))))) * 400</f>
        <v>5180.952381</v>
      </c>
      <c r="K717" s="1" t="s">
        <v>437</v>
      </c>
      <c r="L717" s="1" t="s">
        <v>1452</v>
      </c>
      <c r="M717" s="1" t="n">
        <v>4</v>
      </c>
      <c r="N717" s="1" t="s">
        <v>25</v>
      </c>
      <c r="O717" s="1"/>
      <c r="P717" s="1"/>
      <c r="Q717" s="1" t="s">
        <v>378</v>
      </c>
      <c r="R717" s="1" t="s">
        <v>689</v>
      </c>
      <c r="S717" s="1" t="s">
        <v>856</v>
      </c>
      <c r="T717" s="1"/>
    </row>
    <row r="718" customFormat="false" ht="15" hidden="false" customHeight="true" outlineLevel="0" collapsed="false">
      <c r="A718" s="1" t="s">
        <v>1457</v>
      </c>
      <c r="B718" s="1" t="n">
        <v>1889</v>
      </c>
      <c r="C718" s="1" t="n">
        <v>10</v>
      </c>
      <c r="D718" s="1" t="s">
        <v>38</v>
      </c>
      <c r="E718" s="1"/>
      <c r="F718" s="1"/>
      <c r="G718" s="1" t="n">
        <v>160</v>
      </c>
      <c r="H718" s="2" t="n">
        <v>320000</v>
      </c>
      <c r="I718" s="2" t="n">
        <f aca="false">(((H718 / 800) / IF(ISBLANK(R718), 1000000, IF(ISNA(VLOOKUP(R718, Mileages!$A$2:$C$34, 2, 0)), R718, VLOOKUP(R718, Mileages!$A$2:$C$34, 2, 0)))) + (F718 * IF(ISBLANK(P718), 1, P718) * IF(ISBLANK(T718), 0, IF(ISNA(VLOOKUP(T718, 'Fuel Costs'!$A$2:$C$42, 2, 0)), T718, VLOOKUP(T718, 'Fuel Costs'!$A$2:$C$42, 2, 0))) / IF(ISBLANK(O718), 1, O718))) * 100</f>
        <v>0.03333333333</v>
      </c>
      <c r="J718" s="2" t="n">
        <f aca="false">((H718 / 800) / (IF(ISBLANK(S718), 100, IF(ISNA(VLOOKUP(S718, Lives!$A$2:$C$35, 2, 0)), S718, VLOOKUP(S718, Lives!$A$2:$C$35, 2, 0))) * 12) + (IF(ISBLANK(Q718), 0, IF(ISNA(VLOOKUP(Q718, Wages!$A$2:$C$17, 2, 0)), Q718, VLOOKUP(Q718, Wages!$A$2:$C$17, 2, 0))) * IF(ISBLANK(N718), 0, IF(ISNA(VLOOKUP(N718, Crews!$A$2:$C$28, 2, 0)), N718, VLOOKUP(N718, Crews!$A$2:$C$28, 2, 0))))) * 400</f>
        <v>5180.952381</v>
      </c>
      <c r="K718" s="1" t="s">
        <v>437</v>
      </c>
      <c r="L718" s="1" t="s">
        <v>1452</v>
      </c>
      <c r="M718" s="1" t="n">
        <v>5</v>
      </c>
      <c r="N718" s="1" t="s">
        <v>25</v>
      </c>
      <c r="O718" s="1"/>
      <c r="P718" s="1"/>
      <c r="Q718" s="1" t="s">
        <v>378</v>
      </c>
      <c r="R718" s="1" t="s">
        <v>689</v>
      </c>
      <c r="S718" s="1" t="s">
        <v>856</v>
      </c>
      <c r="T718" s="1"/>
    </row>
    <row r="719" customFormat="false" ht="15" hidden="false" customHeight="true" outlineLevel="0" collapsed="false">
      <c r="A719" s="1" t="s">
        <v>1458</v>
      </c>
      <c r="B719" s="1" t="n">
        <v>1889</v>
      </c>
      <c r="C719" s="1" t="n">
        <v>10</v>
      </c>
      <c r="D719" s="1" t="s">
        <v>38</v>
      </c>
      <c r="E719" s="1"/>
      <c r="F719" s="1"/>
      <c r="G719" s="1" t="n">
        <v>160</v>
      </c>
      <c r="H719" s="2" t="n">
        <v>320000</v>
      </c>
      <c r="I719" s="2" t="n">
        <f aca="false">(((H719 / 800) / IF(ISBLANK(R719), 1000000, IF(ISNA(VLOOKUP(R719, Mileages!$A$2:$C$34, 2, 0)), R719, VLOOKUP(R719, Mileages!$A$2:$C$34, 2, 0)))) + (F719 * IF(ISBLANK(P719), 1, P719) * IF(ISBLANK(T719), 0, IF(ISNA(VLOOKUP(T719, 'Fuel Costs'!$A$2:$C$42, 2, 0)), T719, VLOOKUP(T719, 'Fuel Costs'!$A$2:$C$42, 2, 0))) / IF(ISBLANK(O719), 1, O719))) * 100</f>
        <v>0.03333333333</v>
      </c>
      <c r="J719" s="2" t="n">
        <f aca="false">((H719 / 800) / (IF(ISBLANK(S719), 100, IF(ISNA(VLOOKUP(S719, Lives!$A$2:$C$35, 2, 0)), S719, VLOOKUP(S719, Lives!$A$2:$C$35, 2, 0))) * 12) + (IF(ISBLANK(Q719), 0, IF(ISNA(VLOOKUP(Q719, Wages!$A$2:$C$17, 2, 0)), Q719, VLOOKUP(Q719, Wages!$A$2:$C$17, 2, 0))) * IF(ISBLANK(N719), 0, IF(ISNA(VLOOKUP(N719, Crews!$A$2:$C$28, 2, 0)), N719, VLOOKUP(N719, Crews!$A$2:$C$28, 2, 0))))) * 400</f>
        <v>380.952381</v>
      </c>
      <c r="K719" s="1" t="s">
        <v>437</v>
      </c>
      <c r="L719" s="1" t="s">
        <v>1452</v>
      </c>
      <c r="M719" s="1" t="n">
        <v>6</v>
      </c>
      <c r="N719" s="1"/>
      <c r="O719" s="1"/>
      <c r="P719" s="1"/>
      <c r="Q719" s="1"/>
      <c r="R719" s="1" t="s">
        <v>689</v>
      </c>
      <c r="S719" s="1" t="s">
        <v>856</v>
      </c>
      <c r="T719" s="1"/>
    </row>
    <row r="720" customFormat="false" ht="15" hidden="false" customHeight="true" outlineLevel="0" collapsed="false">
      <c r="A720" s="1" t="s">
        <v>1459</v>
      </c>
      <c r="B720" s="1" t="n">
        <v>1889</v>
      </c>
      <c r="C720" s="1" t="n">
        <v>10</v>
      </c>
      <c r="D720" s="1" t="s">
        <v>38</v>
      </c>
      <c r="E720" s="1"/>
      <c r="F720" s="1"/>
      <c r="G720" s="1" t="n">
        <v>160</v>
      </c>
      <c r="H720" s="2" t="n">
        <v>748000</v>
      </c>
      <c r="I720" s="2" t="n">
        <f aca="false">(((H720 / 800) / IF(ISBLANK(R720), 1000000, IF(ISNA(VLOOKUP(R720, Mileages!$A$2:$C$34, 2, 0)), R720, VLOOKUP(R720, Mileages!$A$2:$C$34, 2, 0)))) + (F720 * IF(ISBLANK(P720), 1, P720) * IF(ISBLANK(T720), 0, IF(ISNA(VLOOKUP(T720, 'Fuel Costs'!$A$2:$C$42, 2, 0)), T720, VLOOKUP(T720, 'Fuel Costs'!$A$2:$C$42, 2, 0))) / IF(ISBLANK(O720), 1, O720))) * 100</f>
        <v>0.07791666667</v>
      </c>
      <c r="J720" s="2" t="n">
        <f aca="false">((H720 / 800) / (IF(ISBLANK(S720), 100, IF(ISNA(VLOOKUP(S720, Lives!$A$2:$C$35, 2, 0)), S720, VLOOKUP(S720, Lives!$A$2:$C$35, 2, 0))) * 12) + (IF(ISBLANK(Q720), 0, IF(ISNA(VLOOKUP(Q720, Wages!$A$2:$C$17, 2, 0)), Q720, VLOOKUP(Q720, Wages!$A$2:$C$17, 2, 0))) * IF(ISBLANK(N720), 0, IF(ISNA(VLOOKUP(N720, Crews!$A$2:$C$28, 2, 0)), N720, VLOOKUP(N720, Crews!$A$2:$C$28, 2, 0))))) * 400</f>
        <v>890.4761905</v>
      </c>
      <c r="K720" s="1" t="s">
        <v>1460</v>
      </c>
      <c r="L720" s="1" t="s">
        <v>1461</v>
      </c>
      <c r="M720" s="1" t="n">
        <v>0</v>
      </c>
      <c r="N720" s="1"/>
      <c r="O720" s="1"/>
      <c r="P720" s="1"/>
      <c r="Q720" s="1"/>
      <c r="R720" s="1" t="s">
        <v>689</v>
      </c>
      <c r="S720" s="1" t="s">
        <v>856</v>
      </c>
      <c r="T720" s="1"/>
    </row>
    <row r="721" customFormat="false" ht="15" hidden="false" customHeight="true" outlineLevel="0" collapsed="false">
      <c r="A721" s="1" t="s">
        <v>1462</v>
      </c>
      <c r="B721" s="1" t="n">
        <v>1889</v>
      </c>
      <c r="C721" s="1" t="n">
        <v>10</v>
      </c>
      <c r="D721" s="1" t="s">
        <v>38</v>
      </c>
      <c r="E721" s="1"/>
      <c r="F721" s="1"/>
      <c r="G721" s="1" t="n">
        <v>160</v>
      </c>
      <c r="H721" s="2" t="n">
        <v>748000</v>
      </c>
      <c r="I721" s="2" t="n">
        <f aca="false">(((H721 / 800) / IF(ISBLANK(R721), 1000000, IF(ISNA(VLOOKUP(R721, Mileages!$A$2:$C$34, 2, 0)), R721, VLOOKUP(R721, Mileages!$A$2:$C$34, 2, 0)))) + (F721 * IF(ISBLANK(P721), 1, P721) * IF(ISBLANK(T721), 0, IF(ISNA(VLOOKUP(T721, 'Fuel Costs'!$A$2:$C$42, 2, 0)), T721, VLOOKUP(T721, 'Fuel Costs'!$A$2:$C$42, 2, 0))) / IF(ISBLANK(O721), 1, O721))) * 100</f>
        <v>0.07791666667</v>
      </c>
      <c r="J721" s="2" t="n">
        <f aca="false">((H721 / 800) / (IF(ISBLANK(S721), 100, IF(ISNA(VLOOKUP(S721, Lives!$A$2:$C$35, 2, 0)), S721, VLOOKUP(S721, Lives!$A$2:$C$35, 2, 0))) * 12) + (IF(ISBLANK(Q721), 0, IF(ISNA(VLOOKUP(Q721, Wages!$A$2:$C$17, 2, 0)), Q721, VLOOKUP(Q721, Wages!$A$2:$C$17, 2, 0))) * IF(ISBLANK(N721), 0, IF(ISNA(VLOOKUP(N721, Crews!$A$2:$C$28, 2, 0)), N721, VLOOKUP(N721, Crews!$A$2:$C$28, 2, 0))))) * 400</f>
        <v>5690.47619</v>
      </c>
      <c r="K721" s="1"/>
      <c r="L721" s="1" t="s">
        <v>1461</v>
      </c>
      <c r="M721" s="1" t="n">
        <v>1</v>
      </c>
      <c r="N721" s="1" t="s">
        <v>25</v>
      </c>
      <c r="O721" s="1"/>
      <c r="P721" s="1"/>
      <c r="Q721" s="1" t="s">
        <v>378</v>
      </c>
      <c r="R721" s="1" t="s">
        <v>689</v>
      </c>
      <c r="S721" s="1" t="s">
        <v>856</v>
      </c>
      <c r="T721" s="1"/>
    </row>
    <row r="722" customFormat="false" ht="15" hidden="false" customHeight="true" outlineLevel="0" collapsed="false">
      <c r="A722" s="1" t="s">
        <v>1463</v>
      </c>
      <c r="B722" s="1" t="n">
        <v>1889</v>
      </c>
      <c r="C722" s="1" t="n">
        <v>10</v>
      </c>
      <c r="D722" s="1" t="s">
        <v>38</v>
      </c>
      <c r="E722" s="1"/>
      <c r="F722" s="1"/>
      <c r="G722" s="1" t="n">
        <v>160</v>
      </c>
      <c r="H722" s="2" t="n">
        <v>748000</v>
      </c>
      <c r="I722" s="2" t="n">
        <f aca="false">(((H722 / 800) / IF(ISBLANK(R722), 1000000, IF(ISNA(VLOOKUP(R722, Mileages!$A$2:$C$34, 2, 0)), R722, VLOOKUP(R722, Mileages!$A$2:$C$34, 2, 0)))) + (F722 * IF(ISBLANK(P722), 1, P722) * IF(ISBLANK(T722), 0, IF(ISNA(VLOOKUP(T722, 'Fuel Costs'!$A$2:$C$42, 2, 0)), T722, VLOOKUP(T722, 'Fuel Costs'!$A$2:$C$42, 2, 0))) / IF(ISBLANK(O722), 1, O722))) * 100</f>
        <v>0.07791666667</v>
      </c>
      <c r="J722" s="2" t="n">
        <f aca="false">((H722 / 800) / (IF(ISBLANK(S722), 100, IF(ISNA(VLOOKUP(S722, Lives!$A$2:$C$35, 2, 0)), S722, VLOOKUP(S722, Lives!$A$2:$C$35, 2, 0))) * 12) + (IF(ISBLANK(Q722), 0, IF(ISNA(VLOOKUP(Q722, Wages!$A$2:$C$17, 2, 0)), Q722, VLOOKUP(Q722, Wages!$A$2:$C$17, 2, 0))) * IF(ISBLANK(N722), 0, IF(ISNA(VLOOKUP(N722, Crews!$A$2:$C$28, 2, 0)), N722, VLOOKUP(N722, Crews!$A$2:$C$28, 2, 0))))) * 400</f>
        <v>5690.47619</v>
      </c>
      <c r="K722" s="1"/>
      <c r="L722" s="1" t="s">
        <v>1461</v>
      </c>
      <c r="M722" s="1" t="n">
        <v>2</v>
      </c>
      <c r="N722" s="1" t="s">
        <v>25</v>
      </c>
      <c r="O722" s="1"/>
      <c r="P722" s="1"/>
      <c r="Q722" s="1" t="s">
        <v>378</v>
      </c>
      <c r="R722" s="1" t="s">
        <v>689</v>
      </c>
      <c r="S722" s="1" t="s">
        <v>856</v>
      </c>
      <c r="T722" s="1"/>
    </row>
    <row r="723" customFormat="false" ht="15" hidden="false" customHeight="true" outlineLevel="0" collapsed="false">
      <c r="A723" s="1" t="s">
        <v>1464</v>
      </c>
      <c r="B723" s="1" t="n">
        <v>1890</v>
      </c>
      <c r="C723" s="1" t="n">
        <v>2</v>
      </c>
      <c r="D723" s="1" t="s">
        <v>38</v>
      </c>
      <c r="E723" s="1" t="s">
        <v>274</v>
      </c>
      <c r="F723" s="1" t="n">
        <v>173</v>
      </c>
      <c r="G723" s="1" t="n">
        <v>95</v>
      </c>
      <c r="H723" s="2" t="n">
        <v>8500000</v>
      </c>
      <c r="I723" s="2" t="n">
        <f aca="false">(((H723 / 800) / IF(ISBLANK(R723), 1000000, IF(ISNA(VLOOKUP(R723, Mileages!$A$2:$C$34, 2, 0)), R723, VLOOKUP(R723, Mileages!$A$2:$C$34, 2, 0)))) + (F723 * IF(ISBLANK(P723), 1, P723) * IF(ISBLANK(T723), 0, IF(ISNA(VLOOKUP(T723, 'Fuel Costs'!$A$2:$C$42, 2, 0)), T723, VLOOKUP(T723, 'Fuel Costs'!$A$2:$C$42, 2, 0))) / IF(ISBLANK(O723), 1, O723))) * 100</f>
        <v>99.91964286</v>
      </c>
      <c r="J723" s="2" t="n">
        <f aca="false">((H723 / 800) / (IF(ISBLANK(S723), 100, IF(ISNA(VLOOKUP(S723, Lives!$A$2:$C$35, 2, 0)), S723, VLOOKUP(S723, Lives!$A$2:$C$35, 2, 0))) * 12) + (IF(ISBLANK(Q723), 0, IF(ISNA(VLOOKUP(Q723, Wages!$A$2:$C$17, 2, 0)), Q723, VLOOKUP(Q723, Wages!$A$2:$C$17, 2, 0))) * IF(ISBLANK(N723), 0, IF(ISNA(VLOOKUP(N723, Crews!$A$2:$C$28, 2, 0)), N723, VLOOKUP(N723, Crews!$A$2:$C$28, 2, 0))))) * 400</f>
        <v>23083.33333</v>
      </c>
      <c r="K723" s="3" t="s">
        <v>1465</v>
      </c>
      <c r="L723" s="1" t="s">
        <v>1466</v>
      </c>
      <c r="M723" s="1" t="n">
        <v>0</v>
      </c>
      <c r="N723" s="1" t="s">
        <v>283</v>
      </c>
      <c r="O723" s="1" t="n">
        <v>0.7</v>
      </c>
      <c r="P723" s="1"/>
      <c r="Q723" s="5" t="s">
        <v>284</v>
      </c>
      <c r="R723" s="1" t="s">
        <v>677</v>
      </c>
      <c r="S723" s="1" t="s">
        <v>677</v>
      </c>
      <c r="T723" s="1" t="s">
        <v>923</v>
      </c>
    </row>
    <row r="724" customFormat="false" ht="15" hidden="false" customHeight="true" outlineLevel="0" collapsed="false">
      <c r="A724" s="1" t="s">
        <v>1467</v>
      </c>
      <c r="B724" s="1" t="n">
        <v>1890</v>
      </c>
      <c r="C724" s="1" t="n">
        <v>4</v>
      </c>
      <c r="D724" s="1" t="s">
        <v>876</v>
      </c>
      <c r="E724" s="1" t="s">
        <v>1346</v>
      </c>
      <c r="F724" s="1" t="n">
        <v>23</v>
      </c>
      <c r="G724" s="1" t="n">
        <v>32</v>
      </c>
      <c r="H724" s="2" t="n">
        <v>170000</v>
      </c>
      <c r="I724" s="2" t="n">
        <f aca="false">(((H724 / 800) / IF(ISBLANK(R724), 1000000, IF(ISNA(VLOOKUP(R724, Mileages!$A$2:$C$34, 2, 0)), R724, VLOOKUP(R724, Mileages!$A$2:$C$34, 2, 0)))) + (F724 * IF(ISBLANK(P724), 1, P724) * IF(ISBLANK(T724), 0, IF(ISNA(VLOOKUP(T724, 'Fuel Costs'!$A$2:$C$42, 2, 0)), T724, VLOOKUP(T724, 'Fuel Costs'!$A$2:$C$42, 2, 0))) / IF(ISBLANK(O724), 1, O724))) * 100</f>
        <v>13.82125</v>
      </c>
      <c r="J724" s="2" t="n">
        <f aca="false">((H724 / 800) / (IF(ISBLANK(S724), 100, IF(ISNA(VLOOKUP(S724, Lives!$A$2:$C$35, 2, 0)), S724, VLOOKUP(S724, Lives!$A$2:$C$35, 2, 0))) * 12) + (IF(ISBLANK(Q724), 0, IF(ISNA(VLOOKUP(Q724, Wages!$A$2:$C$17, 2, 0)), Q724, VLOOKUP(Q724, Wages!$A$2:$C$17, 2, 0))) * IF(ISBLANK(N724), 0, IF(ISNA(VLOOKUP(N724, Crews!$A$2:$C$28, 2, 0)), N724, VLOOKUP(N724, Crews!$A$2:$C$28, 2, 0))))) * 400</f>
        <v>6141.666667</v>
      </c>
      <c r="K724" s="1" t="s">
        <v>1468</v>
      </c>
      <c r="L724" s="1" t="s">
        <v>1469</v>
      </c>
      <c r="M724" s="1" t="n">
        <v>0</v>
      </c>
      <c r="N724" s="1" t="s">
        <v>895</v>
      </c>
      <c r="O724" s="1"/>
      <c r="P724" s="1"/>
      <c r="Q724" s="1" t="s">
        <v>895</v>
      </c>
      <c r="R724" s="1" t="s">
        <v>1349</v>
      </c>
      <c r="S724" s="1" t="s">
        <v>1350</v>
      </c>
      <c r="T724" s="1" t="s">
        <v>1351</v>
      </c>
    </row>
    <row r="725" customFormat="false" ht="15" hidden="false" customHeight="true" outlineLevel="0" collapsed="false">
      <c r="A725" s="1" t="s">
        <v>1470</v>
      </c>
      <c r="B725" s="1" t="n">
        <v>1890</v>
      </c>
      <c r="C725" s="1" t="n">
        <v>4</v>
      </c>
      <c r="D725" s="1" t="s">
        <v>38</v>
      </c>
      <c r="E725" s="1" t="s">
        <v>274</v>
      </c>
      <c r="F725" s="1" t="n">
        <v>221</v>
      </c>
      <c r="G725" s="1" t="n">
        <v>85</v>
      </c>
      <c r="H725" s="2" t="n">
        <v>7616000</v>
      </c>
      <c r="I725" s="2" t="n">
        <f aca="false">(((H725 / 800) / IF(ISBLANK(R725), 1000000, IF(ISNA(VLOOKUP(R725, Mileages!$A$2:$C$34, 2, 0)), R725, VLOOKUP(R725, Mileages!$A$2:$C$34, 2, 0)))) + (F725 * IF(ISBLANK(P725), 1, P725) * IF(ISBLANK(T725), 0, IF(ISNA(VLOOKUP(T725, 'Fuel Costs'!$A$2:$C$42, 2, 0)), T725, VLOOKUP(T725, 'Fuel Costs'!$A$2:$C$42, 2, 0))) / IF(ISBLANK(O725), 1, O725))) * 100</f>
        <v>148.2853333</v>
      </c>
      <c r="J725" s="2" t="n">
        <f aca="false">((H725 / 800) / (IF(ISBLANK(S725), 100, IF(ISNA(VLOOKUP(S725, Lives!$A$2:$C$35, 2, 0)), S725, VLOOKUP(S725, Lives!$A$2:$C$35, 2, 0))) * 12) + (IF(ISBLANK(Q725), 0, IF(ISNA(VLOOKUP(Q725, Wages!$A$2:$C$17, 2, 0)), Q725, VLOOKUP(Q725, Wages!$A$2:$C$17, 2, 0))) * IF(ISBLANK(N725), 0, IF(ISNA(VLOOKUP(N725, Crews!$A$2:$C$28, 2, 0)), N725, VLOOKUP(N725, Crews!$A$2:$C$28, 2, 0))))) * 400</f>
        <v>30346.66667</v>
      </c>
      <c r="K725" s="3" t="s">
        <v>1471</v>
      </c>
      <c r="L725" s="1" t="s">
        <v>1472</v>
      </c>
      <c r="M725" s="1" t="n">
        <v>0</v>
      </c>
      <c r="N725" s="1" t="s">
        <v>590</v>
      </c>
      <c r="O725" s="1" t="n">
        <v>0.6</v>
      </c>
      <c r="P725" s="1"/>
      <c r="Q725" s="5" t="s">
        <v>284</v>
      </c>
      <c r="R725" s="1" t="s">
        <v>677</v>
      </c>
      <c r="S725" s="1" t="s">
        <v>677</v>
      </c>
      <c r="T725" s="1" t="s">
        <v>923</v>
      </c>
    </row>
    <row r="726" customFormat="false" ht="15" hidden="false" customHeight="true" outlineLevel="0" collapsed="false">
      <c r="A726" s="1" t="s">
        <v>1473</v>
      </c>
      <c r="B726" s="1" t="n">
        <v>1890</v>
      </c>
      <c r="C726" s="1" t="n">
        <v>7</v>
      </c>
      <c r="D726" s="1" t="s">
        <v>38</v>
      </c>
      <c r="E726" s="1"/>
      <c r="F726" s="1"/>
      <c r="G726" s="1" t="n">
        <v>160</v>
      </c>
      <c r="H726" s="2" t="n">
        <v>648000</v>
      </c>
      <c r="I726" s="2" t="n">
        <f aca="false">(((H726 / 800) / IF(ISBLANK(R726), 1000000, IF(ISNA(VLOOKUP(R726, Mileages!$A$2:$C$34, 2, 0)), R726, VLOOKUP(R726, Mileages!$A$2:$C$34, 2, 0)))) + (F726 * IF(ISBLANK(P726), 1, P726) * IF(ISBLANK(T726), 0, IF(ISNA(VLOOKUP(T726, 'Fuel Costs'!$A$2:$C$42, 2, 0)), T726, VLOOKUP(T726, 'Fuel Costs'!$A$2:$C$42, 2, 0))) / IF(ISBLANK(O726), 1, O726))) * 100</f>
        <v>0.0675</v>
      </c>
      <c r="J726" s="2" t="n">
        <f aca="false">((H726 / 800) / (IF(ISBLANK(S726), 100, IF(ISNA(VLOOKUP(S726, Lives!$A$2:$C$35, 2, 0)), S726, VLOOKUP(S726, Lives!$A$2:$C$35, 2, 0))) * 12) + (IF(ISBLANK(Q726), 0, IF(ISNA(VLOOKUP(Q726, Wages!$A$2:$C$17, 2, 0)), Q726, VLOOKUP(Q726, Wages!$A$2:$C$17, 2, 0))) * IF(ISBLANK(N726), 0, IF(ISNA(VLOOKUP(N726, Crews!$A$2:$C$28, 2, 0)), N726, VLOOKUP(N726, Crews!$A$2:$C$28, 2, 0))))) * 400</f>
        <v>771.4285714</v>
      </c>
      <c r="K726" s="1"/>
      <c r="L726" s="1" t="s">
        <v>1474</v>
      </c>
      <c r="M726" s="1" t="n">
        <v>0</v>
      </c>
      <c r="N726" s="1"/>
      <c r="O726" s="1"/>
      <c r="P726" s="1"/>
      <c r="Q726" s="1"/>
      <c r="R726" s="1" t="s">
        <v>689</v>
      </c>
      <c r="S726" s="1" t="s">
        <v>856</v>
      </c>
      <c r="T726" s="1"/>
    </row>
    <row r="727" customFormat="false" ht="15" hidden="false" customHeight="true" outlineLevel="0" collapsed="false">
      <c r="A727" s="1" t="s">
        <v>1475</v>
      </c>
      <c r="B727" s="1" t="n">
        <v>1890</v>
      </c>
      <c r="C727" s="1" t="n">
        <v>7</v>
      </c>
      <c r="D727" s="1" t="s">
        <v>38</v>
      </c>
      <c r="E727" s="1"/>
      <c r="F727" s="1"/>
      <c r="G727" s="1" t="n">
        <v>160</v>
      </c>
      <c r="H727" s="2" t="n">
        <v>648000</v>
      </c>
      <c r="I727" s="2" t="n">
        <f aca="false">(((H727 / 800) / IF(ISBLANK(R727), 1000000, IF(ISNA(VLOOKUP(R727, Mileages!$A$2:$C$34, 2, 0)), R727, VLOOKUP(R727, Mileages!$A$2:$C$34, 2, 0)))) + (F727 * IF(ISBLANK(P727), 1, P727) * IF(ISBLANK(T727), 0, IF(ISNA(VLOOKUP(T727, 'Fuel Costs'!$A$2:$C$42, 2, 0)), T727, VLOOKUP(T727, 'Fuel Costs'!$A$2:$C$42, 2, 0))) / IF(ISBLANK(O727), 1, O727))) * 100</f>
        <v>0.0675</v>
      </c>
      <c r="J727" s="2" t="n">
        <f aca="false">((H727 / 800) / (IF(ISBLANK(S727), 100, IF(ISNA(VLOOKUP(S727, Lives!$A$2:$C$35, 2, 0)), S727, VLOOKUP(S727, Lives!$A$2:$C$35, 2, 0))) * 12) + (IF(ISBLANK(Q727), 0, IF(ISNA(VLOOKUP(Q727, Wages!$A$2:$C$17, 2, 0)), Q727, VLOOKUP(Q727, Wages!$A$2:$C$17, 2, 0))) * IF(ISBLANK(N727), 0, IF(ISNA(VLOOKUP(N727, Crews!$A$2:$C$28, 2, 0)), N727, VLOOKUP(N727, Crews!$A$2:$C$28, 2, 0))))) * 400</f>
        <v>270</v>
      </c>
      <c r="K727" s="1"/>
      <c r="L727" s="1" t="s">
        <v>1476</v>
      </c>
      <c r="M727" s="1" t="n">
        <v>0</v>
      </c>
      <c r="N727" s="1"/>
      <c r="O727" s="1"/>
      <c r="P727" s="1"/>
      <c r="Q727" s="1"/>
      <c r="R727" s="1" t="s">
        <v>689</v>
      </c>
      <c r="S727" s="5" t="s">
        <v>389</v>
      </c>
      <c r="T727" s="1"/>
    </row>
    <row r="728" customFormat="false" ht="15" hidden="false" customHeight="true" outlineLevel="0" collapsed="false">
      <c r="A728" s="1" t="s">
        <v>1477</v>
      </c>
      <c r="B728" s="1" t="n">
        <v>1890</v>
      </c>
      <c r="C728" s="1" t="n">
        <v>7</v>
      </c>
      <c r="D728" s="1" t="s">
        <v>38</v>
      </c>
      <c r="E728" s="1"/>
      <c r="F728" s="1"/>
      <c r="G728" s="1" t="n">
        <v>160</v>
      </c>
      <c r="H728" s="2" t="n">
        <v>648000</v>
      </c>
      <c r="I728" s="2" t="n">
        <f aca="false">(((H728 / 800) / IF(ISBLANK(R728), 1000000, IF(ISNA(VLOOKUP(R728, Mileages!$A$2:$C$34, 2, 0)), R728, VLOOKUP(R728, Mileages!$A$2:$C$34, 2, 0)))) + (F728 * IF(ISBLANK(P728), 1, P728) * IF(ISBLANK(T728), 0, IF(ISNA(VLOOKUP(T728, 'Fuel Costs'!$A$2:$C$42, 2, 0)), T728, VLOOKUP(T728, 'Fuel Costs'!$A$2:$C$42, 2, 0))) / IF(ISBLANK(O728), 1, O728))) * 100</f>
        <v>0.0675</v>
      </c>
      <c r="J728" s="2" t="n">
        <f aca="false">((H728 / 800) / (IF(ISBLANK(S728), 100, IF(ISNA(VLOOKUP(S728, Lives!$A$2:$C$35, 2, 0)), S728, VLOOKUP(S728, Lives!$A$2:$C$35, 2, 0))) * 12) + (IF(ISBLANK(Q728), 0, IF(ISNA(VLOOKUP(Q728, Wages!$A$2:$C$17, 2, 0)), Q728, VLOOKUP(Q728, Wages!$A$2:$C$17, 2, 0))) * IF(ISBLANK(N728), 0, IF(ISNA(VLOOKUP(N728, Crews!$A$2:$C$28, 2, 0)), N728, VLOOKUP(N728, Crews!$A$2:$C$28, 2, 0))))) * 400</f>
        <v>5571.428571</v>
      </c>
      <c r="K728" s="1"/>
      <c r="L728" s="1" t="s">
        <v>1478</v>
      </c>
      <c r="M728" s="1" t="n">
        <v>0</v>
      </c>
      <c r="N728" s="1" t="s">
        <v>25</v>
      </c>
      <c r="O728" s="1"/>
      <c r="P728" s="1"/>
      <c r="Q728" s="1" t="s">
        <v>378</v>
      </c>
      <c r="R728" s="1" t="s">
        <v>689</v>
      </c>
      <c r="S728" s="1" t="s">
        <v>856</v>
      </c>
      <c r="T728" s="1"/>
    </row>
    <row r="729" customFormat="false" ht="15" hidden="false" customHeight="true" outlineLevel="0" collapsed="false">
      <c r="A729" s="1" t="s">
        <v>1479</v>
      </c>
      <c r="B729" s="1" t="n">
        <v>1890</v>
      </c>
      <c r="C729" s="1" t="n">
        <v>7</v>
      </c>
      <c r="D729" s="1" t="s">
        <v>38</v>
      </c>
      <c r="E729" s="1"/>
      <c r="F729" s="1"/>
      <c r="G729" s="1" t="n">
        <v>160</v>
      </c>
      <c r="H729" s="2" t="n">
        <v>731500</v>
      </c>
      <c r="I729" s="2" t="n">
        <f aca="false">(((H729 / 800) / IF(ISBLANK(R729), 1000000, IF(ISNA(VLOOKUP(R729, Mileages!$A$2:$C$34, 2, 0)), R729, VLOOKUP(R729, Mileages!$A$2:$C$34, 2, 0)))) + (F729 * IF(ISBLANK(P729), 1, P729) * IF(ISBLANK(T729), 0, IF(ISNA(VLOOKUP(T729, 'Fuel Costs'!$A$2:$C$42, 2, 0)), T729, VLOOKUP(T729, 'Fuel Costs'!$A$2:$C$42, 2, 0))) / IF(ISBLANK(O729), 1, O729))) * 100</f>
        <v>0.07619791667</v>
      </c>
      <c r="J729" s="2" t="n">
        <f aca="false">((H729 / 800) / (IF(ISBLANK(S729), 100, IF(ISNA(VLOOKUP(S729, Lives!$A$2:$C$35, 2, 0)), S729, VLOOKUP(S729, Lives!$A$2:$C$35, 2, 0))) * 12) + (IF(ISBLANK(Q729), 0, IF(ISNA(VLOOKUP(Q729, Wages!$A$2:$C$17, 2, 0)), Q729, VLOOKUP(Q729, Wages!$A$2:$C$17, 2, 0))) * IF(ISBLANK(N729), 0, IF(ISNA(VLOOKUP(N729, Crews!$A$2:$C$28, 2, 0)), N729, VLOOKUP(N729, Crews!$A$2:$C$28, 2, 0))))) * 400</f>
        <v>18870.83333</v>
      </c>
      <c r="K729" s="1"/>
      <c r="L729" s="1" t="s">
        <v>1480</v>
      </c>
      <c r="M729" s="1" t="n">
        <v>0</v>
      </c>
      <c r="N729" s="1" t="s">
        <v>1481</v>
      </c>
      <c r="O729" s="1"/>
      <c r="P729" s="1"/>
      <c r="Q729" s="1" t="s">
        <v>1481</v>
      </c>
      <c r="R729" s="1" t="s">
        <v>689</v>
      </c>
      <c r="S729" s="1" t="s">
        <v>856</v>
      </c>
      <c r="T729" s="1"/>
    </row>
    <row r="730" customFormat="false" ht="15" hidden="false" customHeight="true" outlineLevel="0" collapsed="false">
      <c r="A730" s="1" t="s">
        <v>1482</v>
      </c>
      <c r="B730" s="1" t="n">
        <v>1890</v>
      </c>
      <c r="C730" s="1" t="n">
        <v>7</v>
      </c>
      <c r="D730" s="1" t="s">
        <v>38</v>
      </c>
      <c r="E730" s="1"/>
      <c r="F730" s="1"/>
      <c r="G730" s="1" t="n">
        <v>160</v>
      </c>
      <c r="H730" s="2" t="n">
        <v>731500</v>
      </c>
      <c r="I730" s="2" t="n">
        <f aca="false">(((H730 / 800) / IF(ISBLANK(R730), 1000000, IF(ISNA(VLOOKUP(R730, Mileages!$A$2:$C$34, 2, 0)), R730, VLOOKUP(R730, Mileages!$A$2:$C$34, 2, 0)))) + (F730 * IF(ISBLANK(P730), 1, P730) * IF(ISBLANK(T730), 0, IF(ISNA(VLOOKUP(T730, 'Fuel Costs'!$A$2:$C$42, 2, 0)), T730, VLOOKUP(T730, 'Fuel Costs'!$A$2:$C$42, 2, 0))) / IF(ISBLANK(O730), 1, O730))) * 100</f>
        <v>0.07619791667</v>
      </c>
      <c r="J730" s="2" t="n">
        <f aca="false">((H730 / 800) / (IF(ISBLANK(S730), 100, IF(ISNA(VLOOKUP(S730, Lives!$A$2:$C$35, 2, 0)), S730, VLOOKUP(S730, Lives!$A$2:$C$35, 2, 0))) * 12) + (IF(ISBLANK(Q730), 0, IF(ISNA(VLOOKUP(Q730, Wages!$A$2:$C$17, 2, 0)), Q730, VLOOKUP(Q730, Wages!$A$2:$C$17, 2, 0))) * IF(ISBLANK(N730), 0, IF(ISNA(VLOOKUP(N730, Crews!$A$2:$C$28, 2, 0)), N730, VLOOKUP(N730, Crews!$A$2:$C$28, 2, 0))))) * 400</f>
        <v>24304.79167</v>
      </c>
      <c r="K730" s="1"/>
      <c r="L730" s="1" t="s">
        <v>1483</v>
      </c>
      <c r="M730" s="1" t="n">
        <v>0</v>
      </c>
      <c r="N730" s="1" t="s">
        <v>551</v>
      </c>
      <c r="O730" s="1"/>
      <c r="P730" s="1"/>
      <c r="Q730" s="1" t="s">
        <v>551</v>
      </c>
      <c r="R730" s="1" t="s">
        <v>689</v>
      </c>
      <c r="S730" s="1" t="s">
        <v>389</v>
      </c>
      <c r="T730" s="1"/>
    </row>
    <row r="731" customFormat="false" ht="15" hidden="false" customHeight="true" outlineLevel="0" collapsed="false">
      <c r="A731" s="1" t="s">
        <v>1484</v>
      </c>
      <c r="B731" s="1" t="n">
        <v>1890</v>
      </c>
      <c r="C731" s="1" t="n">
        <v>7</v>
      </c>
      <c r="D731" s="1" t="s">
        <v>38</v>
      </c>
      <c r="E731" s="1"/>
      <c r="F731" s="1"/>
      <c r="G731" s="1" t="n">
        <v>160</v>
      </c>
      <c r="H731" s="2" t="n">
        <v>648000</v>
      </c>
      <c r="I731" s="2" t="n">
        <f aca="false">(((H731 / 800) / IF(ISBLANK(R731), 1000000, IF(ISNA(VLOOKUP(R731, Mileages!$A$2:$C$34, 2, 0)), R731, VLOOKUP(R731, Mileages!$A$2:$C$34, 2, 0)))) + (F731 * IF(ISBLANK(P731), 1, P731) * IF(ISBLANK(T731), 0, IF(ISNA(VLOOKUP(T731, 'Fuel Costs'!$A$2:$C$42, 2, 0)), T731, VLOOKUP(T731, 'Fuel Costs'!$A$2:$C$42, 2, 0))) / IF(ISBLANK(O731), 1, O731))) * 100</f>
        <v>0.0675</v>
      </c>
      <c r="J731" s="2" t="n">
        <f aca="false">((H731 / 800) / (IF(ISBLANK(S731), 100, IF(ISNA(VLOOKUP(S731, Lives!$A$2:$C$35, 2, 0)), S731, VLOOKUP(S731, Lives!$A$2:$C$35, 2, 0))) * 12) + (IF(ISBLANK(Q731), 0, IF(ISNA(VLOOKUP(Q731, Wages!$A$2:$C$17, 2, 0)), Q731, VLOOKUP(Q731, Wages!$A$2:$C$17, 2, 0))) * IF(ISBLANK(N731), 0, IF(ISNA(VLOOKUP(N731, Crews!$A$2:$C$28, 2, 0)), N731, VLOOKUP(N731, Crews!$A$2:$C$28, 2, 0))))) * 400</f>
        <v>5571.428571</v>
      </c>
      <c r="K731" s="1"/>
      <c r="L731" s="1" t="s">
        <v>1485</v>
      </c>
      <c r="M731" s="1" t="n">
        <v>0</v>
      </c>
      <c r="N731" s="1" t="s">
        <v>25</v>
      </c>
      <c r="O731" s="1"/>
      <c r="P731" s="1"/>
      <c r="Q731" s="1" t="s">
        <v>378</v>
      </c>
      <c r="R731" s="1" t="s">
        <v>689</v>
      </c>
      <c r="S731" s="1" t="s">
        <v>856</v>
      </c>
      <c r="T731" s="1"/>
    </row>
    <row r="732" customFormat="false" ht="15" hidden="false" customHeight="true" outlineLevel="0" collapsed="false">
      <c r="A732" s="1" t="s">
        <v>1486</v>
      </c>
      <c r="B732" s="1" t="n">
        <v>1890</v>
      </c>
      <c r="C732" s="1" t="n">
        <v>11</v>
      </c>
      <c r="D732" s="1" t="s">
        <v>38</v>
      </c>
      <c r="E732" s="1" t="s">
        <v>1346</v>
      </c>
      <c r="F732" s="1" t="n">
        <v>85</v>
      </c>
      <c r="G732" s="1" t="n">
        <v>40</v>
      </c>
      <c r="H732" s="2" t="n">
        <v>650000</v>
      </c>
      <c r="I732" s="2" t="n">
        <f aca="false">(((H732 / 800) / IF(ISBLANK(R732), 1000000, IF(ISNA(VLOOKUP(R732, Mileages!$A$2:$C$34, 2, 0)), R732, VLOOKUP(R732, Mileages!$A$2:$C$34, 2, 0)))) + (F732 * IF(ISBLANK(P732), 1, P732) * IF(ISBLANK(T732), 0, IF(ISNA(VLOOKUP(T732, 'Fuel Costs'!$A$2:$C$42, 2, 0)), T732, VLOOKUP(T732, 'Fuel Costs'!$A$2:$C$42, 2, 0))) / IF(ISBLANK(O732), 1, O732))) * 100</f>
        <v>51.10833333</v>
      </c>
      <c r="J732" s="2" t="n">
        <f aca="false">((H732 / 800) / (IF(ISBLANK(S732), 100, IF(ISNA(VLOOKUP(S732, Lives!$A$2:$C$35, 2, 0)), S732, VLOOKUP(S732, Lives!$A$2:$C$35, 2, 0))) * 12) + (IF(ISBLANK(Q732), 0, IF(ISNA(VLOOKUP(Q732, Wages!$A$2:$C$17, 2, 0)), Q732, VLOOKUP(Q732, Wages!$A$2:$C$17, 2, 0))) * IF(ISBLANK(N732), 0, IF(ISNA(VLOOKUP(N732, Crews!$A$2:$C$28, 2, 0)), N732, VLOOKUP(N732, Crews!$A$2:$C$28, 2, 0))))) * 400</f>
        <v>10677.08333</v>
      </c>
      <c r="K732" s="1"/>
      <c r="L732" s="1" t="s">
        <v>1487</v>
      </c>
      <c r="M732" s="1" t="n">
        <v>0</v>
      </c>
      <c r="N732" s="1" t="s">
        <v>1488</v>
      </c>
      <c r="O732" s="1" t="n">
        <v>1</v>
      </c>
      <c r="P732" s="1"/>
      <c r="Q732" s="1" t="str">
        <f aca="false">IF(ISBLANK('Pak128 Britain In'!$N732),,'Pak128 Britain In'!$N732)</f>
        <v>ElectricDriverRail</v>
      </c>
      <c r="R732" s="1" t="s">
        <v>1489</v>
      </c>
      <c r="S732" s="1" t="s">
        <v>1489</v>
      </c>
      <c r="T732" s="1" t="s">
        <v>1351</v>
      </c>
    </row>
    <row r="733" customFormat="false" ht="15" hidden="false" customHeight="true" outlineLevel="0" collapsed="false">
      <c r="A733" s="1" t="s">
        <v>1490</v>
      </c>
      <c r="B733" s="1" t="n">
        <v>1890</v>
      </c>
      <c r="C733" s="1" t="n">
        <v>11</v>
      </c>
      <c r="D733" s="1" t="s">
        <v>38</v>
      </c>
      <c r="E733" s="1"/>
      <c r="F733" s="1"/>
      <c r="G733" s="1" t="n">
        <v>40</v>
      </c>
      <c r="H733" s="2" t="n">
        <v>350000</v>
      </c>
      <c r="I733" s="2" t="n">
        <f aca="false">(((H733 / 800) / IF(ISBLANK(R733), 1000000, IF(ISNA(VLOOKUP(R733, Mileages!$A$2:$C$34, 2, 0)), R733, VLOOKUP(R733, Mileages!$A$2:$C$34, 2, 0)))) + (F733 * IF(ISBLANK(P733), 1, P733) * IF(ISBLANK(T733), 0, IF(ISNA(VLOOKUP(T733, 'Fuel Costs'!$A$2:$C$42, 2, 0)), T733, VLOOKUP(T733, 'Fuel Costs'!$A$2:$C$42, 2, 0))) / IF(ISBLANK(O733), 1, O733))) * 100</f>
        <v>0.03645833333</v>
      </c>
      <c r="J733" s="2" t="n">
        <f aca="false">((H733 / 800) / (IF(ISBLANK(S733), 100, IF(ISNA(VLOOKUP(S733, Lives!$A$2:$C$35, 2, 0)), S733, VLOOKUP(S733, Lives!$A$2:$C$35, 2, 0))) * 12) + (IF(ISBLANK(Q733), 0, IF(ISNA(VLOOKUP(Q733, Wages!$A$2:$C$17, 2, 0)), Q733, VLOOKUP(Q733, Wages!$A$2:$C$17, 2, 0))) * IF(ISBLANK(N733), 0, IF(ISNA(VLOOKUP(N733, Crews!$A$2:$C$28, 2, 0)), N733, VLOOKUP(N733, Crews!$A$2:$C$28, 2, 0))))) * 400</f>
        <v>416.6666667</v>
      </c>
      <c r="K733" s="3" t="s">
        <v>1491</v>
      </c>
      <c r="L733" s="1" t="s">
        <v>1487</v>
      </c>
      <c r="M733" s="1" t="n">
        <v>1</v>
      </c>
      <c r="N733" s="1"/>
      <c r="O733" s="1"/>
      <c r="P733" s="1"/>
      <c r="Q733" s="1"/>
      <c r="R733" s="1" t="s">
        <v>689</v>
      </c>
      <c r="S733" s="1" t="s">
        <v>856</v>
      </c>
      <c r="T733" s="1"/>
    </row>
    <row r="734" customFormat="false" ht="15" hidden="false" customHeight="true" outlineLevel="0" collapsed="false">
      <c r="A734" s="1" t="s">
        <v>1492</v>
      </c>
      <c r="B734" s="1" t="n">
        <v>1891</v>
      </c>
      <c r="C734" s="1" t="n">
        <v>1</v>
      </c>
      <c r="D734" s="1" t="s">
        <v>38</v>
      </c>
      <c r="E734" s="1"/>
      <c r="F734" s="1"/>
      <c r="G734" s="1" t="n">
        <v>150</v>
      </c>
      <c r="H734" s="2" t="n">
        <v>320000</v>
      </c>
      <c r="I734" s="2" t="n">
        <f aca="false">(((H734 / 800) / IF(ISBLANK(R734), 1000000, IF(ISNA(VLOOKUP(R734, Mileages!$A$2:$C$34, 2, 0)), R734, VLOOKUP(R734, Mileages!$A$2:$C$34, 2, 0)))) + (F734 * IF(ISBLANK(P734), 1, P734) * IF(ISBLANK(T734), 0, IF(ISNA(VLOOKUP(T734, 'Fuel Costs'!$A$2:$C$42, 2, 0)), T734, VLOOKUP(T734, 'Fuel Costs'!$A$2:$C$42, 2, 0))) / IF(ISBLANK(O734), 1, O734))) * 100</f>
        <v>0.03333333333</v>
      </c>
      <c r="J734" s="2" t="n">
        <f aca="false">((H734 / 800) / (IF(ISBLANK(S734), 100, IF(ISNA(VLOOKUP(S734, Lives!$A$2:$C$35, 2, 0)), S734, VLOOKUP(S734, Lives!$A$2:$C$35, 2, 0))) * 12) + (IF(ISBLANK(Q734), 0, IF(ISNA(VLOOKUP(Q734, Wages!$A$2:$C$17, 2, 0)), Q734, VLOOKUP(Q734, Wages!$A$2:$C$17, 2, 0))) * IF(ISBLANK(N734), 0, IF(ISNA(VLOOKUP(N734, Crews!$A$2:$C$28, 2, 0)), N734, VLOOKUP(N734, Crews!$A$2:$C$28, 2, 0))))) * 400</f>
        <v>380.952381</v>
      </c>
      <c r="K734" s="3" t="s">
        <v>1493</v>
      </c>
      <c r="L734" s="1" t="s">
        <v>1494</v>
      </c>
      <c r="M734" s="1" t="n">
        <v>0</v>
      </c>
      <c r="N734" s="1"/>
      <c r="O734" s="1"/>
      <c r="P734" s="1"/>
      <c r="Q734" s="1"/>
      <c r="R734" s="1" t="s">
        <v>689</v>
      </c>
      <c r="S734" s="1" t="s">
        <v>856</v>
      </c>
      <c r="T734" s="1"/>
    </row>
    <row r="735" customFormat="false" ht="15" hidden="false" customHeight="true" outlineLevel="0" collapsed="false">
      <c r="A735" s="1" t="s">
        <v>1495</v>
      </c>
      <c r="B735" s="1" t="n">
        <v>1891</v>
      </c>
      <c r="C735" s="1" t="n">
        <v>1</v>
      </c>
      <c r="D735" s="1" t="s">
        <v>38</v>
      </c>
      <c r="E735" s="1"/>
      <c r="F735" s="1"/>
      <c r="G735" s="1" t="n">
        <v>150</v>
      </c>
      <c r="H735" s="2" t="n">
        <v>300000</v>
      </c>
      <c r="I735" s="2" t="n">
        <f aca="false">(((H735 / 800) / IF(ISBLANK(R735), 1000000, IF(ISNA(VLOOKUP(R735, Mileages!$A$2:$C$34, 2, 0)), R735, VLOOKUP(R735, Mileages!$A$2:$C$34, 2, 0)))) + (F735 * IF(ISBLANK(P735), 1, P735) * IF(ISBLANK(T735), 0, IF(ISNA(VLOOKUP(T735, 'Fuel Costs'!$A$2:$C$42, 2, 0)), T735, VLOOKUP(T735, 'Fuel Costs'!$A$2:$C$42, 2, 0))) / IF(ISBLANK(O735), 1, O735))) * 100</f>
        <v>0.03125</v>
      </c>
      <c r="J735" s="2" t="n">
        <f aca="false">((H735 / 800) / (IF(ISBLANK(S735), 100, IF(ISNA(VLOOKUP(S735, Lives!$A$2:$C$35, 2, 0)), S735, VLOOKUP(S735, Lives!$A$2:$C$35, 2, 0))) * 12) + (IF(ISBLANK(Q735), 0, IF(ISNA(VLOOKUP(Q735, Wages!$A$2:$C$17, 2, 0)), Q735, VLOOKUP(Q735, Wages!$A$2:$C$17, 2, 0))) * IF(ISBLANK(N735), 0, IF(ISNA(VLOOKUP(N735, Crews!$A$2:$C$28, 2, 0)), N735, VLOOKUP(N735, Crews!$A$2:$C$28, 2, 0))))) * 400</f>
        <v>5157.142857</v>
      </c>
      <c r="K735" s="3" t="s">
        <v>1493</v>
      </c>
      <c r="L735" s="1" t="s">
        <v>1494</v>
      </c>
      <c r="M735" s="1" t="n">
        <v>1</v>
      </c>
      <c r="N735" s="1" t="s">
        <v>25</v>
      </c>
      <c r="O735" s="1"/>
      <c r="P735" s="1"/>
      <c r="Q735" s="1" t="s">
        <v>378</v>
      </c>
      <c r="R735" s="1" t="s">
        <v>689</v>
      </c>
      <c r="S735" s="1" t="s">
        <v>856</v>
      </c>
      <c r="T735" s="1"/>
    </row>
    <row r="736" customFormat="false" ht="15" hidden="false" customHeight="true" outlineLevel="0" collapsed="false">
      <c r="A736" s="1" t="s">
        <v>1496</v>
      </c>
      <c r="B736" s="1" t="n">
        <v>1891</v>
      </c>
      <c r="C736" s="1" t="n">
        <v>1</v>
      </c>
      <c r="D736" s="1" t="s">
        <v>38</v>
      </c>
      <c r="E736" s="1" t="s">
        <v>274</v>
      </c>
      <c r="F736" s="1" t="n">
        <v>211</v>
      </c>
      <c r="G736" s="1" t="n">
        <v>85</v>
      </c>
      <c r="H736" s="2" t="n">
        <v>3651000</v>
      </c>
      <c r="I736" s="2" t="n">
        <f aca="false">(((H736 / 800) / IF(ISBLANK(R736), 1000000, IF(ISNA(VLOOKUP(R736, Mileages!$A$2:$C$34, 2, 0)), R736, VLOOKUP(R736, Mileages!$A$2:$C$34, 2, 0)))) + (F736 * IF(ISBLANK(P736), 1, P736) * IF(ISBLANK(T736), 0, IF(ISNA(VLOOKUP(T736, 'Fuel Costs'!$A$2:$C$42, 2, 0)), T736, VLOOKUP(T736, 'Fuel Costs'!$A$2:$C$42, 2, 0))) / IF(ISBLANK(O736), 1, O736))) * 100</f>
        <v>141.1230417</v>
      </c>
      <c r="J736" s="2" t="n">
        <f aca="false">((H736 / 800) / (IF(ISBLANK(S736), 100, IF(ISNA(VLOOKUP(S736, Lives!$A$2:$C$35, 2, 0)), S736, VLOOKUP(S736, Lives!$A$2:$C$35, 2, 0))) * 12) + (IF(ISBLANK(Q736), 0, IF(ISNA(VLOOKUP(Q736, Wages!$A$2:$C$17, 2, 0)), Q736, VLOOKUP(Q736, Wages!$A$2:$C$17, 2, 0))) * IF(ISBLANK(N736), 0, IF(ISNA(VLOOKUP(N736, Crews!$A$2:$C$28, 2, 0)), N736, VLOOKUP(N736, Crews!$A$2:$C$28, 2, 0))))) * 400</f>
        <v>27042.5</v>
      </c>
      <c r="K736" s="3" t="s">
        <v>1497</v>
      </c>
      <c r="L736" s="1" t="s">
        <v>1498</v>
      </c>
      <c r="M736" s="1" t="n">
        <v>0</v>
      </c>
      <c r="N736" s="1" t="s">
        <v>590</v>
      </c>
      <c r="O736" s="1" t="n">
        <v>0.6</v>
      </c>
      <c r="P736" s="1"/>
      <c r="Q736" s="5" t="s">
        <v>284</v>
      </c>
      <c r="R736" s="1" t="s">
        <v>677</v>
      </c>
      <c r="S736" s="1" t="s">
        <v>677</v>
      </c>
      <c r="T736" s="1" t="s">
        <v>923</v>
      </c>
    </row>
    <row r="737" customFormat="false" ht="15" hidden="false" customHeight="true" outlineLevel="0" collapsed="false">
      <c r="A737" s="1" t="s">
        <v>1499</v>
      </c>
      <c r="B737" s="1" t="n">
        <v>1891</v>
      </c>
      <c r="C737" s="1" t="n">
        <v>4</v>
      </c>
      <c r="D737" s="1" t="s">
        <v>38</v>
      </c>
      <c r="E737" s="1" t="s">
        <v>274</v>
      </c>
      <c r="F737" s="1" t="n">
        <v>216</v>
      </c>
      <c r="G737" s="1" t="n">
        <v>89</v>
      </c>
      <c r="H737" s="2" t="n">
        <v>8950000</v>
      </c>
      <c r="I737" s="2" t="n">
        <f aca="false">(((H737 / 800) / IF(ISBLANK(R737), 1000000, IF(ISNA(VLOOKUP(R737, Mileages!$A$2:$C$34, 2, 0)), R737, VLOOKUP(R737, Mileages!$A$2:$C$34, 2, 0)))) + (F737 * IF(ISBLANK(P737), 1, P737) * IF(ISBLANK(T737), 0, IF(ISNA(VLOOKUP(T737, 'Fuel Costs'!$A$2:$C$42, 2, 0)), T737, VLOOKUP(T737, 'Fuel Costs'!$A$2:$C$42, 2, 0))) / IF(ISBLANK(O737), 1, O737))) * 100</f>
        <v>145.11875</v>
      </c>
      <c r="J737" s="2" t="n">
        <f aca="false">((H737 / 800) / (IF(ISBLANK(S737), 100, IF(ISNA(VLOOKUP(S737, Lives!$A$2:$C$35, 2, 0)), S737, VLOOKUP(S737, Lives!$A$2:$C$35, 2, 0))) * 12) + (IF(ISBLANK(Q737), 0, IF(ISNA(VLOOKUP(Q737, Wages!$A$2:$C$17, 2, 0)), Q737, VLOOKUP(Q737, Wages!$A$2:$C$17, 2, 0))) * IF(ISBLANK(N737), 0, IF(ISNA(VLOOKUP(N737, Crews!$A$2:$C$28, 2, 0)), N737, VLOOKUP(N737, Crews!$A$2:$C$28, 2, 0))))) * 400</f>
        <v>31458.33333</v>
      </c>
      <c r="K737" s="3" t="s">
        <v>1500</v>
      </c>
      <c r="L737" s="1" t="s">
        <v>1501</v>
      </c>
      <c r="M737" s="1" t="n">
        <v>0</v>
      </c>
      <c r="N737" s="1" t="s">
        <v>590</v>
      </c>
      <c r="O737" s="1" t="n">
        <v>0.6</v>
      </c>
      <c r="P737" s="1"/>
      <c r="Q737" s="5" t="s">
        <v>284</v>
      </c>
      <c r="R737" s="1" t="s">
        <v>677</v>
      </c>
      <c r="S737" s="1" t="s">
        <v>677</v>
      </c>
      <c r="T737" s="1" t="s">
        <v>923</v>
      </c>
    </row>
    <row r="738" customFormat="false" ht="15" hidden="false" customHeight="true" outlineLevel="0" collapsed="false">
      <c r="A738" s="1" t="s">
        <v>1502</v>
      </c>
      <c r="B738" s="1" t="n">
        <v>1892</v>
      </c>
      <c r="C738" s="1" t="n">
        <v>5</v>
      </c>
      <c r="D738" s="1" t="s">
        <v>38</v>
      </c>
      <c r="E738" s="1" t="s">
        <v>274</v>
      </c>
      <c r="F738" s="1" t="n">
        <v>208</v>
      </c>
      <c r="G738" s="1" t="n">
        <v>95</v>
      </c>
      <c r="H738" s="2" t="n">
        <v>3790000</v>
      </c>
      <c r="I738" s="2" t="n">
        <f aca="false">(((H738 / 800) / IF(ISBLANK(R738), 1000000, IF(ISNA(VLOOKUP(R738, Mileages!$A$2:$C$34, 2, 0)), R738, VLOOKUP(R738, Mileages!$A$2:$C$34, 2, 0)))) + (F738 * IF(ISBLANK(P738), 1, P738) * IF(ISBLANK(T738), 0, IF(ISNA(VLOOKUP(T738, 'Fuel Costs'!$A$2:$C$42, 2, 0)), T738, VLOOKUP(T738, 'Fuel Costs'!$A$2:$C$42, 2, 0))) / IF(ISBLANK(O738), 1, O738))) * 100</f>
        <v>139.1404167</v>
      </c>
      <c r="J738" s="2" t="n">
        <f aca="false">((H738 / 800) / (IF(ISBLANK(S738), 100, IF(ISNA(VLOOKUP(S738, Lives!$A$2:$C$35, 2, 0)), S738, VLOOKUP(S738, Lives!$A$2:$C$35, 2, 0))) * 12) + (IF(ISBLANK(Q738), 0, IF(ISNA(VLOOKUP(Q738, Wages!$A$2:$C$17, 2, 0)), Q738, VLOOKUP(Q738, Wages!$A$2:$C$17, 2, 0))) * IF(ISBLANK(N738), 0, IF(ISNA(VLOOKUP(N738, Crews!$A$2:$C$28, 2, 0)), N738, VLOOKUP(N738, Crews!$A$2:$C$28, 2, 0))))) * 400</f>
        <v>27158.33333</v>
      </c>
      <c r="K738" s="3" t="s">
        <v>1503</v>
      </c>
      <c r="L738" s="1" t="s">
        <v>1504</v>
      </c>
      <c r="M738" s="1" t="n">
        <v>0</v>
      </c>
      <c r="N738" s="1" t="s">
        <v>590</v>
      </c>
      <c r="O738" s="1" t="n">
        <v>0.6</v>
      </c>
      <c r="P738" s="1"/>
      <c r="Q738" s="5" t="s">
        <v>284</v>
      </c>
      <c r="R738" s="1" t="s">
        <v>677</v>
      </c>
      <c r="S738" s="1" t="s">
        <v>677</v>
      </c>
      <c r="T738" s="1" t="s">
        <v>923</v>
      </c>
    </row>
    <row r="739" customFormat="false" ht="15" hidden="false" customHeight="true" outlineLevel="0" collapsed="false">
      <c r="A739" s="1" t="s">
        <v>1505</v>
      </c>
      <c r="B739" s="1" t="n">
        <v>1893</v>
      </c>
      <c r="C739" s="1" t="n">
        <v>2</v>
      </c>
      <c r="D739" s="1" t="s">
        <v>38</v>
      </c>
      <c r="E739" s="1" t="s">
        <v>274</v>
      </c>
      <c r="F739" s="1" t="n">
        <v>223</v>
      </c>
      <c r="G739" s="1" t="n">
        <v>100</v>
      </c>
      <c r="H739" s="2" t="n">
        <v>3020000</v>
      </c>
      <c r="I739" s="2" t="n">
        <f aca="false">(((H739 / 800) / IF(ISBLANK(R739), 1000000, IF(ISNA(VLOOKUP(R739, Mileages!$A$2:$C$34, 2, 0)), R739, VLOOKUP(R739, Mileages!$A$2:$C$34, 2, 0)))) + (F739 * IF(ISBLANK(P739), 1, P739) * IF(ISBLANK(T739), 0, IF(ISNA(VLOOKUP(T739, 'Fuel Costs'!$A$2:$C$42, 2, 0)), T739, VLOOKUP(T739, 'Fuel Costs'!$A$2:$C$42, 2, 0))) / IF(ISBLANK(O739), 1, O739))) * 100</f>
        <v>149.0441667</v>
      </c>
      <c r="J739" s="2" t="n">
        <f aca="false">((H739 / 800) / (IF(ISBLANK(S739), 100, IF(ISNA(VLOOKUP(S739, Lives!$A$2:$C$35, 2, 0)), S739, VLOOKUP(S739, Lives!$A$2:$C$35, 2, 0))) * 12) + (IF(ISBLANK(Q739), 0, IF(ISNA(VLOOKUP(Q739, Wages!$A$2:$C$17, 2, 0)), Q739, VLOOKUP(Q739, Wages!$A$2:$C$17, 2, 0))) * IF(ISBLANK(N739), 0, IF(ISNA(VLOOKUP(N739, Crews!$A$2:$C$28, 2, 0)), N739, VLOOKUP(N739, Crews!$A$2:$C$28, 2, 0))))) * 400</f>
        <v>26516.66667</v>
      </c>
      <c r="K739" s="3" t="s">
        <v>1506</v>
      </c>
      <c r="L739" s="1" t="s">
        <v>1507</v>
      </c>
      <c r="M739" s="1" t="n">
        <v>0</v>
      </c>
      <c r="N739" s="1" t="s">
        <v>590</v>
      </c>
      <c r="O739" s="1" t="n">
        <v>0.6</v>
      </c>
      <c r="P739" s="1"/>
      <c r="Q739" s="5" t="s">
        <v>284</v>
      </c>
      <c r="R739" s="1" t="s">
        <v>677</v>
      </c>
      <c r="S739" s="1" t="s">
        <v>677</v>
      </c>
      <c r="T739" s="1" t="s">
        <v>923</v>
      </c>
    </row>
    <row r="740" customFormat="false" ht="15" hidden="false" customHeight="true" outlineLevel="0" collapsed="false">
      <c r="A740" s="1" t="s">
        <v>1508</v>
      </c>
      <c r="B740" s="1" t="n">
        <v>1893</v>
      </c>
      <c r="C740" s="1" t="n">
        <v>2</v>
      </c>
      <c r="D740" s="1" t="s">
        <v>38</v>
      </c>
      <c r="E740" s="1" t="s">
        <v>274</v>
      </c>
      <c r="F740" s="1"/>
      <c r="G740" s="1" t="n">
        <v>100</v>
      </c>
      <c r="H740" s="2" t="n">
        <v>0</v>
      </c>
      <c r="I740" s="2" t="n">
        <f aca="false">(((H740 / 800) / IF(ISBLANK(R740), 1000000, IF(ISNA(VLOOKUP(R740, Mileages!$A$2:$C$34, 2, 0)), R740, VLOOKUP(R740, Mileages!$A$2:$C$34, 2, 0)))) + (F740 * IF(ISBLANK(P740), 1, P740) * IF(ISBLANK(T740), 0, IF(ISNA(VLOOKUP(T740, 'Fuel Costs'!$A$2:$C$42, 2, 0)), T740, VLOOKUP(T740, 'Fuel Costs'!$A$2:$C$42, 2, 0))) / IF(ISBLANK(O740), 1, O740))) * 100</f>
        <v>0</v>
      </c>
      <c r="J740" s="2" t="n">
        <f aca="false">((H740 / 800) / (IF(ISBLANK(S740), 100, IF(ISNA(VLOOKUP(S740, Lives!$A$2:$C$35, 2, 0)), S740, VLOOKUP(S740, Lives!$A$2:$C$35, 2, 0))) * 12) + (IF(ISBLANK(Q740), 0, IF(ISNA(VLOOKUP(Q740, Wages!$A$2:$C$17, 2, 0)), Q740, VLOOKUP(Q740, Wages!$A$2:$C$17, 2, 0))) * IF(ISBLANK(N740), 0, IF(ISNA(VLOOKUP(N740, Crews!$A$2:$C$28, 2, 0)), N740, VLOOKUP(N740, Crews!$A$2:$C$28, 2, 0))))) * 400</f>
        <v>0</v>
      </c>
      <c r="K740" s="1"/>
      <c r="L740" s="1" t="s">
        <v>1507</v>
      </c>
      <c r="M740" s="1" t="n">
        <v>1</v>
      </c>
      <c r="N740" s="1"/>
      <c r="O740" s="1"/>
      <c r="P740" s="1"/>
      <c r="Q740" s="1"/>
      <c r="R740" s="1"/>
      <c r="S740" s="1"/>
      <c r="T740" s="1"/>
    </row>
    <row r="741" customFormat="false" ht="15" hidden="false" customHeight="true" outlineLevel="0" collapsed="false">
      <c r="A741" s="1" t="s">
        <v>1509</v>
      </c>
      <c r="B741" s="1" t="n">
        <v>1893</v>
      </c>
      <c r="C741" s="1" t="n">
        <v>3</v>
      </c>
      <c r="D741" s="1" t="s">
        <v>38</v>
      </c>
      <c r="E741" s="1" t="s">
        <v>1346</v>
      </c>
      <c r="F741" s="1" t="n">
        <v>52</v>
      </c>
      <c r="G741" s="1" t="n">
        <v>60</v>
      </c>
      <c r="H741" s="2" t="n">
        <v>151200</v>
      </c>
      <c r="I741" s="2" t="n">
        <f aca="false">(((H741 / 800) / IF(ISBLANK(R741), 1000000, IF(ISNA(VLOOKUP(R741, Mileages!$A$2:$C$34, 2, 0)), R741, VLOOKUP(R741, Mileages!$A$2:$C$34, 2, 0)))) + (F741 * IF(ISBLANK(P741), 1, P741) * IF(ISBLANK(T741), 0, IF(ISNA(VLOOKUP(T741, 'Fuel Costs'!$A$2:$C$42, 2, 0)), T741, VLOOKUP(T741, 'Fuel Costs'!$A$2:$C$42, 2, 0))) / IF(ISBLANK(O741), 1, O741))) * 100</f>
        <v>31.2252</v>
      </c>
      <c r="J741" s="2" t="n">
        <f aca="false">((H741 / 800) / (IF(ISBLANK(S741), 100, IF(ISNA(VLOOKUP(S741, Lives!$A$2:$C$35, 2, 0)), S741, VLOOKUP(S741, Lives!$A$2:$C$35, 2, 0))) * 12) + (IF(ISBLANK(Q741), 0, IF(ISNA(VLOOKUP(Q741, Wages!$A$2:$C$17, 2, 0)), Q741, VLOOKUP(Q741, Wages!$A$2:$C$17, 2, 0))) * IF(ISBLANK(N741), 0, IF(ISNA(VLOOKUP(N741, Crews!$A$2:$C$28, 2, 0)), N741, VLOOKUP(N741, Crews!$A$2:$C$28, 2, 0))))) * 400</f>
        <v>6157.5</v>
      </c>
      <c r="K741" s="3" t="s">
        <v>1510</v>
      </c>
      <c r="L741" s="1" t="s">
        <v>1511</v>
      </c>
      <c r="M741" s="1" t="n">
        <v>0</v>
      </c>
      <c r="N741" s="1" t="s">
        <v>1512</v>
      </c>
      <c r="O741" s="1" t="n">
        <v>1</v>
      </c>
      <c r="P741" s="1"/>
      <c r="Q741" s="1" t="str">
        <f aca="false">IF(ISBLANK('Pak128 Britain In'!$N741),,'Pak128 Britain In'!$N741)</f>
        <v>ElectricMultipleUnit</v>
      </c>
      <c r="R741" s="1" t="s">
        <v>1489</v>
      </c>
      <c r="S741" s="1" t="s">
        <v>1489</v>
      </c>
      <c r="T741" s="1" t="s">
        <v>1351</v>
      </c>
    </row>
    <row r="742" customFormat="false" ht="15" hidden="false" customHeight="true" outlineLevel="0" collapsed="false">
      <c r="A742" s="1" t="s">
        <v>1513</v>
      </c>
      <c r="B742" s="1" t="n">
        <v>1893</v>
      </c>
      <c r="C742" s="1" t="n">
        <v>3</v>
      </c>
      <c r="D742" s="1" t="s">
        <v>38</v>
      </c>
      <c r="E742" s="1" t="s">
        <v>1346</v>
      </c>
      <c r="F742" s="1" t="n">
        <v>0</v>
      </c>
      <c r="G742" s="1" t="n">
        <v>60</v>
      </c>
      <c r="H742" s="2" t="n">
        <v>151200</v>
      </c>
      <c r="I742" s="2" t="n">
        <f aca="false">(((H742 / 800) / IF(ISBLANK(R742), 1000000, IF(ISNA(VLOOKUP(R742, Mileages!$A$2:$C$34, 2, 0)), R742, VLOOKUP(R742, Mileages!$A$2:$C$34, 2, 0)))) + (F742 * IF(ISBLANK(P742), 1, P742) * IF(ISBLANK(T742), 0, IF(ISNA(VLOOKUP(T742, 'Fuel Costs'!$A$2:$C$42, 2, 0)), T742, VLOOKUP(T742, 'Fuel Costs'!$A$2:$C$42, 2, 0))) / IF(ISBLANK(O742), 1, O742))) * 100</f>
        <v>0.01575</v>
      </c>
      <c r="J742" s="2" t="n">
        <f aca="false">((H742 / 800) / (IF(ISBLANK(S742), 100, IF(ISNA(VLOOKUP(S742, Lives!$A$2:$C$35, 2, 0)), S742, VLOOKUP(S742, Lives!$A$2:$C$35, 2, 0))) * 12) + (IF(ISBLANK(Q742), 0, IF(ISNA(VLOOKUP(Q742, Wages!$A$2:$C$17, 2, 0)), Q742, VLOOKUP(Q742, Wages!$A$2:$C$17, 2, 0))) * IF(ISBLANK(N742), 0, IF(ISNA(VLOOKUP(N742, Crews!$A$2:$C$28, 2, 0)), N742, VLOOKUP(N742, Crews!$A$2:$C$28, 2, 0))))) * 400</f>
        <v>180</v>
      </c>
      <c r="K742" s="1"/>
      <c r="L742" s="1" t="s">
        <v>1511</v>
      </c>
      <c r="M742" s="1" t="n">
        <v>1</v>
      </c>
      <c r="N742" s="1"/>
      <c r="O742" s="1"/>
      <c r="P742" s="1"/>
      <c r="Q742" s="1"/>
      <c r="R742" s="1" t="s">
        <v>689</v>
      </c>
      <c r="S742" s="1" t="s">
        <v>856</v>
      </c>
      <c r="T742" s="1"/>
    </row>
    <row r="743" customFormat="false" ht="15" hidden="false" customHeight="true" outlineLevel="0" collapsed="false">
      <c r="A743" s="1" t="s">
        <v>1514</v>
      </c>
      <c r="B743" s="1" t="n">
        <v>1893</v>
      </c>
      <c r="C743" s="1" t="n">
        <v>4</v>
      </c>
      <c r="D743" s="1" t="s">
        <v>38</v>
      </c>
      <c r="E743" s="1"/>
      <c r="F743" s="1"/>
      <c r="G743" s="1" t="n">
        <v>160</v>
      </c>
      <c r="H743" s="2" t="n">
        <v>600000</v>
      </c>
      <c r="I743" s="2" t="n">
        <f aca="false">(((H743 / 800) / IF(ISBLANK(R743), 1000000, IF(ISNA(VLOOKUP(R743, Mileages!$A$2:$C$34, 2, 0)), R743, VLOOKUP(R743, Mileages!$A$2:$C$34, 2, 0)))) + (F743 * IF(ISBLANK(P743), 1, P743) * IF(ISBLANK(T743), 0, IF(ISNA(VLOOKUP(T743, 'Fuel Costs'!$A$2:$C$42, 2, 0)), T743, VLOOKUP(T743, 'Fuel Costs'!$A$2:$C$42, 2, 0))) / IF(ISBLANK(O743), 1, O743))) * 100</f>
        <v>0.0625</v>
      </c>
      <c r="J743" s="2" t="n">
        <f aca="false">((H743 / 800) / (IF(ISBLANK(S743), 100, IF(ISNA(VLOOKUP(S743, Lives!$A$2:$C$35, 2, 0)), S743, VLOOKUP(S743, Lives!$A$2:$C$35, 2, 0))) * 12) + (IF(ISBLANK(Q743), 0, IF(ISNA(VLOOKUP(Q743, Wages!$A$2:$C$17, 2, 0)), Q743, VLOOKUP(Q743, Wages!$A$2:$C$17, 2, 0))) * IF(ISBLANK(N743), 0, IF(ISNA(VLOOKUP(N743, Crews!$A$2:$C$28, 2, 0)), N743, VLOOKUP(N743, Crews!$A$2:$C$28, 2, 0))))) * 400</f>
        <v>714.2857143</v>
      </c>
      <c r="K743" s="3" t="s">
        <v>1515</v>
      </c>
      <c r="L743" s="1" t="s">
        <v>1516</v>
      </c>
      <c r="M743" s="1" t="n">
        <v>0</v>
      </c>
      <c r="N743" s="1"/>
      <c r="O743" s="1"/>
      <c r="P743" s="1"/>
      <c r="Q743" s="1"/>
      <c r="R743" s="1" t="s">
        <v>689</v>
      </c>
      <c r="S743" s="1" t="s">
        <v>856</v>
      </c>
      <c r="T743" s="1"/>
    </row>
    <row r="744" customFormat="false" ht="15" hidden="false" customHeight="true" outlineLevel="0" collapsed="false">
      <c r="A744" s="1" t="s">
        <v>1517</v>
      </c>
      <c r="B744" s="1" t="n">
        <v>1893</v>
      </c>
      <c r="C744" s="1" t="n">
        <v>4</v>
      </c>
      <c r="D744" s="1" t="s">
        <v>38</v>
      </c>
      <c r="E744" s="1"/>
      <c r="F744" s="1"/>
      <c r="G744" s="1" t="n">
        <v>160</v>
      </c>
      <c r="H744" s="2" t="n">
        <v>600000</v>
      </c>
      <c r="I744" s="2" t="n">
        <f aca="false">(((H744 / 800) / IF(ISBLANK(R744), 1000000, IF(ISNA(VLOOKUP(R744, Mileages!$A$2:$C$34, 2, 0)), R744, VLOOKUP(R744, Mileages!$A$2:$C$34, 2, 0)))) + (F744 * IF(ISBLANK(P744), 1, P744) * IF(ISBLANK(T744), 0, IF(ISNA(VLOOKUP(T744, 'Fuel Costs'!$A$2:$C$42, 2, 0)), T744, VLOOKUP(T744, 'Fuel Costs'!$A$2:$C$42, 2, 0))) / IF(ISBLANK(O744), 1, O744))) * 100</f>
        <v>0.0625</v>
      </c>
      <c r="J744" s="2" t="n">
        <f aca="false">((H744 / 800) / (IF(ISBLANK(S744), 100, IF(ISNA(VLOOKUP(S744, Lives!$A$2:$C$35, 2, 0)), S744, VLOOKUP(S744, Lives!$A$2:$C$35, 2, 0))) * 12) + (IF(ISBLANK(Q744), 0, IF(ISNA(VLOOKUP(Q744, Wages!$A$2:$C$17, 2, 0)), Q744, VLOOKUP(Q744, Wages!$A$2:$C$17, 2, 0))) * IF(ISBLANK(N744), 0, IF(ISNA(VLOOKUP(N744, Crews!$A$2:$C$28, 2, 0)), N744, VLOOKUP(N744, Crews!$A$2:$C$28, 2, 0))))) * 400</f>
        <v>714.2857143</v>
      </c>
      <c r="K744" s="3" t="s">
        <v>1518</v>
      </c>
      <c r="L744" s="1" t="s">
        <v>1516</v>
      </c>
      <c r="M744" s="1" t="n">
        <v>1</v>
      </c>
      <c r="N744" s="1"/>
      <c r="O744" s="1"/>
      <c r="P744" s="1"/>
      <c r="Q744" s="1"/>
      <c r="R744" s="1" t="s">
        <v>689</v>
      </c>
      <c r="S744" s="1" t="s">
        <v>856</v>
      </c>
      <c r="T744" s="1"/>
    </row>
    <row r="745" customFormat="false" ht="15" hidden="false" customHeight="true" outlineLevel="0" collapsed="false">
      <c r="A745" s="1" t="s">
        <v>1519</v>
      </c>
      <c r="B745" s="1" t="n">
        <v>1893</v>
      </c>
      <c r="C745" s="1" t="n">
        <v>4</v>
      </c>
      <c r="D745" s="1" t="s">
        <v>38</v>
      </c>
      <c r="E745" s="1"/>
      <c r="F745" s="1"/>
      <c r="G745" s="1" t="n">
        <v>160</v>
      </c>
      <c r="H745" s="2" t="n">
        <v>687400</v>
      </c>
      <c r="I745" s="2" t="n">
        <f aca="false">(((H745 / 800) / IF(ISBLANK(R745), 1000000, IF(ISNA(VLOOKUP(R745, Mileages!$A$2:$C$34, 2, 0)), R745, VLOOKUP(R745, Mileages!$A$2:$C$34, 2, 0)))) + (F745 * IF(ISBLANK(P745), 1, P745) * IF(ISBLANK(T745), 0, IF(ISNA(VLOOKUP(T745, 'Fuel Costs'!$A$2:$C$42, 2, 0)), T745, VLOOKUP(T745, 'Fuel Costs'!$A$2:$C$42, 2, 0))) / IF(ISBLANK(O745), 1, O745))) * 100</f>
        <v>0.07160416667</v>
      </c>
      <c r="J745" s="2" t="n">
        <f aca="false">((H745 / 800) / (IF(ISBLANK(S745), 100, IF(ISNA(VLOOKUP(S745, Lives!$A$2:$C$35, 2, 0)), S745, VLOOKUP(S745, Lives!$A$2:$C$35, 2, 0))) * 12) + (IF(ISBLANK(Q745), 0, IF(ISNA(VLOOKUP(Q745, Wages!$A$2:$C$17, 2, 0)), Q745, VLOOKUP(Q745, Wages!$A$2:$C$17, 2, 0))) * IF(ISBLANK(N745), 0, IF(ISNA(VLOOKUP(N745, Crews!$A$2:$C$28, 2, 0)), N745, VLOOKUP(N745, Crews!$A$2:$C$28, 2, 0))))) * 400</f>
        <v>818.3333333</v>
      </c>
      <c r="K745" s="1" t="s">
        <v>1224</v>
      </c>
      <c r="L745" s="1" t="s">
        <v>1340</v>
      </c>
      <c r="M745" s="1" t="n">
        <v>1</v>
      </c>
      <c r="N745" s="1"/>
      <c r="O745" s="1"/>
      <c r="P745" s="1"/>
      <c r="Q745" s="1"/>
      <c r="R745" s="1" t="s">
        <v>689</v>
      </c>
      <c r="S745" s="1" t="s">
        <v>856</v>
      </c>
      <c r="T745" s="1"/>
    </row>
    <row r="746" customFormat="false" ht="15" hidden="false" customHeight="true" outlineLevel="0" collapsed="false">
      <c r="A746" s="1" t="s">
        <v>1520</v>
      </c>
      <c r="B746" s="1" t="n">
        <v>1893</v>
      </c>
      <c r="C746" s="1" t="n">
        <v>6</v>
      </c>
      <c r="D746" s="1" t="s">
        <v>38</v>
      </c>
      <c r="E746" s="1" t="s">
        <v>274</v>
      </c>
      <c r="F746" s="1" t="n">
        <v>257</v>
      </c>
      <c r="G746" s="1" t="n">
        <v>145</v>
      </c>
      <c r="H746" s="2" t="n">
        <v>5215000</v>
      </c>
      <c r="I746" s="2" t="n">
        <f aca="false">(((H746 / 800) / IF(ISBLANK(R746), 1000000, IF(ISNA(VLOOKUP(R746, Mileages!$A$2:$C$34, 2, 0)), R746, VLOOKUP(R746, Mileages!$A$2:$C$34, 2, 0)))) + (F746 * IF(ISBLANK(P746), 1, P746) * IF(ISBLANK(T746), 0, IF(ISNA(VLOOKUP(T746, 'Fuel Costs'!$A$2:$C$42, 2, 0)), T746, VLOOKUP(T746, 'Fuel Costs'!$A$2:$C$42, 2, 0))) / IF(ISBLANK(O746), 1, O746))) * 100</f>
        <v>171.9852083</v>
      </c>
      <c r="J746" s="2" t="n">
        <f aca="false">((H746 / 800) / (IF(ISBLANK(S746), 100, IF(ISNA(VLOOKUP(S746, Lives!$A$2:$C$35, 2, 0)), S746, VLOOKUP(S746, Lives!$A$2:$C$35, 2, 0))) * 12) + (IF(ISBLANK(Q746), 0, IF(ISNA(VLOOKUP(Q746, Wages!$A$2:$C$17, 2, 0)), Q746, VLOOKUP(Q746, Wages!$A$2:$C$17, 2, 0))) * IF(ISBLANK(N746), 0, IF(ISNA(VLOOKUP(N746, Crews!$A$2:$C$28, 2, 0)), N746, VLOOKUP(N746, Crews!$A$2:$C$28, 2, 0))))) * 400</f>
        <v>28345.83333</v>
      </c>
      <c r="K746" s="3" t="s">
        <v>1521</v>
      </c>
      <c r="L746" s="1" t="s">
        <v>1522</v>
      </c>
      <c r="M746" s="1" t="n">
        <v>0</v>
      </c>
      <c r="N746" s="1" t="s">
        <v>590</v>
      </c>
      <c r="O746" s="1" t="n">
        <v>0.6</v>
      </c>
      <c r="P746" s="1"/>
      <c r="Q746" s="5" t="s">
        <v>284</v>
      </c>
      <c r="R746" s="1" t="s">
        <v>677</v>
      </c>
      <c r="S746" s="1" t="s">
        <v>677</v>
      </c>
      <c r="T746" s="1" t="s">
        <v>923</v>
      </c>
    </row>
    <row r="747" customFormat="false" ht="15" hidden="false" customHeight="true" outlineLevel="0" collapsed="false">
      <c r="A747" s="1" t="s">
        <v>1523</v>
      </c>
      <c r="B747" s="1" t="n">
        <v>1893</v>
      </c>
      <c r="C747" s="1" t="n">
        <v>9</v>
      </c>
      <c r="D747" s="1" t="s">
        <v>157</v>
      </c>
      <c r="E747" s="1"/>
      <c r="F747" s="1"/>
      <c r="G747" s="1" t="n">
        <v>60</v>
      </c>
      <c r="H747" s="2" t="n">
        <v>599750</v>
      </c>
      <c r="I747" s="2" t="n">
        <f aca="false">(((H747 / 800) / IF(ISBLANK(R747), 1000000, IF(ISNA(VLOOKUP(R747, Mileages!$A$2:$C$34, 2, 0)), R747, VLOOKUP(R747, Mileages!$A$2:$C$34, 2, 0)))) + (F747 * IF(ISBLANK(P747), 1, P747) * IF(ISBLANK(T747), 0, IF(ISNA(VLOOKUP(T747, 'Fuel Costs'!$A$2:$C$42, 2, 0)), T747, VLOOKUP(T747, 'Fuel Costs'!$A$2:$C$42, 2, 0))) / IF(ISBLANK(O747), 1, O747))) * 100</f>
        <v>0.06247395833</v>
      </c>
      <c r="J747" s="2" t="n">
        <f aca="false">((H747 / 800) / (IF(ISBLANK(S747), 100, IF(ISNA(VLOOKUP(S747, Lives!$A$2:$C$35, 2, 0)), S747, VLOOKUP(S747, Lives!$A$2:$C$35, 2, 0))) * 12) + (IF(ISBLANK(Q747), 0, IF(ISNA(VLOOKUP(Q747, Wages!$A$2:$C$17, 2, 0)), Q747, VLOOKUP(Q747, Wages!$A$2:$C$17, 2, 0))) * IF(ISBLANK(N747), 0, IF(ISNA(VLOOKUP(N747, Crews!$A$2:$C$28, 2, 0)), N747, VLOOKUP(N747, Crews!$A$2:$C$28, 2, 0))))) * 400</f>
        <v>18249.89583</v>
      </c>
      <c r="K747" s="3" t="s">
        <v>1524</v>
      </c>
      <c r="L747" s="1" t="s">
        <v>1525</v>
      </c>
      <c r="M747" s="1" t="n">
        <v>0</v>
      </c>
      <c r="N747" s="1" t="s">
        <v>1481</v>
      </c>
      <c r="O747" s="1"/>
      <c r="P747" s="1"/>
      <c r="Q747" s="1" t="s">
        <v>1481</v>
      </c>
      <c r="R747" s="1" t="s">
        <v>689</v>
      </c>
      <c r="S747" s="1"/>
      <c r="T747" s="1"/>
    </row>
    <row r="748" customFormat="false" ht="15" hidden="false" customHeight="true" outlineLevel="0" collapsed="false">
      <c r="A748" s="1" t="s">
        <v>1526</v>
      </c>
      <c r="B748" s="1" t="n">
        <v>1893</v>
      </c>
      <c r="C748" s="1" t="n">
        <v>9</v>
      </c>
      <c r="D748" s="1" t="s">
        <v>38</v>
      </c>
      <c r="E748" s="1"/>
      <c r="F748" s="1"/>
      <c r="G748" s="1" t="n">
        <v>160</v>
      </c>
      <c r="H748" s="2" t="n">
        <v>350000</v>
      </c>
      <c r="I748" s="2" t="n">
        <f aca="false">(((H748 / 800) / IF(ISBLANK(R748), 1000000, IF(ISNA(VLOOKUP(R748, Mileages!$A$2:$C$34, 2, 0)), R748, VLOOKUP(R748, Mileages!$A$2:$C$34, 2, 0)))) + (F748 * IF(ISBLANK(P748), 1, P748) * IF(ISBLANK(T748), 0, IF(ISNA(VLOOKUP(T748, 'Fuel Costs'!$A$2:$C$42, 2, 0)), T748, VLOOKUP(T748, 'Fuel Costs'!$A$2:$C$42, 2, 0))) / IF(ISBLANK(O748), 1, O748))) * 100</f>
        <v>0.03645833333</v>
      </c>
      <c r="J748" s="2" t="n">
        <f aca="false">((H748 / 800) / (IF(ISBLANK(S748), 100, IF(ISNA(VLOOKUP(S748, Lives!$A$2:$C$35, 2, 0)), S748, VLOOKUP(S748, Lives!$A$2:$C$35, 2, 0))) * 12) + (IF(ISBLANK(Q748), 0, IF(ISNA(VLOOKUP(Q748, Wages!$A$2:$C$17, 2, 0)), Q748, VLOOKUP(Q748, Wages!$A$2:$C$17, 2, 0))) * IF(ISBLANK(N748), 0, IF(ISNA(VLOOKUP(N748, Crews!$A$2:$C$28, 2, 0)), N748, VLOOKUP(N748, Crews!$A$2:$C$28, 2, 0))))) * 400</f>
        <v>5216.666667</v>
      </c>
      <c r="K748" s="3" t="s">
        <v>1527</v>
      </c>
      <c r="L748" s="1" t="s">
        <v>1528</v>
      </c>
      <c r="M748" s="1" t="n">
        <v>0</v>
      </c>
      <c r="N748" s="1" t="s">
        <v>25</v>
      </c>
      <c r="O748" s="1"/>
      <c r="P748" s="1"/>
      <c r="Q748" s="1" t="s">
        <v>378</v>
      </c>
      <c r="R748" s="1" t="s">
        <v>689</v>
      </c>
      <c r="S748" s="1" t="s">
        <v>856</v>
      </c>
      <c r="T748" s="1"/>
    </row>
    <row r="749" customFormat="false" ht="15" hidden="false" customHeight="true" outlineLevel="0" collapsed="false">
      <c r="A749" s="1" t="s">
        <v>1529</v>
      </c>
      <c r="B749" s="1" t="n">
        <v>1893</v>
      </c>
      <c r="C749" s="1" t="n">
        <v>9</v>
      </c>
      <c r="D749" s="1" t="s">
        <v>38</v>
      </c>
      <c r="E749" s="1"/>
      <c r="F749" s="1"/>
      <c r="G749" s="1" t="n">
        <v>160</v>
      </c>
      <c r="H749" s="2" t="n">
        <v>350000</v>
      </c>
      <c r="I749" s="2" t="n">
        <f aca="false">(((H749 / 800) / IF(ISBLANK(R749), 1000000, IF(ISNA(VLOOKUP(R749, Mileages!$A$2:$C$34, 2, 0)), R749, VLOOKUP(R749, Mileages!$A$2:$C$34, 2, 0)))) + (F749 * IF(ISBLANK(P749), 1, P749) * IF(ISBLANK(T749), 0, IF(ISNA(VLOOKUP(T749, 'Fuel Costs'!$A$2:$C$42, 2, 0)), T749, VLOOKUP(T749, 'Fuel Costs'!$A$2:$C$42, 2, 0))) / IF(ISBLANK(O749), 1, O749))) * 100</f>
        <v>0.03645833333</v>
      </c>
      <c r="J749" s="2" t="n">
        <f aca="false">((H749 / 800) / (IF(ISBLANK(S749), 100, IF(ISNA(VLOOKUP(S749, Lives!$A$2:$C$35, 2, 0)), S749, VLOOKUP(S749, Lives!$A$2:$C$35, 2, 0))) * 12) + (IF(ISBLANK(Q749), 0, IF(ISNA(VLOOKUP(Q749, Wages!$A$2:$C$17, 2, 0)), Q749, VLOOKUP(Q749, Wages!$A$2:$C$17, 2, 0))) * IF(ISBLANK(N749), 0, IF(ISNA(VLOOKUP(N749, Crews!$A$2:$C$28, 2, 0)), N749, VLOOKUP(N749, Crews!$A$2:$C$28, 2, 0))))) * 400</f>
        <v>416.6666667</v>
      </c>
      <c r="K749" s="1" t="s">
        <v>1530</v>
      </c>
      <c r="L749" s="1" t="s">
        <v>1528</v>
      </c>
      <c r="M749" s="1" t="n">
        <v>3</v>
      </c>
      <c r="N749" s="1"/>
      <c r="O749" s="1"/>
      <c r="P749" s="1"/>
      <c r="Q749" s="1"/>
      <c r="R749" s="1" t="s">
        <v>689</v>
      </c>
      <c r="S749" s="1" t="s">
        <v>856</v>
      </c>
      <c r="T749" s="1"/>
    </row>
    <row r="750" customFormat="false" ht="15" hidden="false" customHeight="true" outlineLevel="0" collapsed="false">
      <c r="A750" s="1" t="s">
        <v>1531</v>
      </c>
      <c r="B750" s="1" t="n">
        <v>1893</v>
      </c>
      <c r="C750" s="1" t="n">
        <v>9</v>
      </c>
      <c r="D750" s="1" t="s">
        <v>38</v>
      </c>
      <c r="E750" s="1"/>
      <c r="F750" s="1"/>
      <c r="G750" s="1" t="n">
        <v>160</v>
      </c>
      <c r="H750" s="2" t="n">
        <v>350000</v>
      </c>
      <c r="I750" s="2" t="n">
        <f aca="false">(((H750 / 800) / IF(ISBLANK(R750), 1000000, IF(ISNA(VLOOKUP(R750, Mileages!$A$2:$C$34, 2, 0)), R750, VLOOKUP(R750, Mileages!$A$2:$C$34, 2, 0)))) + (F750 * IF(ISBLANK(P750), 1, P750) * IF(ISBLANK(T750), 0, IF(ISNA(VLOOKUP(T750, 'Fuel Costs'!$A$2:$C$42, 2, 0)), T750, VLOOKUP(T750, 'Fuel Costs'!$A$2:$C$42, 2, 0))) / IF(ISBLANK(O750), 1, O750))) * 100</f>
        <v>0.03645833333</v>
      </c>
      <c r="J750" s="2" t="n">
        <f aca="false">((H750 / 800) / (IF(ISBLANK(S750), 100, IF(ISNA(VLOOKUP(S750, Lives!$A$2:$C$35, 2, 0)), S750, VLOOKUP(S750, Lives!$A$2:$C$35, 2, 0))) * 12) + (IF(ISBLANK(Q750), 0, IF(ISNA(VLOOKUP(Q750, Wages!$A$2:$C$17, 2, 0)), Q750, VLOOKUP(Q750, Wages!$A$2:$C$17, 2, 0))) * IF(ISBLANK(N750), 0, IF(ISNA(VLOOKUP(N750, Crews!$A$2:$C$28, 2, 0)), N750, VLOOKUP(N750, Crews!$A$2:$C$28, 2, 0))))) * 400</f>
        <v>5216.666667</v>
      </c>
      <c r="K750" s="1"/>
      <c r="L750" s="1" t="s">
        <v>1528</v>
      </c>
      <c r="M750" s="1" t="n">
        <v>4</v>
      </c>
      <c r="N750" s="1" t="s">
        <v>25</v>
      </c>
      <c r="O750" s="1"/>
      <c r="P750" s="1"/>
      <c r="Q750" s="1" t="s">
        <v>378</v>
      </c>
      <c r="R750" s="1" t="s">
        <v>689</v>
      </c>
      <c r="S750" s="1" t="s">
        <v>856</v>
      </c>
      <c r="T750" s="1"/>
    </row>
    <row r="751" customFormat="false" ht="15" hidden="false" customHeight="true" outlineLevel="0" collapsed="false">
      <c r="A751" s="1" t="s">
        <v>1532</v>
      </c>
      <c r="B751" s="1" t="n">
        <v>1893</v>
      </c>
      <c r="C751" s="1" t="n">
        <v>9</v>
      </c>
      <c r="D751" s="1" t="s">
        <v>38</v>
      </c>
      <c r="E751" s="1"/>
      <c r="F751" s="1"/>
      <c r="G751" s="1" t="n">
        <v>160</v>
      </c>
      <c r="H751" s="2" t="n">
        <v>390000</v>
      </c>
      <c r="I751" s="2" t="n">
        <f aca="false">(((H751 / 800) / IF(ISBLANK(R751), 1000000, IF(ISNA(VLOOKUP(R751, Mileages!$A$2:$C$34, 2, 0)), R751, VLOOKUP(R751, Mileages!$A$2:$C$34, 2, 0)))) + (F751 * IF(ISBLANK(P751), 1, P751) * IF(ISBLANK(T751), 0, IF(ISNA(VLOOKUP(T751, 'Fuel Costs'!$A$2:$C$42, 2, 0)), T751, VLOOKUP(T751, 'Fuel Costs'!$A$2:$C$42, 2, 0))) / IF(ISBLANK(O751), 1, O751))) * 100</f>
        <v>0.040625</v>
      </c>
      <c r="J751" s="2" t="n">
        <f aca="false">((H751 / 800) / (IF(ISBLANK(S751), 100, IF(ISNA(VLOOKUP(S751, Lives!$A$2:$C$35, 2, 0)), S751, VLOOKUP(S751, Lives!$A$2:$C$35, 2, 0))) * 12) + (IF(ISBLANK(Q751), 0, IF(ISNA(VLOOKUP(Q751, Wages!$A$2:$C$17, 2, 0)), Q751, VLOOKUP(Q751, Wages!$A$2:$C$17, 2, 0))) * IF(ISBLANK(N751), 0, IF(ISNA(VLOOKUP(N751, Crews!$A$2:$C$28, 2, 0)), N751, VLOOKUP(N751, Crews!$A$2:$C$28, 2, 0))))) * 400</f>
        <v>162.5</v>
      </c>
      <c r="K751" s="1"/>
      <c r="L751" s="1" t="s">
        <v>1528</v>
      </c>
      <c r="M751" s="1" t="n">
        <v>6</v>
      </c>
      <c r="N751" s="1"/>
      <c r="O751" s="1"/>
      <c r="P751" s="1"/>
      <c r="Q751" s="1"/>
      <c r="R751" s="1" t="s">
        <v>689</v>
      </c>
      <c r="S751" s="5" t="s">
        <v>389</v>
      </c>
      <c r="T751" s="1"/>
    </row>
    <row r="752" customFormat="false" ht="15" hidden="false" customHeight="true" outlineLevel="0" collapsed="false">
      <c r="A752" s="1" t="s">
        <v>1533</v>
      </c>
      <c r="B752" s="1" t="n">
        <v>1893</v>
      </c>
      <c r="C752" s="1" t="n">
        <v>9</v>
      </c>
      <c r="D752" s="1" t="s">
        <v>38</v>
      </c>
      <c r="E752" s="1"/>
      <c r="F752" s="1"/>
      <c r="G752" s="1" t="n">
        <v>160</v>
      </c>
      <c r="H752" s="2" t="n">
        <v>390000</v>
      </c>
      <c r="I752" s="2" t="n">
        <f aca="false">(((H752 / 800) / IF(ISBLANK(R752), 1000000, IF(ISNA(VLOOKUP(R752, Mileages!$A$2:$C$34, 2, 0)), R752, VLOOKUP(R752, Mileages!$A$2:$C$34, 2, 0)))) + (F752 * IF(ISBLANK(P752), 1, P752) * IF(ISBLANK(T752), 0, IF(ISNA(VLOOKUP(T752, 'Fuel Costs'!$A$2:$C$42, 2, 0)), T752, VLOOKUP(T752, 'Fuel Costs'!$A$2:$C$42, 2, 0))) / IF(ISBLANK(O752), 1, O752))) * 100</f>
        <v>0.040625</v>
      </c>
      <c r="J752" s="2" t="n">
        <f aca="false">((H752 / 800) / (IF(ISBLANK(S752), 100, IF(ISNA(VLOOKUP(S752, Lives!$A$2:$C$35, 2, 0)), S752, VLOOKUP(S752, Lives!$A$2:$C$35, 2, 0))) * 12) + (IF(ISBLANK(Q752), 0, IF(ISNA(VLOOKUP(Q752, Wages!$A$2:$C$17, 2, 0)), Q752, VLOOKUP(Q752, Wages!$A$2:$C$17, 2, 0))) * IF(ISBLANK(N752), 0, IF(ISNA(VLOOKUP(N752, Crews!$A$2:$C$28, 2, 0)), N752, VLOOKUP(N752, Crews!$A$2:$C$28, 2, 0))))) * 400</f>
        <v>464.2857143</v>
      </c>
      <c r="K752" s="1"/>
      <c r="L752" s="1" t="s">
        <v>1528</v>
      </c>
      <c r="M752" s="1" t="n">
        <v>7</v>
      </c>
      <c r="N752" s="1"/>
      <c r="O752" s="1"/>
      <c r="P752" s="1"/>
      <c r="Q752" s="1"/>
      <c r="R752" s="1" t="s">
        <v>689</v>
      </c>
      <c r="S752" s="1" t="s">
        <v>856</v>
      </c>
      <c r="T752" s="1"/>
    </row>
    <row r="753" customFormat="false" ht="15" hidden="false" customHeight="true" outlineLevel="0" collapsed="false">
      <c r="A753" s="1" t="s">
        <v>1534</v>
      </c>
      <c r="B753" s="1" t="n">
        <v>1893</v>
      </c>
      <c r="C753" s="1" t="n">
        <v>9</v>
      </c>
      <c r="D753" s="1" t="s">
        <v>157</v>
      </c>
      <c r="E753" s="1"/>
      <c r="F753" s="1"/>
      <c r="G753" s="1" t="n">
        <v>60</v>
      </c>
      <c r="H753" s="2" t="n">
        <v>575000</v>
      </c>
      <c r="I753" s="2" t="n">
        <f aca="false">(((H753 / 800) / IF(ISBLANK(R753), 1000000, IF(ISNA(VLOOKUP(R753, Mileages!$A$2:$C$34, 2, 0)), R753, VLOOKUP(R753, Mileages!$A$2:$C$34, 2, 0)))) + (F753 * IF(ISBLANK(P753), 1, P753) * IF(ISBLANK(T753), 0, IF(ISNA(VLOOKUP(T753, 'Fuel Costs'!$A$2:$C$42, 2, 0)), T753, VLOOKUP(T753, 'Fuel Costs'!$A$2:$C$42, 2, 0))) / IF(ISBLANK(O753), 1, O753))) * 100</f>
        <v>0.05989583333</v>
      </c>
      <c r="J753" s="2" t="n">
        <f aca="false">((H753 / 800) / (IF(ISBLANK(S753), 100, IF(ISNA(VLOOKUP(S753, Lives!$A$2:$C$35, 2, 0)), S753, VLOOKUP(S753, Lives!$A$2:$C$35, 2, 0))) * 12) + (IF(ISBLANK(Q753), 0, IF(ISNA(VLOOKUP(Q753, Wages!$A$2:$C$17, 2, 0)), Q753, VLOOKUP(Q753, Wages!$A$2:$C$17, 2, 0))) * IF(ISBLANK(N753), 0, IF(ISNA(VLOOKUP(N753, Crews!$A$2:$C$28, 2, 0)), N753, VLOOKUP(N753, Crews!$A$2:$C$28, 2, 0))))) * 400</f>
        <v>5039.583333</v>
      </c>
      <c r="K753" s="1"/>
      <c r="L753" s="1" t="s">
        <v>1535</v>
      </c>
      <c r="M753" s="1" t="n">
        <v>0</v>
      </c>
      <c r="N753" s="1" t="s">
        <v>25</v>
      </c>
      <c r="O753" s="1"/>
      <c r="P753" s="1"/>
      <c r="Q753" s="1" t="s">
        <v>378</v>
      </c>
      <c r="R753" s="1" t="s">
        <v>689</v>
      </c>
      <c r="S753" s="1" t="s">
        <v>389</v>
      </c>
      <c r="T753" s="1"/>
    </row>
    <row r="754" customFormat="false" ht="15" hidden="false" customHeight="true" outlineLevel="0" collapsed="false">
      <c r="A754" s="1" t="s">
        <v>1536</v>
      </c>
      <c r="B754" s="1" t="n">
        <v>1893</v>
      </c>
      <c r="C754" s="1" t="n">
        <v>9</v>
      </c>
      <c r="D754" s="1" t="s">
        <v>38</v>
      </c>
      <c r="E754" s="1"/>
      <c r="F754" s="1"/>
      <c r="G754" s="1" t="n">
        <v>160</v>
      </c>
      <c r="H754" s="2" t="n">
        <v>520000</v>
      </c>
      <c r="I754" s="2" t="n">
        <f aca="false">(((H754 / 800) / IF(ISBLANK(R754), 1000000, IF(ISNA(VLOOKUP(R754, Mileages!$A$2:$C$34, 2, 0)), R754, VLOOKUP(R754, Mileages!$A$2:$C$34, 2, 0)))) + (F754 * IF(ISBLANK(P754), 1, P754) * IF(ISBLANK(T754), 0, IF(ISNA(VLOOKUP(T754, 'Fuel Costs'!$A$2:$C$42, 2, 0)), T754, VLOOKUP(T754, 'Fuel Costs'!$A$2:$C$42, 2, 0))) / IF(ISBLANK(O754), 1, O754))) * 100</f>
        <v>0.05416666667</v>
      </c>
      <c r="J754" s="2" t="n">
        <f aca="false">((H754 / 800) / (IF(ISBLANK(S754), 100, IF(ISNA(VLOOKUP(S754, Lives!$A$2:$C$35, 2, 0)), S754, VLOOKUP(S754, Lives!$A$2:$C$35, 2, 0))) * 12) + (IF(ISBLANK(Q754), 0, IF(ISNA(VLOOKUP(Q754, Wages!$A$2:$C$17, 2, 0)), Q754, VLOOKUP(Q754, Wages!$A$2:$C$17, 2, 0))) * IF(ISBLANK(N754), 0, IF(ISNA(VLOOKUP(N754, Crews!$A$2:$C$28, 2, 0)), N754, VLOOKUP(N754, Crews!$A$2:$C$28, 2, 0))))) * 400</f>
        <v>619.047619</v>
      </c>
      <c r="K754" s="3" t="s">
        <v>1537</v>
      </c>
      <c r="L754" s="1" t="s">
        <v>1538</v>
      </c>
      <c r="M754" s="1" t="n">
        <v>0</v>
      </c>
      <c r="N754" s="1"/>
      <c r="O754" s="1"/>
      <c r="P754" s="1"/>
      <c r="Q754" s="1"/>
      <c r="R754" s="1" t="s">
        <v>689</v>
      </c>
      <c r="S754" s="1" t="s">
        <v>856</v>
      </c>
      <c r="T754" s="1"/>
    </row>
    <row r="755" customFormat="false" ht="15" hidden="false" customHeight="true" outlineLevel="0" collapsed="false">
      <c r="A755" s="1" t="s">
        <v>1539</v>
      </c>
      <c r="B755" s="1" t="n">
        <v>1893</v>
      </c>
      <c r="C755" s="1" t="n">
        <v>9</v>
      </c>
      <c r="D755" s="1" t="s">
        <v>38</v>
      </c>
      <c r="E755" s="1"/>
      <c r="F755" s="1"/>
      <c r="G755" s="1" t="n">
        <v>160</v>
      </c>
      <c r="H755" s="2" t="n">
        <v>520000</v>
      </c>
      <c r="I755" s="2" t="n">
        <f aca="false">(((H755 / 800) / IF(ISBLANK(R755), 1000000, IF(ISNA(VLOOKUP(R755, Mileages!$A$2:$C$34, 2, 0)), R755, VLOOKUP(R755, Mileages!$A$2:$C$34, 2, 0)))) + (F755 * IF(ISBLANK(P755), 1, P755) * IF(ISBLANK(T755), 0, IF(ISNA(VLOOKUP(T755, 'Fuel Costs'!$A$2:$C$42, 2, 0)), T755, VLOOKUP(T755, 'Fuel Costs'!$A$2:$C$42, 2, 0))) / IF(ISBLANK(O755), 1, O755))) * 100</f>
        <v>0.05416666667</v>
      </c>
      <c r="J755" s="2" t="n">
        <f aca="false">((H755 / 800) / (IF(ISBLANK(S755), 100, IF(ISNA(VLOOKUP(S755, Lives!$A$2:$C$35, 2, 0)), S755, VLOOKUP(S755, Lives!$A$2:$C$35, 2, 0))) * 12) + (IF(ISBLANK(Q755), 0, IF(ISNA(VLOOKUP(Q755, Wages!$A$2:$C$17, 2, 0)), Q755, VLOOKUP(Q755, Wages!$A$2:$C$17, 2, 0))) * IF(ISBLANK(N755), 0, IF(ISNA(VLOOKUP(N755, Crews!$A$2:$C$28, 2, 0)), N755, VLOOKUP(N755, Crews!$A$2:$C$28, 2, 0))))) * 400</f>
        <v>5419.047619</v>
      </c>
      <c r="K755" s="1" t="s">
        <v>1540</v>
      </c>
      <c r="L755" s="1" t="s">
        <v>1538</v>
      </c>
      <c r="M755" s="1" t="n">
        <v>1</v>
      </c>
      <c r="N755" s="1" t="s">
        <v>25</v>
      </c>
      <c r="O755" s="1"/>
      <c r="P755" s="1"/>
      <c r="Q755" s="1" t="s">
        <v>378</v>
      </c>
      <c r="R755" s="1" t="s">
        <v>689</v>
      </c>
      <c r="S755" s="1" t="s">
        <v>856</v>
      </c>
      <c r="T755" s="1"/>
    </row>
    <row r="756" customFormat="false" ht="15" hidden="false" customHeight="true" outlineLevel="0" collapsed="false">
      <c r="A756" s="1" t="s">
        <v>1541</v>
      </c>
      <c r="B756" s="1" t="n">
        <v>1893</v>
      </c>
      <c r="C756" s="1" t="n">
        <v>9</v>
      </c>
      <c r="D756" s="1" t="s">
        <v>38</v>
      </c>
      <c r="E756" s="1"/>
      <c r="F756" s="1"/>
      <c r="G756" s="1" t="n">
        <v>160</v>
      </c>
      <c r="H756" s="2" t="n">
        <v>520000</v>
      </c>
      <c r="I756" s="2" t="n">
        <f aca="false">(((H756 / 800) / IF(ISBLANK(R756), 1000000, IF(ISNA(VLOOKUP(R756, Mileages!$A$2:$C$34, 2, 0)), R756, VLOOKUP(R756, Mileages!$A$2:$C$34, 2, 0)))) + (F756 * IF(ISBLANK(P756), 1, P756) * IF(ISBLANK(T756), 0, IF(ISNA(VLOOKUP(T756, 'Fuel Costs'!$A$2:$C$42, 2, 0)), T756, VLOOKUP(T756, 'Fuel Costs'!$A$2:$C$42, 2, 0))) / IF(ISBLANK(O756), 1, O756))) * 100</f>
        <v>0.05416666667</v>
      </c>
      <c r="J756" s="2" t="n">
        <f aca="false">((H756 / 800) / (IF(ISBLANK(S756), 100, IF(ISNA(VLOOKUP(S756, Lives!$A$2:$C$35, 2, 0)), S756, VLOOKUP(S756, Lives!$A$2:$C$35, 2, 0))) * 12) + (IF(ISBLANK(Q756), 0, IF(ISNA(VLOOKUP(Q756, Wages!$A$2:$C$17, 2, 0)), Q756, VLOOKUP(Q756, Wages!$A$2:$C$17, 2, 0))) * IF(ISBLANK(N756), 0, IF(ISNA(VLOOKUP(N756, Crews!$A$2:$C$28, 2, 0)), N756, VLOOKUP(N756, Crews!$A$2:$C$28, 2, 0))))) * 400</f>
        <v>5419.047619</v>
      </c>
      <c r="K756" s="1" t="s">
        <v>1542</v>
      </c>
      <c r="L756" s="1" t="s">
        <v>1538</v>
      </c>
      <c r="M756" s="1" t="n">
        <v>2</v>
      </c>
      <c r="N756" s="1" t="s">
        <v>25</v>
      </c>
      <c r="O756" s="1"/>
      <c r="P756" s="1"/>
      <c r="Q756" s="1" t="s">
        <v>378</v>
      </c>
      <c r="R756" s="1" t="s">
        <v>689</v>
      </c>
      <c r="S756" s="1" t="s">
        <v>856</v>
      </c>
      <c r="T756" s="1"/>
    </row>
    <row r="757" customFormat="false" ht="15" hidden="false" customHeight="true" outlineLevel="0" collapsed="false">
      <c r="A757" s="1" t="s">
        <v>1543</v>
      </c>
      <c r="B757" s="1" t="n">
        <v>1893</v>
      </c>
      <c r="C757" s="1" t="n">
        <v>9</v>
      </c>
      <c r="D757" s="1" t="s">
        <v>38</v>
      </c>
      <c r="E757" s="1"/>
      <c r="F757" s="1"/>
      <c r="G757" s="1" t="n">
        <v>160</v>
      </c>
      <c r="H757" s="2" t="n">
        <v>520000</v>
      </c>
      <c r="I757" s="2" t="n">
        <f aca="false">(((H757 / 800) / IF(ISBLANK(R757), 1000000, IF(ISNA(VLOOKUP(R757, Mileages!$A$2:$C$34, 2, 0)), R757, VLOOKUP(R757, Mileages!$A$2:$C$34, 2, 0)))) + (F757 * IF(ISBLANK(P757), 1, P757) * IF(ISBLANK(T757), 0, IF(ISNA(VLOOKUP(T757, 'Fuel Costs'!$A$2:$C$42, 2, 0)), T757, VLOOKUP(T757, 'Fuel Costs'!$A$2:$C$42, 2, 0))) / IF(ISBLANK(O757), 1, O757))) * 100</f>
        <v>0.05416666667</v>
      </c>
      <c r="J757" s="2" t="n">
        <f aca="false">((H757 / 800) / (IF(ISBLANK(S757), 100, IF(ISNA(VLOOKUP(S757, Lives!$A$2:$C$35, 2, 0)), S757, VLOOKUP(S757, Lives!$A$2:$C$35, 2, 0))) * 12) + (IF(ISBLANK(Q757), 0, IF(ISNA(VLOOKUP(Q757, Wages!$A$2:$C$17, 2, 0)), Q757, VLOOKUP(Q757, Wages!$A$2:$C$17, 2, 0))) * IF(ISBLANK(N757), 0, IF(ISNA(VLOOKUP(N757, Crews!$A$2:$C$28, 2, 0)), N757, VLOOKUP(N757, Crews!$A$2:$C$28, 2, 0))))) * 400</f>
        <v>216.6666667</v>
      </c>
      <c r="K757" s="1"/>
      <c r="L757" s="1" t="s">
        <v>1538</v>
      </c>
      <c r="M757" s="1" t="n">
        <v>3</v>
      </c>
      <c r="N757" s="1"/>
      <c r="O757" s="1"/>
      <c r="P757" s="1"/>
      <c r="Q757" s="1"/>
      <c r="R757" s="1" t="s">
        <v>689</v>
      </c>
      <c r="S757" s="5" t="s">
        <v>389</v>
      </c>
      <c r="T757" s="1"/>
    </row>
    <row r="758" customFormat="false" ht="15" hidden="false" customHeight="true" outlineLevel="0" collapsed="false">
      <c r="A758" s="1" t="s">
        <v>1544</v>
      </c>
      <c r="B758" s="1" t="n">
        <v>1893</v>
      </c>
      <c r="C758" s="1" t="n">
        <v>9</v>
      </c>
      <c r="D758" s="1" t="s">
        <v>38</v>
      </c>
      <c r="E758" s="1"/>
      <c r="F758" s="1"/>
      <c r="G758" s="1" t="n">
        <v>160</v>
      </c>
      <c r="H758" s="2" t="n">
        <v>570000</v>
      </c>
      <c r="I758" s="2" t="n">
        <f aca="false">(((H758 / 800) / IF(ISBLANK(R758), 1000000, IF(ISNA(VLOOKUP(R758, Mileages!$A$2:$C$34, 2, 0)), R758, VLOOKUP(R758, Mileages!$A$2:$C$34, 2, 0)))) + (F758 * IF(ISBLANK(P758), 1, P758) * IF(ISBLANK(T758), 0, IF(ISNA(VLOOKUP(T758, 'Fuel Costs'!$A$2:$C$42, 2, 0)), T758, VLOOKUP(T758, 'Fuel Costs'!$A$2:$C$42, 2, 0))) / IF(ISBLANK(O758), 1, O758))) * 100</f>
        <v>0.059375</v>
      </c>
      <c r="J758" s="2" t="n">
        <f aca="false">((H758 / 800) / (IF(ISBLANK(S758), 100, IF(ISNA(VLOOKUP(S758, Lives!$A$2:$C$35, 2, 0)), S758, VLOOKUP(S758, Lives!$A$2:$C$35, 2, 0))) * 12) + (IF(ISBLANK(Q758), 0, IF(ISNA(VLOOKUP(Q758, Wages!$A$2:$C$17, 2, 0)), Q758, VLOOKUP(Q758, Wages!$A$2:$C$17, 2, 0))) * IF(ISBLANK(N758), 0, IF(ISNA(VLOOKUP(N758, Crews!$A$2:$C$28, 2, 0)), N758, VLOOKUP(N758, Crews!$A$2:$C$28, 2, 0))))) * 400</f>
        <v>24237.5</v>
      </c>
      <c r="K758" s="1"/>
      <c r="L758" s="1" t="s">
        <v>1538</v>
      </c>
      <c r="M758" s="1" t="n">
        <v>4</v>
      </c>
      <c r="N758" s="1" t="s">
        <v>551</v>
      </c>
      <c r="O758" s="1"/>
      <c r="P758" s="1"/>
      <c r="Q758" s="1" t="s">
        <v>551</v>
      </c>
      <c r="R758" s="1" t="s">
        <v>689</v>
      </c>
      <c r="S758" s="1" t="s">
        <v>389</v>
      </c>
      <c r="T758" s="1"/>
    </row>
    <row r="759" customFormat="false" ht="15" hidden="false" customHeight="true" outlineLevel="0" collapsed="false">
      <c r="A759" s="1" t="s">
        <v>1545</v>
      </c>
      <c r="B759" s="1" t="n">
        <v>1893</v>
      </c>
      <c r="C759" s="1" t="n">
        <v>9</v>
      </c>
      <c r="D759" s="1" t="s">
        <v>38</v>
      </c>
      <c r="E759" s="1"/>
      <c r="F759" s="1"/>
      <c r="G759" s="1" t="n">
        <v>160</v>
      </c>
      <c r="H759" s="2" t="n">
        <v>665000</v>
      </c>
      <c r="I759" s="2" t="n">
        <f aca="false">(((H759 / 800) / IF(ISBLANK(R759), 1000000, IF(ISNA(VLOOKUP(R759, Mileages!$A$2:$C$34, 2, 0)), R759, VLOOKUP(R759, Mileages!$A$2:$C$34, 2, 0)))) + (F759 * IF(ISBLANK(P759), 1, P759) * IF(ISBLANK(T759), 0, IF(ISNA(VLOOKUP(T759, 'Fuel Costs'!$A$2:$C$42, 2, 0)), T759, VLOOKUP(T759, 'Fuel Costs'!$A$2:$C$42, 2, 0))) / IF(ISBLANK(O759), 1, O759))) * 100</f>
        <v>0.06927083333</v>
      </c>
      <c r="J759" s="2" t="n">
        <f aca="false">((H759 / 800) / (IF(ISBLANK(S759), 100, IF(ISNA(VLOOKUP(S759, Lives!$A$2:$C$35, 2, 0)), S759, VLOOKUP(S759, Lives!$A$2:$C$35, 2, 0))) * 12) + (IF(ISBLANK(Q759), 0, IF(ISNA(VLOOKUP(Q759, Wages!$A$2:$C$17, 2, 0)), Q759, VLOOKUP(Q759, Wages!$A$2:$C$17, 2, 0))) * IF(ISBLANK(N759), 0, IF(ISNA(VLOOKUP(N759, Crews!$A$2:$C$28, 2, 0)), N759, VLOOKUP(N759, Crews!$A$2:$C$28, 2, 0))))) * 400</f>
        <v>18791.66667</v>
      </c>
      <c r="K759" s="3" t="s">
        <v>1546</v>
      </c>
      <c r="L759" s="1" t="s">
        <v>1547</v>
      </c>
      <c r="M759" s="1" t="n">
        <v>0</v>
      </c>
      <c r="N759" s="1" t="s">
        <v>1481</v>
      </c>
      <c r="O759" s="1"/>
      <c r="P759" s="1"/>
      <c r="Q759" s="1" t="s">
        <v>1481</v>
      </c>
      <c r="R759" s="1" t="s">
        <v>689</v>
      </c>
      <c r="S759" s="1" t="s">
        <v>856</v>
      </c>
      <c r="T759" s="1"/>
    </row>
    <row r="760" customFormat="false" ht="15" hidden="false" customHeight="true" outlineLevel="0" collapsed="false">
      <c r="A760" s="1" t="s">
        <v>1548</v>
      </c>
      <c r="B760" s="1" t="n">
        <v>1893</v>
      </c>
      <c r="C760" s="1" t="n">
        <v>9</v>
      </c>
      <c r="D760" s="1" t="s">
        <v>38</v>
      </c>
      <c r="E760" s="1"/>
      <c r="F760" s="1"/>
      <c r="G760" s="1" t="n">
        <v>160</v>
      </c>
      <c r="H760" s="2" t="n">
        <v>600000</v>
      </c>
      <c r="I760" s="2" t="n">
        <f aca="false">(((H760 / 800) / IF(ISBLANK(R760), 1000000, IF(ISNA(VLOOKUP(R760, Mileages!$A$2:$C$34, 2, 0)), R760, VLOOKUP(R760, Mileages!$A$2:$C$34, 2, 0)))) + (F760 * IF(ISBLANK(P760), 1, P760) * IF(ISBLANK(T760), 0, IF(ISNA(VLOOKUP(T760, 'Fuel Costs'!$A$2:$C$42, 2, 0)), T760, VLOOKUP(T760, 'Fuel Costs'!$A$2:$C$42, 2, 0))) / IF(ISBLANK(O760), 1, O760))) * 100</f>
        <v>0.0625</v>
      </c>
      <c r="J760" s="2" t="n">
        <f aca="false">((H760 / 800) / (IF(ISBLANK(S760), 100, IF(ISNA(VLOOKUP(S760, Lives!$A$2:$C$35, 2, 0)), S760, VLOOKUP(S760, Lives!$A$2:$C$35, 2, 0))) * 12) + (IF(ISBLANK(Q760), 0, IF(ISNA(VLOOKUP(Q760, Wages!$A$2:$C$17, 2, 0)), Q760, VLOOKUP(Q760, Wages!$A$2:$C$17, 2, 0))) * IF(ISBLANK(N760), 0, IF(ISNA(VLOOKUP(N760, Crews!$A$2:$C$28, 2, 0)), N760, VLOOKUP(N760, Crews!$A$2:$C$28, 2, 0))))) * 400</f>
        <v>18714.28571</v>
      </c>
      <c r="K760" s="1" t="s">
        <v>1549</v>
      </c>
      <c r="L760" s="1" t="s">
        <v>1547</v>
      </c>
      <c r="M760" s="1" t="n">
        <v>1</v>
      </c>
      <c r="N760" s="1" t="s">
        <v>1481</v>
      </c>
      <c r="O760" s="1"/>
      <c r="P760" s="1"/>
      <c r="Q760" s="1" t="s">
        <v>1481</v>
      </c>
      <c r="R760" s="1" t="s">
        <v>689</v>
      </c>
      <c r="S760" s="1" t="s">
        <v>856</v>
      </c>
      <c r="T760" s="1"/>
    </row>
    <row r="761" customFormat="false" ht="15" hidden="false" customHeight="true" outlineLevel="0" collapsed="false">
      <c r="A761" s="1" t="s">
        <v>1550</v>
      </c>
      <c r="B761" s="1" t="n">
        <v>1893</v>
      </c>
      <c r="C761" s="1" t="n">
        <v>9</v>
      </c>
      <c r="D761" s="1" t="s">
        <v>157</v>
      </c>
      <c r="E761" s="1"/>
      <c r="F761" s="1"/>
      <c r="G761" s="1" t="n">
        <v>60</v>
      </c>
      <c r="H761" s="2" t="n">
        <v>575000</v>
      </c>
      <c r="I761" s="2" t="n">
        <f aca="false">(((H761 / 800) / IF(ISBLANK(R761), 1000000, IF(ISNA(VLOOKUP(R761, Mileages!$A$2:$C$34, 2, 0)), R761, VLOOKUP(R761, Mileages!$A$2:$C$34, 2, 0)))) + (F761 * IF(ISBLANK(P761), 1, P761) * IF(ISBLANK(T761), 0, IF(ISNA(VLOOKUP(T761, 'Fuel Costs'!$A$2:$C$42, 2, 0)), T761, VLOOKUP(T761, 'Fuel Costs'!$A$2:$C$42, 2, 0))) / IF(ISBLANK(O761), 1, O761))) * 100</f>
        <v>0.05989583333</v>
      </c>
      <c r="J761" s="2" t="n">
        <f aca="false">((H761 / 800) / (IF(ISBLANK(S761), 100, IF(ISNA(VLOOKUP(S761, Lives!$A$2:$C$35, 2, 0)), S761, VLOOKUP(S761, Lives!$A$2:$C$35, 2, 0))) * 12) + (IF(ISBLANK(Q761), 0, IF(ISNA(VLOOKUP(Q761, Wages!$A$2:$C$17, 2, 0)), Q761, VLOOKUP(Q761, Wages!$A$2:$C$17, 2, 0))) * IF(ISBLANK(N761), 0, IF(ISNA(VLOOKUP(N761, Crews!$A$2:$C$28, 2, 0)), N761, VLOOKUP(N761, Crews!$A$2:$C$28, 2, 0))))) * 400</f>
        <v>239.5833333</v>
      </c>
      <c r="K761" s="3" t="s">
        <v>1551</v>
      </c>
      <c r="L761" s="1" t="s">
        <v>1552</v>
      </c>
      <c r="M761" s="1" t="n">
        <v>0</v>
      </c>
      <c r="N761" s="1"/>
      <c r="O761" s="1"/>
      <c r="P761" s="1"/>
      <c r="Q761" s="1"/>
      <c r="R761" s="1" t="s">
        <v>689</v>
      </c>
      <c r="S761" s="1"/>
      <c r="T761" s="1"/>
    </row>
    <row r="762" customFormat="false" ht="15" hidden="false" customHeight="true" outlineLevel="0" collapsed="false">
      <c r="A762" s="1" t="s">
        <v>1553</v>
      </c>
      <c r="B762" s="1" t="n">
        <v>1894</v>
      </c>
      <c r="C762" s="1" t="n">
        <v>1</v>
      </c>
      <c r="D762" s="1" t="s">
        <v>38</v>
      </c>
      <c r="E762" s="1" t="s">
        <v>274</v>
      </c>
      <c r="F762" s="1" t="n">
        <v>211</v>
      </c>
      <c r="G762" s="1" t="n">
        <v>135</v>
      </c>
      <c r="H762" s="2" t="n">
        <v>13550000</v>
      </c>
      <c r="I762" s="2" t="n">
        <f aca="false">(((H762 / 800) / IF(ISBLANK(R762), 1000000, IF(ISNA(VLOOKUP(R762, Mileages!$A$2:$C$34, 2, 0)), R762, VLOOKUP(R762, Mileages!$A$2:$C$34, 2, 0)))) + (F762 * IF(ISBLANK(P762), 1, P762) * IF(ISBLANK(T762), 0, IF(ISNA(VLOOKUP(T762, 'Fuel Costs'!$A$2:$C$42, 2, 0)), T762, VLOOKUP(T762, 'Fuel Costs'!$A$2:$C$42, 2, 0))) / IF(ISBLANK(O762), 1, O762))) * 100</f>
        <v>142.3604167</v>
      </c>
      <c r="J762" s="2" t="n">
        <f aca="false">((H762 / 800) / (IF(ISBLANK(S762), 100, IF(ISNA(VLOOKUP(S762, Lives!$A$2:$C$35, 2, 0)), S762, VLOOKUP(S762, Lives!$A$2:$C$35, 2, 0))) * 12) + (IF(ISBLANK(Q762), 0, IF(ISNA(VLOOKUP(Q762, Wages!$A$2:$C$17, 2, 0)), Q762, VLOOKUP(Q762, Wages!$A$2:$C$17, 2, 0))) * IF(ISBLANK(N762), 0, IF(ISNA(VLOOKUP(N762, Crews!$A$2:$C$28, 2, 0)), N762, VLOOKUP(N762, Crews!$A$2:$C$28, 2, 0))))) * 400</f>
        <v>35291.66667</v>
      </c>
      <c r="K762" s="3" t="s">
        <v>1554</v>
      </c>
      <c r="L762" s="1" t="s">
        <v>1555</v>
      </c>
      <c r="M762" s="1" t="n">
        <v>0</v>
      </c>
      <c r="N762" s="1" t="s">
        <v>590</v>
      </c>
      <c r="O762" s="1" t="n">
        <v>0.6</v>
      </c>
      <c r="P762" s="1"/>
      <c r="Q762" s="5" t="s">
        <v>284</v>
      </c>
      <c r="R762" s="1" t="s">
        <v>677</v>
      </c>
      <c r="S762" s="1" t="s">
        <v>677</v>
      </c>
      <c r="T762" s="1" t="s">
        <v>923</v>
      </c>
    </row>
    <row r="763" customFormat="false" ht="15" hidden="false" customHeight="true" outlineLevel="0" collapsed="false">
      <c r="A763" s="1" t="s">
        <v>1556</v>
      </c>
      <c r="B763" s="1" t="n">
        <v>1894</v>
      </c>
      <c r="C763" s="1" t="n">
        <v>5</v>
      </c>
      <c r="D763" s="1" t="s">
        <v>38</v>
      </c>
      <c r="E763" s="1"/>
      <c r="F763" s="1"/>
      <c r="G763" s="1" t="n">
        <v>160</v>
      </c>
      <c r="H763" s="2" t="n">
        <v>703000</v>
      </c>
      <c r="I763" s="2" t="n">
        <f aca="false">(((H763 / 800) / IF(ISBLANK(R763), 1000000, IF(ISNA(VLOOKUP(R763, Mileages!$A$2:$C$34, 2, 0)), R763, VLOOKUP(R763, Mileages!$A$2:$C$34, 2, 0)))) + (F763 * IF(ISBLANK(P763), 1, P763) * IF(ISBLANK(T763), 0, IF(ISNA(VLOOKUP(T763, 'Fuel Costs'!$A$2:$C$42, 2, 0)), T763, VLOOKUP(T763, 'Fuel Costs'!$A$2:$C$42, 2, 0))) / IF(ISBLANK(O763), 1, O763))) * 100</f>
        <v>0.07322916667</v>
      </c>
      <c r="J763" s="2" t="n">
        <f aca="false">((H763 / 800) / (IF(ISBLANK(S763), 100, IF(ISNA(VLOOKUP(S763, Lives!$A$2:$C$35, 2, 0)), S763, VLOOKUP(S763, Lives!$A$2:$C$35, 2, 0))) * 12) + (IF(ISBLANK(Q763), 0, IF(ISNA(VLOOKUP(Q763, Wages!$A$2:$C$17, 2, 0)), Q763, VLOOKUP(Q763, Wages!$A$2:$C$17, 2, 0))) * IF(ISBLANK(N763), 0, IF(ISNA(VLOOKUP(N763, Crews!$A$2:$C$28, 2, 0)), N763, VLOOKUP(N763, Crews!$A$2:$C$28, 2, 0))))) * 400</f>
        <v>836.9047619</v>
      </c>
      <c r="K763" s="3" t="s">
        <v>1557</v>
      </c>
      <c r="L763" s="1" t="s">
        <v>1558</v>
      </c>
      <c r="M763" s="1" t="n">
        <v>0</v>
      </c>
      <c r="N763" s="1"/>
      <c r="O763" s="1"/>
      <c r="P763" s="1"/>
      <c r="Q763" s="1"/>
      <c r="R763" s="1" t="s">
        <v>689</v>
      </c>
      <c r="S763" s="1" t="s">
        <v>856</v>
      </c>
      <c r="T763" s="1"/>
    </row>
    <row r="764" customFormat="false" ht="15" hidden="false" customHeight="true" outlineLevel="0" collapsed="false">
      <c r="A764" s="1" t="s">
        <v>1559</v>
      </c>
      <c r="B764" s="1" t="n">
        <v>1894</v>
      </c>
      <c r="C764" s="1" t="n">
        <v>5</v>
      </c>
      <c r="D764" s="1" t="s">
        <v>38</v>
      </c>
      <c r="E764" s="1"/>
      <c r="F764" s="1"/>
      <c r="G764" s="1" t="n">
        <v>160</v>
      </c>
      <c r="H764" s="2" t="n">
        <v>703000</v>
      </c>
      <c r="I764" s="2" t="n">
        <f aca="false">(((H764 / 800) / IF(ISBLANK(R764), 1000000, IF(ISNA(VLOOKUP(R764, Mileages!$A$2:$C$34, 2, 0)), R764, VLOOKUP(R764, Mileages!$A$2:$C$34, 2, 0)))) + (F764 * IF(ISBLANK(P764), 1, P764) * IF(ISBLANK(T764), 0, IF(ISNA(VLOOKUP(T764, 'Fuel Costs'!$A$2:$C$42, 2, 0)), T764, VLOOKUP(T764, 'Fuel Costs'!$A$2:$C$42, 2, 0))) / IF(ISBLANK(O764), 1, O764))) * 100</f>
        <v>0.07322916667</v>
      </c>
      <c r="J764" s="2" t="n">
        <f aca="false">((H764 / 800) / (IF(ISBLANK(S764), 100, IF(ISNA(VLOOKUP(S764, Lives!$A$2:$C$35, 2, 0)), S764, VLOOKUP(S764, Lives!$A$2:$C$35, 2, 0))) * 12) + (IF(ISBLANK(Q764), 0, IF(ISNA(VLOOKUP(Q764, Wages!$A$2:$C$17, 2, 0)), Q764, VLOOKUP(Q764, Wages!$A$2:$C$17, 2, 0))) * IF(ISBLANK(N764), 0, IF(ISNA(VLOOKUP(N764, Crews!$A$2:$C$28, 2, 0)), N764, VLOOKUP(N764, Crews!$A$2:$C$28, 2, 0))))) * 400</f>
        <v>5636.904762</v>
      </c>
      <c r="K764" s="1"/>
      <c r="L764" s="1" t="s">
        <v>1558</v>
      </c>
      <c r="M764" s="1" t="n">
        <v>1</v>
      </c>
      <c r="N764" s="1" t="s">
        <v>25</v>
      </c>
      <c r="O764" s="1"/>
      <c r="P764" s="1"/>
      <c r="Q764" s="1" t="s">
        <v>378</v>
      </c>
      <c r="R764" s="1" t="s">
        <v>689</v>
      </c>
      <c r="S764" s="1" t="s">
        <v>856</v>
      </c>
      <c r="T764" s="1"/>
    </row>
    <row r="765" customFormat="false" ht="15" hidden="false" customHeight="true" outlineLevel="0" collapsed="false">
      <c r="A765" s="1" t="s">
        <v>1560</v>
      </c>
      <c r="B765" s="1" t="n">
        <v>1894</v>
      </c>
      <c r="C765" s="1" t="n">
        <v>5</v>
      </c>
      <c r="D765" s="1" t="s">
        <v>38</v>
      </c>
      <c r="E765" s="1"/>
      <c r="F765" s="1"/>
      <c r="G765" s="1" t="n">
        <v>160</v>
      </c>
      <c r="H765" s="2" t="n">
        <v>703000</v>
      </c>
      <c r="I765" s="2" t="n">
        <f aca="false">(((H765 / 800) / IF(ISBLANK(R765), 1000000, IF(ISNA(VLOOKUP(R765, Mileages!$A$2:$C$34, 2, 0)), R765, VLOOKUP(R765, Mileages!$A$2:$C$34, 2, 0)))) + (F765 * IF(ISBLANK(P765), 1, P765) * IF(ISBLANK(T765), 0, IF(ISNA(VLOOKUP(T765, 'Fuel Costs'!$A$2:$C$42, 2, 0)), T765, VLOOKUP(T765, 'Fuel Costs'!$A$2:$C$42, 2, 0))) / IF(ISBLANK(O765), 1, O765))) * 100</f>
        <v>0.07322916667</v>
      </c>
      <c r="J765" s="2" t="n">
        <f aca="false">((H765 / 800) / (IF(ISBLANK(S765), 100, IF(ISNA(VLOOKUP(S765, Lives!$A$2:$C$35, 2, 0)), S765, VLOOKUP(S765, Lives!$A$2:$C$35, 2, 0))) * 12) + (IF(ISBLANK(Q765), 0, IF(ISNA(VLOOKUP(Q765, Wages!$A$2:$C$17, 2, 0)), Q765, VLOOKUP(Q765, Wages!$A$2:$C$17, 2, 0))) * IF(ISBLANK(N765), 0, IF(ISNA(VLOOKUP(N765, Crews!$A$2:$C$28, 2, 0)), N765, VLOOKUP(N765, Crews!$A$2:$C$28, 2, 0))))) * 400</f>
        <v>5636.904762</v>
      </c>
      <c r="K765" s="1"/>
      <c r="L765" s="1" t="s">
        <v>1558</v>
      </c>
      <c r="M765" s="1" t="n">
        <v>2</v>
      </c>
      <c r="N765" s="1" t="s">
        <v>25</v>
      </c>
      <c r="O765" s="1"/>
      <c r="P765" s="1"/>
      <c r="Q765" s="1" t="s">
        <v>378</v>
      </c>
      <c r="R765" s="1" t="s">
        <v>689</v>
      </c>
      <c r="S765" s="1" t="s">
        <v>856</v>
      </c>
      <c r="T765" s="1"/>
    </row>
    <row r="766" customFormat="false" ht="15" hidden="false" customHeight="true" outlineLevel="0" collapsed="false">
      <c r="A766" s="1" t="s">
        <v>1561</v>
      </c>
      <c r="B766" s="1" t="n">
        <v>1894</v>
      </c>
      <c r="C766" s="1" t="n">
        <v>7</v>
      </c>
      <c r="D766" s="1" t="s">
        <v>38</v>
      </c>
      <c r="E766" s="1" t="s">
        <v>274</v>
      </c>
      <c r="F766" s="1" t="n">
        <v>281</v>
      </c>
      <c r="G766" s="1" t="n">
        <v>100</v>
      </c>
      <c r="H766" s="2" t="n">
        <v>4435200</v>
      </c>
      <c r="I766" s="2" t="n">
        <f aca="false">(((H766 / 800) / IF(ISBLANK(R766), 1000000, IF(ISNA(VLOOKUP(R766, Mileages!$A$2:$C$34, 2, 0)), R766, VLOOKUP(R766, Mileages!$A$2:$C$34, 2, 0)))) + (F766 * IF(ISBLANK(P766), 1, P766) * IF(ISBLANK(T766), 0, IF(ISNA(VLOOKUP(T766, 'Fuel Costs'!$A$2:$C$42, 2, 0)), T766, VLOOKUP(T766, 'Fuel Costs'!$A$2:$C$42, 2, 0))) / IF(ISBLANK(O766), 1, O766))) * 100</f>
        <v>187.8877333</v>
      </c>
      <c r="J766" s="2" t="n">
        <f aca="false">((H766 / 800) / (IF(ISBLANK(S766), 100, IF(ISNA(VLOOKUP(S766, Lives!$A$2:$C$35, 2, 0)), S766, VLOOKUP(S766, Lives!$A$2:$C$35, 2, 0))) * 12) + (IF(ISBLANK(Q766), 0, IF(ISNA(VLOOKUP(Q766, Wages!$A$2:$C$17, 2, 0)), Q766, VLOOKUP(Q766, Wages!$A$2:$C$17, 2, 0))) * IF(ISBLANK(N766), 0, IF(ISNA(VLOOKUP(N766, Crews!$A$2:$C$28, 2, 0)), N766, VLOOKUP(N766, Crews!$A$2:$C$28, 2, 0))))) * 400</f>
        <v>27696</v>
      </c>
      <c r="K766" s="3" t="s">
        <v>1562</v>
      </c>
      <c r="L766" s="1" t="s">
        <v>1563</v>
      </c>
      <c r="M766" s="1" t="n">
        <v>0</v>
      </c>
      <c r="N766" s="1" t="s">
        <v>590</v>
      </c>
      <c r="O766" s="1" t="n">
        <v>0.6</v>
      </c>
      <c r="P766" s="1"/>
      <c r="Q766" s="5" t="s">
        <v>284</v>
      </c>
      <c r="R766" s="1" t="s">
        <v>677</v>
      </c>
      <c r="S766" s="1" t="s">
        <v>677</v>
      </c>
      <c r="T766" s="1" t="s">
        <v>923</v>
      </c>
    </row>
    <row r="767" customFormat="false" ht="15" hidden="false" customHeight="true" outlineLevel="0" collapsed="false">
      <c r="A767" s="1" t="s">
        <v>1564</v>
      </c>
      <c r="B767" s="1" t="n">
        <v>1894</v>
      </c>
      <c r="C767" s="1" t="n">
        <v>7</v>
      </c>
      <c r="D767" s="1" t="s">
        <v>38</v>
      </c>
      <c r="E767" s="1" t="s">
        <v>274</v>
      </c>
      <c r="F767" s="1"/>
      <c r="G767" s="1" t="n">
        <v>100</v>
      </c>
      <c r="H767" s="2" t="n">
        <v>0</v>
      </c>
      <c r="I767" s="2" t="n">
        <f aca="false">(((H767 / 800) / IF(ISBLANK(R767), 1000000, IF(ISNA(VLOOKUP(R767, Mileages!$A$2:$C$34, 2, 0)), R767, VLOOKUP(R767, Mileages!$A$2:$C$34, 2, 0)))) + (F767 * IF(ISBLANK(P767), 1, P767) * IF(ISBLANK(T767), 0, IF(ISNA(VLOOKUP(T767, 'Fuel Costs'!$A$2:$C$42, 2, 0)), T767, VLOOKUP(T767, 'Fuel Costs'!$A$2:$C$42, 2, 0))) / IF(ISBLANK(O767), 1, O767))) * 100</f>
        <v>0</v>
      </c>
      <c r="J767" s="2" t="n">
        <f aca="false">((H767 / 800) / (IF(ISBLANK(S767), 100, IF(ISNA(VLOOKUP(S767, Lives!$A$2:$C$35, 2, 0)), S767, VLOOKUP(S767, Lives!$A$2:$C$35, 2, 0))) * 12) + (IF(ISBLANK(Q767), 0, IF(ISNA(VLOOKUP(Q767, Wages!$A$2:$C$17, 2, 0)), Q767, VLOOKUP(Q767, Wages!$A$2:$C$17, 2, 0))) * IF(ISBLANK(N767), 0, IF(ISNA(VLOOKUP(N767, Crews!$A$2:$C$28, 2, 0)), N767, VLOOKUP(N767, Crews!$A$2:$C$28, 2, 0))))) * 400</f>
        <v>0</v>
      </c>
      <c r="K767" s="1" t="s">
        <v>1565</v>
      </c>
      <c r="L767" s="1" t="s">
        <v>1566</v>
      </c>
      <c r="M767" s="1" t="n">
        <v>0</v>
      </c>
      <c r="N767" s="1"/>
      <c r="O767" s="1"/>
      <c r="P767" s="1"/>
      <c r="Q767" s="1"/>
      <c r="R767" s="1"/>
      <c r="S767" s="1"/>
      <c r="T767" s="1"/>
    </row>
    <row r="768" customFormat="false" ht="15" hidden="false" customHeight="true" outlineLevel="0" collapsed="false">
      <c r="A768" s="1" t="s">
        <v>1567</v>
      </c>
      <c r="B768" s="1" t="n">
        <v>1894</v>
      </c>
      <c r="C768" s="1" t="n">
        <v>10</v>
      </c>
      <c r="D768" s="1" t="s">
        <v>38</v>
      </c>
      <c r="E768" s="1" t="s">
        <v>274</v>
      </c>
      <c r="F768" s="1"/>
      <c r="G768" s="1" t="n">
        <v>85</v>
      </c>
      <c r="H768" s="2" t="n">
        <v>0</v>
      </c>
      <c r="I768" s="2" t="n">
        <f aca="false">(((H768 / 800) / IF(ISBLANK(R768), 1000000, IF(ISNA(VLOOKUP(R768, Mileages!$A$2:$C$34, 2, 0)), R768, VLOOKUP(R768, Mileages!$A$2:$C$34, 2, 0)))) + (F768 * IF(ISBLANK(P768), 1, P768) * IF(ISBLANK(T768), 0, IF(ISNA(VLOOKUP(T768, 'Fuel Costs'!$A$2:$C$42, 2, 0)), T768, VLOOKUP(T768, 'Fuel Costs'!$A$2:$C$42, 2, 0))) / IF(ISBLANK(O768), 1, O768))) * 100</f>
        <v>0</v>
      </c>
      <c r="J768" s="2" t="n">
        <f aca="false">((H768 / 800) / (IF(ISBLANK(S768), 100, IF(ISNA(VLOOKUP(S768, Lives!$A$2:$C$35, 2, 0)), S768, VLOOKUP(S768, Lives!$A$2:$C$35, 2, 0))) * 12) + (IF(ISBLANK(Q768), 0, IF(ISNA(VLOOKUP(Q768, Wages!$A$2:$C$17, 2, 0)), Q768, VLOOKUP(Q768, Wages!$A$2:$C$17, 2, 0))) * IF(ISBLANK(N768), 0, IF(ISNA(VLOOKUP(N768, Crews!$A$2:$C$28, 2, 0)), N768, VLOOKUP(N768, Crews!$A$2:$C$28, 2, 0))))) * 400</f>
        <v>0</v>
      </c>
      <c r="K768" s="1"/>
      <c r="L768" s="1" t="s">
        <v>1568</v>
      </c>
      <c r="M768" s="1" t="n">
        <v>0</v>
      </c>
      <c r="N768" s="1"/>
      <c r="O768" s="1"/>
      <c r="P768" s="1"/>
      <c r="Q768" s="1"/>
      <c r="R768" s="1"/>
      <c r="S768" s="1"/>
      <c r="T768" s="1"/>
    </row>
    <row r="769" customFormat="false" ht="15" hidden="false" customHeight="true" outlineLevel="0" collapsed="false">
      <c r="A769" s="1" t="s">
        <v>1569</v>
      </c>
      <c r="B769" s="1" t="n">
        <v>1894</v>
      </c>
      <c r="C769" s="1" t="n">
        <v>10</v>
      </c>
      <c r="D769" s="1" t="s">
        <v>38</v>
      </c>
      <c r="E769" s="1" t="s">
        <v>274</v>
      </c>
      <c r="F769" s="1" t="n">
        <v>257</v>
      </c>
      <c r="G769" s="1" t="n">
        <v>85</v>
      </c>
      <c r="H769" s="2" t="n">
        <v>6336000</v>
      </c>
      <c r="I769" s="2" t="n">
        <f aca="false">(((H769 / 800) / IF(ISBLANK(R769), 1000000, IF(ISNA(VLOOKUP(R769, Mileages!$A$2:$C$34, 2, 0)), R769, VLOOKUP(R769, Mileages!$A$2:$C$34, 2, 0)))) + (F769 * IF(ISBLANK(P769), 1, P769) * IF(ISBLANK(T769), 0, IF(ISNA(VLOOKUP(T769, 'Fuel Costs'!$A$2:$C$42, 2, 0)), T769, VLOOKUP(T769, 'Fuel Costs'!$A$2:$C$42, 2, 0))) / IF(ISBLANK(O769), 1, O769))) * 100</f>
        <v>172.1253333</v>
      </c>
      <c r="J769" s="2" t="n">
        <f aca="false">((H769 / 800) / (IF(ISBLANK(S769), 100, IF(ISNA(VLOOKUP(S769, Lives!$A$2:$C$35, 2, 0)), S769, VLOOKUP(S769, Lives!$A$2:$C$35, 2, 0))) * 12) + (IF(ISBLANK(Q769), 0, IF(ISNA(VLOOKUP(Q769, Wages!$A$2:$C$17, 2, 0)), Q769, VLOOKUP(Q769, Wages!$A$2:$C$17, 2, 0))) * IF(ISBLANK(N769), 0, IF(ISNA(VLOOKUP(N769, Crews!$A$2:$C$28, 2, 0)), N769, VLOOKUP(N769, Crews!$A$2:$C$28, 2, 0))))) * 400</f>
        <v>29280</v>
      </c>
      <c r="K769" s="3" t="s">
        <v>1570</v>
      </c>
      <c r="L769" s="1" t="s">
        <v>1571</v>
      </c>
      <c r="M769" s="1" t="n">
        <v>0</v>
      </c>
      <c r="N769" s="1" t="s">
        <v>590</v>
      </c>
      <c r="O769" s="1" t="n">
        <v>0.6</v>
      </c>
      <c r="P769" s="1"/>
      <c r="Q769" s="5" t="s">
        <v>284</v>
      </c>
      <c r="R769" s="1" t="s">
        <v>677</v>
      </c>
      <c r="S769" s="1" t="s">
        <v>677</v>
      </c>
      <c r="T769" s="1" t="s">
        <v>923</v>
      </c>
    </row>
    <row r="770" customFormat="false" ht="15" hidden="false" customHeight="true" outlineLevel="0" collapsed="false">
      <c r="A770" s="1" t="s">
        <v>1572</v>
      </c>
      <c r="B770" s="1" t="n">
        <v>1895</v>
      </c>
      <c r="C770" s="1" t="n">
        <v>1</v>
      </c>
      <c r="D770" s="1" t="s">
        <v>38</v>
      </c>
      <c r="E770" s="1"/>
      <c r="F770" s="1"/>
      <c r="G770" s="1" t="n">
        <v>160</v>
      </c>
      <c r="H770" s="2" t="n">
        <v>520000</v>
      </c>
      <c r="I770" s="2" t="n">
        <f aca="false">(((H770 / 800) / IF(ISBLANK(R770), 1000000, IF(ISNA(VLOOKUP(R770, Mileages!$A$2:$C$34, 2, 0)), R770, VLOOKUP(R770, Mileages!$A$2:$C$34, 2, 0)))) + (F770 * IF(ISBLANK(P770), 1, P770) * IF(ISBLANK(T770), 0, IF(ISNA(VLOOKUP(T770, 'Fuel Costs'!$A$2:$C$42, 2, 0)), T770, VLOOKUP(T770, 'Fuel Costs'!$A$2:$C$42, 2, 0))) / IF(ISBLANK(O770), 1, O770))) * 100</f>
        <v>0.05416666667</v>
      </c>
      <c r="J770" s="2" t="n">
        <f aca="false">((H770 / 800) / (IF(ISBLANK(S770), 100, IF(ISNA(VLOOKUP(S770, Lives!$A$2:$C$35, 2, 0)), S770, VLOOKUP(S770, Lives!$A$2:$C$35, 2, 0))) * 12) + (IF(ISBLANK(Q770), 0, IF(ISNA(VLOOKUP(Q770, Wages!$A$2:$C$17, 2, 0)), Q770, VLOOKUP(Q770, Wages!$A$2:$C$17, 2, 0))) * IF(ISBLANK(N770), 0, IF(ISNA(VLOOKUP(N770, Crews!$A$2:$C$28, 2, 0)), N770, VLOOKUP(N770, Crews!$A$2:$C$28, 2, 0))))) * 400</f>
        <v>619.047619</v>
      </c>
      <c r="K770" s="1" t="s">
        <v>1573</v>
      </c>
      <c r="L770" s="1" t="s">
        <v>1574</v>
      </c>
      <c r="M770" s="1" t="n">
        <v>0</v>
      </c>
      <c r="N770" s="1"/>
      <c r="O770" s="1"/>
      <c r="P770" s="1"/>
      <c r="Q770" s="1"/>
      <c r="R770" s="1" t="s">
        <v>689</v>
      </c>
      <c r="S770" s="1" t="s">
        <v>856</v>
      </c>
      <c r="T770" s="1"/>
    </row>
    <row r="771" customFormat="false" ht="15" hidden="false" customHeight="true" outlineLevel="0" collapsed="false">
      <c r="A771" s="1" t="s">
        <v>1575</v>
      </c>
      <c r="B771" s="1" t="n">
        <v>1895</v>
      </c>
      <c r="C771" s="1" t="n">
        <v>3</v>
      </c>
      <c r="D771" s="1" t="s">
        <v>38</v>
      </c>
      <c r="E771" s="1" t="s">
        <v>274</v>
      </c>
      <c r="F771" s="1" t="n">
        <v>208</v>
      </c>
      <c r="G771" s="1" t="n">
        <v>96</v>
      </c>
      <c r="H771" s="2" t="n">
        <v>3700000</v>
      </c>
      <c r="I771" s="2" t="n">
        <f aca="false">(((H771 / 800) / IF(ISBLANK(R771), 1000000, IF(ISNA(VLOOKUP(R771, Mileages!$A$2:$C$34, 2, 0)), R771, VLOOKUP(R771, Mileages!$A$2:$C$34, 2, 0)))) + (F771 * IF(ISBLANK(P771), 1, P771) * IF(ISBLANK(T771), 0, IF(ISNA(VLOOKUP(T771, 'Fuel Costs'!$A$2:$C$42, 2, 0)), T771, VLOOKUP(T771, 'Fuel Costs'!$A$2:$C$42, 2, 0))) / IF(ISBLANK(O771), 1, O771))) * 100</f>
        <v>119.3196429</v>
      </c>
      <c r="J771" s="2" t="n">
        <f aca="false">((H771 / 800) / (IF(ISBLANK(S771), 100, IF(ISNA(VLOOKUP(S771, Lives!$A$2:$C$35, 2, 0)), S771, VLOOKUP(S771, Lives!$A$2:$C$35, 2, 0))) * 12) + (IF(ISBLANK(Q771), 0, IF(ISNA(VLOOKUP(Q771, Wages!$A$2:$C$17, 2, 0)), Q771, VLOOKUP(Q771, Wages!$A$2:$C$17, 2, 0))) * IF(ISBLANK(N771), 0, IF(ISNA(VLOOKUP(N771, Crews!$A$2:$C$28, 2, 0)), N771, VLOOKUP(N771, Crews!$A$2:$C$28, 2, 0))))) * 400</f>
        <v>27083.33333</v>
      </c>
      <c r="K771" s="3" t="s">
        <v>1576</v>
      </c>
      <c r="L771" s="1" t="s">
        <v>1577</v>
      </c>
      <c r="M771" s="1" t="n">
        <v>0</v>
      </c>
      <c r="N771" s="1" t="s">
        <v>590</v>
      </c>
      <c r="O771" s="1" t="n">
        <v>0.7</v>
      </c>
      <c r="P771" s="1"/>
      <c r="Q771" s="5" t="s">
        <v>284</v>
      </c>
      <c r="R771" s="1" t="s">
        <v>677</v>
      </c>
      <c r="S771" s="1" t="s">
        <v>677</v>
      </c>
      <c r="T771" s="1" t="s">
        <v>923</v>
      </c>
    </row>
    <row r="772" customFormat="false" ht="15" hidden="false" customHeight="true" outlineLevel="0" collapsed="false">
      <c r="A772" s="1" t="s">
        <v>1578</v>
      </c>
      <c r="B772" s="1" t="n">
        <v>1895</v>
      </c>
      <c r="C772" s="1" t="n">
        <v>5</v>
      </c>
      <c r="D772" s="1" t="s">
        <v>38</v>
      </c>
      <c r="E772" s="1"/>
      <c r="F772" s="1"/>
      <c r="G772" s="1" t="n">
        <v>160</v>
      </c>
      <c r="H772" s="2" t="n">
        <v>390000</v>
      </c>
      <c r="I772" s="2" t="n">
        <f aca="false">(((H772 / 800) / IF(ISBLANK(R772), 1000000, IF(ISNA(VLOOKUP(R772, Mileages!$A$2:$C$34, 2, 0)), R772, VLOOKUP(R772, Mileages!$A$2:$C$34, 2, 0)))) + (F772 * IF(ISBLANK(P772), 1, P772) * IF(ISBLANK(T772), 0, IF(ISNA(VLOOKUP(T772, 'Fuel Costs'!$A$2:$C$42, 2, 0)), T772, VLOOKUP(T772, 'Fuel Costs'!$A$2:$C$42, 2, 0))) / IF(ISBLANK(O772), 1, O772))) * 100</f>
        <v>0.040625</v>
      </c>
      <c r="J772" s="2" t="n">
        <f aca="false">((H772 / 800) / (IF(ISBLANK(S772), 100, IF(ISNA(VLOOKUP(S772, Lives!$A$2:$C$35, 2, 0)), S772, VLOOKUP(S772, Lives!$A$2:$C$35, 2, 0))) * 12) + (IF(ISBLANK(Q772), 0, IF(ISNA(VLOOKUP(Q772, Wages!$A$2:$C$17, 2, 0)), Q772, VLOOKUP(Q772, Wages!$A$2:$C$17, 2, 0))) * IF(ISBLANK(N772), 0, IF(ISNA(VLOOKUP(N772, Crews!$A$2:$C$28, 2, 0)), N772, VLOOKUP(N772, Crews!$A$2:$C$28, 2, 0))))) * 400</f>
        <v>5264.285714</v>
      </c>
      <c r="K772" s="1" t="s">
        <v>1579</v>
      </c>
      <c r="L772" s="1" t="s">
        <v>1528</v>
      </c>
      <c r="M772" s="1" t="n">
        <v>1</v>
      </c>
      <c r="N772" s="1" t="s">
        <v>25</v>
      </c>
      <c r="O772" s="1"/>
      <c r="P772" s="1"/>
      <c r="Q772" s="1" t="s">
        <v>378</v>
      </c>
      <c r="R772" s="1" t="s">
        <v>689</v>
      </c>
      <c r="S772" s="1" t="s">
        <v>856</v>
      </c>
      <c r="T772" s="1"/>
    </row>
    <row r="773" customFormat="false" ht="15" hidden="false" customHeight="true" outlineLevel="0" collapsed="false">
      <c r="A773" s="1" t="s">
        <v>1580</v>
      </c>
      <c r="B773" s="1" t="n">
        <v>1895</v>
      </c>
      <c r="C773" s="1" t="n">
        <v>5</v>
      </c>
      <c r="D773" s="1" t="s">
        <v>38</v>
      </c>
      <c r="E773" s="1"/>
      <c r="F773" s="1"/>
      <c r="G773" s="1" t="n">
        <v>160</v>
      </c>
      <c r="H773" s="2" t="n">
        <v>390000</v>
      </c>
      <c r="I773" s="2" t="n">
        <f aca="false">(((H773 / 800) / IF(ISBLANK(R773), 1000000, IF(ISNA(VLOOKUP(R773, Mileages!$A$2:$C$34, 2, 0)), R773, VLOOKUP(R773, Mileages!$A$2:$C$34, 2, 0)))) + (F773 * IF(ISBLANK(P773), 1, P773) * IF(ISBLANK(T773), 0, IF(ISNA(VLOOKUP(T773, 'Fuel Costs'!$A$2:$C$42, 2, 0)), T773, VLOOKUP(T773, 'Fuel Costs'!$A$2:$C$42, 2, 0))) / IF(ISBLANK(O773), 1, O773))) * 100</f>
        <v>0.040625</v>
      </c>
      <c r="J773" s="2" t="n">
        <f aca="false">((H773 / 800) / (IF(ISBLANK(S773), 100, IF(ISNA(VLOOKUP(S773, Lives!$A$2:$C$35, 2, 0)), S773, VLOOKUP(S773, Lives!$A$2:$C$35, 2, 0))) * 12) + (IF(ISBLANK(Q773), 0, IF(ISNA(VLOOKUP(Q773, Wages!$A$2:$C$17, 2, 0)), Q773, VLOOKUP(Q773, Wages!$A$2:$C$17, 2, 0))) * IF(ISBLANK(N773), 0, IF(ISNA(VLOOKUP(N773, Crews!$A$2:$C$28, 2, 0)), N773, VLOOKUP(N773, Crews!$A$2:$C$28, 2, 0))))) * 400</f>
        <v>464.2857143</v>
      </c>
      <c r="K773" s="1" t="s">
        <v>1581</v>
      </c>
      <c r="L773" s="1" t="s">
        <v>1528</v>
      </c>
      <c r="M773" s="1" t="n">
        <v>2</v>
      </c>
      <c r="N773" s="1"/>
      <c r="O773" s="1"/>
      <c r="P773" s="1"/>
      <c r="Q773" s="1"/>
      <c r="R773" s="1" t="s">
        <v>689</v>
      </c>
      <c r="S773" s="1" t="s">
        <v>856</v>
      </c>
      <c r="T773" s="1"/>
    </row>
    <row r="774" customFormat="false" ht="15" hidden="false" customHeight="true" outlineLevel="0" collapsed="false">
      <c r="A774" s="1" t="s">
        <v>1582</v>
      </c>
      <c r="B774" s="1" t="n">
        <v>1895</v>
      </c>
      <c r="C774" s="1" t="n">
        <v>5</v>
      </c>
      <c r="D774" s="1" t="s">
        <v>38</v>
      </c>
      <c r="E774" s="1"/>
      <c r="F774" s="1"/>
      <c r="G774" s="1" t="n">
        <v>160</v>
      </c>
      <c r="H774" s="2" t="n">
        <v>390000</v>
      </c>
      <c r="I774" s="2" t="n">
        <f aca="false">(((H774 / 800) / IF(ISBLANK(R774), 1000000, IF(ISNA(VLOOKUP(R774, Mileages!$A$2:$C$34, 2, 0)), R774, VLOOKUP(R774, Mileages!$A$2:$C$34, 2, 0)))) + (F774 * IF(ISBLANK(P774), 1, P774) * IF(ISBLANK(T774), 0, IF(ISNA(VLOOKUP(T774, 'Fuel Costs'!$A$2:$C$42, 2, 0)), T774, VLOOKUP(T774, 'Fuel Costs'!$A$2:$C$42, 2, 0))) / IF(ISBLANK(O774), 1, O774))) * 100</f>
        <v>0.040625</v>
      </c>
      <c r="J774" s="2" t="n">
        <f aca="false">((H774 / 800) / (IF(ISBLANK(S774), 100, IF(ISNA(VLOOKUP(S774, Lives!$A$2:$C$35, 2, 0)), S774, VLOOKUP(S774, Lives!$A$2:$C$35, 2, 0))) * 12) + (IF(ISBLANK(Q774), 0, IF(ISNA(VLOOKUP(Q774, Wages!$A$2:$C$17, 2, 0)), Q774, VLOOKUP(Q774, Wages!$A$2:$C$17, 2, 0))) * IF(ISBLANK(N774), 0, IF(ISNA(VLOOKUP(N774, Crews!$A$2:$C$28, 2, 0)), N774, VLOOKUP(N774, Crews!$A$2:$C$28, 2, 0))))) * 400</f>
        <v>5264.285714</v>
      </c>
      <c r="K774" s="1" t="s">
        <v>1579</v>
      </c>
      <c r="L774" s="1" t="s">
        <v>1528</v>
      </c>
      <c r="M774" s="1" t="n">
        <v>5</v>
      </c>
      <c r="N774" s="1" t="s">
        <v>25</v>
      </c>
      <c r="O774" s="1"/>
      <c r="P774" s="1"/>
      <c r="Q774" s="1" t="s">
        <v>378</v>
      </c>
      <c r="R774" s="1" t="s">
        <v>689</v>
      </c>
      <c r="S774" s="1" t="s">
        <v>856</v>
      </c>
      <c r="T774" s="1"/>
    </row>
    <row r="775" customFormat="false" ht="15" hidden="false" customHeight="true" outlineLevel="0" collapsed="false">
      <c r="A775" s="1" t="s">
        <v>1583</v>
      </c>
      <c r="B775" s="1" t="n">
        <v>1895</v>
      </c>
      <c r="C775" s="1" t="n">
        <v>6</v>
      </c>
      <c r="D775" s="1" t="s">
        <v>876</v>
      </c>
      <c r="E775" s="1" t="s">
        <v>1346</v>
      </c>
      <c r="F775" s="1" t="n">
        <v>30</v>
      </c>
      <c r="G775" s="1" t="n">
        <v>32</v>
      </c>
      <c r="H775" s="2" t="n">
        <v>325000</v>
      </c>
      <c r="I775" s="2" t="n">
        <f aca="false">(((H775 / 800) / IF(ISBLANK(R775), 1000000, IF(ISNA(VLOOKUP(R775, Mileages!$A$2:$C$34, 2, 0)), R775, VLOOKUP(R775, Mileages!$A$2:$C$34, 2, 0)))) + (F775 * IF(ISBLANK(P775), 1, P775) * IF(ISBLANK(T775), 0, IF(ISNA(VLOOKUP(T775, 'Fuel Costs'!$A$2:$C$42, 2, 0)), T775, VLOOKUP(T775, 'Fuel Costs'!$A$2:$C$42, 2, 0))) / IF(ISBLANK(O775), 1, O775))) * 100</f>
        <v>18.040625</v>
      </c>
      <c r="J775" s="2" t="n">
        <f aca="false">((H775 / 800) / (IF(ISBLANK(S775), 100, IF(ISNA(VLOOKUP(S775, Lives!$A$2:$C$35, 2, 0)), S775, VLOOKUP(S775, Lives!$A$2:$C$35, 2, 0))) * 12) + (IF(ISBLANK(Q775), 0, IF(ISNA(VLOOKUP(Q775, Wages!$A$2:$C$17, 2, 0)), Q775, VLOOKUP(Q775, Wages!$A$2:$C$17, 2, 0))) * IF(ISBLANK(N775), 0, IF(ISNA(VLOOKUP(N775, Crews!$A$2:$C$28, 2, 0)), N775, VLOOKUP(N775, Crews!$A$2:$C$28, 2, 0))))) * 400</f>
        <v>6270.833333</v>
      </c>
      <c r="K775" s="1" t="s">
        <v>1468</v>
      </c>
      <c r="L775" s="1" t="s">
        <v>1584</v>
      </c>
      <c r="M775" s="1" t="n">
        <v>0</v>
      </c>
      <c r="N775" s="1" t="s">
        <v>895</v>
      </c>
      <c r="O775" s="1"/>
      <c r="P775" s="1"/>
      <c r="Q775" s="1" t="s">
        <v>895</v>
      </c>
      <c r="R775" s="1" t="s">
        <v>1349</v>
      </c>
      <c r="S775" s="1" t="s">
        <v>1350</v>
      </c>
      <c r="T775" s="1" t="s">
        <v>1351</v>
      </c>
    </row>
    <row r="776" customFormat="false" ht="15" hidden="false" customHeight="true" outlineLevel="0" collapsed="false">
      <c r="A776" s="1" t="s">
        <v>1585</v>
      </c>
      <c r="B776" s="1" t="n">
        <v>1895</v>
      </c>
      <c r="C776" s="1" t="n">
        <v>6</v>
      </c>
      <c r="D776" s="1" t="s">
        <v>38</v>
      </c>
      <c r="E776" s="1" t="s">
        <v>274</v>
      </c>
      <c r="F776" s="1" t="n">
        <v>230</v>
      </c>
      <c r="G776" s="1" t="n">
        <v>130</v>
      </c>
      <c r="H776" s="2" t="n">
        <v>5900000</v>
      </c>
      <c r="I776" s="2" t="n">
        <f aca="false">(((H776 / 800) / IF(ISBLANK(R776), 1000000, IF(ISNA(VLOOKUP(R776, Mileages!$A$2:$C$34, 2, 0)), R776, VLOOKUP(R776, Mileages!$A$2:$C$34, 2, 0)))) + (F776 * IF(ISBLANK(P776), 1, P776) * IF(ISBLANK(T776), 0, IF(ISNA(VLOOKUP(T776, 'Fuel Costs'!$A$2:$C$42, 2, 0)), T776, VLOOKUP(T776, 'Fuel Costs'!$A$2:$C$42, 2, 0))) / IF(ISBLANK(O776), 1, O776))) * 100</f>
        <v>154.0708333</v>
      </c>
      <c r="J776" s="2" t="n">
        <f aca="false">((H776 / 800) / (IF(ISBLANK(S776), 100, IF(ISNA(VLOOKUP(S776, Lives!$A$2:$C$35, 2, 0)), S776, VLOOKUP(S776, Lives!$A$2:$C$35, 2, 0))) * 12) + (IF(ISBLANK(Q776), 0, IF(ISNA(VLOOKUP(Q776, Wages!$A$2:$C$17, 2, 0)), Q776, VLOOKUP(Q776, Wages!$A$2:$C$17, 2, 0))) * IF(ISBLANK(N776), 0, IF(ISNA(VLOOKUP(N776, Crews!$A$2:$C$28, 2, 0)), N776, VLOOKUP(N776, Crews!$A$2:$C$28, 2, 0))))) * 400</f>
        <v>28916.66667</v>
      </c>
      <c r="K776" s="3" t="s">
        <v>1586</v>
      </c>
      <c r="L776" s="1" t="s">
        <v>1587</v>
      </c>
      <c r="M776" s="1" t="n">
        <v>0</v>
      </c>
      <c r="N776" s="1" t="s">
        <v>590</v>
      </c>
      <c r="O776" s="1" t="n">
        <v>0.6</v>
      </c>
      <c r="P776" s="1"/>
      <c r="Q776" s="5" t="s">
        <v>284</v>
      </c>
      <c r="R776" s="1" t="s">
        <v>677</v>
      </c>
      <c r="S776" s="1" t="s">
        <v>677</v>
      </c>
      <c r="T776" s="1" t="s">
        <v>923</v>
      </c>
    </row>
    <row r="777" customFormat="false" ht="15" hidden="false" customHeight="true" outlineLevel="0" collapsed="false">
      <c r="A777" s="1" t="s">
        <v>1588</v>
      </c>
      <c r="B777" s="1" t="n">
        <v>1895</v>
      </c>
      <c r="C777" s="1" t="n">
        <v>6</v>
      </c>
      <c r="D777" s="1" t="s">
        <v>38</v>
      </c>
      <c r="E777" s="1" t="s">
        <v>274</v>
      </c>
      <c r="F777" s="1"/>
      <c r="G777" s="1" t="n">
        <v>135</v>
      </c>
      <c r="H777" s="2" t="n">
        <v>0</v>
      </c>
      <c r="I777" s="2" t="n">
        <f aca="false">(((H777 / 800) / IF(ISBLANK(R777), 1000000, IF(ISNA(VLOOKUP(R777, Mileages!$A$2:$C$34, 2, 0)), R777, VLOOKUP(R777, Mileages!$A$2:$C$34, 2, 0)))) + (F777 * IF(ISBLANK(P777), 1, P777) * IF(ISBLANK(T777), 0, IF(ISNA(VLOOKUP(T777, 'Fuel Costs'!$A$2:$C$42, 2, 0)), T777, VLOOKUP(T777, 'Fuel Costs'!$A$2:$C$42, 2, 0))) / IF(ISBLANK(O777), 1, O777))) * 100</f>
        <v>0</v>
      </c>
      <c r="J777" s="2" t="n">
        <f aca="false">((H777 / 800) / (IF(ISBLANK(S777), 100, IF(ISNA(VLOOKUP(S777, Lives!$A$2:$C$35, 2, 0)), S777, VLOOKUP(S777, Lives!$A$2:$C$35, 2, 0))) * 12) + (IF(ISBLANK(Q777), 0, IF(ISNA(VLOOKUP(Q777, Wages!$A$2:$C$17, 2, 0)), Q777, VLOOKUP(Q777, Wages!$A$2:$C$17, 2, 0))) * IF(ISBLANK(N777), 0, IF(ISNA(VLOOKUP(N777, Crews!$A$2:$C$28, 2, 0)), N777, VLOOKUP(N777, Crews!$A$2:$C$28, 2, 0))))) * 400</f>
        <v>0</v>
      </c>
      <c r="K777" s="1"/>
      <c r="L777" s="1" t="s">
        <v>1587</v>
      </c>
      <c r="M777" s="1" t="n">
        <v>1</v>
      </c>
      <c r="N777" s="1"/>
      <c r="O777" s="1"/>
      <c r="P777" s="1"/>
      <c r="Q777" s="1"/>
      <c r="R777" s="1"/>
      <c r="S777" s="1"/>
      <c r="T777" s="1"/>
    </row>
    <row r="778" customFormat="false" ht="15" hidden="false" customHeight="true" outlineLevel="0" collapsed="false">
      <c r="A778" s="1" t="s">
        <v>1589</v>
      </c>
      <c r="B778" s="1" t="n">
        <v>1895</v>
      </c>
      <c r="C778" s="1" t="n">
        <v>12</v>
      </c>
      <c r="D778" s="1" t="s">
        <v>38</v>
      </c>
      <c r="E778" s="1"/>
      <c r="F778" s="1"/>
      <c r="G778" s="1" t="n">
        <v>150</v>
      </c>
      <c r="H778" s="2" t="n">
        <v>520000</v>
      </c>
      <c r="I778" s="2" t="n">
        <f aca="false">(((H778 / 800) / IF(ISBLANK(R778), 1000000, IF(ISNA(VLOOKUP(R778, Mileages!$A$2:$C$34, 2, 0)), R778, VLOOKUP(R778, Mileages!$A$2:$C$34, 2, 0)))) + (F778 * IF(ISBLANK(P778), 1, P778) * IF(ISBLANK(T778), 0, IF(ISNA(VLOOKUP(T778, 'Fuel Costs'!$A$2:$C$42, 2, 0)), T778, VLOOKUP(T778, 'Fuel Costs'!$A$2:$C$42, 2, 0))) / IF(ISBLANK(O778), 1, O778))) * 100</f>
        <v>0.05416666667</v>
      </c>
      <c r="J778" s="2" t="n">
        <f aca="false">((H778 / 800) / (IF(ISBLANK(S778), 100, IF(ISNA(VLOOKUP(S778, Lives!$A$2:$C$35, 2, 0)), S778, VLOOKUP(S778, Lives!$A$2:$C$35, 2, 0))) * 12) + (IF(ISBLANK(Q778), 0, IF(ISNA(VLOOKUP(Q778, Wages!$A$2:$C$17, 2, 0)), Q778, VLOOKUP(Q778, Wages!$A$2:$C$17, 2, 0))) * IF(ISBLANK(N778), 0, IF(ISNA(VLOOKUP(N778, Crews!$A$2:$C$28, 2, 0)), N778, VLOOKUP(N778, Crews!$A$2:$C$28, 2, 0))))) * 400</f>
        <v>619.047619</v>
      </c>
      <c r="K778" s="3" t="s">
        <v>1590</v>
      </c>
      <c r="L778" s="1" t="s">
        <v>1399</v>
      </c>
      <c r="M778" s="1" t="n">
        <v>1</v>
      </c>
      <c r="N778" s="1"/>
      <c r="O778" s="1"/>
      <c r="P778" s="1"/>
      <c r="Q778" s="1"/>
      <c r="R778" s="1" t="s">
        <v>689</v>
      </c>
      <c r="S778" s="1" t="s">
        <v>856</v>
      </c>
      <c r="T778" s="1"/>
    </row>
    <row r="779" customFormat="false" ht="15" hidden="false" customHeight="true" outlineLevel="0" collapsed="false">
      <c r="A779" s="1" t="s">
        <v>1591</v>
      </c>
      <c r="B779" s="1" t="n">
        <v>1895</v>
      </c>
      <c r="C779" s="1" t="n">
        <v>12</v>
      </c>
      <c r="D779" s="1" t="s">
        <v>38</v>
      </c>
      <c r="E779" s="1"/>
      <c r="F779" s="1"/>
      <c r="G779" s="1" t="n">
        <v>135</v>
      </c>
      <c r="H779" s="2" t="n">
        <v>520000</v>
      </c>
      <c r="I779" s="2" t="n">
        <f aca="false">(((H779 / 800) / IF(ISBLANK(R779), 1000000, IF(ISNA(VLOOKUP(R779, Mileages!$A$2:$C$34, 2, 0)), R779, VLOOKUP(R779, Mileages!$A$2:$C$34, 2, 0)))) + (F779 * IF(ISBLANK(P779), 1, P779) * IF(ISBLANK(T779), 0, IF(ISNA(VLOOKUP(T779, 'Fuel Costs'!$A$2:$C$42, 2, 0)), T779, VLOOKUP(T779, 'Fuel Costs'!$A$2:$C$42, 2, 0))) / IF(ISBLANK(O779), 1, O779))) * 100</f>
        <v>0.05416666667</v>
      </c>
      <c r="J779" s="2" t="n">
        <f aca="false">((H779 / 800) / (IF(ISBLANK(S779), 100, IF(ISNA(VLOOKUP(S779, Lives!$A$2:$C$35, 2, 0)), S779, VLOOKUP(S779, Lives!$A$2:$C$35, 2, 0))) * 12) + (IF(ISBLANK(Q779), 0, IF(ISNA(VLOOKUP(Q779, Wages!$A$2:$C$17, 2, 0)), Q779, VLOOKUP(Q779, Wages!$A$2:$C$17, 2, 0))) * IF(ISBLANK(N779), 0, IF(ISNA(VLOOKUP(N779, Crews!$A$2:$C$28, 2, 0)), N779, VLOOKUP(N779, Crews!$A$2:$C$28, 2, 0))))) * 400</f>
        <v>5419.047619</v>
      </c>
      <c r="K779" s="3" t="s">
        <v>1592</v>
      </c>
      <c r="L779" s="1" t="s">
        <v>1308</v>
      </c>
      <c r="M779" s="1" t="n">
        <v>1</v>
      </c>
      <c r="N779" s="1" t="s">
        <v>25</v>
      </c>
      <c r="O779" s="1"/>
      <c r="P779" s="1"/>
      <c r="Q779" s="1" t="s">
        <v>378</v>
      </c>
      <c r="R779" s="1" t="s">
        <v>689</v>
      </c>
      <c r="S779" s="1" t="s">
        <v>856</v>
      </c>
      <c r="T779" s="1"/>
    </row>
    <row r="780" customFormat="false" ht="15" hidden="false" customHeight="true" outlineLevel="0" collapsed="false">
      <c r="A780" s="1" t="s">
        <v>1593</v>
      </c>
      <c r="B780" s="1" t="n">
        <v>1895</v>
      </c>
      <c r="C780" s="1" t="n">
        <v>12</v>
      </c>
      <c r="D780" s="1" t="s">
        <v>38</v>
      </c>
      <c r="E780" s="1"/>
      <c r="F780" s="1"/>
      <c r="G780" s="1" t="n">
        <v>135</v>
      </c>
      <c r="H780" s="2" t="n">
        <v>520000</v>
      </c>
      <c r="I780" s="2" t="n">
        <f aca="false">(((H780 / 800) / IF(ISBLANK(R780), 1000000, IF(ISNA(VLOOKUP(R780, Mileages!$A$2:$C$34, 2, 0)), R780, VLOOKUP(R780, Mileages!$A$2:$C$34, 2, 0)))) + (F780 * IF(ISBLANK(P780), 1, P780) * IF(ISBLANK(T780), 0, IF(ISNA(VLOOKUP(T780, 'Fuel Costs'!$A$2:$C$42, 2, 0)), T780, VLOOKUP(T780, 'Fuel Costs'!$A$2:$C$42, 2, 0))) / IF(ISBLANK(O780), 1, O780))) * 100</f>
        <v>0.05416666667</v>
      </c>
      <c r="J780" s="2" t="n">
        <f aca="false">((H780 / 800) / (IF(ISBLANK(S780), 100, IF(ISNA(VLOOKUP(S780, Lives!$A$2:$C$35, 2, 0)), S780, VLOOKUP(S780, Lives!$A$2:$C$35, 2, 0))) * 12) + (IF(ISBLANK(Q780), 0, IF(ISNA(VLOOKUP(Q780, Wages!$A$2:$C$17, 2, 0)), Q780, VLOOKUP(Q780, Wages!$A$2:$C$17, 2, 0))) * IF(ISBLANK(N780), 0, IF(ISNA(VLOOKUP(N780, Crews!$A$2:$C$28, 2, 0)), N780, VLOOKUP(N780, Crews!$A$2:$C$28, 2, 0))))) * 400</f>
        <v>619.047619</v>
      </c>
      <c r="K780" s="3" t="s">
        <v>1592</v>
      </c>
      <c r="L780" s="1" t="s">
        <v>1308</v>
      </c>
      <c r="M780" s="1" t="n">
        <v>2</v>
      </c>
      <c r="N780" s="1"/>
      <c r="O780" s="1"/>
      <c r="P780" s="1"/>
      <c r="Q780" s="1"/>
      <c r="R780" s="1" t="s">
        <v>689</v>
      </c>
      <c r="S780" s="1" t="s">
        <v>856</v>
      </c>
      <c r="T780" s="1"/>
    </row>
    <row r="781" customFormat="false" ht="15" hidden="false" customHeight="true" outlineLevel="0" collapsed="false">
      <c r="A781" s="1" t="s">
        <v>1594</v>
      </c>
      <c r="B781" s="1" t="n">
        <v>1895</v>
      </c>
      <c r="C781" s="1" t="n">
        <v>12</v>
      </c>
      <c r="D781" s="1" t="s">
        <v>38</v>
      </c>
      <c r="E781" s="1"/>
      <c r="F781" s="1"/>
      <c r="G781" s="1" t="n">
        <v>135</v>
      </c>
      <c r="H781" s="2" t="n">
        <v>520000</v>
      </c>
      <c r="I781" s="2" t="n">
        <f aca="false">(((H781 / 800) / IF(ISBLANK(R781), 1000000, IF(ISNA(VLOOKUP(R781, Mileages!$A$2:$C$34, 2, 0)), R781, VLOOKUP(R781, Mileages!$A$2:$C$34, 2, 0)))) + (F781 * IF(ISBLANK(P781), 1, P781) * IF(ISBLANK(T781), 0, IF(ISNA(VLOOKUP(T781, 'Fuel Costs'!$A$2:$C$42, 2, 0)), T781, VLOOKUP(T781, 'Fuel Costs'!$A$2:$C$42, 2, 0))) / IF(ISBLANK(O781), 1, O781))) * 100</f>
        <v>0.05416666667</v>
      </c>
      <c r="J781" s="2" t="n">
        <f aca="false">((H781 / 800) / (IF(ISBLANK(S781), 100, IF(ISNA(VLOOKUP(S781, Lives!$A$2:$C$35, 2, 0)), S781, VLOOKUP(S781, Lives!$A$2:$C$35, 2, 0))) * 12) + (IF(ISBLANK(Q781), 0, IF(ISNA(VLOOKUP(Q781, Wages!$A$2:$C$17, 2, 0)), Q781, VLOOKUP(Q781, Wages!$A$2:$C$17, 2, 0))) * IF(ISBLANK(N781), 0, IF(ISNA(VLOOKUP(N781, Crews!$A$2:$C$28, 2, 0)), N781, VLOOKUP(N781, Crews!$A$2:$C$28, 2, 0))))) * 400</f>
        <v>5419.047619</v>
      </c>
      <c r="K781" s="3" t="s">
        <v>1592</v>
      </c>
      <c r="L781" s="1" t="s">
        <v>1308</v>
      </c>
      <c r="M781" s="1" t="n">
        <v>5</v>
      </c>
      <c r="N781" s="1" t="s">
        <v>25</v>
      </c>
      <c r="O781" s="1"/>
      <c r="P781" s="1"/>
      <c r="Q781" s="1" t="s">
        <v>378</v>
      </c>
      <c r="R781" s="1" t="s">
        <v>689</v>
      </c>
      <c r="S781" s="1" t="s">
        <v>856</v>
      </c>
      <c r="T781" s="1"/>
    </row>
    <row r="782" customFormat="false" ht="15" hidden="false" customHeight="true" outlineLevel="0" collapsed="false">
      <c r="A782" s="1" t="s">
        <v>1595</v>
      </c>
      <c r="B782" s="1" t="n">
        <v>1896</v>
      </c>
      <c r="C782" s="1" t="n">
        <v>1</v>
      </c>
      <c r="D782" s="1" t="s">
        <v>38</v>
      </c>
      <c r="E782" s="1"/>
      <c r="F782" s="1" t="n">
        <v>0</v>
      </c>
      <c r="G782" s="1" t="n">
        <v>150</v>
      </c>
      <c r="H782" s="2" t="n">
        <v>0</v>
      </c>
      <c r="I782" s="2" t="n">
        <f aca="false">(((H782 / 800) / IF(ISBLANK(R782), 1000000, IF(ISNA(VLOOKUP(R782, Mileages!$A$2:$C$34, 2, 0)), R782, VLOOKUP(R782, Mileages!$A$2:$C$34, 2, 0)))) + (F782 * IF(ISBLANK(P782), 1, P782) * IF(ISBLANK(T782), 0, IF(ISNA(VLOOKUP(T782, 'Fuel Costs'!$A$2:$C$42, 2, 0)), T782, VLOOKUP(T782, 'Fuel Costs'!$A$2:$C$42, 2, 0))) / IF(ISBLANK(O782), 1, O782))) * 100</f>
        <v>0</v>
      </c>
      <c r="J782" s="2" t="n">
        <f aca="false">((H782 / 800) / (IF(ISBLANK(S782), 100, IF(ISNA(VLOOKUP(S782, Lives!$A$2:$C$35, 2, 0)), S782, VLOOKUP(S782, Lives!$A$2:$C$35, 2, 0))) * 12) + (IF(ISBLANK(Q782), 0, IF(ISNA(VLOOKUP(Q782, Wages!$A$2:$C$17, 2, 0)), Q782, VLOOKUP(Q782, Wages!$A$2:$C$17, 2, 0))) * IF(ISBLANK(N782), 0, IF(ISNA(VLOOKUP(N782, Crews!$A$2:$C$28, 2, 0)), N782, VLOOKUP(N782, Crews!$A$2:$C$28, 2, 0))))) * 400</f>
        <v>0</v>
      </c>
      <c r="K782" s="1"/>
      <c r="L782" s="1" t="s">
        <v>1596</v>
      </c>
      <c r="M782" s="1" t="n">
        <v>0</v>
      </c>
      <c r="N782" s="1"/>
      <c r="O782" s="1"/>
      <c r="P782" s="1"/>
      <c r="Q782" s="1"/>
      <c r="R782" s="1"/>
      <c r="S782" s="1"/>
      <c r="T782" s="1"/>
    </row>
    <row r="783" customFormat="false" ht="15" hidden="false" customHeight="true" outlineLevel="0" collapsed="false">
      <c r="A783" s="1" t="s">
        <v>1597</v>
      </c>
      <c r="B783" s="1" t="n">
        <v>1896</v>
      </c>
      <c r="C783" s="1" t="n">
        <v>1</v>
      </c>
      <c r="D783" s="1" t="s">
        <v>38</v>
      </c>
      <c r="E783" s="1" t="s">
        <v>274</v>
      </c>
      <c r="F783" s="1" t="n">
        <v>199</v>
      </c>
      <c r="G783" s="1" t="n">
        <v>130</v>
      </c>
      <c r="H783" s="2" t="n">
        <v>9250000</v>
      </c>
      <c r="I783" s="2" t="n">
        <f aca="false">(((H783 / 800) / IF(ISBLANK(R783), 1000000, IF(ISNA(VLOOKUP(R783, Mileages!$A$2:$C$34, 2, 0)), R783, VLOOKUP(R783, Mileages!$A$2:$C$34, 2, 0)))) + (F783 * IF(ISBLANK(P783), 1, P783) * IF(ISBLANK(T783), 0, IF(ISNA(VLOOKUP(T783, 'Fuel Costs'!$A$2:$C$42, 2, 0)), T783, VLOOKUP(T783, 'Fuel Costs'!$A$2:$C$42, 2, 0))) / IF(ISBLANK(O783), 1, O783))) * 100</f>
        <v>133.8229167</v>
      </c>
      <c r="J783" s="2" t="n">
        <f aca="false">((H783 / 800) / (IF(ISBLANK(S783), 100, IF(ISNA(VLOOKUP(S783, Lives!$A$2:$C$35, 2, 0)), S783, VLOOKUP(S783, Lives!$A$2:$C$35, 2, 0))) * 12) + (IF(ISBLANK(Q783), 0, IF(ISNA(VLOOKUP(Q783, Wages!$A$2:$C$17, 2, 0)), Q783, VLOOKUP(Q783, Wages!$A$2:$C$17, 2, 0))) * IF(ISBLANK(N783), 0, IF(ISNA(VLOOKUP(N783, Crews!$A$2:$C$28, 2, 0)), N783, VLOOKUP(N783, Crews!$A$2:$C$28, 2, 0))))) * 400</f>
        <v>31708.33333</v>
      </c>
      <c r="K783" s="3" t="s">
        <v>1598</v>
      </c>
      <c r="L783" s="1" t="s">
        <v>1599</v>
      </c>
      <c r="M783" s="1" t="n">
        <v>0</v>
      </c>
      <c r="N783" s="1" t="s">
        <v>590</v>
      </c>
      <c r="O783" s="1" t="n">
        <v>0.6</v>
      </c>
      <c r="P783" s="1"/>
      <c r="Q783" s="5" t="s">
        <v>284</v>
      </c>
      <c r="R783" s="1" t="s">
        <v>677</v>
      </c>
      <c r="S783" s="1" t="s">
        <v>677</v>
      </c>
      <c r="T783" s="1" t="s">
        <v>923</v>
      </c>
    </row>
    <row r="784" customFormat="false" ht="15" hidden="false" customHeight="true" outlineLevel="0" collapsed="false">
      <c r="A784" s="1" t="s">
        <v>1600</v>
      </c>
      <c r="B784" s="1" t="n">
        <v>1896</v>
      </c>
      <c r="C784" s="1" t="n">
        <v>2</v>
      </c>
      <c r="D784" s="1" t="s">
        <v>38</v>
      </c>
      <c r="E784" s="1" t="s">
        <v>274</v>
      </c>
      <c r="F784" s="1" t="n">
        <v>258</v>
      </c>
      <c r="G784" s="1" t="n">
        <v>145</v>
      </c>
      <c r="H784" s="2" t="n">
        <v>5404500</v>
      </c>
      <c r="I784" s="2" t="n">
        <f aca="false">(((H784 / 800) / IF(ISBLANK(R784), 1000000, IF(ISNA(VLOOKUP(R784, Mileages!$A$2:$C$34, 2, 0)), R784, VLOOKUP(R784, Mileages!$A$2:$C$34, 2, 0)))) + (F784 * IF(ISBLANK(P784), 1, P784) * IF(ISBLANK(T784), 0, IF(ISNA(VLOOKUP(T784, 'Fuel Costs'!$A$2:$C$42, 2, 0)), T784, VLOOKUP(T784, 'Fuel Costs'!$A$2:$C$42, 2, 0))) / IF(ISBLANK(O784), 1, O784))) * 100</f>
        <v>172.6755625</v>
      </c>
      <c r="J784" s="2" t="n">
        <f aca="false">((H784 / 800) / (IF(ISBLANK(S784), 100, IF(ISNA(VLOOKUP(S784, Lives!$A$2:$C$35, 2, 0)), S784, VLOOKUP(S784, Lives!$A$2:$C$35, 2, 0))) * 12) + (IF(ISBLANK(Q784), 0, IF(ISNA(VLOOKUP(Q784, Wages!$A$2:$C$17, 2, 0)), Q784, VLOOKUP(Q784, Wages!$A$2:$C$17, 2, 0))) * IF(ISBLANK(N784), 0, IF(ISNA(VLOOKUP(N784, Crews!$A$2:$C$28, 2, 0)), N784, VLOOKUP(N784, Crews!$A$2:$C$28, 2, 0))))) * 400</f>
        <v>28503.75</v>
      </c>
      <c r="K784" s="3" t="s">
        <v>1601</v>
      </c>
      <c r="L784" s="1" t="s">
        <v>1602</v>
      </c>
      <c r="M784" s="1" t="n">
        <v>0</v>
      </c>
      <c r="N784" s="1" t="s">
        <v>590</v>
      </c>
      <c r="O784" s="1" t="n">
        <v>0.6</v>
      </c>
      <c r="P784" s="1"/>
      <c r="Q784" s="5" t="s">
        <v>284</v>
      </c>
      <c r="R784" s="1" t="s">
        <v>677</v>
      </c>
      <c r="S784" s="1" t="s">
        <v>677</v>
      </c>
      <c r="T784" s="1" t="s">
        <v>923</v>
      </c>
    </row>
    <row r="785" customFormat="false" ht="15" hidden="false" customHeight="true" outlineLevel="0" collapsed="false">
      <c r="A785" s="1" t="s">
        <v>1603</v>
      </c>
      <c r="B785" s="1" t="n">
        <v>1896</v>
      </c>
      <c r="C785" s="1" t="n">
        <v>2</v>
      </c>
      <c r="D785" s="1" t="s">
        <v>21</v>
      </c>
      <c r="E785" s="1" t="s">
        <v>274</v>
      </c>
      <c r="F785" s="1" t="n">
        <v>4</v>
      </c>
      <c r="G785" s="1" t="n">
        <v>16</v>
      </c>
      <c r="H785" s="2" t="n">
        <v>50000</v>
      </c>
      <c r="I785" s="2" t="n">
        <f aca="false">(((H785 / 800) / IF(ISBLANK(R785), 1000000, IF(ISNA(VLOOKUP(R785, Mileages!$A$2:$C$34, 2, 0)), R785, VLOOKUP(R785, Mileages!$A$2:$C$34, 2, 0)))) + (F785 * IF(ISBLANK(P785), 1, P785) * IF(ISBLANK(T785), 0, IF(ISNA(VLOOKUP(T785, 'Fuel Costs'!$A$2:$C$42, 2, 0)), T785, VLOOKUP(T785, 'Fuel Costs'!$A$2:$C$42, 2, 0))) / IF(ISBLANK(O785), 1, O785))) * 100</f>
        <v>2.921590909</v>
      </c>
      <c r="J785" s="2" t="n">
        <f aca="false">((H785 / 800) / (IF(ISBLANK(S785), 100, IF(ISNA(VLOOKUP(S785, Lives!$A$2:$C$35, 2, 0)), S785, VLOOKUP(S785, Lives!$A$2:$C$35, 2, 0))) * 12) + (IF(ISBLANK(Q785), 0, IF(ISNA(VLOOKUP(Q785, Wages!$A$2:$C$17, 2, 0)), Q785, VLOOKUP(Q785, Wages!$A$2:$C$17, 2, 0))) * IF(ISBLANK(N785), 0, IF(ISNA(VLOOKUP(N785, Crews!$A$2:$C$28, 2, 0)), N785, VLOOKUP(N785, Crews!$A$2:$C$28, 2, 0))))) * 400</f>
        <v>12026.04167</v>
      </c>
      <c r="K785" s="1"/>
      <c r="L785" s="1" t="s">
        <v>1604</v>
      </c>
      <c r="M785" s="1" t="n">
        <v>0</v>
      </c>
      <c r="N785" s="1" t="s">
        <v>837</v>
      </c>
      <c r="O785" s="1" t="n">
        <v>0.55</v>
      </c>
      <c r="P785" s="1"/>
      <c r="Q785" s="1" t="s">
        <v>837</v>
      </c>
      <c r="R785" s="1" t="s">
        <v>837</v>
      </c>
      <c r="S785" s="1" t="s">
        <v>837</v>
      </c>
      <c r="T785" s="1" t="s">
        <v>923</v>
      </c>
    </row>
    <row r="786" customFormat="false" ht="15" hidden="false" customHeight="true" outlineLevel="0" collapsed="false">
      <c r="A786" s="1" t="s">
        <v>1605</v>
      </c>
      <c r="B786" s="1" t="n">
        <v>1896</v>
      </c>
      <c r="C786" s="1" t="n">
        <v>2</v>
      </c>
      <c r="D786" s="1" t="s">
        <v>21</v>
      </c>
      <c r="E786" s="1" t="s">
        <v>274</v>
      </c>
      <c r="F786" s="1" t="n">
        <v>4</v>
      </c>
      <c r="G786" s="1" t="n">
        <v>16</v>
      </c>
      <c r="H786" s="2" t="n">
        <v>50000</v>
      </c>
      <c r="I786" s="2" t="n">
        <f aca="false">(((H786 / 800) / IF(ISBLANK(R786), 1000000, IF(ISNA(VLOOKUP(R786, Mileages!$A$2:$C$34, 2, 0)), R786, VLOOKUP(R786, Mileages!$A$2:$C$34, 2, 0)))) + (F786 * IF(ISBLANK(P786), 1, P786) * IF(ISBLANK(T786), 0, IF(ISNA(VLOOKUP(T786, 'Fuel Costs'!$A$2:$C$42, 2, 0)), T786, VLOOKUP(T786, 'Fuel Costs'!$A$2:$C$42, 2, 0))) / IF(ISBLANK(O786), 1, O786))) * 100</f>
        <v>2.921590909</v>
      </c>
      <c r="J786" s="2" t="n">
        <f aca="false">((H786 / 800) / (IF(ISBLANK(S786), 100, IF(ISNA(VLOOKUP(S786, Lives!$A$2:$C$35, 2, 0)), S786, VLOOKUP(S786, Lives!$A$2:$C$35, 2, 0))) * 12) + (IF(ISBLANK(Q786), 0, IF(ISNA(VLOOKUP(Q786, Wages!$A$2:$C$17, 2, 0)), Q786, VLOOKUP(Q786, Wages!$A$2:$C$17, 2, 0))) * IF(ISBLANK(N786), 0, IF(ISNA(VLOOKUP(N786, Crews!$A$2:$C$28, 2, 0)), N786, VLOOKUP(N786, Crews!$A$2:$C$28, 2, 0))))) * 400</f>
        <v>12026.04167</v>
      </c>
      <c r="K786" s="1"/>
      <c r="L786" s="1" t="s">
        <v>1604</v>
      </c>
      <c r="M786" s="1" t="n">
        <v>1</v>
      </c>
      <c r="N786" s="1" t="s">
        <v>837</v>
      </c>
      <c r="O786" s="1" t="n">
        <v>0.55</v>
      </c>
      <c r="P786" s="1"/>
      <c r="Q786" s="1" t="s">
        <v>837</v>
      </c>
      <c r="R786" s="1" t="s">
        <v>837</v>
      </c>
      <c r="S786" s="1" t="s">
        <v>837</v>
      </c>
      <c r="T786" s="1" t="s">
        <v>923</v>
      </c>
    </row>
    <row r="787" customFormat="false" ht="15" hidden="false" customHeight="true" outlineLevel="0" collapsed="false">
      <c r="A787" s="1" t="s">
        <v>1606</v>
      </c>
      <c r="B787" s="1" t="n">
        <v>1896</v>
      </c>
      <c r="C787" s="1" t="n">
        <v>2</v>
      </c>
      <c r="D787" s="1" t="s">
        <v>21</v>
      </c>
      <c r="E787" s="1" t="s">
        <v>274</v>
      </c>
      <c r="F787" s="1" t="n">
        <v>4</v>
      </c>
      <c r="G787" s="1" t="n">
        <v>16</v>
      </c>
      <c r="H787" s="2" t="n">
        <v>50000</v>
      </c>
      <c r="I787" s="2" t="n">
        <f aca="false">(((H787 / 800) / IF(ISBLANK(R787), 1000000, IF(ISNA(VLOOKUP(R787, Mileages!$A$2:$C$34, 2, 0)), R787, VLOOKUP(R787, Mileages!$A$2:$C$34, 2, 0)))) + (F787 * IF(ISBLANK(P787), 1, P787) * IF(ISBLANK(T787), 0, IF(ISNA(VLOOKUP(T787, 'Fuel Costs'!$A$2:$C$42, 2, 0)), T787, VLOOKUP(T787, 'Fuel Costs'!$A$2:$C$42, 2, 0))) / IF(ISBLANK(O787), 1, O787))) * 100</f>
        <v>2.921590909</v>
      </c>
      <c r="J787" s="2" t="n">
        <f aca="false">((H787 / 800) / (IF(ISBLANK(S787), 100, IF(ISNA(VLOOKUP(S787, Lives!$A$2:$C$35, 2, 0)), S787, VLOOKUP(S787, Lives!$A$2:$C$35, 2, 0))) * 12) + (IF(ISBLANK(Q787), 0, IF(ISNA(VLOOKUP(Q787, Wages!$A$2:$C$17, 2, 0)), Q787, VLOOKUP(Q787, Wages!$A$2:$C$17, 2, 0))) * IF(ISBLANK(N787), 0, IF(ISNA(VLOOKUP(N787, Crews!$A$2:$C$28, 2, 0)), N787, VLOOKUP(N787, Crews!$A$2:$C$28, 2, 0))))) * 400</f>
        <v>12026.04167</v>
      </c>
      <c r="K787" s="1"/>
      <c r="L787" s="1" t="s">
        <v>1604</v>
      </c>
      <c r="M787" s="1" t="n">
        <v>2</v>
      </c>
      <c r="N787" s="1" t="s">
        <v>837</v>
      </c>
      <c r="O787" s="1" t="n">
        <v>0.55</v>
      </c>
      <c r="P787" s="1"/>
      <c r="Q787" s="1" t="s">
        <v>837</v>
      </c>
      <c r="R787" s="1" t="s">
        <v>837</v>
      </c>
      <c r="S787" s="1" t="s">
        <v>837</v>
      </c>
      <c r="T787" s="1" t="s">
        <v>923</v>
      </c>
    </row>
    <row r="788" customFormat="false" ht="15" hidden="false" customHeight="true" outlineLevel="0" collapsed="false">
      <c r="A788" s="1" t="s">
        <v>1607</v>
      </c>
      <c r="B788" s="1" t="n">
        <v>1896</v>
      </c>
      <c r="C788" s="1" t="n">
        <v>2</v>
      </c>
      <c r="D788" s="1" t="s">
        <v>38</v>
      </c>
      <c r="E788" s="1"/>
      <c r="F788" s="1" t="n">
        <v>0</v>
      </c>
      <c r="G788" s="1" t="n">
        <v>140</v>
      </c>
      <c r="H788" s="2" t="n">
        <v>0</v>
      </c>
      <c r="I788" s="2" t="n">
        <f aca="false">(((H788 / 800) / IF(ISBLANK(R788), 1000000, IF(ISNA(VLOOKUP(R788, Mileages!$A$2:$C$34, 2, 0)), R788, VLOOKUP(R788, Mileages!$A$2:$C$34, 2, 0)))) + (F788 * IF(ISBLANK(P788), 1, P788) * IF(ISBLANK(T788), 0, IF(ISNA(VLOOKUP(T788, 'Fuel Costs'!$A$2:$C$42, 2, 0)), T788, VLOOKUP(T788, 'Fuel Costs'!$A$2:$C$42, 2, 0))) / IF(ISBLANK(O788), 1, O788))) * 100</f>
        <v>0</v>
      </c>
      <c r="J788" s="2" t="n">
        <f aca="false">((H788 / 800) / (IF(ISBLANK(S788), 100, IF(ISNA(VLOOKUP(S788, Lives!$A$2:$C$35, 2, 0)), S788, VLOOKUP(S788, Lives!$A$2:$C$35, 2, 0))) * 12) + (IF(ISBLANK(Q788), 0, IF(ISNA(VLOOKUP(Q788, Wages!$A$2:$C$17, 2, 0)), Q788, VLOOKUP(Q788, Wages!$A$2:$C$17, 2, 0))) * IF(ISBLANK(N788), 0, IF(ISNA(VLOOKUP(N788, Crews!$A$2:$C$28, 2, 0)), N788, VLOOKUP(N788, Crews!$A$2:$C$28, 2, 0))))) * 400</f>
        <v>0</v>
      </c>
      <c r="K788" s="1"/>
      <c r="L788" s="1" t="s">
        <v>1608</v>
      </c>
      <c r="M788" s="1" t="n">
        <v>0</v>
      </c>
      <c r="N788" s="1"/>
      <c r="O788" s="1"/>
      <c r="P788" s="1"/>
      <c r="Q788" s="1"/>
      <c r="R788" s="1"/>
      <c r="S788" s="1"/>
      <c r="T788" s="1"/>
    </row>
    <row r="789" customFormat="false" ht="15" hidden="false" customHeight="true" outlineLevel="0" collapsed="false">
      <c r="A789" s="1" t="s">
        <v>1609</v>
      </c>
      <c r="B789" s="1" t="n">
        <v>1896</v>
      </c>
      <c r="C789" s="1" t="n">
        <v>4</v>
      </c>
      <c r="D789" s="1" t="s">
        <v>38</v>
      </c>
      <c r="E789" s="1"/>
      <c r="F789" s="1"/>
      <c r="G789" s="1" t="n">
        <v>160</v>
      </c>
      <c r="H789" s="2" t="n">
        <v>660000</v>
      </c>
      <c r="I789" s="2" t="n">
        <f aca="false">(((H789 / 800) / IF(ISBLANK(R789), 1000000, IF(ISNA(VLOOKUP(R789, Mileages!$A$2:$C$34, 2, 0)), R789, VLOOKUP(R789, Mileages!$A$2:$C$34, 2, 0)))) + (F789 * IF(ISBLANK(P789), 1, P789) * IF(ISBLANK(T789), 0, IF(ISNA(VLOOKUP(T789, 'Fuel Costs'!$A$2:$C$42, 2, 0)), T789, VLOOKUP(T789, 'Fuel Costs'!$A$2:$C$42, 2, 0))) / IF(ISBLANK(O789), 1, O789))) * 100</f>
        <v>0.06875</v>
      </c>
      <c r="J789" s="2" t="n">
        <f aca="false">((H789 / 800) / (IF(ISBLANK(S789), 100, IF(ISNA(VLOOKUP(S789, Lives!$A$2:$C$35, 2, 0)), S789, VLOOKUP(S789, Lives!$A$2:$C$35, 2, 0))) * 12) + (IF(ISBLANK(Q789), 0, IF(ISNA(VLOOKUP(Q789, Wages!$A$2:$C$17, 2, 0)), Q789, VLOOKUP(Q789, Wages!$A$2:$C$17, 2, 0))) * IF(ISBLANK(N789), 0, IF(ISNA(VLOOKUP(N789, Crews!$A$2:$C$28, 2, 0)), N789, VLOOKUP(N789, Crews!$A$2:$C$28, 2, 0))))) * 400</f>
        <v>785.7142857</v>
      </c>
      <c r="K789" s="1"/>
      <c r="L789" s="1" t="s">
        <v>1610</v>
      </c>
      <c r="M789" s="1" t="n">
        <v>0</v>
      </c>
      <c r="N789" s="1"/>
      <c r="O789" s="1"/>
      <c r="P789" s="1"/>
      <c r="Q789" s="1"/>
      <c r="R789" s="1" t="s">
        <v>689</v>
      </c>
      <c r="S789" s="1" t="s">
        <v>856</v>
      </c>
      <c r="T789" s="1"/>
    </row>
    <row r="790" customFormat="false" ht="15" hidden="false" customHeight="true" outlineLevel="0" collapsed="false">
      <c r="A790" s="1" t="s">
        <v>1611</v>
      </c>
      <c r="B790" s="1" t="n">
        <v>1896</v>
      </c>
      <c r="C790" s="1" t="n">
        <v>4</v>
      </c>
      <c r="D790" s="1" t="s">
        <v>38</v>
      </c>
      <c r="E790" s="1"/>
      <c r="F790" s="1"/>
      <c r="G790" s="1" t="n">
        <v>160</v>
      </c>
      <c r="H790" s="2" t="n">
        <v>660000</v>
      </c>
      <c r="I790" s="2" t="n">
        <f aca="false">(((H790 / 800) / IF(ISBLANK(R790), 1000000, IF(ISNA(VLOOKUP(R790, Mileages!$A$2:$C$34, 2, 0)), R790, VLOOKUP(R790, Mileages!$A$2:$C$34, 2, 0)))) + (F790 * IF(ISBLANK(P790), 1, P790) * IF(ISBLANK(T790), 0, IF(ISNA(VLOOKUP(T790, 'Fuel Costs'!$A$2:$C$42, 2, 0)), T790, VLOOKUP(T790, 'Fuel Costs'!$A$2:$C$42, 2, 0))) / IF(ISBLANK(O790), 1, O790))) * 100</f>
        <v>0.06875</v>
      </c>
      <c r="J790" s="2" t="n">
        <f aca="false">((H790 / 800) / (IF(ISBLANK(S790), 100, IF(ISNA(VLOOKUP(S790, Lives!$A$2:$C$35, 2, 0)), S790, VLOOKUP(S790, Lives!$A$2:$C$35, 2, 0))) * 12) + (IF(ISBLANK(Q790), 0, IF(ISNA(VLOOKUP(Q790, Wages!$A$2:$C$17, 2, 0)), Q790, VLOOKUP(Q790, Wages!$A$2:$C$17, 2, 0))) * IF(ISBLANK(N790), 0, IF(ISNA(VLOOKUP(N790, Crews!$A$2:$C$28, 2, 0)), N790, VLOOKUP(N790, Crews!$A$2:$C$28, 2, 0))))) * 400</f>
        <v>275</v>
      </c>
      <c r="K790" s="1"/>
      <c r="L790" s="1" t="s">
        <v>1612</v>
      </c>
      <c r="M790" s="1" t="n">
        <v>0</v>
      </c>
      <c r="N790" s="1"/>
      <c r="O790" s="1"/>
      <c r="P790" s="1"/>
      <c r="Q790" s="1"/>
      <c r="R790" s="1" t="s">
        <v>689</v>
      </c>
      <c r="S790" s="5" t="s">
        <v>389</v>
      </c>
      <c r="T790" s="1"/>
    </row>
    <row r="791" customFormat="false" ht="15" hidden="false" customHeight="true" outlineLevel="0" collapsed="false">
      <c r="A791" s="1" t="s">
        <v>1613</v>
      </c>
      <c r="B791" s="1" t="n">
        <v>1896</v>
      </c>
      <c r="C791" s="1" t="n">
        <v>4</v>
      </c>
      <c r="D791" s="1" t="s">
        <v>38</v>
      </c>
      <c r="E791" s="1"/>
      <c r="F791" s="1"/>
      <c r="G791" s="1" t="n">
        <v>160</v>
      </c>
      <c r="H791" s="2" t="n">
        <v>660000</v>
      </c>
      <c r="I791" s="2" t="n">
        <f aca="false">(((H791 / 800) / IF(ISBLANK(R791), 1000000, IF(ISNA(VLOOKUP(R791, Mileages!$A$2:$C$34, 2, 0)), R791, VLOOKUP(R791, Mileages!$A$2:$C$34, 2, 0)))) + (F791 * IF(ISBLANK(P791), 1, P791) * IF(ISBLANK(T791), 0, IF(ISNA(VLOOKUP(T791, 'Fuel Costs'!$A$2:$C$42, 2, 0)), T791, VLOOKUP(T791, 'Fuel Costs'!$A$2:$C$42, 2, 0))) / IF(ISBLANK(O791), 1, O791))) * 100</f>
        <v>0.06875</v>
      </c>
      <c r="J791" s="2" t="n">
        <f aca="false">((H791 / 800) / (IF(ISBLANK(S791), 100, IF(ISNA(VLOOKUP(S791, Lives!$A$2:$C$35, 2, 0)), S791, VLOOKUP(S791, Lives!$A$2:$C$35, 2, 0))) * 12) + (IF(ISBLANK(Q791), 0, IF(ISNA(VLOOKUP(Q791, Wages!$A$2:$C$17, 2, 0)), Q791, VLOOKUP(Q791, Wages!$A$2:$C$17, 2, 0))) * IF(ISBLANK(N791), 0, IF(ISNA(VLOOKUP(N791, Crews!$A$2:$C$28, 2, 0)), N791, VLOOKUP(N791, Crews!$A$2:$C$28, 2, 0))))) * 400</f>
        <v>275</v>
      </c>
      <c r="K791" s="1"/>
      <c r="L791" s="1" t="s">
        <v>1614</v>
      </c>
      <c r="M791" s="1" t="n">
        <v>0</v>
      </c>
      <c r="N791" s="1"/>
      <c r="O791" s="1"/>
      <c r="P791" s="1"/>
      <c r="Q791" s="1"/>
      <c r="R791" s="1" t="s">
        <v>689</v>
      </c>
      <c r="S791" s="5" t="s">
        <v>389</v>
      </c>
      <c r="T791" s="1"/>
    </row>
    <row r="792" customFormat="false" ht="15" hidden="false" customHeight="true" outlineLevel="0" collapsed="false">
      <c r="A792" s="1" t="s">
        <v>1615</v>
      </c>
      <c r="B792" s="1" t="n">
        <v>1896</v>
      </c>
      <c r="C792" s="1" t="n">
        <v>4</v>
      </c>
      <c r="D792" s="1" t="s">
        <v>38</v>
      </c>
      <c r="E792" s="1"/>
      <c r="F792" s="1"/>
      <c r="G792" s="1" t="n">
        <v>160</v>
      </c>
      <c r="H792" s="2" t="n">
        <v>660000</v>
      </c>
      <c r="I792" s="2" t="n">
        <f aca="false">(((H792 / 800) / IF(ISBLANK(R792), 1000000, IF(ISNA(VLOOKUP(R792, Mileages!$A$2:$C$34, 2, 0)), R792, VLOOKUP(R792, Mileages!$A$2:$C$34, 2, 0)))) + (F792 * IF(ISBLANK(P792), 1, P792) * IF(ISBLANK(T792), 0, IF(ISNA(VLOOKUP(T792, 'Fuel Costs'!$A$2:$C$42, 2, 0)), T792, VLOOKUP(T792, 'Fuel Costs'!$A$2:$C$42, 2, 0))) / IF(ISBLANK(O792), 1, O792))) * 100</f>
        <v>0.06875</v>
      </c>
      <c r="J792" s="2" t="n">
        <f aca="false">((H792 / 800) / (IF(ISBLANK(S792), 100, IF(ISNA(VLOOKUP(S792, Lives!$A$2:$C$35, 2, 0)), S792, VLOOKUP(S792, Lives!$A$2:$C$35, 2, 0))) * 12) + (IF(ISBLANK(Q792), 0, IF(ISNA(VLOOKUP(Q792, Wages!$A$2:$C$17, 2, 0)), Q792, VLOOKUP(Q792, Wages!$A$2:$C$17, 2, 0))) * IF(ISBLANK(N792), 0, IF(ISNA(VLOOKUP(N792, Crews!$A$2:$C$28, 2, 0)), N792, VLOOKUP(N792, Crews!$A$2:$C$28, 2, 0))))) * 400</f>
        <v>785.7142857</v>
      </c>
      <c r="K792" s="3" t="s">
        <v>1616</v>
      </c>
      <c r="L792" s="1" t="s">
        <v>1617</v>
      </c>
      <c r="M792" s="1" t="n">
        <v>0</v>
      </c>
      <c r="N792" s="1"/>
      <c r="O792" s="1"/>
      <c r="P792" s="1"/>
      <c r="Q792" s="1"/>
      <c r="R792" s="1" t="s">
        <v>689</v>
      </c>
      <c r="S792" s="1" t="s">
        <v>856</v>
      </c>
      <c r="T792" s="1"/>
    </row>
    <row r="793" customFormat="false" ht="15" hidden="false" customHeight="true" outlineLevel="0" collapsed="false">
      <c r="A793" s="1" t="s">
        <v>1618</v>
      </c>
      <c r="B793" s="1" t="n">
        <v>1896</v>
      </c>
      <c r="C793" s="1" t="n">
        <v>4</v>
      </c>
      <c r="D793" s="1" t="s">
        <v>38</v>
      </c>
      <c r="E793" s="1"/>
      <c r="F793" s="1"/>
      <c r="G793" s="1" t="n">
        <v>160</v>
      </c>
      <c r="H793" s="2" t="n">
        <v>775000</v>
      </c>
      <c r="I793" s="2" t="n">
        <f aca="false">(((H793 / 800) / IF(ISBLANK(R793), 1000000, IF(ISNA(VLOOKUP(R793, Mileages!$A$2:$C$34, 2, 0)), R793, VLOOKUP(R793, Mileages!$A$2:$C$34, 2, 0)))) + (F793 * IF(ISBLANK(P793), 1, P793) * IF(ISBLANK(T793), 0, IF(ISNA(VLOOKUP(T793, 'Fuel Costs'!$A$2:$C$42, 2, 0)), T793, VLOOKUP(T793, 'Fuel Costs'!$A$2:$C$42, 2, 0))) / IF(ISBLANK(O793), 1, O793))) * 100</f>
        <v>0.08072916667</v>
      </c>
      <c r="J793" s="2" t="n">
        <f aca="false">((H793 / 800) / (IF(ISBLANK(S793), 100, IF(ISNA(VLOOKUP(S793, Lives!$A$2:$C$35, 2, 0)), S793, VLOOKUP(S793, Lives!$A$2:$C$35, 2, 0))) * 12) + (IF(ISBLANK(Q793), 0, IF(ISNA(VLOOKUP(Q793, Wages!$A$2:$C$17, 2, 0)), Q793, VLOOKUP(Q793, Wages!$A$2:$C$17, 2, 0))) * IF(ISBLANK(N793), 0, IF(ISNA(VLOOKUP(N793, Crews!$A$2:$C$28, 2, 0)), N793, VLOOKUP(N793, Crews!$A$2:$C$28, 2, 0))))) * 400</f>
        <v>18922.61905</v>
      </c>
      <c r="K793" s="1"/>
      <c r="L793" s="1" t="s">
        <v>1619</v>
      </c>
      <c r="M793" s="1" t="n">
        <v>0</v>
      </c>
      <c r="N793" s="1" t="s">
        <v>1481</v>
      </c>
      <c r="O793" s="1"/>
      <c r="P793" s="1"/>
      <c r="Q793" s="1" t="s">
        <v>1481</v>
      </c>
      <c r="R793" s="1" t="s">
        <v>689</v>
      </c>
      <c r="S793" s="1" t="s">
        <v>856</v>
      </c>
      <c r="T793" s="1"/>
    </row>
    <row r="794" customFormat="false" ht="15" hidden="false" customHeight="true" outlineLevel="0" collapsed="false">
      <c r="A794" s="1" t="s">
        <v>1620</v>
      </c>
      <c r="B794" s="1" t="n">
        <v>1896</v>
      </c>
      <c r="C794" s="1" t="n">
        <v>10</v>
      </c>
      <c r="D794" s="1" t="s">
        <v>38</v>
      </c>
      <c r="E794" s="1"/>
      <c r="F794" s="1"/>
      <c r="G794" s="1" t="n">
        <v>150</v>
      </c>
      <c r="H794" s="2" t="n">
        <v>372000</v>
      </c>
      <c r="I794" s="2" t="n">
        <f aca="false">(((H794 / 800) / IF(ISBLANK(R794), 1000000, IF(ISNA(VLOOKUP(R794, Mileages!$A$2:$C$34, 2, 0)), R794, VLOOKUP(R794, Mileages!$A$2:$C$34, 2, 0)))) + (F794 * IF(ISBLANK(P794), 1, P794) * IF(ISBLANK(T794), 0, IF(ISNA(VLOOKUP(T794, 'Fuel Costs'!$A$2:$C$42, 2, 0)), T794, VLOOKUP(T794, 'Fuel Costs'!$A$2:$C$42, 2, 0))) / IF(ISBLANK(O794), 1, O794))) * 100</f>
        <v>0.03875</v>
      </c>
      <c r="J794" s="2" t="n">
        <f aca="false">((H794 / 800) / (IF(ISBLANK(S794), 100, IF(ISNA(VLOOKUP(S794, Lives!$A$2:$C$35, 2, 0)), S794, VLOOKUP(S794, Lives!$A$2:$C$35, 2, 0))) * 12) + (IF(ISBLANK(Q794), 0, IF(ISNA(VLOOKUP(Q794, Wages!$A$2:$C$17, 2, 0)), Q794, VLOOKUP(Q794, Wages!$A$2:$C$17, 2, 0))) * IF(ISBLANK(N794), 0, IF(ISNA(VLOOKUP(N794, Crews!$A$2:$C$28, 2, 0)), N794, VLOOKUP(N794, Crews!$A$2:$C$28, 2, 0))))) * 400</f>
        <v>18442.85714</v>
      </c>
      <c r="K794" s="3" t="s">
        <v>1621</v>
      </c>
      <c r="L794" s="1" t="s">
        <v>1622</v>
      </c>
      <c r="M794" s="1" t="n">
        <v>1</v>
      </c>
      <c r="N794" s="1" t="s">
        <v>1481</v>
      </c>
      <c r="O794" s="1"/>
      <c r="P794" s="1"/>
      <c r="Q794" s="1" t="s">
        <v>1481</v>
      </c>
      <c r="R794" s="1" t="s">
        <v>689</v>
      </c>
      <c r="S794" s="1" t="s">
        <v>856</v>
      </c>
      <c r="T794" s="1"/>
    </row>
    <row r="795" customFormat="false" ht="15" hidden="false" customHeight="true" outlineLevel="0" collapsed="false">
      <c r="A795" s="1" t="s">
        <v>1623</v>
      </c>
      <c r="B795" s="1" t="n">
        <v>1896</v>
      </c>
      <c r="C795" s="1" t="n">
        <v>10</v>
      </c>
      <c r="D795" s="1" t="s">
        <v>38</v>
      </c>
      <c r="E795" s="1"/>
      <c r="F795" s="1"/>
      <c r="G795" s="1" t="n">
        <v>150</v>
      </c>
      <c r="H795" s="2" t="n">
        <v>452000</v>
      </c>
      <c r="I795" s="2" t="n">
        <f aca="false">(((H795 / 800) / IF(ISBLANK(R795), 1000000, IF(ISNA(VLOOKUP(R795, Mileages!$A$2:$C$34, 2, 0)), R795, VLOOKUP(R795, Mileages!$A$2:$C$34, 2, 0)))) + (F795 * IF(ISBLANK(P795), 1, P795) * IF(ISBLANK(T795), 0, IF(ISNA(VLOOKUP(T795, 'Fuel Costs'!$A$2:$C$42, 2, 0)), T795, VLOOKUP(T795, 'Fuel Costs'!$A$2:$C$42, 2, 0))) / IF(ISBLANK(O795), 1, O795))) * 100</f>
        <v>0.04708333333</v>
      </c>
      <c r="J795" s="2" t="n">
        <f aca="false">((H795 / 800) / (IF(ISBLANK(S795), 100, IF(ISNA(VLOOKUP(S795, Lives!$A$2:$C$35, 2, 0)), S795, VLOOKUP(S795, Lives!$A$2:$C$35, 2, 0))) * 12) + (IF(ISBLANK(Q795), 0, IF(ISNA(VLOOKUP(Q795, Wages!$A$2:$C$17, 2, 0)), Q795, VLOOKUP(Q795, Wages!$A$2:$C$17, 2, 0))) * IF(ISBLANK(N795), 0, IF(ISNA(VLOOKUP(N795, Crews!$A$2:$C$28, 2, 0)), N795, VLOOKUP(N795, Crews!$A$2:$C$28, 2, 0))))) * 400</f>
        <v>538.0952381</v>
      </c>
      <c r="K795" s="1" t="s">
        <v>1624</v>
      </c>
      <c r="L795" s="1" t="s">
        <v>1622</v>
      </c>
      <c r="M795" s="1" t="n">
        <v>3</v>
      </c>
      <c r="N795" s="1"/>
      <c r="O795" s="1"/>
      <c r="P795" s="1"/>
      <c r="Q795" s="1"/>
      <c r="R795" s="1" t="s">
        <v>689</v>
      </c>
      <c r="S795" s="1" t="s">
        <v>856</v>
      </c>
      <c r="T795" s="1"/>
    </row>
    <row r="796" customFormat="false" ht="15" hidden="false" customHeight="true" outlineLevel="0" collapsed="false">
      <c r="A796" s="1" t="s">
        <v>1625</v>
      </c>
      <c r="B796" s="1" t="n">
        <v>1896</v>
      </c>
      <c r="C796" s="1" t="n">
        <v>10</v>
      </c>
      <c r="D796" s="1" t="s">
        <v>38</v>
      </c>
      <c r="E796" s="1"/>
      <c r="F796" s="1"/>
      <c r="G796" s="1" t="n">
        <v>160</v>
      </c>
      <c r="H796" s="2" t="n">
        <v>717500</v>
      </c>
      <c r="I796" s="2" t="n">
        <f aca="false">(((H796 / 800) / IF(ISBLANK(R796), 1000000, IF(ISNA(VLOOKUP(R796, Mileages!$A$2:$C$34, 2, 0)), R796, VLOOKUP(R796, Mileages!$A$2:$C$34, 2, 0)))) + (F796 * IF(ISBLANK(P796), 1, P796) * IF(ISBLANK(T796), 0, IF(ISNA(VLOOKUP(T796, 'Fuel Costs'!$A$2:$C$42, 2, 0)), T796, VLOOKUP(T796, 'Fuel Costs'!$A$2:$C$42, 2, 0))) / IF(ISBLANK(O796), 1, O796))) * 100</f>
        <v>0.07473958333</v>
      </c>
      <c r="J796" s="2" t="n">
        <f aca="false">((H796 / 800) / (IF(ISBLANK(S796), 100, IF(ISNA(VLOOKUP(S796, Lives!$A$2:$C$35, 2, 0)), S796, VLOOKUP(S796, Lives!$A$2:$C$35, 2, 0))) * 12) + (IF(ISBLANK(Q796), 0, IF(ISNA(VLOOKUP(Q796, Wages!$A$2:$C$17, 2, 0)), Q796, VLOOKUP(Q796, Wages!$A$2:$C$17, 2, 0))) * IF(ISBLANK(N796), 0, IF(ISNA(VLOOKUP(N796, Crews!$A$2:$C$28, 2, 0)), N796, VLOOKUP(N796, Crews!$A$2:$C$28, 2, 0))))) * 400</f>
        <v>854.1666667</v>
      </c>
      <c r="K796" s="3" t="s">
        <v>1626</v>
      </c>
      <c r="L796" s="1" t="s">
        <v>1627</v>
      </c>
      <c r="M796" s="1" t="n">
        <v>0</v>
      </c>
      <c r="N796" s="1"/>
      <c r="O796" s="1"/>
      <c r="P796" s="1"/>
      <c r="Q796" s="1"/>
      <c r="R796" s="1" t="s">
        <v>689</v>
      </c>
      <c r="S796" s="1" t="s">
        <v>856</v>
      </c>
      <c r="T796" s="1"/>
    </row>
    <row r="797" customFormat="false" ht="15" hidden="false" customHeight="true" outlineLevel="0" collapsed="false">
      <c r="A797" s="1" t="s">
        <v>1628</v>
      </c>
      <c r="B797" s="1" t="n">
        <v>1896</v>
      </c>
      <c r="C797" s="1" t="n">
        <v>10</v>
      </c>
      <c r="D797" s="1" t="s">
        <v>38</v>
      </c>
      <c r="E797" s="1"/>
      <c r="F797" s="1"/>
      <c r="G797" s="1" t="n">
        <v>160</v>
      </c>
      <c r="H797" s="2" t="n">
        <v>702500</v>
      </c>
      <c r="I797" s="2" t="n">
        <f aca="false">(((H797 / 800) / IF(ISBLANK(R797), 1000000, IF(ISNA(VLOOKUP(R797, Mileages!$A$2:$C$34, 2, 0)), R797, VLOOKUP(R797, Mileages!$A$2:$C$34, 2, 0)))) + (F797 * IF(ISBLANK(P797), 1, P797) * IF(ISBLANK(T797), 0, IF(ISNA(VLOOKUP(T797, 'Fuel Costs'!$A$2:$C$42, 2, 0)), T797, VLOOKUP(T797, 'Fuel Costs'!$A$2:$C$42, 2, 0))) / IF(ISBLANK(O797), 1, O797))) * 100</f>
        <v>0.07317708333</v>
      </c>
      <c r="J797" s="2" t="n">
        <f aca="false">((H797 / 800) / (IF(ISBLANK(S797), 100, IF(ISNA(VLOOKUP(S797, Lives!$A$2:$C$35, 2, 0)), S797, VLOOKUP(S797, Lives!$A$2:$C$35, 2, 0))) * 12) + (IF(ISBLANK(Q797), 0, IF(ISNA(VLOOKUP(Q797, Wages!$A$2:$C$17, 2, 0)), Q797, VLOOKUP(Q797, Wages!$A$2:$C$17, 2, 0))) * IF(ISBLANK(N797), 0, IF(ISNA(VLOOKUP(N797, Crews!$A$2:$C$28, 2, 0)), N797, VLOOKUP(N797, Crews!$A$2:$C$28, 2, 0))))) * 400</f>
        <v>5636.309524</v>
      </c>
      <c r="K797" s="3" t="s">
        <v>1629</v>
      </c>
      <c r="L797" s="1" t="s">
        <v>1630</v>
      </c>
      <c r="M797" s="1" t="n">
        <v>0</v>
      </c>
      <c r="N797" s="1" t="s">
        <v>25</v>
      </c>
      <c r="O797" s="1"/>
      <c r="P797" s="1"/>
      <c r="Q797" s="1" t="s">
        <v>378</v>
      </c>
      <c r="R797" s="1" t="s">
        <v>689</v>
      </c>
      <c r="S797" s="1" t="s">
        <v>856</v>
      </c>
      <c r="T797" s="1"/>
    </row>
    <row r="798" customFormat="false" ht="15" hidden="false" customHeight="true" outlineLevel="0" collapsed="false">
      <c r="A798" s="1" t="s">
        <v>1631</v>
      </c>
      <c r="B798" s="1" t="n">
        <v>1896</v>
      </c>
      <c r="C798" s="1" t="n">
        <v>10</v>
      </c>
      <c r="D798" s="1" t="s">
        <v>38</v>
      </c>
      <c r="E798" s="1"/>
      <c r="F798" s="1"/>
      <c r="G798" s="1" t="n">
        <v>160</v>
      </c>
      <c r="H798" s="2" t="n">
        <v>702500</v>
      </c>
      <c r="I798" s="2" t="n">
        <f aca="false">(((H798 / 800) / IF(ISBLANK(R798), 1000000, IF(ISNA(VLOOKUP(R798, Mileages!$A$2:$C$34, 2, 0)), R798, VLOOKUP(R798, Mileages!$A$2:$C$34, 2, 0)))) + (F798 * IF(ISBLANK(P798), 1, P798) * IF(ISBLANK(T798), 0, IF(ISNA(VLOOKUP(T798, 'Fuel Costs'!$A$2:$C$42, 2, 0)), T798, VLOOKUP(T798, 'Fuel Costs'!$A$2:$C$42, 2, 0))) / IF(ISBLANK(O798), 1, O798))) * 100</f>
        <v>0.07317708333</v>
      </c>
      <c r="J798" s="2" t="n">
        <f aca="false">((H798 / 800) / (IF(ISBLANK(S798), 100, IF(ISNA(VLOOKUP(S798, Lives!$A$2:$C$35, 2, 0)), S798, VLOOKUP(S798, Lives!$A$2:$C$35, 2, 0))) * 12) + (IF(ISBLANK(Q798), 0, IF(ISNA(VLOOKUP(Q798, Wages!$A$2:$C$17, 2, 0)), Q798, VLOOKUP(Q798, Wages!$A$2:$C$17, 2, 0))) * IF(ISBLANK(N798), 0, IF(ISNA(VLOOKUP(N798, Crews!$A$2:$C$28, 2, 0)), N798, VLOOKUP(N798, Crews!$A$2:$C$28, 2, 0))))) * 400</f>
        <v>5636.309524</v>
      </c>
      <c r="K798" s="1"/>
      <c r="L798" s="1" t="s">
        <v>1630</v>
      </c>
      <c r="M798" s="1" t="n">
        <v>1</v>
      </c>
      <c r="N798" s="1" t="s">
        <v>25</v>
      </c>
      <c r="O798" s="1"/>
      <c r="P798" s="1"/>
      <c r="Q798" s="1" t="s">
        <v>378</v>
      </c>
      <c r="R798" s="1" t="s">
        <v>689</v>
      </c>
      <c r="S798" s="1" t="s">
        <v>856</v>
      </c>
      <c r="T798" s="1"/>
    </row>
    <row r="799" customFormat="false" ht="15" hidden="false" customHeight="true" outlineLevel="0" collapsed="false">
      <c r="A799" s="1" t="s">
        <v>1632</v>
      </c>
      <c r="B799" s="1" t="n">
        <v>1896</v>
      </c>
      <c r="C799" s="1" t="n">
        <v>10</v>
      </c>
      <c r="D799" s="1" t="s">
        <v>38</v>
      </c>
      <c r="E799" s="1"/>
      <c r="F799" s="1"/>
      <c r="G799" s="1" t="n">
        <v>160</v>
      </c>
      <c r="H799" s="2" t="n">
        <v>709000</v>
      </c>
      <c r="I799" s="2" t="n">
        <f aca="false">(((H799 / 800) / IF(ISBLANK(R799), 1000000, IF(ISNA(VLOOKUP(R799, Mileages!$A$2:$C$34, 2, 0)), R799, VLOOKUP(R799, Mileages!$A$2:$C$34, 2, 0)))) + (F799 * IF(ISBLANK(P799), 1, P799) * IF(ISBLANK(T799), 0, IF(ISNA(VLOOKUP(T799, 'Fuel Costs'!$A$2:$C$42, 2, 0)), T799, VLOOKUP(T799, 'Fuel Costs'!$A$2:$C$42, 2, 0))) / IF(ISBLANK(O799), 1, O799))) * 100</f>
        <v>0.07385416667</v>
      </c>
      <c r="J799" s="2" t="n">
        <f aca="false">((H799 / 800) / (IF(ISBLANK(S799), 100, IF(ISNA(VLOOKUP(S799, Lives!$A$2:$C$35, 2, 0)), S799, VLOOKUP(S799, Lives!$A$2:$C$35, 2, 0))) * 12) + (IF(ISBLANK(Q799), 0, IF(ISNA(VLOOKUP(Q799, Wages!$A$2:$C$17, 2, 0)), Q799, VLOOKUP(Q799, Wages!$A$2:$C$17, 2, 0))) * IF(ISBLANK(N799), 0, IF(ISNA(VLOOKUP(N799, Crews!$A$2:$C$28, 2, 0)), N799, VLOOKUP(N799, Crews!$A$2:$C$28, 2, 0))))) * 400</f>
        <v>844.047619</v>
      </c>
      <c r="K799" s="1" t="s">
        <v>1224</v>
      </c>
      <c r="L799" s="1" t="s">
        <v>1630</v>
      </c>
      <c r="M799" s="1" t="n">
        <v>2</v>
      </c>
      <c r="N799" s="1"/>
      <c r="O799" s="1"/>
      <c r="P799" s="1"/>
      <c r="Q799" s="1"/>
      <c r="R799" s="1" t="s">
        <v>689</v>
      </c>
      <c r="S799" s="1" t="s">
        <v>856</v>
      </c>
      <c r="T799" s="1"/>
    </row>
    <row r="800" customFormat="false" ht="15" hidden="false" customHeight="true" outlineLevel="0" collapsed="false">
      <c r="A800" s="1" t="s">
        <v>1633</v>
      </c>
      <c r="B800" s="1" t="n">
        <v>1896</v>
      </c>
      <c r="C800" s="1" t="n">
        <v>10</v>
      </c>
      <c r="D800" s="1" t="s">
        <v>38</v>
      </c>
      <c r="E800" s="1"/>
      <c r="F800" s="1"/>
      <c r="G800" s="1" t="n">
        <v>160</v>
      </c>
      <c r="H800" s="2" t="n">
        <v>873000</v>
      </c>
      <c r="I800" s="2" t="n">
        <f aca="false">(((H800 / 800) / IF(ISBLANK(R800), 1000000, IF(ISNA(VLOOKUP(R800, Mileages!$A$2:$C$34, 2, 0)), R800, VLOOKUP(R800, Mileages!$A$2:$C$34, 2, 0)))) + (F800 * IF(ISBLANK(P800), 1, P800) * IF(ISBLANK(T800), 0, IF(ISNA(VLOOKUP(T800, 'Fuel Costs'!$A$2:$C$42, 2, 0)), T800, VLOOKUP(T800, 'Fuel Costs'!$A$2:$C$42, 2, 0))) / IF(ISBLANK(O800), 1, O800))) * 100</f>
        <v>0.0909375</v>
      </c>
      <c r="J800" s="2" t="n">
        <f aca="false">((H800 / 800) / (IF(ISBLANK(S800), 100, IF(ISNA(VLOOKUP(S800, Lives!$A$2:$C$35, 2, 0)), S800, VLOOKUP(S800, Lives!$A$2:$C$35, 2, 0))) * 12) + (IF(ISBLANK(Q800), 0, IF(ISNA(VLOOKUP(Q800, Wages!$A$2:$C$17, 2, 0)), Q800, VLOOKUP(Q800, Wages!$A$2:$C$17, 2, 0))) * IF(ISBLANK(N800), 0, IF(ISNA(VLOOKUP(N800, Crews!$A$2:$C$28, 2, 0)), N800, VLOOKUP(N800, Crews!$A$2:$C$28, 2, 0))))) * 400</f>
        <v>19039.28571</v>
      </c>
      <c r="K800" s="3" t="s">
        <v>1634</v>
      </c>
      <c r="L800" s="1" t="s">
        <v>1635</v>
      </c>
      <c r="M800" s="1" t="n">
        <v>3</v>
      </c>
      <c r="N800" s="1" t="s">
        <v>1481</v>
      </c>
      <c r="O800" s="1"/>
      <c r="P800" s="1"/>
      <c r="Q800" s="1" t="s">
        <v>1481</v>
      </c>
      <c r="R800" s="1" t="s">
        <v>689</v>
      </c>
      <c r="S800" s="1" t="s">
        <v>856</v>
      </c>
      <c r="T800" s="1"/>
    </row>
    <row r="801" customFormat="false" ht="15" hidden="false" customHeight="true" outlineLevel="0" collapsed="false">
      <c r="A801" s="1" t="s">
        <v>1636</v>
      </c>
      <c r="B801" s="1" t="n">
        <v>1896</v>
      </c>
      <c r="C801" s="1" t="n">
        <v>11</v>
      </c>
      <c r="D801" s="1" t="s">
        <v>38</v>
      </c>
      <c r="E801" s="1"/>
      <c r="F801" s="1"/>
      <c r="G801" s="1" t="n">
        <v>160</v>
      </c>
      <c r="H801" s="2" t="n">
        <v>874000</v>
      </c>
      <c r="I801" s="2" t="n">
        <f aca="false">(((H801 / 800) / IF(ISBLANK(R801), 1000000, IF(ISNA(VLOOKUP(R801, Mileages!$A$2:$C$34, 2, 0)), R801, VLOOKUP(R801, Mileages!$A$2:$C$34, 2, 0)))) + (F801 * IF(ISBLANK(P801), 1, P801) * IF(ISBLANK(T801), 0, IF(ISNA(VLOOKUP(T801, 'Fuel Costs'!$A$2:$C$42, 2, 0)), T801, VLOOKUP(T801, 'Fuel Costs'!$A$2:$C$42, 2, 0))) / IF(ISBLANK(O801), 1, O801))) * 100</f>
        <v>0.09104166667</v>
      </c>
      <c r="J801" s="2" t="n">
        <f aca="false">((H801 / 800) / (IF(ISBLANK(S801), 100, IF(ISNA(VLOOKUP(S801, Lives!$A$2:$C$35, 2, 0)), S801, VLOOKUP(S801, Lives!$A$2:$C$35, 2, 0))) * 12) + (IF(ISBLANK(Q801), 0, IF(ISNA(VLOOKUP(Q801, Wages!$A$2:$C$17, 2, 0)), Q801, VLOOKUP(Q801, Wages!$A$2:$C$17, 2, 0))) * IF(ISBLANK(N801), 0, IF(ISNA(VLOOKUP(N801, Crews!$A$2:$C$28, 2, 0)), N801, VLOOKUP(N801, Crews!$A$2:$C$28, 2, 0))))) * 400</f>
        <v>19040.47619</v>
      </c>
      <c r="K801" s="3" t="s">
        <v>1637</v>
      </c>
      <c r="L801" s="1" t="s">
        <v>1638</v>
      </c>
      <c r="M801" s="1" t="n">
        <v>0</v>
      </c>
      <c r="N801" s="1" t="s">
        <v>1481</v>
      </c>
      <c r="O801" s="1"/>
      <c r="P801" s="1"/>
      <c r="Q801" s="1" t="s">
        <v>1481</v>
      </c>
      <c r="R801" s="1" t="s">
        <v>689</v>
      </c>
      <c r="S801" s="1" t="s">
        <v>856</v>
      </c>
      <c r="T801" s="1"/>
    </row>
    <row r="802" customFormat="false" ht="15" hidden="false" customHeight="true" outlineLevel="0" collapsed="false">
      <c r="A802" s="1" t="s">
        <v>1639</v>
      </c>
      <c r="B802" s="1" t="n">
        <v>1897</v>
      </c>
      <c r="C802" s="1" t="n">
        <v>1</v>
      </c>
      <c r="D802" s="1" t="s">
        <v>38</v>
      </c>
      <c r="E802" s="1" t="s">
        <v>274</v>
      </c>
      <c r="F802" s="1" t="n">
        <v>273</v>
      </c>
      <c r="G802" s="1" t="n">
        <v>122</v>
      </c>
      <c r="H802" s="2" t="n">
        <v>8200000</v>
      </c>
      <c r="I802" s="2" t="n">
        <f aca="false">(((H802 / 800) / IF(ISBLANK(R802), 1000000, IF(ISNA(VLOOKUP(R802, Mileages!$A$2:$C$34, 2, 0)), R802, VLOOKUP(R802, Mileages!$A$2:$C$34, 2, 0)))) + (F802 * IF(ISBLANK(P802), 1, P802) * IF(ISBLANK(T802), 0, IF(ISNA(VLOOKUP(T802, 'Fuel Costs'!$A$2:$C$42, 2, 0)), T802, VLOOKUP(T802, 'Fuel Costs'!$A$2:$C$42, 2, 0))) / IF(ISBLANK(O802), 1, O802))) * 100</f>
        <v>183.025</v>
      </c>
      <c r="J802" s="2" t="n">
        <f aca="false">((H802 / 800) / (IF(ISBLANK(S802), 100, IF(ISNA(VLOOKUP(S802, Lives!$A$2:$C$35, 2, 0)), S802, VLOOKUP(S802, Lives!$A$2:$C$35, 2, 0))) * 12) + (IF(ISBLANK(Q802), 0, IF(ISNA(VLOOKUP(Q802, Wages!$A$2:$C$17, 2, 0)), Q802, VLOOKUP(Q802, Wages!$A$2:$C$17, 2, 0))) * IF(ISBLANK(N802), 0, IF(ISNA(VLOOKUP(N802, Crews!$A$2:$C$28, 2, 0)), N802, VLOOKUP(N802, Crews!$A$2:$C$28, 2, 0))))) * 400</f>
        <v>30833.33333</v>
      </c>
      <c r="K802" s="3" t="s">
        <v>1640</v>
      </c>
      <c r="L802" s="1" t="s">
        <v>1641</v>
      </c>
      <c r="M802" s="1" t="n">
        <v>0</v>
      </c>
      <c r="N802" s="1" t="s">
        <v>590</v>
      </c>
      <c r="O802" s="1" t="n">
        <v>0.6</v>
      </c>
      <c r="P802" s="1"/>
      <c r="Q802" s="5" t="s">
        <v>284</v>
      </c>
      <c r="R802" s="1" t="s">
        <v>677</v>
      </c>
      <c r="S802" s="1" t="s">
        <v>677</v>
      </c>
      <c r="T802" s="1" t="s">
        <v>923</v>
      </c>
    </row>
    <row r="803" customFormat="false" ht="15" hidden="false" customHeight="true" outlineLevel="0" collapsed="false">
      <c r="A803" s="1" t="s">
        <v>1642</v>
      </c>
      <c r="B803" s="1" t="n">
        <v>1897</v>
      </c>
      <c r="C803" s="1" t="n">
        <v>2</v>
      </c>
      <c r="D803" s="1" t="s">
        <v>38</v>
      </c>
      <c r="E803" s="1"/>
      <c r="F803" s="1"/>
      <c r="G803" s="1" t="n">
        <v>160</v>
      </c>
      <c r="H803" s="2" t="n">
        <v>800000</v>
      </c>
      <c r="I803" s="2" t="n">
        <f aca="false">(((H803 / 800) / IF(ISBLANK(R803), 1000000, IF(ISNA(VLOOKUP(R803, Mileages!$A$2:$C$34, 2, 0)), R803, VLOOKUP(R803, Mileages!$A$2:$C$34, 2, 0)))) + (F803 * IF(ISBLANK(P803), 1, P803) * IF(ISBLANK(T803), 0, IF(ISNA(VLOOKUP(T803, 'Fuel Costs'!$A$2:$C$42, 2, 0)), T803, VLOOKUP(T803, 'Fuel Costs'!$A$2:$C$42, 2, 0))) / IF(ISBLANK(O803), 1, O803))) * 100</f>
        <v>0.08333333333</v>
      </c>
      <c r="J803" s="2" t="n">
        <f aca="false">((H803 / 800) / (IF(ISBLANK(S803), 100, IF(ISNA(VLOOKUP(S803, Lives!$A$2:$C$35, 2, 0)), S803, VLOOKUP(S803, Lives!$A$2:$C$35, 2, 0))) * 12) + (IF(ISBLANK(Q803), 0, IF(ISNA(VLOOKUP(Q803, Wages!$A$2:$C$17, 2, 0)), Q803, VLOOKUP(Q803, Wages!$A$2:$C$17, 2, 0))) * IF(ISBLANK(N803), 0, IF(ISNA(VLOOKUP(N803, Crews!$A$2:$C$28, 2, 0)), N803, VLOOKUP(N803, Crews!$A$2:$C$28, 2, 0))))) * 400</f>
        <v>952.3809524</v>
      </c>
      <c r="K803" s="3" t="s">
        <v>1643</v>
      </c>
      <c r="L803" s="1" t="s">
        <v>1644</v>
      </c>
      <c r="M803" s="1" t="n">
        <v>0</v>
      </c>
      <c r="N803" s="1"/>
      <c r="O803" s="1"/>
      <c r="P803" s="1"/>
      <c r="Q803" s="1"/>
      <c r="R803" s="1" t="s">
        <v>689</v>
      </c>
      <c r="S803" s="1" t="s">
        <v>856</v>
      </c>
      <c r="T803" s="1"/>
    </row>
    <row r="804" customFormat="false" ht="15" hidden="false" customHeight="true" outlineLevel="0" collapsed="false">
      <c r="A804" s="1" t="s">
        <v>1645</v>
      </c>
      <c r="B804" s="1" t="n">
        <v>1897</v>
      </c>
      <c r="C804" s="1" t="n">
        <v>2</v>
      </c>
      <c r="D804" s="1" t="s">
        <v>38</v>
      </c>
      <c r="E804" s="1"/>
      <c r="F804" s="1"/>
      <c r="G804" s="1" t="n">
        <v>160</v>
      </c>
      <c r="H804" s="2" t="n">
        <v>800000</v>
      </c>
      <c r="I804" s="2" t="n">
        <f aca="false">(((H804 / 800) / IF(ISBLANK(R804), 1000000, IF(ISNA(VLOOKUP(R804, Mileages!$A$2:$C$34, 2, 0)), R804, VLOOKUP(R804, Mileages!$A$2:$C$34, 2, 0)))) + (F804 * IF(ISBLANK(P804), 1, P804) * IF(ISBLANK(T804), 0, IF(ISNA(VLOOKUP(T804, 'Fuel Costs'!$A$2:$C$42, 2, 0)), T804, VLOOKUP(T804, 'Fuel Costs'!$A$2:$C$42, 2, 0))) / IF(ISBLANK(O804), 1, O804))) * 100</f>
        <v>0.08333333333</v>
      </c>
      <c r="J804" s="2" t="n">
        <f aca="false">((H804 / 800) / (IF(ISBLANK(S804), 100, IF(ISNA(VLOOKUP(S804, Lives!$A$2:$C$35, 2, 0)), S804, VLOOKUP(S804, Lives!$A$2:$C$35, 2, 0))) * 12) + (IF(ISBLANK(Q804), 0, IF(ISNA(VLOOKUP(Q804, Wages!$A$2:$C$17, 2, 0)), Q804, VLOOKUP(Q804, Wages!$A$2:$C$17, 2, 0))) * IF(ISBLANK(N804), 0, IF(ISNA(VLOOKUP(N804, Crews!$A$2:$C$28, 2, 0)), N804, VLOOKUP(N804, Crews!$A$2:$C$28, 2, 0))))) * 400</f>
        <v>5752.380952</v>
      </c>
      <c r="K804" s="3" t="s">
        <v>1643</v>
      </c>
      <c r="L804" s="1" t="s">
        <v>1644</v>
      </c>
      <c r="M804" s="1" t="n">
        <v>1</v>
      </c>
      <c r="N804" s="1" t="s">
        <v>25</v>
      </c>
      <c r="O804" s="1"/>
      <c r="P804" s="1"/>
      <c r="Q804" s="1" t="s">
        <v>378</v>
      </c>
      <c r="R804" s="1" t="s">
        <v>689</v>
      </c>
      <c r="S804" s="1" t="s">
        <v>856</v>
      </c>
      <c r="T804" s="1"/>
    </row>
    <row r="805" customFormat="false" ht="15" hidden="false" customHeight="true" outlineLevel="0" collapsed="false">
      <c r="A805" s="1" t="s">
        <v>1646</v>
      </c>
      <c r="B805" s="1" t="n">
        <v>1897</v>
      </c>
      <c r="C805" s="1" t="n">
        <v>2</v>
      </c>
      <c r="D805" s="1" t="s">
        <v>38</v>
      </c>
      <c r="E805" s="1"/>
      <c r="F805" s="1"/>
      <c r="G805" s="1" t="n">
        <v>160</v>
      </c>
      <c r="H805" s="2" t="n">
        <v>800000</v>
      </c>
      <c r="I805" s="2" t="n">
        <f aca="false">(((H805 / 800) / IF(ISBLANK(R805), 1000000, IF(ISNA(VLOOKUP(R805, Mileages!$A$2:$C$34, 2, 0)), R805, VLOOKUP(R805, Mileages!$A$2:$C$34, 2, 0)))) + (F805 * IF(ISBLANK(P805), 1, P805) * IF(ISBLANK(T805), 0, IF(ISNA(VLOOKUP(T805, 'Fuel Costs'!$A$2:$C$42, 2, 0)), T805, VLOOKUP(T805, 'Fuel Costs'!$A$2:$C$42, 2, 0))) / IF(ISBLANK(O805), 1, O805))) * 100</f>
        <v>0.08333333333</v>
      </c>
      <c r="J805" s="2" t="n">
        <f aca="false">((H805 / 800) / (IF(ISBLANK(S805), 100, IF(ISNA(VLOOKUP(S805, Lives!$A$2:$C$35, 2, 0)), S805, VLOOKUP(S805, Lives!$A$2:$C$35, 2, 0))) * 12) + (IF(ISBLANK(Q805), 0, IF(ISNA(VLOOKUP(Q805, Wages!$A$2:$C$17, 2, 0)), Q805, VLOOKUP(Q805, Wages!$A$2:$C$17, 2, 0))) * IF(ISBLANK(N805), 0, IF(ISNA(VLOOKUP(N805, Crews!$A$2:$C$28, 2, 0)), N805, VLOOKUP(N805, Crews!$A$2:$C$28, 2, 0))))) * 400</f>
        <v>5752.380952</v>
      </c>
      <c r="K805" s="3" t="s">
        <v>1643</v>
      </c>
      <c r="L805" s="1" t="s">
        <v>1644</v>
      </c>
      <c r="M805" s="1" t="n">
        <v>2</v>
      </c>
      <c r="N805" s="1" t="s">
        <v>25</v>
      </c>
      <c r="O805" s="1"/>
      <c r="P805" s="1"/>
      <c r="Q805" s="1" t="s">
        <v>378</v>
      </c>
      <c r="R805" s="1" t="s">
        <v>689</v>
      </c>
      <c r="S805" s="1" t="s">
        <v>856</v>
      </c>
      <c r="T805" s="1"/>
    </row>
    <row r="806" customFormat="false" ht="15" hidden="false" customHeight="true" outlineLevel="0" collapsed="false">
      <c r="A806" s="1" t="s">
        <v>1647</v>
      </c>
      <c r="B806" s="1" t="n">
        <v>1897</v>
      </c>
      <c r="C806" s="1" t="n">
        <v>2</v>
      </c>
      <c r="D806" s="1" t="s">
        <v>38</v>
      </c>
      <c r="E806" s="1"/>
      <c r="F806" s="1"/>
      <c r="G806" s="1" t="n">
        <v>160</v>
      </c>
      <c r="H806" s="2" t="n">
        <v>950000</v>
      </c>
      <c r="I806" s="2" t="n">
        <f aca="false">(((H806 / 800) / IF(ISBLANK(R806), 1000000, IF(ISNA(VLOOKUP(R806, Mileages!$A$2:$C$34, 2, 0)), R806, VLOOKUP(R806, Mileages!$A$2:$C$34, 2, 0)))) + (F806 * IF(ISBLANK(P806), 1, P806) * IF(ISBLANK(T806), 0, IF(ISNA(VLOOKUP(T806, 'Fuel Costs'!$A$2:$C$42, 2, 0)), T806, VLOOKUP(T806, 'Fuel Costs'!$A$2:$C$42, 2, 0))) / IF(ISBLANK(O806), 1, O806))) * 100</f>
        <v>0.09895833333</v>
      </c>
      <c r="J806" s="2" t="n">
        <f aca="false">((H806 / 800) / (IF(ISBLANK(S806), 100, IF(ISNA(VLOOKUP(S806, Lives!$A$2:$C$35, 2, 0)), S806, VLOOKUP(S806, Lives!$A$2:$C$35, 2, 0))) * 12) + (IF(ISBLANK(Q806), 0, IF(ISNA(VLOOKUP(Q806, Wages!$A$2:$C$17, 2, 0)), Q806, VLOOKUP(Q806, Wages!$A$2:$C$17, 2, 0))) * IF(ISBLANK(N806), 0, IF(ISNA(VLOOKUP(N806, Crews!$A$2:$C$28, 2, 0)), N806, VLOOKUP(N806, Crews!$A$2:$C$28, 2, 0))))) * 400</f>
        <v>19130.95238</v>
      </c>
      <c r="K806" s="3" t="s">
        <v>1648</v>
      </c>
      <c r="L806" s="1" t="s">
        <v>1644</v>
      </c>
      <c r="M806" s="1" t="n">
        <v>3</v>
      </c>
      <c r="N806" s="1" t="s">
        <v>1481</v>
      </c>
      <c r="O806" s="1"/>
      <c r="P806" s="1"/>
      <c r="Q806" s="1" t="s">
        <v>1481</v>
      </c>
      <c r="R806" s="1" t="s">
        <v>689</v>
      </c>
      <c r="S806" s="1" t="s">
        <v>856</v>
      </c>
      <c r="T806" s="1"/>
    </row>
    <row r="807" customFormat="false" ht="15" hidden="false" customHeight="true" outlineLevel="0" collapsed="false">
      <c r="A807" s="1" t="s">
        <v>1649</v>
      </c>
      <c r="B807" s="1" t="n">
        <v>1897</v>
      </c>
      <c r="C807" s="1" t="n">
        <v>2</v>
      </c>
      <c r="D807" s="1" t="s">
        <v>38</v>
      </c>
      <c r="E807" s="1"/>
      <c r="F807" s="1"/>
      <c r="G807" s="1" t="n">
        <v>160</v>
      </c>
      <c r="H807" s="2" t="n">
        <v>740000</v>
      </c>
      <c r="I807" s="2" t="n">
        <f aca="false">(((H807 / 800) / IF(ISBLANK(R807), 1000000, IF(ISNA(VLOOKUP(R807, Mileages!$A$2:$C$34, 2, 0)), R807, VLOOKUP(R807, Mileages!$A$2:$C$34, 2, 0)))) + (F807 * IF(ISBLANK(P807), 1, P807) * IF(ISBLANK(T807), 0, IF(ISNA(VLOOKUP(T807, 'Fuel Costs'!$A$2:$C$42, 2, 0)), T807, VLOOKUP(T807, 'Fuel Costs'!$A$2:$C$42, 2, 0))) / IF(ISBLANK(O807), 1, O807))) * 100</f>
        <v>0.07708333333</v>
      </c>
      <c r="J807" s="2" t="n">
        <f aca="false">((H807 / 800) / (IF(ISBLANK(S807), 100, IF(ISNA(VLOOKUP(S807, Lives!$A$2:$C$35, 2, 0)), S807, VLOOKUP(S807, Lives!$A$2:$C$35, 2, 0))) * 12) + (IF(ISBLANK(Q807), 0, IF(ISNA(VLOOKUP(Q807, Wages!$A$2:$C$17, 2, 0)), Q807, VLOOKUP(Q807, Wages!$A$2:$C$17, 2, 0))) * IF(ISBLANK(N807), 0, IF(ISNA(VLOOKUP(N807, Crews!$A$2:$C$28, 2, 0)), N807, VLOOKUP(N807, Crews!$A$2:$C$28, 2, 0))))) * 400</f>
        <v>880.952381</v>
      </c>
      <c r="K807" s="3" t="s">
        <v>1643</v>
      </c>
      <c r="L807" s="1" t="s">
        <v>1644</v>
      </c>
      <c r="M807" s="1" t="n">
        <v>4</v>
      </c>
      <c r="N807" s="1"/>
      <c r="O807" s="1"/>
      <c r="P807" s="1"/>
      <c r="Q807" s="1"/>
      <c r="R807" s="1" t="s">
        <v>689</v>
      </c>
      <c r="S807" s="1" t="s">
        <v>856</v>
      </c>
      <c r="T807" s="1"/>
    </row>
    <row r="808" customFormat="false" ht="15" hidden="false" customHeight="true" outlineLevel="0" collapsed="false">
      <c r="A808" s="1" t="s">
        <v>1650</v>
      </c>
      <c r="B808" s="1" t="n">
        <v>1897</v>
      </c>
      <c r="C808" s="1" t="n">
        <v>2</v>
      </c>
      <c r="D808" s="1" t="s">
        <v>38</v>
      </c>
      <c r="E808" s="1"/>
      <c r="F808" s="1"/>
      <c r="G808" s="1" t="n">
        <v>160</v>
      </c>
      <c r="H808" s="2" t="n">
        <v>740000</v>
      </c>
      <c r="I808" s="2" t="n">
        <f aca="false">(((H808 / 800) / IF(ISBLANK(R808), 1000000, IF(ISNA(VLOOKUP(R808, Mileages!$A$2:$C$34, 2, 0)), R808, VLOOKUP(R808, Mileages!$A$2:$C$34, 2, 0)))) + (F808 * IF(ISBLANK(P808), 1, P808) * IF(ISBLANK(T808), 0, IF(ISNA(VLOOKUP(T808, 'Fuel Costs'!$A$2:$C$42, 2, 0)), T808, VLOOKUP(T808, 'Fuel Costs'!$A$2:$C$42, 2, 0))) / IF(ISBLANK(O808), 1, O808))) * 100</f>
        <v>0.07708333333</v>
      </c>
      <c r="J808" s="2" t="n">
        <f aca="false">((H808 / 800) / (IF(ISBLANK(S808), 100, IF(ISNA(VLOOKUP(S808, Lives!$A$2:$C$35, 2, 0)), S808, VLOOKUP(S808, Lives!$A$2:$C$35, 2, 0))) * 12) + (IF(ISBLANK(Q808), 0, IF(ISNA(VLOOKUP(Q808, Wages!$A$2:$C$17, 2, 0)), Q808, VLOOKUP(Q808, Wages!$A$2:$C$17, 2, 0))) * IF(ISBLANK(N808), 0, IF(ISNA(VLOOKUP(N808, Crews!$A$2:$C$28, 2, 0)), N808, VLOOKUP(N808, Crews!$A$2:$C$28, 2, 0))))) * 400</f>
        <v>5680.952381</v>
      </c>
      <c r="K808" s="3" t="s">
        <v>1643</v>
      </c>
      <c r="L808" s="1" t="s">
        <v>1644</v>
      </c>
      <c r="M808" s="1" t="n">
        <v>5</v>
      </c>
      <c r="N808" s="1" t="s">
        <v>25</v>
      </c>
      <c r="O808" s="1"/>
      <c r="P808" s="1"/>
      <c r="Q808" s="1" t="s">
        <v>378</v>
      </c>
      <c r="R808" s="1" t="s">
        <v>689</v>
      </c>
      <c r="S808" s="1" t="s">
        <v>856</v>
      </c>
      <c r="T808" s="1"/>
    </row>
    <row r="809" customFormat="false" ht="15" hidden="false" customHeight="true" outlineLevel="0" collapsed="false">
      <c r="A809" s="1" t="s">
        <v>1651</v>
      </c>
      <c r="B809" s="1" t="n">
        <v>1897</v>
      </c>
      <c r="C809" s="1" t="n">
        <v>2</v>
      </c>
      <c r="D809" s="1" t="s">
        <v>38</v>
      </c>
      <c r="E809" s="1"/>
      <c r="F809" s="1"/>
      <c r="G809" s="1" t="n">
        <v>160</v>
      </c>
      <c r="H809" s="2" t="n">
        <v>740000</v>
      </c>
      <c r="I809" s="2" t="n">
        <f aca="false">(((H809 / 800) / IF(ISBLANK(R809), 1000000, IF(ISNA(VLOOKUP(R809, Mileages!$A$2:$C$34, 2, 0)), R809, VLOOKUP(R809, Mileages!$A$2:$C$34, 2, 0)))) + (F809 * IF(ISBLANK(P809), 1, P809) * IF(ISBLANK(T809), 0, IF(ISNA(VLOOKUP(T809, 'Fuel Costs'!$A$2:$C$42, 2, 0)), T809, VLOOKUP(T809, 'Fuel Costs'!$A$2:$C$42, 2, 0))) / IF(ISBLANK(O809), 1, O809))) * 100</f>
        <v>0.07708333333</v>
      </c>
      <c r="J809" s="2" t="n">
        <f aca="false">((H809 / 800) / (IF(ISBLANK(S809), 100, IF(ISNA(VLOOKUP(S809, Lives!$A$2:$C$35, 2, 0)), S809, VLOOKUP(S809, Lives!$A$2:$C$35, 2, 0))) * 12) + (IF(ISBLANK(Q809), 0, IF(ISNA(VLOOKUP(Q809, Wages!$A$2:$C$17, 2, 0)), Q809, VLOOKUP(Q809, Wages!$A$2:$C$17, 2, 0))) * IF(ISBLANK(N809), 0, IF(ISNA(VLOOKUP(N809, Crews!$A$2:$C$28, 2, 0)), N809, VLOOKUP(N809, Crews!$A$2:$C$28, 2, 0))))) * 400</f>
        <v>5680.952381</v>
      </c>
      <c r="K809" s="3" t="s">
        <v>1643</v>
      </c>
      <c r="L809" s="1" t="s">
        <v>1644</v>
      </c>
      <c r="M809" s="1" t="n">
        <v>6</v>
      </c>
      <c r="N809" s="1" t="s">
        <v>25</v>
      </c>
      <c r="O809" s="1"/>
      <c r="P809" s="1"/>
      <c r="Q809" s="1" t="s">
        <v>378</v>
      </c>
      <c r="R809" s="1" t="s">
        <v>689</v>
      </c>
      <c r="S809" s="1" t="s">
        <v>856</v>
      </c>
      <c r="T809" s="1"/>
    </row>
    <row r="810" customFormat="false" ht="15" hidden="false" customHeight="true" outlineLevel="0" collapsed="false">
      <c r="A810" s="1" t="s">
        <v>1652</v>
      </c>
      <c r="B810" s="1" t="n">
        <v>1897</v>
      </c>
      <c r="C810" s="1" t="n">
        <v>2</v>
      </c>
      <c r="D810" s="1" t="s">
        <v>38</v>
      </c>
      <c r="E810" s="1"/>
      <c r="F810" s="1"/>
      <c r="G810" s="1" t="n">
        <v>160</v>
      </c>
      <c r="H810" s="2" t="n">
        <v>700000</v>
      </c>
      <c r="I810" s="2" t="n">
        <f aca="false">(((H810 / 800) / IF(ISBLANK(R810), 1000000, IF(ISNA(VLOOKUP(R810, Mileages!$A$2:$C$34, 2, 0)), R810, VLOOKUP(R810, Mileages!$A$2:$C$34, 2, 0)))) + (F810 * IF(ISBLANK(P810), 1, P810) * IF(ISBLANK(T810), 0, IF(ISNA(VLOOKUP(T810, 'Fuel Costs'!$A$2:$C$42, 2, 0)), T810, VLOOKUP(T810, 'Fuel Costs'!$A$2:$C$42, 2, 0))) / IF(ISBLANK(O810), 1, O810))) * 100</f>
        <v>0.07291666667</v>
      </c>
      <c r="J810" s="2" t="n">
        <f aca="false">((H810 / 800) / (IF(ISBLANK(S810), 100, IF(ISNA(VLOOKUP(S810, Lives!$A$2:$C$35, 2, 0)), S810, VLOOKUP(S810, Lives!$A$2:$C$35, 2, 0))) * 12) + (IF(ISBLANK(Q810), 0, IF(ISNA(VLOOKUP(Q810, Wages!$A$2:$C$17, 2, 0)), Q810, VLOOKUP(Q810, Wages!$A$2:$C$17, 2, 0))) * IF(ISBLANK(N810), 0, IF(ISNA(VLOOKUP(N810, Crews!$A$2:$C$28, 2, 0)), N810, VLOOKUP(N810, Crews!$A$2:$C$28, 2, 0))))) * 400</f>
        <v>5633.333333</v>
      </c>
      <c r="K810" s="3" t="s">
        <v>1653</v>
      </c>
      <c r="L810" s="1" t="s">
        <v>1644</v>
      </c>
      <c r="M810" s="1" t="n">
        <v>7</v>
      </c>
      <c r="N810" s="1" t="s">
        <v>25</v>
      </c>
      <c r="O810" s="1"/>
      <c r="P810" s="1"/>
      <c r="Q810" s="1" t="s">
        <v>378</v>
      </c>
      <c r="R810" s="1" t="s">
        <v>689</v>
      </c>
      <c r="S810" s="1" t="s">
        <v>856</v>
      </c>
      <c r="T810" s="1"/>
    </row>
    <row r="811" customFormat="false" ht="15" hidden="false" customHeight="true" outlineLevel="0" collapsed="false">
      <c r="A811" s="1" t="s">
        <v>1654</v>
      </c>
      <c r="B811" s="1" t="n">
        <v>1897</v>
      </c>
      <c r="C811" s="1" t="n">
        <v>2</v>
      </c>
      <c r="D811" s="1" t="s">
        <v>38</v>
      </c>
      <c r="E811" s="1"/>
      <c r="F811" s="1"/>
      <c r="G811" s="1" t="n">
        <v>160</v>
      </c>
      <c r="H811" s="2" t="n">
        <v>700000</v>
      </c>
      <c r="I811" s="2" t="n">
        <f aca="false">(((H811 / 800) / IF(ISBLANK(R811), 1000000, IF(ISNA(VLOOKUP(R811, Mileages!$A$2:$C$34, 2, 0)), R811, VLOOKUP(R811, Mileages!$A$2:$C$34, 2, 0)))) + (F811 * IF(ISBLANK(P811), 1, P811) * IF(ISBLANK(T811), 0, IF(ISNA(VLOOKUP(T811, 'Fuel Costs'!$A$2:$C$42, 2, 0)), T811, VLOOKUP(T811, 'Fuel Costs'!$A$2:$C$42, 2, 0))) / IF(ISBLANK(O811), 1, O811))) * 100</f>
        <v>0.07291666667</v>
      </c>
      <c r="J811" s="2" t="n">
        <f aca="false">((H811 / 800) / (IF(ISBLANK(S811), 100, IF(ISNA(VLOOKUP(S811, Lives!$A$2:$C$35, 2, 0)), S811, VLOOKUP(S811, Lives!$A$2:$C$35, 2, 0))) * 12) + (IF(ISBLANK(Q811), 0, IF(ISNA(VLOOKUP(Q811, Wages!$A$2:$C$17, 2, 0)), Q811, VLOOKUP(Q811, Wages!$A$2:$C$17, 2, 0))) * IF(ISBLANK(N811), 0, IF(ISNA(VLOOKUP(N811, Crews!$A$2:$C$28, 2, 0)), N811, VLOOKUP(N811, Crews!$A$2:$C$28, 2, 0))))) * 400</f>
        <v>291.6666667</v>
      </c>
      <c r="K811" s="3" t="s">
        <v>1653</v>
      </c>
      <c r="L811" s="1" t="s">
        <v>1644</v>
      </c>
      <c r="M811" s="1" t="n">
        <v>8</v>
      </c>
      <c r="N811" s="1"/>
      <c r="O811" s="1"/>
      <c r="P811" s="1"/>
      <c r="Q811" s="1"/>
      <c r="R811" s="1" t="s">
        <v>689</v>
      </c>
      <c r="S811" s="5" t="s">
        <v>389</v>
      </c>
      <c r="T811" s="1"/>
    </row>
    <row r="812" customFormat="false" ht="15" hidden="false" customHeight="true" outlineLevel="0" collapsed="false">
      <c r="A812" s="1" t="s">
        <v>1655</v>
      </c>
      <c r="B812" s="1" t="n">
        <v>1897</v>
      </c>
      <c r="C812" s="1" t="n">
        <v>2</v>
      </c>
      <c r="D812" s="1" t="s">
        <v>38</v>
      </c>
      <c r="E812" s="1"/>
      <c r="F812" s="1"/>
      <c r="G812" s="1" t="n">
        <v>160</v>
      </c>
      <c r="H812" s="2" t="n">
        <v>770000</v>
      </c>
      <c r="I812" s="2" t="n">
        <f aca="false">(((H812 / 800) / IF(ISBLANK(R812), 1000000, IF(ISNA(VLOOKUP(R812, Mileages!$A$2:$C$34, 2, 0)), R812, VLOOKUP(R812, Mileages!$A$2:$C$34, 2, 0)))) + (F812 * IF(ISBLANK(P812), 1, P812) * IF(ISBLANK(T812), 0, IF(ISNA(VLOOKUP(T812, 'Fuel Costs'!$A$2:$C$42, 2, 0)), T812, VLOOKUP(T812, 'Fuel Costs'!$A$2:$C$42, 2, 0))) / IF(ISBLANK(O812), 1, O812))) * 100</f>
        <v>0.08020833333</v>
      </c>
      <c r="J812" s="2" t="n">
        <f aca="false">((H812 / 800) / (IF(ISBLANK(S812), 100, IF(ISNA(VLOOKUP(S812, Lives!$A$2:$C$35, 2, 0)), S812, VLOOKUP(S812, Lives!$A$2:$C$35, 2, 0))) * 12) + (IF(ISBLANK(Q812), 0, IF(ISNA(VLOOKUP(Q812, Wages!$A$2:$C$17, 2, 0)), Q812, VLOOKUP(Q812, Wages!$A$2:$C$17, 2, 0))) * IF(ISBLANK(N812), 0, IF(ISNA(VLOOKUP(N812, Crews!$A$2:$C$28, 2, 0)), N812, VLOOKUP(N812, Crews!$A$2:$C$28, 2, 0))))) * 400</f>
        <v>24320.83333</v>
      </c>
      <c r="K812" s="3" t="s">
        <v>1653</v>
      </c>
      <c r="L812" s="1" t="s">
        <v>1644</v>
      </c>
      <c r="M812" s="1" t="n">
        <v>9</v>
      </c>
      <c r="N812" s="1" t="s">
        <v>551</v>
      </c>
      <c r="O812" s="1"/>
      <c r="P812" s="1"/>
      <c r="Q812" s="1" t="s">
        <v>551</v>
      </c>
      <c r="R812" s="1" t="s">
        <v>689</v>
      </c>
      <c r="S812" s="1" t="s">
        <v>389</v>
      </c>
      <c r="T812" s="1"/>
    </row>
    <row r="813" customFormat="false" ht="15" hidden="false" customHeight="true" outlineLevel="0" collapsed="false">
      <c r="A813" s="1" t="s">
        <v>1656</v>
      </c>
      <c r="B813" s="1" t="n">
        <v>1897</v>
      </c>
      <c r="C813" s="1" t="n">
        <v>3</v>
      </c>
      <c r="D813" s="1" t="s">
        <v>38</v>
      </c>
      <c r="E813" s="1"/>
      <c r="F813" s="1"/>
      <c r="G813" s="1" t="n">
        <v>160</v>
      </c>
      <c r="H813" s="2" t="n">
        <v>500000</v>
      </c>
      <c r="I813" s="2" t="n">
        <f aca="false">(((H813 / 800) / IF(ISBLANK(R813), 1000000, IF(ISNA(VLOOKUP(R813, Mileages!$A$2:$C$34, 2, 0)), R813, VLOOKUP(R813, Mileages!$A$2:$C$34, 2, 0)))) + (F813 * IF(ISBLANK(P813), 1, P813) * IF(ISBLANK(T813), 0, IF(ISNA(VLOOKUP(T813, 'Fuel Costs'!$A$2:$C$42, 2, 0)), T813, VLOOKUP(T813, 'Fuel Costs'!$A$2:$C$42, 2, 0))) / IF(ISBLANK(O813), 1, O813))) * 100</f>
        <v>0.05208333333</v>
      </c>
      <c r="J813" s="2" t="n">
        <f aca="false">((H813 / 800) / (IF(ISBLANK(S813), 100, IF(ISNA(VLOOKUP(S813, Lives!$A$2:$C$35, 2, 0)), S813, VLOOKUP(S813, Lives!$A$2:$C$35, 2, 0))) * 12) + (IF(ISBLANK(Q813), 0, IF(ISNA(VLOOKUP(Q813, Wages!$A$2:$C$17, 2, 0)), Q813, VLOOKUP(Q813, Wages!$A$2:$C$17, 2, 0))) * IF(ISBLANK(N813), 0, IF(ISNA(VLOOKUP(N813, Crews!$A$2:$C$28, 2, 0)), N813, VLOOKUP(N813, Crews!$A$2:$C$28, 2, 0))))) * 400</f>
        <v>595.2380952</v>
      </c>
      <c r="K813" s="1" t="s">
        <v>1657</v>
      </c>
      <c r="L813" s="1" t="s">
        <v>1658</v>
      </c>
      <c r="M813" s="1" t="n">
        <v>0</v>
      </c>
      <c r="N813" s="1"/>
      <c r="O813" s="1"/>
      <c r="P813" s="1"/>
      <c r="Q813" s="1"/>
      <c r="R813" s="1" t="s">
        <v>689</v>
      </c>
      <c r="S813" s="1" t="s">
        <v>856</v>
      </c>
      <c r="T813" s="1"/>
    </row>
    <row r="814" customFormat="false" ht="15" hidden="false" customHeight="true" outlineLevel="0" collapsed="false">
      <c r="A814" s="1" t="s">
        <v>1659</v>
      </c>
      <c r="B814" s="1" t="n">
        <v>1897</v>
      </c>
      <c r="C814" s="1" t="n">
        <v>3</v>
      </c>
      <c r="D814" s="1" t="s">
        <v>38</v>
      </c>
      <c r="E814" s="1"/>
      <c r="F814" s="1"/>
      <c r="G814" s="1" t="n">
        <v>160</v>
      </c>
      <c r="H814" s="2" t="n">
        <v>500000</v>
      </c>
      <c r="I814" s="2" t="n">
        <f aca="false">(((H814 / 800) / IF(ISBLANK(R814), 1000000, IF(ISNA(VLOOKUP(R814, Mileages!$A$2:$C$34, 2, 0)), R814, VLOOKUP(R814, Mileages!$A$2:$C$34, 2, 0)))) + (F814 * IF(ISBLANK(P814), 1, P814) * IF(ISBLANK(T814), 0, IF(ISNA(VLOOKUP(T814, 'Fuel Costs'!$A$2:$C$42, 2, 0)), T814, VLOOKUP(T814, 'Fuel Costs'!$A$2:$C$42, 2, 0))) / IF(ISBLANK(O814), 1, O814))) * 100</f>
        <v>0.05208333333</v>
      </c>
      <c r="J814" s="2" t="n">
        <f aca="false">((H814 / 800) / (IF(ISBLANK(S814), 100, IF(ISNA(VLOOKUP(S814, Lives!$A$2:$C$35, 2, 0)), S814, VLOOKUP(S814, Lives!$A$2:$C$35, 2, 0))) * 12) + (IF(ISBLANK(Q814), 0, IF(ISNA(VLOOKUP(Q814, Wages!$A$2:$C$17, 2, 0)), Q814, VLOOKUP(Q814, Wages!$A$2:$C$17, 2, 0))) * IF(ISBLANK(N814), 0, IF(ISNA(VLOOKUP(N814, Crews!$A$2:$C$28, 2, 0)), N814, VLOOKUP(N814, Crews!$A$2:$C$28, 2, 0))))) * 400</f>
        <v>5395.238095</v>
      </c>
      <c r="K814" s="1" t="s">
        <v>1657</v>
      </c>
      <c r="L814" s="1" t="s">
        <v>1658</v>
      </c>
      <c r="M814" s="1" t="n">
        <v>1</v>
      </c>
      <c r="N814" s="1" t="s">
        <v>25</v>
      </c>
      <c r="O814" s="1"/>
      <c r="P814" s="1"/>
      <c r="Q814" s="1" t="s">
        <v>378</v>
      </c>
      <c r="R814" s="1" t="s">
        <v>689</v>
      </c>
      <c r="S814" s="1" t="s">
        <v>856</v>
      </c>
      <c r="T814" s="1"/>
    </row>
    <row r="815" customFormat="false" ht="15" hidden="false" customHeight="true" outlineLevel="0" collapsed="false">
      <c r="A815" s="1" t="s">
        <v>1660</v>
      </c>
      <c r="B815" s="1" t="n">
        <v>1897</v>
      </c>
      <c r="C815" s="1" t="n">
        <v>3</v>
      </c>
      <c r="D815" s="1" t="s">
        <v>38</v>
      </c>
      <c r="E815" s="1"/>
      <c r="F815" s="1"/>
      <c r="G815" s="1" t="n">
        <v>160</v>
      </c>
      <c r="H815" s="2" t="n">
        <v>500000</v>
      </c>
      <c r="I815" s="2" t="n">
        <f aca="false">(((H815 / 800) / IF(ISBLANK(R815), 1000000, IF(ISNA(VLOOKUP(R815, Mileages!$A$2:$C$34, 2, 0)), R815, VLOOKUP(R815, Mileages!$A$2:$C$34, 2, 0)))) + (F815 * IF(ISBLANK(P815), 1, P815) * IF(ISBLANK(T815), 0, IF(ISNA(VLOOKUP(T815, 'Fuel Costs'!$A$2:$C$42, 2, 0)), T815, VLOOKUP(T815, 'Fuel Costs'!$A$2:$C$42, 2, 0))) / IF(ISBLANK(O815), 1, O815))) * 100</f>
        <v>0.05208333333</v>
      </c>
      <c r="J815" s="2" t="n">
        <f aca="false">((H815 / 800) / (IF(ISBLANK(S815), 100, IF(ISNA(VLOOKUP(S815, Lives!$A$2:$C$35, 2, 0)), S815, VLOOKUP(S815, Lives!$A$2:$C$35, 2, 0))) * 12) + (IF(ISBLANK(Q815), 0, IF(ISNA(VLOOKUP(Q815, Wages!$A$2:$C$17, 2, 0)), Q815, VLOOKUP(Q815, Wages!$A$2:$C$17, 2, 0))) * IF(ISBLANK(N815), 0, IF(ISNA(VLOOKUP(N815, Crews!$A$2:$C$28, 2, 0)), N815, VLOOKUP(N815, Crews!$A$2:$C$28, 2, 0))))) * 400</f>
        <v>5395.238095</v>
      </c>
      <c r="K815" s="1" t="s">
        <v>1657</v>
      </c>
      <c r="L815" s="1" t="s">
        <v>1658</v>
      </c>
      <c r="M815" s="1" t="n">
        <v>2</v>
      </c>
      <c r="N815" s="1" t="s">
        <v>25</v>
      </c>
      <c r="O815" s="1"/>
      <c r="P815" s="1"/>
      <c r="Q815" s="1" t="s">
        <v>378</v>
      </c>
      <c r="R815" s="1" t="s">
        <v>689</v>
      </c>
      <c r="S815" s="1" t="s">
        <v>856</v>
      </c>
      <c r="T815" s="1"/>
    </row>
    <row r="816" customFormat="false" ht="15" hidden="false" customHeight="true" outlineLevel="0" collapsed="false">
      <c r="A816" s="1" t="s">
        <v>1661</v>
      </c>
      <c r="B816" s="1" t="n">
        <v>1897</v>
      </c>
      <c r="C816" s="1" t="n">
        <v>3</v>
      </c>
      <c r="D816" s="1" t="s">
        <v>38</v>
      </c>
      <c r="E816" s="1"/>
      <c r="F816" s="1"/>
      <c r="G816" s="1" t="n">
        <v>160</v>
      </c>
      <c r="H816" s="2" t="n">
        <v>470000</v>
      </c>
      <c r="I816" s="2" t="n">
        <f aca="false">(((H816 / 800) / IF(ISBLANK(R816), 1000000, IF(ISNA(VLOOKUP(R816, Mileages!$A$2:$C$34, 2, 0)), R816, VLOOKUP(R816, Mileages!$A$2:$C$34, 2, 0)))) + (F816 * IF(ISBLANK(P816), 1, P816) * IF(ISBLANK(T816), 0, IF(ISNA(VLOOKUP(T816, 'Fuel Costs'!$A$2:$C$42, 2, 0)), T816, VLOOKUP(T816, 'Fuel Costs'!$A$2:$C$42, 2, 0))) / IF(ISBLANK(O816), 1, O816))) * 100</f>
        <v>0.04895833333</v>
      </c>
      <c r="J816" s="2" t="n">
        <f aca="false">((H816 / 800) / (IF(ISBLANK(S816), 100, IF(ISNA(VLOOKUP(S816, Lives!$A$2:$C$35, 2, 0)), S816, VLOOKUP(S816, Lives!$A$2:$C$35, 2, 0))) * 12) + (IF(ISBLANK(Q816), 0, IF(ISNA(VLOOKUP(Q816, Wages!$A$2:$C$17, 2, 0)), Q816, VLOOKUP(Q816, Wages!$A$2:$C$17, 2, 0))) * IF(ISBLANK(N816), 0, IF(ISNA(VLOOKUP(N816, Crews!$A$2:$C$28, 2, 0)), N816, VLOOKUP(N816, Crews!$A$2:$C$28, 2, 0))))) * 400</f>
        <v>195.8333333</v>
      </c>
      <c r="K816" s="1"/>
      <c r="L816" s="1" t="s">
        <v>1658</v>
      </c>
      <c r="M816" s="1" t="n">
        <v>6</v>
      </c>
      <c r="N816" s="1"/>
      <c r="O816" s="1"/>
      <c r="P816" s="1"/>
      <c r="Q816" s="1"/>
      <c r="R816" s="1" t="s">
        <v>689</v>
      </c>
      <c r="S816" s="5" t="s">
        <v>389</v>
      </c>
      <c r="T816" s="1"/>
    </row>
    <row r="817" customFormat="false" ht="15" hidden="false" customHeight="true" outlineLevel="0" collapsed="false">
      <c r="A817" s="1" t="s">
        <v>1662</v>
      </c>
      <c r="B817" s="1" t="n">
        <v>1897</v>
      </c>
      <c r="C817" s="1" t="n">
        <v>3</v>
      </c>
      <c r="D817" s="1" t="s">
        <v>38</v>
      </c>
      <c r="E817" s="1"/>
      <c r="F817" s="1"/>
      <c r="G817" s="1" t="n">
        <v>160</v>
      </c>
      <c r="H817" s="2" t="n">
        <v>570000</v>
      </c>
      <c r="I817" s="2" t="n">
        <f aca="false">(((H817 / 800) / IF(ISBLANK(R817), 1000000, IF(ISNA(VLOOKUP(R817, Mileages!$A$2:$C$34, 2, 0)), R817, VLOOKUP(R817, Mileages!$A$2:$C$34, 2, 0)))) + (F817 * IF(ISBLANK(P817), 1, P817) * IF(ISBLANK(T817), 0, IF(ISNA(VLOOKUP(T817, 'Fuel Costs'!$A$2:$C$42, 2, 0)), T817, VLOOKUP(T817, 'Fuel Costs'!$A$2:$C$42, 2, 0))) / IF(ISBLANK(O817), 1, O817))) * 100</f>
        <v>0.059375</v>
      </c>
      <c r="J817" s="2" t="n">
        <f aca="false">((H817 / 800) / (IF(ISBLANK(S817), 100, IF(ISNA(VLOOKUP(S817, Lives!$A$2:$C$35, 2, 0)), S817, VLOOKUP(S817, Lives!$A$2:$C$35, 2, 0))) * 12) + (IF(ISBLANK(Q817), 0, IF(ISNA(VLOOKUP(Q817, Wages!$A$2:$C$17, 2, 0)), Q817, VLOOKUP(Q817, Wages!$A$2:$C$17, 2, 0))) * IF(ISBLANK(N817), 0, IF(ISNA(VLOOKUP(N817, Crews!$A$2:$C$28, 2, 0)), N817, VLOOKUP(N817, Crews!$A$2:$C$28, 2, 0))))) * 400</f>
        <v>24237.5</v>
      </c>
      <c r="K817" s="1" t="s">
        <v>1663</v>
      </c>
      <c r="L817" s="1" t="s">
        <v>1658</v>
      </c>
      <c r="M817" s="1" t="n">
        <v>7</v>
      </c>
      <c r="N817" s="1" t="s">
        <v>551</v>
      </c>
      <c r="O817" s="1"/>
      <c r="P817" s="1"/>
      <c r="Q817" s="1" t="s">
        <v>551</v>
      </c>
      <c r="R817" s="1" t="s">
        <v>689</v>
      </c>
      <c r="S817" s="1" t="s">
        <v>389</v>
      </c>
      <c r="T817" s="1"/>
    </row>
    <row r="818" customFormat="false" ht="15" hidden="false" customHeight="true" outlineLevel="0" collapsed="false">
      <c r="A818" s="1" t="s">
        <v>1664</v>
      </c>
      <c r="B818" s="1" t="n">
        <v>1897</v>
      </c>
      <c r="C818" s="1" t="n">
        <v>3</v>
      </c>
      <c r="D818" s="1" t="s">
        <v>38</v>
      </c>
      <c r="E818" s="1"/>
      <c r="F818" s="1"/>
      <c r="G818" s="1" t="n">
        <v>150</v>
      </c>
      <c r="H818" s="2" t="n">
        <v>345000</v>
      </c>
      <c r="I818" s="2" t="n">
        <f aca="false">(((H818 / 800) / IF(ISBLANK(R818), 1000000, IF(ISNA(VLOOKUP(R818, Mileages!$A$2:$C$34, 2, 0)), R818, VLOOKUP(R818, Mileages!$A$2:$C$34, 2, 0)))) + (F818 * IF(ISBLANK(P818), 1, P818) * IF(ISBLANK(T818), 0, IF(ISNA(VLOOKUP(T818, 'Fuel Costs'!$A$2:$C$42, 2, 0)), T818, VLOOKUP(T818, 'Fuel Costs'!$A$2:$C$42, 2, 0))) / IF(ISBLANK(O818), 1, O818))) * 100</f>
        <v>0.0359375</v>
      </c>
      <c r="J818" s="2" t="n">
        <f aca="false">((H818 / 800) / (IF(ISBLANK(S818), 100, IF(ISNA(VLOOKUP(S818, Lives!$A$2:$C$35, 2, 0)), S818, VLOOKUP(S818, Lives!$A$2:$C$35, 2, 0))) * 12) + (IF(ISBLANK(Q818), 0, IF(ISNA(VLOOKUP(Q818, Wages!$A$2:$C$17, 2, 0)), Q818, VLOOKUP(Q818, Wages!$A$2:$C$17, 2, 0))) * IF(ISBLANK(N818), 0, IF(ISNA(VLOOKUP(N818, Crews!$A$2:$C$28, 2, 0)), N818, VLOOKUP(N818, Crews!$A$2:$C$28, 2, 0))))) * 400</f>
        <v>410.7142857</v>
      </c>
      <c r="K818" s="3" t="s">
        <v>1665</v>
      </c>
      <c r="L818" s="1" t="s">
        <v>1622</v>
      </c>
      <c r="M818" s="1" t="n">
        <v>0</v>
      </c>
      <c r="N818" s="1"/>
      <c r="O818" s="1"/>
      <c r="P818" s="1"/>
      <c r="Q818" s="1"/>
      <c r="R818" s="1" t="s">
        <v>689</v>
      </c>
      <c r="S818" s="1" t="s">
        <v>856</v>
      </c>
      <c r="T818" s="1"/>
    </row>
    <row r="819" customFormat="false" ht="15" hidden="false" customHeight="true" outlineLevel="0" collapsed="false">
      <c r="A819" s="1" t="s">
        <v>1666</v>
      </c>
      <c r="B819" s="1" t="n">
        <v>1897</v>
      </c>
      <c r="C819" s="1" t="n">
        <v>3</v>
      </c>
      <c r="D819" s="1" t="s">
        <v>38</v>
      </c>
      <c r="E819" s="1"/>
      <c r="F819" s="1"/>
      <c r="G819" s="1" t="n">
        <v>150</v>
      </c>
      <c r="H819" s="2" t="n">
        <v>350000</v>
      </c>
      <c r="I819" s="2" t="n">
        <f aca="false">(((H819 / 800) / IF(ISBLANK(R819), 1000000, IF(ISNA(VLOOKUP(R819, Mileages!$A$2:$C$34, 2, 0)), R819, VLOOKUP(R819, Mileages!$A$2:$C$34, 2, 0)))) + (F819 * IF(ISBLANK(P819), 1, P819) * IF(ISBLANK(T819), 0, IF(ISNA(VLOOKUP(T819, 'Fuel Costs'!$A$2:$C$42, 2, 0)), T819, VLOOKUP(T819, 'Fuel Costs'!$A$2:$C$42, 2, 0))) / IF(ISBLANK(O819), 1, O819))) * 100</f>
        <v>0.03645833333</v>
      </c>
      <c r="J819" s="2" t="n">
        <f aca="false">((H819 / 800) / (IF(ISBLANK(S819), 100, IF(ISNA(VLOOKUP(S819, Lives!$A$2:$C$35, 2, 0)), S819, VLOOKUP(S819, Lives!$A$2:$C$35, 2, 0))) * 12) + (IF(ISBLANK(Q819), 0, IF(ISNA(VLOOKUP(Q819, Wages!$A$2:$C$17, 2, 0)), Q819, VLOOKUP(Q819, Wages!$A$2:$C$17, 2, 0))) * IF(ISBLANK(N819), 0, IF(ISNA(VLOOKUP(N819, Crews!$A$2:$C$28, 2, 0)), N819, VLOOKUP(N819, Crews!$A$2:$C$28, 2, 0))))) * 400</f>
        <v>416.6666667</v>
      </c>
      <c r="K819" s="3" t="s">
        <v>1665</v>
      </c>
      <c r="L819" s="1" t="s">
        <v>1667</v>
      </c>
      <c r="M819" s="1" t="n">
        <v>0</v>
      </c>
      <c r="N819" s="1"/>
      <c r="O819" s="1"/>
      <c r="P819" s="1"/>
      <c r="Q819" s="1"/>
      <c r="R819" s="1" t="s">
        <v>689</v>
      </c>
      <c r="S819" s="1" t="s">
        <v>856</v>
      </c>
      <c r="T819" s="1"/>
    </row>
    <row r="820" customFormat="false" ht="15" hidden="false" customHeight="true" outlineLevel="0" collapsed="false">
      <c r="A820" s="1" t="s">
        <v>1668</v>
      </c>
      <c r="B820" s="1" t="n">
        <v>1897</v>
      </c>
      <c r="C820" s="1" t="n">
        <v>3</v>
      </c>
      <c r="D820" s="1" t="s">
        <v>38</v>
      </c>
      <c r="E820" s="1"/>
      <c r="F820" s="1"/>
      <c r="G820" s="1" t="n">
        <v>150</v>
      </c>
      <c r="H820" s="2" t="n">
        <v>350000</v>
      </c>
      <c r="I820" s="2" t="n">
        <f aca="false">(((H820 / 800) / IF(ISBLANK(R820), 1000000, IF(ISNA(VLOOKUP(R820, Mileages!$A$2:$C$34, 2, 0)), R820, VLOOKUP(R820, Mileages!$A$2:$C$34, 2, 0)))) + (F820 * IF(ISBLANK(P820), 1, P820) * IF(ISBLANK(T820), 0, IF(ISNA(VLOOKUP(T820, 'Fuel Costs'!$A$2:$C$42, 2, 0)), T820, VLOOKUP(T820, 'Fuel Costs'!$A$2:$C$42, 2, 0))) / IF(ISBLANK(O820), 1, O820))) * 100</f>
        <v>0.03645833333</v>
      </c>
      <c r="J820" s="2" t="n">
        <f aca="false">((H820 / 800) / (IF(ISBLANK(S820), 100, IF(ISNA(VLOOKUP(S820, Lives!$A$2:$C$35, 2, 0)), S820, VLOOKUP(S820, Lives!$A$2:$C$35, 2, 0))) * 12) + (IF(ISBLANK(Q820), 0, IF(ISNA(VLOOKUP(Q820, Wages!$A$2:$C$17, 2, 0)), Q820, VLOOKUP(Q820, Wages!$A$2:$C$17, 2, 0))) * IF(ISBLANK(N820), 0, IF(ISNA(VLOOKUP(N820, Crews!$A$2:$C$28, 2, 0)), N820, VLOOKUP(N820, Crews!$A$2:$C$28, 2, 0))))) * 400</f>
        <v>5216.666667</v>
      </c>
      <c r="K820" s="3" t="s">
        <v>1669</v>
      </c>
      <c r="L820" s="1" t="s">
        <v>1667</v>
      </c>
      <c r="M820" s="1" t="n">
        <v>1</v>
      </c>
      <c r="N820" s="1" t="s">
        <v>25</v>
      </c>
      <c r="O820" s="1"/>
      <c r="P820" s="1"/>
      <c r="Q820" s="1" t="s">
        <v>378</v>
      </c>
      <c r="R820" s="1" t="s">
        <v>689</v>
      </c>
      <c r="S820" s="1" t="s">
        <v>856</v>
      </c>
      <c r="T820" s="1"/>
    </row>
    <row r="821" customFormat="false" ht="15" hidden="false" customHeight="true" outlineLevel="0" collapsed="false">
      <c r="A821" s="1" t="s">
        <v>1670</v>
      </c>
      <c r="B821" s="1" t="n">
        <v>1897</v>
      </c>
      <c r="C821" s="1" t="n">
        <v>3</v>
      </c>
      <c r="D821" s="1" t="s">
        <v>38</v>
      </c>
      <c r="E821" s="1"/>
      <c r="F821" s="1"/>
      <c r="G821" s="1" t="n">
        <v>150</v>
      </c>
      <c r="H821" s="2" t="n">
        <v>350000</v>
      </c>
      <c r="I821" s="2" t="n">
        <f aca="false">(((H821 / 800) / IF(ISBLANK(R821), 1000000, IF(ISNA(VLOOKUP(R821, Mileages!$A$2:$C$34, 2, 0)), R821, VLOOKUP(R821, Mileages!$A$2:$C$34, 2, 0)))) + (F821 * IF(ISBLANK(P821), 1, P821) * IF(ISBLANK(T821), 0, IF(ISNA(VLOOKUP(T821, 'Fuel Costs'!$A$2:$C$42, 2, 0)), T821, VLOOKUP(T821, 'Fuel Costs'!$A$2:$C$42, 2, 0))) / IF(ISBLANK(O821), 1, O821))) * 100</f>
        <v>0.03645833333</v>
      </c>
      <c r="J821" s="2" t="n">
        <f aca="false">((H821 / 800) / (IF(ISBLANK(S821), 100, IF(ISNA(VLOOKUP(S821, Lives!$A$2:$C$35, 2, 0)), S821, VLOOKUP(S821, Lives!$A$2:$C$35, 2, 0))) * 12) + (IF(ISBLANK(Q821), 0, IF(ISNA(VLOOKUP(Q821, Wages!$A$2:$C$17, 2, 0)), Q821, VLOOKUP(Q821, Wages!$A$2:$C$17, 2, 0))) * IF(ISBLANK(N821), 0, IF(ISNA(VLOOKUP(N821, Crews!$A$2:$C$28, 2, 0)), N821, VLOOKUP(N821, Crews!$A$2:$C$28, 2, 0))))) * 400</f>
        <v>5216.666667</v>
      </c>
      <c r="K821" s="3" t="s">
        <v>1669</v>
      </c>
      <c r="L821" s="1" t="s">
        <v>1667</v>
      </c>
      <c r="M821" s="1" t="n">
        <v>2</v>
      </c>
      <c r="N821" s="1" t="s">
        <v>25</v>
      </c>
      <c r="O821" s="1"/>
      <c r="P821" s="1"/>
      <c r="Q821" s="1" t="s">
        <v>378</v>
      </c>
      <c r="R821" s="1" t="s">
        <v>689</v>
      </c>
      <c r="S821" s="1" t="s">
        <v>856</v>
      </c>
      <c r="T821" s="1"/>
    </row>
    <row r="822" customFormat="false" ht="15" hidden="false" customHeight="true" outlineLevel="0" collapsed="false">
      <c r="A822" s="1" t="s">
        <v>1671</v>
      </c>
      <c r="B822" s="1" t="n">
        <v>1897</v>
      </c>
      <c r="C822" s="1" t="n">
        <v>4</v>
      </c>
      <c r="D822" s="1" t="s">
        <v>38</v>
      </c>
      <c r="E822" s="1"/>
      <c r="F822" s="1"/>
      <c r="G822" s="1" t="n">
        <v>160</v>
      </c>
      <c r="H822" s="2" t="n">
        <v>450000</v>
      </c>
      <c r="I822" s="2" t="n">
        <f aca="false">(((H822 / 800) / IF(ISBLANK(R822), 1000000, IF(ISNA(VLOOKUP(R822, Mileages!$A$2:$C$34, 2, 0)), R822, VLOOKUP(R822, Mileages!$A$2:$C$34, 2, 0)))) + (F822 * IF(ISBLANK(P822), 1, P822) * IF(ISBLANK(T822), 0, IF(ISNA(VLOOKUP(T822, 'Fuel Costs'!$A$2:$C$42, 2, 0)), T822, VLOOKUP(T822, 'Fuel Costs'!$A$2:$C$42, 2, 0))) / IF(ISBLANK(O822), 1, O822))) * 100</f>
        <v>0.046875</v>
      </c>
      <c r="J822" s="2" t="n">
        <f aca="false">((H822 / 800) / (IF(ISBLANK(S822), 100, IF(ISNA(VLOOKUP(S822, Lives!$A$2:$C$35, 2, 0)), S822, VLOOKUP(S822, Lives!$A$2:$C$35, 2, 0))) * 12) + (IF(ISBLANK(Q822), 0, IF(ISNA(VLOOKUP(Q822, Wages!$A$2:$C$17, 2, 0)), Q822, VLOOKUP(Q822, Wages!$A$2:$C$17, 2, 0))) * IF(ISBLANK(N822), 0, IF(ISNA(VLOOKUP(N822, Crews!$A$2:$C$28, 2, 0)), N822, VLOOKUP(N822, Crews!$A$2:$C$28, 2, 0))))) * 400</f>
        <v>535.7142857</v>
      </c>
      <c r="K822" s="3" t="s">
        <v>1672</v>
      </c>
      <c r="L822" s="1" t="s">
        <v>1673</v>
      </c>
      <c r="M822" s="1" t="n">
        <v>0</v>
      </c>
      <c r="N822" s="1"/>
      <c r="O822" s="1"/>
      <c r="P822" s="1"/>
      <c r="Q822" s="1"/>
      <c r="R822" s="1" t="s">
        <v>689</v>
      </c>
      <c r="S822" s="1" t="s">
        <v>856</v>
      </c>
      <c r="T822" s="1"/>
    </row>
    <row r="823" customFormat="false" ht="15" hidden="false" customHeight="true" outlineLevel="0" collapsed="false">
      <c r="A823" s="1" t="s">
        <v>1674</v>
      </c>
      <c r="B823" s="1" t="n">
        <v>1897</v>
      </c>
      <c r="C823" s="1" t="n">
        <v>4</v>
      </c>
      <c r="D823" s="1" t="s">
        <v>38</v>
      </c>
      <c r="E823" s="1"/>
      <c r="F823" s="1"/>
      <c r="G823" s="1" t="n">
        <v>160</v>
      </c>
      <c r="H823" s="2" t="n">
        <v>450000</v>
      </c>
      <c r="I823" s="2" t="n">
        <f aca="false">(((H823 / 800) / IF(ISBLANK(R823), 1000000, IF(ISNA(VLOOKUP(R823, Mileages!$A$2:$C$34, 2, 0)), R823, VLOOKUP(R823, Mileages!$A$2:$C$34, 2, 0)))) + (F823 * IF(ISBLANK(P823), 1, P823) * IF(ISBLANK(T823), 0, IF(ISNA(VLOOKUP(T823, 'Fuel Costs'!$A$2:$C$42, 2, 0)), T823, VLOOKUP(T823, 'Fuel Costs'!$A$2:$C$42, 2, 0))) / IF(ISBLANK(O823), 1, O823))) * 100</f>
        <v>0.046875</v>
      </c>
      <c r="J823" s="2" t="n">
        <f aca="false">((H823 / 800) / (IF(ISBLANK(S823), 100, IF(ISNA(VLOOKUP(S823, Lives!$A$2:$C$35, 2, 0)), S823, VLOOKUP(S823, Lives!$A$2:$C$35, 2, 0))) * 12) + (IF(ISBLANK(Q823), 0, IF(ISNA(VLOOKUP(Q823, Wages!$A$2:$C$17, 2, 0)), Q823, VLOOKUP(Q823, Wages!$A$2:$C$17, 2, 0))) * IF(ISBLANK(N823), 0, IF(ISNA(VLOOKUP(N823, Crews!$A$2:$C$28, 2, 0)), N823, VLOOKUP(N823, Crews!$A$2:$C$28, 2, 0))))) * 400</f>
        <v>535.7142857</v>
      </c>
      <c r="K823" s="1" t="s">
        <v>1675</v>
      </c>
      <c r="L823" s="1" t="s">
        <v>1673</v>
      </c>
      <c r="M823" s="1" t="n">
        <v>1</v>
      </c>
      <c r="N823" s="1"/>
      <c r="O823" s="1"/>
      <c r="P823" s="1"/>
      <c r="Q823" s="1"/>
      <c r="R823" s="1" t="s">
        <v>689</v>
      </c>
      <c r="S823" s="1" t="s">
        <v>856</v>
      </c>
      <c r="T823" s="1"/>
    </row>
    <row r="824" customFormat="false" ht="15" hidden="false" customHeight="true" outlineLevel="0" collapsed="false">
      <c r="A824" s="1" t="s">
        <v>1676</v>
      </c>
      <c r="B824" s="1" t="n">
        <v>1897</v>
      </c>
      <c r="C824" s="1" t="n">
        <v>5</v>
      </c>
      <c r="D824" s="1" t="s">
        <v>38</v>
      </c>
      <c r="E824" s="1" t="s">
        <v>274</v>
      </c>
      <c r="F824" s="1" t="n">
        <v>248</v>
      </c>
      <c r="G824" s="1" t="n">
        <v>135</v>
      </c>
      <c r="H824" s="2" t="n">
        <v>8500000</v>
      </c>
      <c r="I824" s="2" t="n">
        <f aca="false">(((H824 / 800) / IF(ISBLANK(R824), 1000000, IF(ISNA(VLOOKUP(R824, Mileages!$A$2:$C$34, 2, 0)), R824, VLOOKUP(R824, Mileages!$A$2:$C$34, 2, 0)))) + (F824 * IF(ISBLANK(P824), 1, P824) * IF(ISBLANK(T824), 0, IF(ISNA(VLOOKUP(T824, 'Fuel Costs'!$A$2:$C$42, 2, 0)), T824, VLOOKUP(T824, 'Fuel Costs'!$A$2:$C$42, 2, 0))) / IF(ISBLANK(O824), 1, O824))) * 100</f>
        <v>166.3958333</v>
      </c>
      <c r="J824" s="2" t="n">
        <f aca="false">((H824 / 800) / (IF(ISBLANK(S824), 100, IF(ISNA(VLOOKUP(S824, Lives!$A$2:$C$35, 2, 0)), S824, VLOOKUP(S824, Lives!$A$2:$C$35, 2, 0))) * 12) + (IF(ISBLANK(Q824), 0, IF(ISNA(VLOOKUP(Q824, Wages!$A$2:$C$17, 2, 0)), Q824, VLOOKUP(Q824, Wages!$A$2:$C$17, 2, 0))) * IF(ISBLANK(N824), 0, IF(ISNA(VLOOKUP(N824, Crews!$A$2:$C$28, 2, 0)), N824, VLOOKUP(N824, Crews!$A$2:$C$28, 2, 0))))) * 400</f>
        <v>31083.33333</v>
      </c>
      <c r="K824" s="3" t="s">
        <v>1677</v>
      </c>
      <c r="L824" s="1" t="s">
        <v>1678</v>
      </c>
      <c r="M824" s="1" t="n">
        <v>0</v>
      </c>
      <c r="N824" s="1" t="s">
        <v>590</v>
      </c>
      <c r="O824" s="1" t="n">
        <v>0.6</v>
      </c>
      <c r="P824" s="1"/>
      <c r="Q824" s="5" t="s">
        <v>284</v>
      </c>
      <c r="R824" s="1" t="s">
        <v>677</v>
      </c>
      <c r="S824" s="1" t="s">
        <v>677</v>
      </c>
      <c r="T824" s="1" t="s">
        <v>923</v>
      </c>
    </row>
    <row r="825" customFormat="false" ht="15" hidden="false" customHeight="true" outlineLevel="0" collapsed="false">
      <c r="A825" s="1" t="s">
        <v>1679</v>
      </c>
      <c r="B825" s="1" t="n">
        <v>1897</v>
      </c>
      <c r="C825" s="1" t="n">
        <v>5</v>
      </c>
      <c r="D825" s="1" t="s">
        <v>38</v>
      </c>
      <c r="E825" s="1" t="s">
        <v>274</v>
      </c>
      <c r="F825" s="1" t="n">
        <v>211</v>
      </c>
      <c r="G825" s="1" t="n">
        <v>97</v>
      </c>
      <c r="H825" s="2" t="n">
        <v>3661203</v>
      </c>
      <c r="I825" s="2" t="n">
        <f aca="false">(((H825 / 800) / IF(ISBLANK(R825), 1000000, IF(ISNA(VLOOKUP(R825, Mileages!$A$2:$C$34, 2, 0)), R825, VLOOKUP(R825, Mileages!$A$2:$C$34, 2, 0)))) + (F825 * IF(ISBLANK(P825), 1, P825) * IF(ISBLANK(T825), 0, IF(ISNA(VLOOKUP(T825, 'Fuel Costs'!$A$2:$C$42, 2, 0)), T825, VLOOKUP(T825, 'Fuel Costs'!$A$2:$C$42, 2, 0))) / IF(ISBLANK(O825), 1, O825))) * 100</f>
        <v>141.124317</v>
      </c>
      <c r="J825" s="2" t="n">
        <f aca="false">((H825 / 800) / (IF(ISBLANK(S825), 100, IF(ISNA(VLOOKUP(S825, Lives!$A$2:$C$35, 2, 0)), S825, VLOOKUP(S825, Lives!$A$2:$C$35, 2, 0))) * 12) + (IF(ISBLANK(Q825), 0, IF(ISNA(VLOOKUP(Q825, Wages!$A$2:$C$17, 2, 0)), Q825, VLOOKUP(Q825, Wages!$A$2:$C$17, 2, 0))) * IF(ISBLANK(N825), 0, IF(ISNA(VLOOKUP(N825, Crews!$A$2:$C$28, 2, 0)), N825, VLOOKUP(N825, Crews!$A$2:$C$28, 2, 0))))) * 400</f>
        <v>27051.0025</v>
      </c>
      <c r="K825" s="3" t="s">
        <v>1680</v>
      </c>
      <c r="L825" s="1" t="s">
        <v>1681</v>
      </c>
      <c r="M825" s="1" t="n">
        <v>0</v>
      </c>
      <c r="N825" s="1" t="s">
        <v>590</v>
      </c>
      <c r="O825" s="1" t="n">
        <v>0.6</v>
      </c>
      <c r="P825" s="1"/>
      <c r="Q825" s="5" t="s">
        <v>284</v>
      </c>
      <c r="R825" s="1" t="s">
        <v>677</v>
      </c>
      <c r="S825" s="1" t="s">
        <v>677</v>
      </c>
      <c r="T825" s="1" t="s">
        <v>923</v>
      </c>
    </row>
    <row r="826" customFormat="false" ht="15" hidden="false" customHeight="true" outlineLevel="0" collapsed="false">
      <c r="A826" s="1" t="s">
        <v>1682</v>
      </c>
      <c r="B826" s="1" t="n">
        <v>1897</v>
      </c>
      <c r="C826" s="1" t="n">
        <v>5</v>
      </c>
      <c r="D826" s="1" t="s">
        <v>38</v>
      </c>
      <c r="E826" s="1"/>
      <c r="F826" s="1" t="n">
        <v>0</v>
      </c>
      <c r="G826" s="1" t="n">
        <v>150</v>
      </c>
      <c r="H826" s="2" t="n">
        <v>0</v>
      </c>
      <c r="I826" s="2" t="n">
        <f aca="false">(((H826 / 800) / IF(ISBLANK(R826), 1000000, IF(ISNA(VLOOKUP(R826, Mileages!$A$2:$C$34, 2, 0)), R826, VLOOKUP(R826, Mileages!$A$2:$C$34, 2, 0)))) + (F826 * IF(ISBLANK(P826), 1, P826) * IF(ISBLANK(T826), 0, IF(ISNA(VLOOKUP(T826, 'Fuel Costs'!$A$2:$C$42, 2, 0)), T826, VLOOKUP(T826, 'Fuel Costs'!$A$2:$C$42, 2, 0))) / IF(ISBLANK(O826), 1, O826))) * 100</f>
        <v>0</v>
      </c>
      <c r="J826" s="2" t="n">
        <f aca="false">((H826 / 800) / (IF(ISBLANK(S826), 100, IF(ISNA(VLOOKUP(S826, Lives!$A$2:$C$35, 2, 0)), S826, VLOOKUP(S826, Lives!$A$2:$C$35, 2, 0))) * 12) + (IF(ISBLANK(Q826), 0, IF(ISNA(VLOOKUP(Q826, Wages!$A$2:$C$17, 2, 0)), Q826, VLOOKUP(Q826, Wages!$A$2:$C$17, 2, 0))) * IF(ISBLANK(N826), 0, IF(ISNA(VLOOKUP(N826, Crews!$A$2:$C$28, 2, 0)), N826, VLOOKUP(N826, Crews!$A$2:$C$28, 2, 0))))) * 400</f>
        <v>0</v>
      </c>
      <c r="K826" s="1"/>
      <c r="L826" s="1" t="s">
        <v>1683</v>
      </c>
      <c r="M826" s="1" t="n">
        <v>0</v>
      </c>
      <c r="N826" s="1"/>
      <c r="O826" s="1"/>
      <c r="P826" s="1"/>
      <c r="Q826" s="1"/>
      <c r="R826" s="1"/>
      <c r="S826" s="1"/>
      <c r="T826" s="1"/>
    </row>
    <row r="827" customFormat="false" ht="15" hidden="false" customHeight="true" outlineLevel="0" collapsed="false">
      <c r="A827" s="1" t="s">
        <v>1684</v>
      </c>
      <c r="B827" s="1" t="n">
        <v>1897</v>
      </c>
      <c r="C827" s="1" t="n">
        <v>6</v>
      </c>
      <c r="D827" s="1" t="s">
        <v>38</v>
      </c>
      <c r="E827" s="1" t="s">
        <v>274</v>
      </c>
      <c r="F827" s="1" t="n">
        <v>198</v>
      </c>
      <c r="G827" s="1" t="n">
        <v>125</v>
      </c>
      <c r="H827" s="2" t="n">
        <v>9000000</v>
      </c>
      <c r="I827" s="2" t="n">
        <f aca="false">(((H827 / 800) / IF(ISBLANK(R827), 1000000, IF(ISNA(VLOOKUP(R827, Mileages!$A$2:$C$34, 2, 0)), R827, VLOOKUP(R827, Mileages!$A$2:$C$34, 2, 0)))) + (F827 * IF(ISBLANK(P827), 1, P827) * IF(ISBLANK(T827), 0, IF(ISNA(VLOOKUP(T827, 'Fuel Costs'!$A$2:$C$42, 2, 0)), T827, VLOOKUP(T827, 'Fuel Costs'!$A$2:$C$42, 2, 0))) / IF(ISBLANK(O827), 1, O827))) * 100</f>
        <v>133.125</v>
      </c>
      <c r="J827" s="2" t="n">
        <f aca="false">((H827 / 800) / (IF(ISBLANK(S827), 100, IF(ISNA(VLOOKUP(S827, Lives!$A$2:$C$35, 2, 0)), S827, VLOOKUP(S827, Lives!$A$2:$C$35, 2, 0))) * 12) + (IF(ISBLANK(Q827), 0, IF(ISNA(VLOOKUP(Q827, Wages!$A$2:$C$17, 2, 0)), Q827, VLOOKUP(Q827, Wages!$A$2:$C$17, 2, 0))) * IF(ISBLANK(N827), 0, IF(ISNA(VLOOKUP(N827, Crews!$A$2:$C$28, 2, 0)), N827, VLOOKUP(N827, Crews!$A$2:$C$28, 2, 0))))) * 400</f>
        <v>31500</v>
      </c>
      <c r="K827" s="3" t="s">
        <v>1598</v>
      </c>
      <c r="L827" s="1" t="s">
        <v>1685</v>
      </c>
      <c r="M827" s="1" t="n">
        <v>0</v>
      </c>
      <c r="N827" s="1" t="s">
        <v>590</v>
      </c>
      <c r="O827" s="1" t="n">
        <v>0.6</v>
      </c>
      <c r="P827" s="1"/>
      <c r="Q827" s="5" t="s">
        <v>284</v>
      </c>
      <c r="R827" s="1" t="s">
        <v>677</v>
      </c>
      <c r="S827" s="1" t="s">
        <v>677</v>
      </c>
      <c r="T827" s="1" t="s">
        <v>923</v>
      </c>
    </row>
    <row r="828" customFormat="false" ht="15" hidden="false" customHeight="true" outlineLevel="0" collapsed="false">
      <c r="A828" s="1" t="s">
        <v>1686</v>
      </c>
      <c r="B828" s="1" t="n">
        <v>1897</v>
      </c>
      <c r="C828" s="1" t="n">
        <v>8</v>
      </c>
      <c r="D828" s="1" t="s">
        <v>38</v>
      </c>
      <c r="E828" s="1"/>
      <c r="F828" s="1"/>
      <c r="G828" s="1" t="n">
        <v>160</v>
      </c>
      <c r="H828" s="2" t="n">
        <v>650000</v>
      </c>
      <c r="I828" s="2" t="n">
        <f aca="false">(((H828 / 800) / IF(ISBLANK(R828), 1000000, IF(ISNA(VLOOKUP(R828, Mileages!$A$2:$C$34, 2, 0)), R828, VLOOKUP(R828, Mileages!$A$2:$C$34, 2, 0)))) + (F828 * IF(ISBLANK(P828), 1, P828) * IF(ISBLANK(T828), 0, IF(ISNA(VLOOKUP(T828, 'Fuel Costs'!$A$2:$C$42, 2, 0)), T828, VLOOKUP(T828, 'Fuel Costs'!$A$2:$C$42, 2, 0))) / IF(ISBLANK(O828), 1, O828))) * 100</f>
        <v>0.06770833333</v>
      </c>
      <c r="J828" s="2" t="n">
        <f aca="false">((H828 / 800) / (IF(ISBLANK(S828), 100, IF(ISNA(VLOOKUP(S828, Lives!$A$2:$C$35, 2, 0)), S828, VLOOKUP(S828, Lives!$A$2:$C$35, 2, 0))) * 12) + (IF(ISBLANK(Q828), 0, IF(ISNA(VLOOKUP(Q828, Wages!$A$2:$C$17, 2, 0)), Q828, VLOOKUP(Q828, Wages!$A$2:$C$17, 2, 0))) * IF(ISBLANK(N828), 0, IF(ISNA(VLOOKUP(N828, Crews!$A$2:$C$28, 2, 0)), N828, VLOOKUP(N828, Crews!$A$2:$C$28, 2, 0))))) * 400</f>
        <v>773.8095238</v>
      </c>
      <c r="K828" s="1" t="s">
        <v>1687</v>
      </c>
      <c r="L828" s="1" t="s">
        <v>1635</v>
      </c>
      <c r="M828" s="1" t="n">
        <v>0</v>
      </c>
      <c r="N828" s="1"/>
      <c r="O828" s="1"/>
      <c r="P828" s="1"/>
      <c r="Q828" s="1"/>
      <c r="R828" s="1" t="s">
        <v>689</v>
      </c>
      <c r="S828" s="1" t="s">
        <v>856</v>
      </c>
      <c r="T828" s="1"/>
    </row>
    <row r="829" customFormat="false" ht="15" hidden="false" customHeight="true" outlineLevel="0" collapsed="false">
      <c r="A829" s="1" t="s">
        <v>1688</v>
      </c>
      <c r="B829" s="1" t="n">
        <v>1897</v>
      </c>
      <c r="C829" s="1" t="n">
        <v>8</v>
      </c>
      <c r="D829" s="1" t="s">
        <v>38</v>
      </c>
      <c r="E829" s="1"/>
      <c r="F829" s="1"/>
      <c r="G829" s="1" t="n">
        <v>160</v>
      </c>
      <c r="H829" s="2" t="n">
        <v>650000</v>
      </c>
      <c r="I829" s="2" t="n">
        <f aca="false">(((H829 / 800) / IF(ISBLANK(R829), 1000000, IF(ISNA(VLOOKUP(R829, Mileages!$A$2:$C$34, 2, 0)), R829, VLOOKUP(R829, Mileages!$A$2:$C$34, 2, 0)))) + (F829 * IF(ISBLANK(P829), 1, P829) * IF(ISBLANK(T829), 0, IF(ISNA(VLOOKUP(T829, 'Fuel Costs'!$A$2:$C$42, 2, 0)), T829, VLOOKUP(T829, 'Fuel Costs'!$A$2:$C$42, 2, 0))) / IF(ISBLANK(O829), 1, O829))) * 100</f>
        <v>0.06770833333</v>
      </c>
      <c r="J829" s="2" t="n">
        <f aca="false">((H829 / 800) / (IF(ISBLANK(S829), 100, IF(ISNA(VLOOKUP(S829, Lives!$A$2:$C$35, 2, 0)), S829, VLOOKUP(S829, Lives!$A$2:$C$35, 2, 0))) * 12) + (IF(ISBLANK(Q829), 0, IF(ISNA(VLOOKUP(Q829, Wages!$A$2:$C$17, 2, 0)), Q829, VLOOKUP(Q829, Wages!$A$2:$C$17, 2, 0))) * IF(ISBLANK(N829), 0, IF(ISNA(VLOOKUP(N829, Crews!$A$2:$C$28, 2, 0)), N829, VLOOKUP(N829, Crews!$A$2:$C$28, 2, 0))))) * 400</f>
        <v>5573.809524</v>
      </c>
      <c r="K829" s="1" t="s">
        <v>1689</v>
      </c>
      <c r="L829" s="1" t="s">
        <v>1635</v>
      </c>
      <c r="M829" s="1" t="n">
        <v>1</v>
      </c>
      <c r="N829" s="1" t="s">
        <v>25</v>
      </c>
      <c r="O829" s="1"/>
      <c r="P829" s="1"/>
      <c r="Q829" s="1" t="s">
        <v>378</v>
      </c>
      <c r="R829" s="1" t="s">
        <v>689</v>
      </c>
      <c r="S829" s="1" t="s">
        <v>856</v>
      </c>
      <c r="T829" s="1"/>
    </row>
    <row r="830" customFormat="false" ht="15" hidden="false" customHeight="true" outlineLevel="0" collapsed="false">
      <c r="A830" s="1" t="s">
        <v>1690</v>
      </c>
      <c r="B830" s="1" t="n">
        <v>1897</v>
      </c>
      <c r="C830" s="1" t="n">
        <v>8</v>
      </c>
      <c r="D830" s="1" t="s">
        <v>38</v>
      </c>
      <c r="E830" s="1"/>
      <c r="F830" s="1"/>
      <c r="G830" s="1" t="n">
        <v>160</v>
      </c>
      <c r="H830" s="2" t="n">
        <v>650000</v>
      </c>
      <c r="I830" s="2" t="n">
        <f aca="false">(((H830 / 800) / IF(ISBLANK(R830), 1000000, IF(ISNA(VLOOKUP(R830, Mileages!$A$2:$C$34, 2, 0)), R830, VLOOKUP(R830, Mileages!$A$2:$C$34, 2, 0)))) + (F830 * IF(ISBLANK(P830), 1, P830) * IF(ISBLANK(T830), 0, IF(ISNA(VLOOKUP(T830, 'Fuel Costs'!$A$2:$C$42, 2, 0)), T830, VLOOKUP(T830, 'Fuel Costs'!$A$2:$C$42, 2, 0))) / IF(ISBLANK(O830), 1, O830))) * 100</f>
        <v>0.06770833333</v>
      </c>
      <c r="J830" s="2" t="n">
        <f aca="false">((H830 / 800) / (IF(ISBLANK(S830), 100, IF(ISNA(VLOOKUP(S830, Lives!$A$2:$C$35, 2, 0)), S830, VLOOKUP(S830, Lives!$A$2:$C$35, 2, 0))) * 12) + (IF(ISBLANK(Q830), 0, IF(ISNA(VLOOKUP(Q830, Wages!$A$2:$C$17, 2, 0)), Q830, VLOOKUP(Q830, Wages!$A$2:$C$17, 2, 0))) * IF(ISBLANK(N830), 0, IF(ISNA(VLOOKUP(N830, Crews!$A$2:$C$28, 2, 0)), N830, VLOOKUP(N830, Crews!$A$2:$C$28, 2, 0))))) * 400</f>
        <v>5573.809524</v>
      </c>
      <c r="K830" s="1" t="s">
        <v>1689</v>
      </c>
      <c r="L830" s="1" t="s">
        <v>1635</v>
      </c>
      <c r="M830" s="1" t="n">
        <v>2</v>
      </c>
      <c r="N830" s="1" t="s">
        <v>25</v>
      </c>
      <c r="O830" s="1"/>
      <c r="P830" s="1"/>
      <c r="Q830" s="1" t="s">
        <v>378</v>
      </c>
      <c r="R830" s="1" t="s">
        <v>689</v>
      </c>
      <c r="S830" s="1" t="s">
        <v>856</v>
      </c>
      <c r="T830" s="1"/>
    </row>
    <row r="831" customFormat="false" ht="15" hidden="false" customHeight="true" outlineLevel="0" collapsed="false">
      <c r="A831" s="1" t="s">
        <v>1691</v>
      </c>
      <c r="B831" s="1" t="n">
        <v>1897</v>
      </c>
      <c r="C831" s="1" t="n">
        <v>9</v>
      </c>
      <c r="D831" s="1" t="s">
        <v>38</v>
      </c>
      <c r="E831" s="1" t="s">
        <v>274</v>
      </c>
      <c r="F831" s="1" t="n">
        <v>248</v>
      </c>
      <c r="G831" s="1" t="n">
        <v>100</v>
      </c>
      <c r="H831" s="2" t="n">
        <v>4528000</v>
      </c>
      <c r="I831" s="2" t="n">
        <f aca="false">(((H831 / 800) / IF(ISBLANK(R831), 1000000, IF(ISNA(VLOOKUP(R831, Mileages!$A$2:$C$34, 2, 0)), R831, VLOOKUP(R831, Mileages!$A$2:$C$34, 2, 0)))) + (F831 * IF(ISBLANK(P831), 1, P831) * IF(ISBLANK(T831), 0, IF(ISNA(VLOOKUP(T831, 'Fuel Costs'!$A$2:$C$42, 2, 0)), T831, VLOOKUP(T831, 'Fuel Costs'!$A$2:$C$42, 2, 0))) / IF(ISBLANK(O831), 1, O831))) * 100</f>
        <v>165.8993333</v>
      </c>
      <c r="J831" s="2" t="n">
        <f aca="false">((H831 / 800) / (IF(ISBLANK(S831), 100, IF(ISNA(VLOOKUP(S831, Lives!$A$2:$C$35, 2, 0)), S831, VLOOKUP(S831, Lives!$A$2:$C$35, 2, 0))) * 12) + (IF(ISBLANK(Q831), 0, IF(ISNA(VLOOKUP(Q831, Wages!$A$2:$C$17, 2, 0)), Q831, VLOOKUP(Q831, Wages!$A$2:$C$17, 2, 0))) * IF(ISBLANK(N831), 0, IF(ISNA(VLOOKUP(N831, Crews!$A$2:$C$28, 2, 0)), N831, VLOOKUP(N831, Crews!$A$2:$C$28, 2, 0))))) * 400</f>
        <v>27773.33333</v>
      </c>
      <c r="K831" s="1" t="s">
        <v>1692</v>
      </c>
      <c r="L831" s="1" t="s">
        <v>1693</v>
      </c>
      <c r="M831" s="1" t="n">
        <v>0</v>
      </c>
      <c r="N831" s="1" t="s">
        <v>590</v>
      </c>
      <c r="O831" s="1" t="n">
        <v>0.6</v>
      </c>
      <c r="P831" s="1"/>
      <c r="Q831" s="5" t="s">
        <v>284</v>
      </c>
      <c r="R831" s="1" t="s">
        <v>677</v>
      </c>
      <c r="S831" s="1" t="s">
        <v>677</v>
      </c>
      <c r="T831" s="1" t="s">
        <v>923</v>
      </c>
    </row>
    <row r="832" customFormat="false" ht="15" hidden="false" customHeight="true" outlineLevel="0" collapsed="false">
      <c r="A832" s="1" t="s">
        <v>1694</v>
      </c>
      <c r="B832" s="1" t="n">
        <v>1897</v>
      </c>
      <c r="C832" s="1" t="n">
        <v>10</v>
      </c>
      <c r="D832" s="1" t="s">
        <v>38</v>
      </c>
      <c r="E832" s="1"/>
      <c r="F832" s="1"/>
      <c r="G832" s="1" t="n">
        <v>160</v>
      </c>
      <c r="H832" s="2" t="n">
        <v>550000</v>
      </c>
      <c r="I832" s="2" t="n">
        <f aca="false">(((H832 / 800) / IF(ISBLANK(R832), 1000000, IF(ISNA(VLOOKUP(R832, Mileages!$A$2:$C$34, 2, 0)), R832, VLOOKUP(R832, Mileages!$A$2:$C$34, 2, 0)))) + (F832 * IF(ISBLANK(P832), 1, P832) * IF(ISBLANK(T832), 0, IF(ISNA(VLOOKUP(T832, 'Fuel Costs'!$A$2:$C$42, 2, 0)), T832, VLOOKUP(T832, 'Fuel Costs'!$A$2:$C$42, 2, 0))) / IF(ISBLANK(O832), 1, O832))) * 100</f>
        <v>0.05729166667</v>
      </c>
      <c r="J832" s="2" t="n">
        <f aca="false">((H832 / 800) / (IF(ISBLANK(S832), 100, IF(ISNA(VLOOKUP(S832, Lives!$A$2:$C$35, 2, 0)), S832, VLOOKUP(S832, Lives!$A$2:$C$35, 2, 0))) * 12) + (IF(ISBLANK(Q832), 0, IF(ISNA(VLOOKUP(Q832, Wages!$A$2:$C$17, 2, 0)), Q832, VLOOKUP(Q832, Wages!$A$2:$C$17, 2, 0))) * IF(ISBLANK(N832), 0, IF(ISNA(VLOOKUP(N832, Crews!$A$2:$C$28, 2, 0)), N832, VLOOKUP(N832, Crews!$A$2:$C$28, 2, 0))))) * 400</f>
        <v>654.7619048</v>
      </c>
      <c r="K832" s="3" t="s">
        <v>1695</v>
      </c>
      <c r="L832" s="1" t="s">
        <v>1696</v>
      </c>
      <c r="M832" s="1" t="n">
        <v>0</v>
      </c>
      <c r="N832" s="1"/>
      <c r="O832" s="1"/>
      <c r="P832" s="1"/>
      <c r="Q832" s="1"/>
      <c r="R832" s="1" t="s">
        <v>689</v>
      </c>
      <c r="S832" s="1" t="s">
        <v>856</v>
      </c>
      <c r="T832" s="1"/>
    </row>
    <row r="833" customFormat="false" ht="15" hidden="false" customHeight="true" outlineLevel="0" collapsed="false">
      <c r="A833" s="1" t="s">
        <v>1697</v>
      </c>
      <c r="B833" s="1" t="n">
        <v>1897</v>
      </c>
      <c r="C833" s="1" t="n">
        <v>10</v>
      </c>
      <c r="D833" s="1" t="s">
        <v>38</v>
      </c>
      <c r="E833" s="1"/>
      <c r="F833" s="1"/>
      <c r="G833" s="1" t="n">
        <v>160</v>
      </c>
      <c r="H833" s="2" t="n">
        <v>550000</v>
      </c>
      <c r="I833" s="2" t="n">
        <f aca="false">(((H833 / 800) / IF(ISBLANK(R833), 1000000, IF(ISNA(VLOOKUP(R833, Mileages!$A$2:$C$34, 2, 0)), R833, VLOOKUP(R833, Mileages!$A$2:$C$34, 2, 0)))) + (F833 * IF(ISBLANK(P833), 1, P833) * IF(ISBLANK(T833), 0, IF(ISNA(VLOOKUP(T833, 'Fuel Costs'!$A$2:$C$42, 2, 0)), T833, VLOOKUP(T833, 'Fuel Costs'!$A$2:$C$42, 2, 0))) / IF(ISBLANK(O833), 1, O833))) * 100</f>
        <v>0.05729166667</v>
      </c>
      <c r="J833" s="2" t="n">
        <f aca="false">((H833 / 800) / (IF(ISBLANK(S833), 100, IF(ISNA(VLOOKUP(S833, Lives!$A$2:$C$35, 2, 0)), S833, VLOOKUP(S833, Lives!$A$2:$C$35, 2, 0))) * 12) + (IF(ISBLANK(Q833), 0, IF(ISNA(VLOOKUP(Q833, Wages!$A$2:$C$17, 2, 0)), Q833, VLOOKUP(Q833, Wages!$A$2:$C$17, 2, 0))) * IF(ISBLANK(N833), 0, IF(ISNA(VLOOKUP(N833, Crews!$A$2:$C$28, 2, 0)), N833, VLOOKUP(N833, Crews!$A$2:$C$28, 2, 0))))) * 400</f>
        <v>5454.761905</v>
      </c>
      <c r="K833" s="3" t="s">
        <v>1698</v>
      </c>
      <c r="L833" s="1" t="s">
        <v>1696</v>
      </c>
      <c r="M833" s="1" t="n">
        <v>1</v>
      </c>
      <c r="N833" s="1" t="s">
        <v>25</v>
      </c>
      <c r="O833" s="1"/>
      <c r="P833" s="1"/>
      <c r="Q833" s="1" t="s">
        <v>378</v>
      </c>
      <c r="R833" s="1" t="s">
        <v>689</v>
      </c>
      <c r="S833" s="1" t="s">
        <v>856</v>
      </c>
      <c r="T833" s="1"/>
    </row>
    <row r="834" customFormat="false" ht="15" hidden="false" customHeight="true" outlineLevel="0" collapsed="false">
      <c r="A834" s="1" t="s">
        <v>1699</v>
      </c>
      <c r="B834" s="1" t="n">
        <v>1897</v>
      </c>
      <c r="C834" s="1" t="n">
        <v>10</v>
      </c>
      <c r="D834" s="1" t="s">
        <v>38</v>
      </c>
      <c r="E834" s="1" t="s">
        <v>274</v>
      </c>
      <c r="F834" s="1" t="n">
        <v>252</v>
      </c>
      <c r="G834" s="1" t="n">
        <v>85</v>
      </c>
      <c r="H834" s="2" t="n">
        <v>4650000</v>
      </c>
      <c r="I834" s="2" t="n">
        <f aca="false">(((H834 / 800) / IF(ISBLANK(R834), 1000000, IF(ISNA(VLOOKUP(R834, Mileages!$A$2:$C$34, 2, 0)), R834, VLOOKUP(R834, Mileages!$A$2:$C$34, 2, 0)))) + (F834 * IF(ISBLANK(P834), 1, P834) * IF(ISBLANK(T834), 0, IF(ISNA(VLOOKUP(T834, 'Fuel Costs'!$A$2:$C$42, 2, 0)), T834, VLOOKUP(T834, 'Fuel Costs'!$A$2:$C$42, 2, 0))) / IF(ISBLANK(O834), 1, O834))) * 100</f>
        <v>168.58125</v>
      </c>
      <c r="J834" s="2" t="n">
        <f aca="false">((H834 / 800) / (IF(ISBLANK(S834), 100, IF(ISNA(VLOOKUP(S834, Lives!$A$2:$C$35, 2, 0)), S834, VLOOKUP(S834, Lives!$A$2:$C$35, 2, 0))) * 12) + (IF(ISBLANK(Q834), 0, IF(ISNA(VLOOKUP(Q834, Wages!$A$2:$C$17, 2, 0)), Q834, VLOOKUP(Q834, Wages!$A$2:$C$17, 2, 0))) * IF(ISBLANK(N834), 0, IF(ISNA(VLOOKUP(N834, Crews!$A$2:$C$28, 2, 0)), N834, VLOOKUP(N834, Crews!$A$2:$C$28, 2, 0))))) * 400</f>
        <v>27875</v>
      </c>
      <c r="K834" s="1" t="s">
        <v>1692</v>
      </c>
      <c r="L834" s="1" t="s">
        <v>1700</v>
      </c>
      <c r="M834" s="1" t="n">
        <v>0</v>
      </c>
      <c r="N834" s="1" t="s">
        <v>590</v>
      </c>
      <c r="O834" s="1" t="n">
        <v>0.6</v>
      </c>
      <c r="P834" s="1"/>
      <c r="Q834" s="5" t="s">
        <v>284</v>
      </c>
      <c r="R834" s="1" t="s">
        <v>677</v>
      </c>
      <c r="S834" s="1" t="s">
        <v>677</v>
      </c>
      <c r="T834" s="1" t="s">
        <v>923</v>
      </c>
    </row>
    <row r="835" customFormat="false" ht="15" hidden="false" customHeight="true" outlineLevel="0" collapsed="false">
      <c r="A835" s="1" t="s">
        <v>1701</v>
      </c>
      <c r="B835" s="1" t="n">
        <v>1897</v>
      </c>
      <c r="C835" s="1" t="n">
        <v>10</v>
      </c>
      <c r="D835" s="1" t="s">
        <v>38</v>
      </c>
      <c r="E835" s="1"/>
      <c r="F835" s="1" t="n">
        <v>0</v>
      </c>
      <c r="G835" s="1" t="n">
        <v>147</v>
      </c>
      <c r="H835" s="2" t="n">
        <v>0</v>
      </c>
      <c r="I835" s="2" t="n">
        <f aca="false">(((H835 / 800) / IF(ISBLANK(R835), 1000000, IF(ISNA(VLOOKUP(R835, Mileages!$A$2:$C$34, 2, 0)), R835, VLOOKUP(R835, Mileages!$A$2:$C$34, 2, 0)))) + (F835 * IF(ISBLANK(P835), 1, P835) * IF(ISBLANK(T835), 0, IF(ISNA(VLOOKUP(T835, 'Fuel Costs'!$A$2:$C$42, 2, 0)), T835, VLOOKUP(T835, 'Fuel Costs'!$A$2:$C$42, 2, 0))) / IF(ISBLANK(O835), 1, O835))) * 100</f>
        <v>0</v>
      </c>
      <c r="J835" s="2" t="n">
        <f aca="false">((H835 / 800) / (IF(ISBLANK(S835), 100, IF(ISNA(VLOOKUP(S835, Lives!$A$2:$C$35, 2, 0)), S835, VLOOKUP(S835, Lives!$A$2:$C$35, 2, 0))) * 12) + (IF(ISBLANK(Q835), 0, IF(ISNA(VLOOKUP(Q835, Wages!$A$2:$C$17, 2, 0)), Q835, VLOOKUP(Q835, Wages!$A$2:$C$17, 2, 0))) * IF(ISBLANK(N835), 0, IF(ISNA(VLOOKUP(N835, Crews!$A$2:$C$28, 2, 0)), N835, VLOOKUP(N835, Crews!$A$2:$C$28, 2, 0))))) * 400</f>
        <v>0</v>
      </c>
      <c r="K835" s="1" t="s">
        <v>437</v>
      </c>
      <c r="L835" s="1" t="s">
        <v>1700</v>
      </c>
      <c r="M835" s="1" t="n">
        <v>1</v>
      </c>
      <c r="N835" s="1"/>
      <c r="O835" s="1"/>
      <c r="P835" s="1"/>
      <c r="Q835" s="1"/>
      <c r="R835" s="1"/>
      <c r="S835" s="1"/>
      <c r="T835" s="1"/>
    </row>
    <row r="836" customFormat="false" ht="15" hidden="false" customHeight="true" outlineLevel="0" collapsed="false">
      <c r="A836" s="1" t="s">
        <v>1702</v>
      </c>
      <c r="B836" s="1" t="n">
        <v>1898</v>
      </c>
      <c r="C836" s="1" t="n">
        <v>2</v>
      </c>
      <c r="D836" s="1" t="s">
        <v>38</v>
      </c>
      <c r="E836" s="1" t="s">
        <v>274</v>
      </c>
      <c r="F836" s="1" t="n">
        <v>314</v>
      </c>
      <c r="G836" s="1" t="n">
        <v>145</v>
      </c>
      <c r="H836" s="2" t="n">
        <v>7344700</v>
      </c>
      <c r="I836" s="2" t="n">
        <f aca="false">(((H836 / 800) / IF(ISBLANK(R836), 1000000, IF(ISNA(VLOOKUP(R836, Mileages!$A$2:$C$34, 2, 0)), R836, VLOOKUP(R836, Mileages!$A$2:$C$34, 2, 0)))) + (F836 * IF(ISBLANK(P836), 1, P836) * IF(ISBLANK(T836), 0, IF(ISNA(VLOOKUP(T836, 'Fuel Costs'!$A$2:$C$42, 2, 0)), T836, VLOOKUP(T836, 'Fuel Costs'!$A$2:$C$42, 2, 0))) / IF(ISBLANK(O836), 1, O836))) * 100</f>
        <v>210.2514208</v>
      </c>
      <c r="J836" s="2" t="n">
        <f aca="false">((H836 / 800) / (IF(ISBLANK(S836), 100, IF(ISNA(VLOOKUP(S836, Lives!$A$2:$C$35, 2, 0)), S836, VLOOKUP(S836, Lives!$A$2:$C$35, 2, 0))) * 12) + (IF(ISBLANK(Q836), 0, IF(ISNA(VLOOKUP(Q836, Wages!$A$2:$C$17, 2, 0)), Q836, VLOOKUP(Q836, Wages!$A$2:$C$17, 2, 0))) * IF(ISBLANK(N836), 0, IF(ISNA(VLOOKUP(N836, Crews!$A$2:$C$28, 2, 0)), N836, VLOOKUP(N836, Crews!$A$2:$C$28, 2, 0))))) * 400</f>
        <v>46120.58333</v>
      </c>
      <c r="K836" s="3" t="s">
        <v>1703</v>
      </c>
      <c r="L836" s="1" t="s">
        <v>1704</v>
      </c>
      <c r="M836" s="1" t="n">
        <v>0</v>
      </c>
      <c r="N836" s="1" t="s">
        <v>1705</v>
      </c>
      <c r="O836" s="1" t="n">
        <v>0.6</v>
      </c>
      <c r="P836" s="1"/>
      <c r="Q836" s="5" t="s">
        <v>284</v>
      </c>
      <c r="R836" s="1" t="s">
        <v>677</v>
      </c>
      <c r="S836" s="1" t="s">
        <v>677</v>
      </c>
      <c r="T836" s="1" t="s">
        <v>923</v>
      </c>
    </row>
    <row r="837" customFormat="false" ht="15" hidden="false" customHeight="true" outlineLevel="0" collapsed="false">
      <c r="A837" s="1" t="s">
        <v>1706</v>
      </c>
      <c r="B837" s="1" t="n">
        <v>1898</v>
      </c>
      <c r="C837" s="1" t="n">
        <v>3</v>
      </c>
      <c r="D837" s="1" t="s">
        <v>876</v>
      </c>
      <c r="E837" s="1" t="s">
        <v>1346</v>
      </c>
      <c r="F837" s="1" t="n">
        <v>52</v>
      </c>
      <c r="G837" s="1" t="n">
        <v>32</v>
      </c>
      <c r="H837" s="2" t="n">
        <v>300000</v>
      </c>
      <c r="I837" s="2" t="n">
        <f aca="false">(((H837 / 800) / IF(ISBLANK(R837), 1000000, IF(ISNA(VLOOKUP(R837, Mileages!$A$2:$C$34, 2, 0)), R837, VLOOKUP(R837, Mileages!$A$2:$C$34, 2, 0)))) + (F837 * IF(ISBLANK(P837), 1, P837) * IF(ISBLANK(T837), 0, IF(ISNA(VLOOKUP(T837, 'Fuel Costs'!$A$2:$C$42, 2, 0)), T837, VLOOKUP(T837, 'Fuel Costs'!$A$2:$C$42, 2, 0))) / IF(ISBLANK(O837), 1, O837))) * 100</f>
        <v>31.2375</v>
      </c>
      <c r="J837" s="2" t="n">
        <f aca="false">((H837 / 800) / (IF(ISBLANK(S837), 100, IF(ISNA(VLOOKUP(S837, Lives!$A$2:$C$35, 2, 0)), S837, VLOOKUP(S837, Lives!$A$2:$C$35, 2, 0))) * 12) + (IF(ISBLANK(Q837), 0, IF(ISNA(VLOOKUP(Q837, Wages!$A$2:$C$17, 2, 0)), Q837, VLOOKUP(Q837, Wages!$A$2:$C$17, 2, 0))) * IF(ISBLANK(N837), 0, IF(ISNA(VLOOKUP(N837, Crews!$A$2:$C$28, 2, 0)), N837, VLOOKUP(N837, Crews!$A$2:$C$28, 2, 0))))) * 400</f>
        <v>6250</v>
      </c>
      <c r="K837" s="3" t="s">
        <v>1707</v>
      </c>
      <c r="L837" s="1" t="s">
        <v>1708</v>
      </c>
      <c r="M837" s="1" t="n">
        <v>0</v>
      </c>
      <c r="N837" s="1" t="s">
        <v>895</v>
      </c>
      <c r="O837" s="1"/>
      <c r="P837" s="1"/>
      <c r="Q837" s="1" t="s">
        <v>895</v>
      </c>
      <c r="R837" s="1" t="s">
        <v>1349</v>
      </c>
      <c r="S837" s="1" t="s">
        <v>1350</v>
      </c>
      <c r="T837" s="1" t="s">
        <v>1351</v>
      </c>
    </row>
    <row r="838" customFormat="false" ht="15" hidden="false" customHeight="true" outlineLevel="0" collapsed="false">
      <c r="A838" s="1" t="s">
        <v>1709</v>
      </c>
      <c r="B838" s="1" t="n">
        <v>1898</v>
      </c>
      <c r="C838" s="1" t="n">
        <v>4</v>
      </c>
      <c r="D838" s="1" t="s">
        <v>38</v>
      </c>
      <c r="E838" s="1"/>
      <c r="F838" s="1"/>
      <c r="G838" s="1" t="n">
        <v>160</v>
      </c>
      <c r="H838" s="2" t="n">
        <v>775000</v>
      </c>
      <c r="I838" s="2" t="n">
        <f aca="false">(((H838 / 800) / IF(ISBLANK(R838), 1000000, IF(ISNA(VLOOKUP(R838, Mileages!$A$2:$C$34, 2, 0)), R838, VLOOKUP(R838, Mileages!$A$2:$C$34, 2, 0)))) + (F838 * IF(ISBLANK(P838), 1, P838) * IF(ISBLANK(T838), 0, IF(ISNA(VLOOKUP(T838, 'Fuel Costs'!$A$2:$C$42, 2, 0)), T838, VLOOKUP(T838, 'Fuel Costs'!$A$2:$C$42, 2, 0))) / IF(ISBLANK(O838), 1, O838))) * 100</f>
        <v>0.08072916667</v>
      </c>
      <c r="J838" s="2" t="n">
        <f aca="false">((H838 / 800) / (IF(ISBLANK(S838), 100, IF(ISNA(VLOOKUP(S838, Lives!$A$2:$C$35, 2, 0)), S838, VLOOKUP(S838, Lives!$A$2:$C$35, 2, 0))) * 12) + (IF(ISBLANK(Q838), 0, IF(ISNA(VLOOKUP(Q838, Wages!$A$2:$C$17, 2, 0)), Q838, VLOOKUP(Q838, Wages!$A$2:$C$17, 2, 0))) * IF(ISBLANK(N838), 0, IF(ISNA(VLOOKUP(N838, Crews!$A$2:$C$28, 2, 0)), N838, VLOOKUP(N838, Crews!$A$2:$C$28, 2, 0))))) * 400</f>
        <v>24322.91667</v>
      </c>
      <c r="K838" s="1"/>
      <c r="L838" s="1" t="s">
        <v>1710</v>
      </c>
      <c r="M838" s="1" t="n">
        <v>0</v>
      </c>
      <c r="N838" s="1" t="s">
        <v>551</v>
      </c>
      <c r="O838" s="1"/>
      <c r="P838" s="1"/>
      <c r="Q838" s="1" t="s">
        <v>551</v>
      </c>
      <c r="R838" s="1" t="s">
        <v>689</v>
      </c>
      <c r="S838" s="1" t="s">
        <v>389</v>
      </c>
      <c r="T838" s="1"/>
    </row>
    <row r="839" customFormat="false" ht="15" hidden="false" customHeight="true" outlineLevel="0" collapsed="false">
      <c r="A839" s="1" t="s">
        <v>1711</v>
      </c>
      <c r="B839" s="1" t="n">
        <v>1898</v>
      </c>
      <c r="C839" s="1" t="n">
        <v>4</v>
      </c>
      <c r="D839" s="1" t="s">
        <v>38</v>
      </c>
      <c r="E839" s="1" t="s">
        <v>274</v>
      </c>
      <c r="F839" s="1" t="n">
        <v>230</v>
      </c>
      <c r="G839" s="1" t="n">
        <v>100</v>
      </c>
      <c r="H839" s="2" t="n">
        <v>9300000</v>
      </c>
      <c r="I839" s="2" t="n">
        <f aca="false">(((H839 / 800) / IF(ISBLANK(R839), 1000000, IF(ISNA(VLOOKUP(R839, Mileages!$A$2:$C$34, 2, 0)), R839, VLOOKUP(R839, Mileages!$A$2:$C$34, 2, 0)))) + (F839 * IF(ISBLANK(P839), 1, P839) * IF(ISBLANK(T839), 0, IF(ISNA(VLOOKUP(T839, 'Fuel Costs'!$A$2:$C$42, 2, 0)), T839, VLOOKUP(T839, 'Fuel Costs'!$A$2:$C$42, 2, 0))) / IF(ISBLANK(O839), 1, O839))) * 100</f>
        <v>154.4958333</v>
      </c>
      <c r="J839" s="2" t="n">
        <f aca="false">((H839 / 800) / (IF(ISBLANK(S839), 100, IF(ISNA(VLOOKUP(S839, Lives!$A$2:$C$35, 2, 0)), S839, VLOOKUP(S839, Lives!$A$2:$C$35, 2, 0))) * 12) + (IF(ISBLANK(Q839), 0, IF(ISNA(VLOOKUP(Q839, Wages!$A$2:$C$17, 2, 0)), Q839, VLOOKUP(Q839, Wages!$A$2:$C$17, 2, 0))) * IF(ISBLANK(N839), 0, IF(ISNA(VLOOKUP(N839, Crews!$A$2:$C$28, 2, 0)), N839, VLOOKUP(N839, Crews!$A$2:$C$28, 2, 0))))) * 400</f>
        <v>31750</v>
      </c>
      <c r="K839" s="3" t="s">
        <v>1712</v>
      </c>
      <c r="L839" s="1" t="s">
        <v>1713</v>
      </c>
      <c r="M839" s="1" t="n">
        <v>0</v>
      </c>
      <c r="N839" s="1" t="s">
        <v>590</v>
      </c>
      <c r="O839" s="1" t="n">
        <v>0.6</v>
      </c>
      <c r="P839" s="1"/>
      <c r="Q839" s="5" t="s">
        <v>284</v>
      </c>
      <c r="R839" s="1" t="s">
        <v>677</v>
      </c>
      <c r="S839" s="1" t="s">
        <v>677</v>
      </c>
      <c r="T839" s="1" t="s">
        <v>923</v>
      </c>
    </row>
    <row r="840" customFormat="false" ht="15" hidden="false" customHeight="true" outlineLevel="0" collapsed="false">
      <c r="A840" s="1" t="s">
        <v>1714</v>
      </c>
      <c r="B840" s="1" t="n">
        <v>1898</v>
      </c>
      <c r="C840" s="1" t="n">
        <v>4</v>
      </c>
      <c r="D840" s="1" t="s">
        <v>38</v>
      </c>
      <c r="E840" s="1" t="s">
        <v>274</v>
      </c>
      <c r="F840" s="1" t="n">
        <v>232</v>
      </c>
      <c r="G840" s="1" t="n">
        <v>130</v>
      </c>
      <c r="H840" s="2" t="n">
        <v>9300000</v>
      </c>
      <c r="I840" s="2" t="n">
        <f aca="false">(((H840 / 800) / IF(ISBLANK(R840), 1000000, IF(ISNA(VLOOKUP(R840, Mileages!$A$2:$C$34, 2, 0)), R840, VLOOKUP(R840, Mileages!$A$2:$C$34, 2, 0)))) + (F840 * IF(ISBLANK(P840), 1, P840) * IF(ISBLANK(T840), 0, IF(ISNA(VLOOKUP(T840, 'Fuel Costs'!$A$2:$C$42, 2, 0)), T840, VLOOKUP(T840, 'Fuel Costs'!$A$2:$C$42, 2, 0))) / IF(ISBLANK(O840), 1, O840))) * 100</f>
        <v>155.8291667</v>
      </c>
      <c r="J840" s="2" t="n">
        <f aca="false">((H840 / 800) / (IF(ISBLANK(S840), 100, IF(ISNA(VLOOKUP(S840, Lives!$A$2:$C$35, 2, 0)), S840, VLOOKUP(S840, Lives!$A$2:$C$35, 2, 0))) * 12) + (IF(ISBLANK(Q840), 0, IF(ISNA(VLOOKUP(Q840, Wages!$A$2:$C$17, 2, 0)), Q840, VLOOKUP(Q840, Wages!$A$2:$C$17, 2, 0))) * IF(ISBLANK(N840), 0, IF(ISNA(VLOOKUP(N840, Crews!$A$2:$C$28, 2, 0)), N840, VLOOKUP(N840, Crews!$A$2:$C$28, 2, 0))))) * 400</f>
        <v>31750</v>
      </c>
      <c r="K840" s="3" t="s">
        <v>1715</v>
      </c>
      <c r="L840" s="1" t="s">
        <v>1716</v>
      </c>
      <c r="M840" s="1" t="n">
        <v>0</v>
      </c>
      <c r="N840" s="1" t="s">
        <v>590</v>
      </c>
      <c r="O840" s="1" t="n">
        <v>0.6</v>
      </c>
      <c r="P840" s="1"/>
      <c r="Q840" s="5" t="s">
        <v>284</v>
      </c>
      <c r="R840" s="1" t="s">
        <v>677</v>
      </c>
      <c r="S840" s="1" t="s">
        <v>677</v>
      </c>
      <c r="T840" s="1" t="s">
        <v>923</v>
      </c>
    </row>
    <row r="841" customFormat="false" ht="15" hidden="false" customHeight="true" outlineLevel="0" collapsed="false">
      <c r="A841" s="1" t="s">
        <v>1717</v>
      </c>
      <c r="B841" s="1" t="n">
        <v>1898</v>
      </c>
      <c r="C841" s="1" t="n">
        <v>6</v>
      </c>
      <c r="D841" s="1" t="s">
        <v>876</v>
      </c>
      <c r="E841" s="1" t="s">
        <v>1346</v>
      </c>
      <c r="F841" s="1" t="n">
        <v>45</v>
      </c>
      <c r="G841" s="1" t="n">
        <v>32</v>
      </c>
      <c r="H841" s="2" t="n">
        <v>360000</v>
      </c>
      <c r="I841" s="2" t="n">
        <f aca="false">(((H841 / 800) / IF(ISBLANK(R841), 1000000, IF(ISNA(VLOOKUP(R841, Mileages!$A$2:$C$34, 2, 0)), R841, VLOOKUP(R841, Mileages!$A$2:$C$34, 2, 0)))) + (F841 * IF(ISBLANK(P841), 1, P841) * IF(ISBLANK(T841), 0, IF(ISNA(VLOOKUP(T841, 'Fuel Costs'!$A$2:$C$42, 2, 0)), T841, VLOOKUP(T841, 'Fuel Costs'!$A$2:$C$42, 2, 0))) / IF(ISBLANK(O841), 1, O841))) * 100</f>
        <v>27.045</v>
      </c>
      <c r="J841" s="2" t="n">
        <f aca="false">((H841 / 800) / (IF(ISBLANK(S841), 100, IF(ISNA(VLOOKUP(S841, Lives!$A$2:$C$35, 2, 0)), S841, VLOOKUP(S841, Lives!$A$2:$C$35, 2, 0))) * 12) + (IF(ISBLANK(Q841), 0, IF(ISNA(VLOOKUP(Q841, Wages!$A$2:$C$17, 2, 0)), Q841, VLOOKUP(Q841, Wages!$A$2:$C$17, 2, 0))) * IF(ISBLANK(N841), 0, IF(ISNA(VLOOKUP(N841, Crews!$A$2:$C$28, 2, 0)), N841, VLOOKUP(N841, Crews!$A$2:$C$28, 2, 0))))) * 400</f>
        <v>6300</v>
      </c>
      <c r="K841" s="3" t="s">
        <v>1718</v>
      </c>
      <c r="L841" s="1" t="s">
        <v>1719</v>
      </c>
      <c r="M841" s="1" t="n">
        <v>0</v>
      </c>
      <c r="N841" s="1" t="s">
        <v>895</v>
      </c>
      <c r="O841" s="1"/>
      <c r="P841" s="1"/>
      <c r="Q841" s="1" t="s">
        <v>895</v>
      </c>
      <c r="R841" s="1" t="s">
        <v>1349</v>
      </c>
      <c r="S841" s="1" t="s">
        <v>1350</v>
      </c>
      <c r="T841" s="1" t="s">
        <v>1351</v>
      </c>
    </row>
    <row r="842" customFormat="false" ht="15" hidden="false" customHeight="true" outlineLevel="0" collapsed="false">
      <c r="A842" s="1" t="s">
        <v>1720</v>
      </c>
      <c r="B842" s="1" t="n">
        <v>1898</v>
      </c>
      <c r="C842" s="1" t="n">
        <v>6</v>
      </c>
      <c r="D842" s="1" t="s">
        <v>38</v>
      </c>
      <c r="E842" s="1"/>
      <c r="F842" s="1"/>
      <c r="G842" s="1" t="n">
        <v>160</v>
      </c>
      <c r="H842" s="2" t="n">
        <v>420000</v>
      </c>
      <c r="I842" s="2" t="n">
        <f aca="false">(((H842 / 800) / IF(ISBLANK(R842), 1000000, IF(ISNA(VLOOKUP(R842, Mileages!$A$2:$C$34, 2, 0)), R842, VLOOKUP(R842, Mileages!$A$2:$C$34, 2, 0)))) + (F842 * IF(ISBLANK(P842), 1, P842) * IF(ISBLANK(T842), 0, IF(ISNA(VLOOKUP(T842, 'Fuel Costs'!$A$2:$C$42, 2, 0)), T842, VLOOKUP(T842, 'Fuel Costs'!$A$2:$C$42, 2, 0))) / IF(ISBLANK(O842), 1, O842))) * 100</f>
        <v>0.04375</v>
      </c>
      <c r="J842" s="2" t="n">
        <f aca="false">((H842 / 800) / (IF(ISBLANK(S842), 100, IF(ISNA(VLOOKUP(S842, Lives!$A$2:$C$35, 2, 0)), S842, VLOOKUP(S842, Lives!$A$2:$C$35, 2, 0))) * 12) + (IF(ISBLANK(Q842), 0, IF(ISNA(VLOOKUP(Q842, Wages!$A$2:$C$17, 2, 0)), Q842, VLOOKUP(Q842, Wages!$A$2:$C$17, 2, 0))) * IF(ISBLANK(N842), 0, IF(ISNA(VLOOKUP(N842, Crews!$A$2:$C$28, 2, 0)), N842, VLOOKUP(N842, Crews!$A$2:$C$28, 2, 0))))) * 400</f>
        <v>5300</v>
      </c>
      <c r="K842" s="1" t="s">
        <v>1721</v>
      </c>
      <c r="L842" s="1" t="s">
        <v>1722</v>
      </c>
      <c r="M842" s="1" t="n">
        <v>0</v>
      </c>
      <c r="N842" s="1" t="s">
        <v>25</v>
      </c>
      <c r="O842" s="1"/>
      <c r="P842" s="1"/>
      <c r="Q842" s="1" t="s">
        <v>378</v>
      </c>
      <c r="R842" s="1" t="s">
        <v>689</v>
      </c>
      <c r="S842" s="1" t="s">
        <v>856</v>
      </c>
      <c r="T842" s="1"/>
    </row>
    <row r="843" customFormat="false" ht="15" hidden="false" customHeight="true" outlineLevel="0" collapsed="false">
      <c r="A843" s="1" t="s">
        <v>1723</v>
      </c>
      <c r="B843" s="1" t="n">
        <v>1898</v>
      </c>
      <c r="C843" s="1" t="n">
        <v>6</v>
      </c>
      <c r="D843" s="1" t="s">
        <v>38</v>
      </c>
      <c r="E843" s="1"/>
      <c r="F843" s="1"/>
      <c r="G843" s="1" t="n">
        <v>160</v>
      </c>
      <c r="H843" s="2" t="n">
        <v>420000</v>
      </c>
      <c r="I843" s="2" t="n">
        <f aca="false">(((H843 / 800) / IF(ISBLANK(R843), 1000000, IF(ISNA(VLOOKUP(R843, Mileages!$A$2:$C$34, 2, 0)), R843, VLOOKUP(R843, Mileages!$A$2:$C$34, 2, 0)))) + (F843 * IF(ISBLANK(P843), 1, P843) * IF(ISBLANK(T843), 0, IF(ISNA(VLOOKUP(T843, 'Fuel Costs'!$A$2:$C$42, 2, 0)), T843, VLOOKUP(T843, 'Fuel Costs'!$A$2:$C$42, 2, 0))) / IF(ISBLANK(O843), 1, O843))) * 100</f>
        <v>0.04375</v>
      </c>
      <c r="J843" s="2" t="n">
        <f aca="false">((H843 / 800) / (IF(ISBLANK(S843), 100, IF(ISNA(VLOOKUP(S843, Lives!$A$2:$C$35, 2, 0)), S843, VLOOKUP(S843, Lives!$A$2:$C$35, 2, 0))) * 12) + (IF(ISBLANK(Q843), 0, IF(ISNA(VLOOKUP(Q843, Wages!$A$2:$C$17, 2, 0)), Q843, VLOOKUP(Q843, Wages!$A$2:$C$17, 2, 0))) * IF(ISBLANK(N843), 0, IF(ISNA(VLOOKUP(N843, Crews!$A$2:$C$28, 2, 0)), N843, VLOOKUP(N843, Crews!$A$2:$C$28, 2, 0))))) * 400</f>
        <v>500</v>
      </c>
      <c r="K843" s="1" t="s">
        <v>1724</v>
      </c>
      <c r="L843" s="1" t="s">
        <v>1722</v>
      </c>
      <c r="M843" s="1" t="n">
        <v>1</v>
      </c>
      <c r="N843" s="1"/>
      <c r="O843" s="1"/>
      <c r="P843" s="1"/>
      <c r="Q843" s="1"/>
      <c r="R843" s="1" t="s">
        <v>689</v>
      </c>
      <c r="S843" s="1" t="s">
        <v>856</v>
      </c>
      <c r="T843" s="1"/>
    </row>
    <row r="844" customFormat="false" ht="15" hidden="false" customHeight="true" outlineLevel="0" collapsed="false">
      <c r="A844" s="1" t="s">
        <v>1725</v>
      </c>
      <c r="B844" s="1" t="n">
        <v>1898</v>
      </c>
      <c r="C844" s="1" t="n">
        <v>6</v>
      </c>
      <c r="D844" s="1" t="s">
        <v>38</v>
      </c>
      <c r="E844" s="1"/>
      <c r="F844" s="1"/>
      <c r="G844" s="1" t="n">
        <v>160</v>
      </c>
      <c r="H844" s="2" t="n">
        <v>420000</v>
      </c>
      <c r="I844" s="2" t="n">
        <f aca="false">(((H844 / 800) / IF(ISBLANK(R844), 1000000, IF(ISNA(VLOOKUP(R844, Mileages!$A$2:$C$34, 2, 0)), R844, VLOOKUP(R844, Mileages!$A$2:$C$34, 2, 0)))) + (F844 * IF(ISBLANK(P844), 1, P844) * IF(ISBLANK(T844), 0, IF(ISNA(VLOOKUP(T844, 'Fuel Costs'!$A$2:$C$42, 2, 0)), T844, VLOOKUP(T844, 'Fuel Costs'!$A$2:$C$42, 2, 0))) / IF(ISBLANK(O844), 1, O844))) * 100</f>
        <v>0.04375</v>
      </c>
      <c r="J844" s="2" t="n">
        <f aca="false">((H844 / 800) / (IF(ISBLANK(S844), 100, IF(ISNA(VLOOKUP(S844, Lives!$A$2:$C$35, 2, 0)), S844, VLOOKUP(S844, Lives!$A$2:$C$35, 2, 0))) * 12) + (IF(ISBLANK(Q844), 0, IF(ISNA(VLOOKUP(Q844, Wages!$A$2:$C$17, 2, 0)), Q844, VLOOKUP(Q844, Wages!$A$2:$C$17, 2, 0))) * IF(ISBLANK(N844), 0, IF(ISNA(VLOOKUP(N844, Crews!$A$2:$C$28, 2, 0)), N844, VLOOKUP(N844, Crews!$A$2:$C$28, 2, 0))))) * 400</f>
        <v>5300</v>
      </c>
      <c r="K844" s="1"/>
      <c r="L844" s="1" t="s">
        <v>1722</v>
      </c>
      <c r="M844" s="1" t="n">
        <v>2</v>
      </c>
      <c r="N844" s="1" t="s">
        <v>25</v>
      </c>
      <c r="O844" s="1"/>
      <c r="P844" s="1"/>
      <c r="Q844" s="1" t="s">
        <v>378</v>
      </c>
      <c r="R844" s="1" t="s">
        <v>689</v>
      </c>
      <c r="S844" s="1" t="s">
        <v>856</v>
      </c>
      <c r="T844" s="1"/>
    </row>
    <row r="845" customFormat="false" ht="15" hidden="false" customHeight="true" outlineLevel="0" collapsed="false">
      <c r="A845" s="1" t="s">
        <v>1726</v>
      </c>
      <c r="B845" s="1" t="n">
        <v>1898</v>
      </c>
      <c r="C845" s="1" t="n">
        <v>8</v>
      </c>
      <c r="D845" s="1" t="s">
        <v>38</v>
      </c>
      <c r="E845" s="1"/>
      <c r="F845" s="1"/>
      <c r="G845" s="1" t="n">
        <v>140</v>
      </c>
      <c r="H845" s="2" t="n">
        <v>750000</v>
      </c>
      <c r="I845" s="2" t="n">
        <f aca="false">(((H845 / 800) / IF(ISBLANK(R845), 1000000, IF(ISNA(VLOOKUP(R845, Mileages!$A$2:$C$34, 2, 0)), R845, VLOOKUP(R845, Mileages!$A$2:$C$34, 2, 0)))) + (F845 * IF(ISBLANK(P845), 1, P845) * IF(ISBLANK(T845), 0, IF(ISNA(VLOOKUP(T845, 'Fuel Costs'!$A$2:$C$42, 2, 0)), T845, VLOOKUP(T845, 'Fuel Costs'!$A$2:$C$42, 2, 0))) / IF(ISBLANK(O845), 1, O845))) * 100</f>
        <v>0.078125</v>
      </c>
      <c r="J845" s="2" t="n">
        <f aca="false">((H845 / 800) / (IF(ISBLANK(S845), 100, IF(ISNA(VLOOKUP(S845, Lives!$A$2:$C$35, 2, 0)), S845, VLOOKUP(S845, Lives!$A$2:$C$35, 2, 0))) * 12) + (IF(ISBLANK(Q845), 0, IF(ISNA(VLOOKUP(Q845, Wages!$A$2:$C$17, 2, 0)), Q845, VLOOKUP(Q845, Wages!$A$2:$C$17, 2, 0))) * IF(ISBLANK(N845), 0, IF(ISNA(VLOOKUP(N845, Crews!$A$2:$C$28, 2, 0)), N845, VLOOKUP(N845, Crews!$A$2:$C$28, 2, 0))))) * 400</f>
        <v>892.8571429</v>
      </c>
      <c r="K845" s="1" t="s">
        <v>1727</v>
      </c>
      <c r="L845" s="1" t="s">
        <v>1728</v>
      </c>
      <c r="M845" s="1" t="n">
        <v>0</v>
      </c>
      <c r="N845" s="1"/>
      <c r="O845" s="1"/>
      <c r="P845" s="1"/>
      <c r="Q845" s="1"/>
      <c r="R845" s="1" t="s">
        <v>689</v>
      </c>
      <c r="S845" s="1" t="s">
        <v>856</v>
      </c>
      <c r="T845" s="1"/>
    </row>
    <row r="846" customFormat="false" ht="15" hidden="false" customHeight="true" outlineLevel="0" collapsed="false">
      <c r="A846" s="1" t="s">
        <v>1729</v>
      </c>
      <c r="B846" s="1" t="n">
        <v>1898</v>
      </c>
      <c r="C846" s="1" t="n">
        <v>8</v>
      </c>
      <c r="D846" s="1" t="s">
        <v>38</v>
      </c>
      <c r="E846" s="1"/>
      <c r="F846" s="1"/>
      <c r="G846" s="1" t="n">
        <v>140</v>
      </c>
      <c r="H846" s="2" t="n">
        <v>750000</v>
      </c>
      <c r="I846" s="2" t="n">
        <f aca="false">(((H846 / 800) / IF(ISBLANK(R846), 1000000, IF(ISNA(VLOOKUP(R846, Mileages!$A$2:$C$34, 2, 0)), R846, VLOOKUP(R846, Mileages!$A$2:$C$34, 2, 0)))) + (F846 * IF(ISBLANK(P846), 1, P846) * IF(ISBLANK(T846), 0, IF(ISNA(VLOOKUP(T846, 'Fuel Costs'!$A$2:$C$42, 2, 0)), T846, VLOOKUP(T846, 'Fuel Costs'!$A$2:$C$42, 2, 0))) / IF(ISBLANK(O846), 1, O846))) * 100</f>
        <v>0.078125</v>
      </c>
      <c r="J846" s="2" t="n">
        <f aca="false">((H846 / 800) / (IF(ISBLANK(S846), 100, IF(ISNA(VLOOKUP(S846, Lives!$A$2:$C$35, 2, 0)), S846, VLOOKUP(S846, Lives!$A$2:$C$35, 2, 0))) * 12) + (IF(ISBLANK(Q846), 0, IF(ISNA(VLOOKUP(Q846, Wages!$A$2:$C$17, 2, 0)), Q846, VLOOKUP(Q846, Wages!$A$2:$C$17, 2, 0))) * IF(ISBLANK(N846), 0, IF(ISNA(VLOOKUP(N846, Crews!$A$2:$C$28, 2, 0)), N846, VLOOKUP(N846, Crews!$A$2:$C$28, 2, 0))))) * 400</f>
        <v>5692.857143</v>
      </c>
      <c r="K846" s="1"/>
      <c r="L846" s="1" t="s">
        <v>1728</v>
      </c>
      <c r="M846" s="1" t="n">
        <v>1</v>
      </c>
      <c r="N846" s="1" t="s">
        <v>25</v>
      </c>
      <c r="O846" s="1"/>
      <c r="P846" s="1"/>
      <c r="Q846" s="1" t="s">
        <v>378</v>
      </c>
      <c r="R846" s="1" t="s">
        <v>689</v>
      </c>
      <c r="S846" s="1" t="s">
        <v>856</v>
      </c>
      <c r="T846" s="1"/>
    </row>
    <row r="847" customFormat="false" ht="15" hidden="false" customHeight="true" outlineLevel="0" collapsed="false">
      <c r="A847" s="1" t="s">
        <v>1730</v>
      </c>
      <c r="B847" s="1" t="n">
        <v>1898</v>
      </c>
      <c r="C847" s="1" t="n">
        <v>8</v>
      </c>
      <c r="D847" s="1" t="s">
        <v>38</v>
      </c>
      <c r="E847" s="1"/>
      <c r="F847" s="1"/>
      <c r="G847" s="1" t="n">
        <v>140</v>
      </c>
      <c r="H847" s="2" t="n">
        <v>750000</v>
      </c>
      <c r="I847" s="2" t="n">
        <f aca="false">(((H847 / 800) / IF(ISBLANK(R847), 1000000, IF(ISNA(VLOOKUP(R847, Mileages!$A$2:$C$34, 2, 0)), R847, VLOOKUP(R847, Mileages!$A$2:$C$34, 2, 0)))) + (F847 * IF(ISBLANK(P847), 1, P847) * IF(ISBLANK(T847), 0, IF(ISNA(VLOOKUP(T847, 'Fuel Costs'!$A$2:$C$42, 2, 0)), T847, VLOOKUP(T847, 'Fuel Costs'!$A$2:$C$42, 2, 0))) / IF(ISBLANK(O847), 1, O847))) * 100</f>
        <v>0.078125</v>
      </c>
      <c r="J847" s="2" t="n">
        <f aca="false">((H847 / 800) / (IF(ISBLANK(S847), 100, IF(ISNA(VLOOKUP(S847, Lives!$A$2:$C$35, 2, 0)), S847, VLOOKUP(S847, Lives!$A$2:$C$35, 2, 0))) * 12) + (IF(ISBLANK(Q847), 0, IF(ISNA(VLOOKUP(Q847, Wages!$A$2:$C$17, 2, 0)), Q847, VLOOKUP(Q847, Wages!$A$2:$C$17, 2, 0))) * IF(ISBLANK(N847), 0, IF(ISNA(VLOOKUP(N847, Crews!$A$2:$C$28, 2, 0)), N847, VLOOKUP(N847, Crews!$A$2:$C$28, 2, 0))))) * 400</f>
        <v>5692.857143</v>
      </c>
      <c r="K847" s="1"/>
      <c r="L847" s="1" t="s">
        <v>1728</v>
      </c>
      <c r="M847" s="1" t="n">
        <v>2</v>
      </c>
      <c r="N847" s="1" t="s">
        <v>25</v>
      </c>
      <c r="O847" s="1"/>
      <c r="P847" s="1"/>
      <c r="Q847" s="1" t="s">
        <v>378</v>
      </c>
      <c r="R847" s="1" t="s">
        <v>689</v>
      </c>
      <c r="S847" s="1" t="s">
        <v>856</v>
      </c>
      <c r="T847" s="1"/>
    </row>
    <row r="848" customFormat="false" ht="15" hidden="false" customHeight="true" outlineLevel="0" collapsed="false">
      <c r="A848" s="1" t="s">
        <v>1731</v>
      </c>
      <c r="B848" s="1" t="n">
        <v>1898</v>
      </c>
      <c r="C848" s="1" t="n">
        <v>10</v>
      </c>
      <c r="D848" s="1" t="s">
        <v>38</v>
      </c>
      <c r="E848" s="1" t="s">
        <v>1346</v>
      </c>
      <c r="F848" s="1" t="n">
        <v>50</v>
      </c>
      <c r="G848" s="1" t="n">
        <v>50</v>
      </c>
      <c r="H848" s="2" t="n">
        <v>350000</v>
      </c>
      <c r="I848" s="2" t="n">
        <f aca="false">(((H848 / 800) / IF(ISBLANK(R848), 1000000, IF(ISNA(VLOOKUP(R848, Mileages!$A$2:$C$34, 2, 0)), R848, VLOOKUP(R848, Mileages!$A$2:$C$34, 2, 0)))) + (F848 * IF(ISBLANK(P848), 1, P848) * IF(ISBLANK(T848), 0, IF(ISNA(VLOOKUP(T848, 'Fuel Costs'!$A$2:$C$42, 2, 0)), T848, VLOOKUP(T848, 'Fuel Costs'!$A$2:$C$42, 2, 0))) / IF(ISBLANK(O848), 1, O848))) * 100</f>
        <v>30.05833333</v>
      </c>
      <c r="J848" s="2" t="n">
        <f aca="false">((H848 / 800) / (IF(ISBLANK(S848), 100, IF(ISNA(VLOOKUP(S848, Lives!$A$2:$C$35, 2, 0)), S848, VLOOKUP(S848, Lives!$A$2:$C$35, 2, 0))) * 12) + (IF(ISBLANK(Q848), 0, IF(ISNA(VLOOKUP(Q848, Wages!$A$2:$C$17, 2, 0)), Q848, VLOOKUP(Q848, Wages!$A$2:$C$17, 2, 0))) * IF(ISBLANK(N848), 0, IF(ISNA(VLOOKUP(N848, Crews!$A$2:$C$28, 2, 0)), N848, VLOOKUP(N848, Crews!$A$2:$C$28, 2, 0))))) * 400</f>
        <v>6291.666667</v>
      </c>
      <c r="K848" s="1"/>
      <c r="L848" s="1" t="s">
        <v>1732</v>
      </c>
      <c r="M848" s="1" t="n">
        <v>0</v>
      </c>
      <c r="N848" s="1" t="s">
        <v>1512</v>
      </c>
      <c r="O848" s="1" t="n">
        <v>1</v>
      </c>
      <c r="P848" s="1"/>
      <c r="Q848" s="1" t="str">
        <f aca="false">IF(ISBLANK('Pak128 Britain In'!$N848),,'Pak128 Britain In'!$N848)</f>
        <v>ElectricMultipleUnit</v>
      </c>
      <c r="R848" s="1" t="s">
        <v>1489</v>
      </c>
      <c r="S848" s="1" t="s">
        <v>1350</v>
      </c>
      <c r="T848" s="1" t="s">
        <v>1351</v>
      </c>
    </row>
    <row r="849" customFormat="false" ht="15" hidden="false" customHeight="true" outlineLevel="0" collapsed="false">
      <c r="A849" s="1" t="s">
        <v>1733</v>
      </c>
      <c r="B849" s="1" t="n">
        <v>1898</v>
      </c>
      <c r="C849" s="1" t="n">
        <v>10</v>
      </c>
      <c r="D849" s="1" t="s">
        <v>38</v>
      </c>
      <c r="E849" s="1" t="s">
        <v>1346</v>
      </c>
      <c r="F849" s="1"/>
      <c r="G849" s="1" t="n">
        <v>50</v>
      </c>
      <c r="H849" s="2" t="n">
        <v>150000</v>
      </c>
      <c r="I849" s="2" t="n">
        <f aca="false">(((H849 / 800) / IF(ISBLANK(R849), 1000000, IF(ISNA(VLOOKUP(R849, Mileages!$A$2:$C$34, 2, 0)), R849, VLOOKUP(R849, Mileages!$A$2:$C$34, 2, 0)))) + (F849 * IF(ISBLANK(P849), 1, P849) * IF(ISBLANK(T849), 0, IF(ISNA(VLOOKUP(T849, 'Fuel Costs'!$A$2:$C$42, 2, 0)), T849, VLOOKUP(T849, 'Fuel Costs'!$A$2:$C$42, 2, 0))) / IF(ISBLANK(O849), 1, O849))) * 100</f>
        <v>0.015625</v>
      </c>
      <c r="J849" s="2" t="n">
        <f aca="false">((H849 / 800) / (IF(ISBLANK(S849), 100, IF(ISNA(VLOOKUP(S849, Lives!$A$2:$C$35, 2, 0)), S849, VLOOKUP(S849, Lives!$A$2:$C$35, 2, 0))) * 12) + (IF(ISBLANK(Q849), 0, IF(ISNA(VLOOKUP(Q849, Wages!$A$2:$C$17, 2, 0)), Q849, VLOOKUP(Q849, Wages!$A$2:$C$17, 2, 0))) * IF(ISBLANK(N849), 0, IF(ISNA(VLOOKUP(N849, Crews!$A$2:$C$28, 2, 0)), N849, VLOOKUP(N849, Crews!$A$2:$C$28, 2, 0))))) * 400</f>
        <v>178.5714286</v>
      </c>
      <c r="K849" s="1"/>
      <c r="L849" s="1" t="s">
        <v>1732</v>
      </c>
      <c r="M849" s="1" t="n">
        <v>1</v>
      </c>
      <c r="N849" s="1"/>
      <c r="O849" s="1"/>
      <c r="P849" s="1"/>
      <c r="Q849" s="1"/>
      <c r="R849" s="1" t="s">
        <v>689</v>
      </c>
      <c r="S849" s="1" t="s">
        <v>856</v>
      </c>
      <c r="T849" s="1"/>
    </row>
    <row r="850" customFormat="false" ht="15" hidden="false" customHeight="true" outlineLevel="0" collapsed="false">
      <c r="A850" s="1" t="s">
        <v>1734</v>
      </c>
      <c r="B850" s="1" t="n">
        <v>1898</v>
      </c>
      <c r="C850" s="1" t="n">
        <v>10</v>
      </c>
      <c r="D850" s="1" t="s">
        <v>38</v>
      </c>
      <c r="E850" s="1" t="s">
        <v>1346</v>
      </c>
      <c r="F850" s="1" t="n">
        <v>50</v>
      </c>
      <c r="G850" s="1" t="n">
        <v>50</v>
      </c>
      <c r="H850" s="2" t="n">
        <v>350000</v>
      </c>
      <c r="I850" s="2" t="n">
        <f aca="false">(((H850 / 800) / IF(ISBLANK(R850), 1000000, IF(ISNA(VLOOKUP(R850, Mileages!$A$2:$C$34, 2, 0)), R850, VLOOKUP(R850, Mileages!$A$2:$C$34, 2, 0)))) + (F850 * IF(ISBLANK(P850), 1, P850) * IF(ISBLANK(T850), 0, IF(ISNA(VLOOKUP(T850, 'Fuel Costs'!$A$2:$C$42, 2, 0)), T850, VLOOKUP(T850, 'Fuel Costs'!$A$2:$C$42, 2, 0))) / IF(ISBLANK(O850), 1, O850))) * 100</f>
        <v>30.05833333</v>
      </c>
      <c r="J850" s="2" t="n">
        <f aca="false">((H850 / 800) / (IF(ISBLANK(S850), 100, IF(ISNA(VLOOKUP(S850, Lives!$A$2:$C$35, 2, 0)), S850, VLOOKUP(S850, Lives!$A$2:$C$35, 2, 0))) * 12) + (IF(ISBLANK(Q850), 0, IF(ISNA(VLOOKUP(Q850, Wages!$A$2:$C$17, 2, 0)), Q850, VLOOKUP(Q850, Wages!$A$2:$C$17, 2, 0))) * IF(ISBLANK(N850), 0, IF(ISNA(VLOOKUP(N850, Crews!$A$2:$C$28, 2, 0)), N850, VLOOKUP(N850, Crews!$A$2:$C$28, 2, 0))))) * 400</f>
        <v>6291.666667</v>
      </c>
      <c r="K850" s="1"/>
      <c r="L850" s="1" t="s">
        <v>1732</v>
      </c>
      <c r="M850" s="1" t="n">
        <v>2</v>
      </c>
      <c r="N850" s="1" t="s">
        <v>1512</v>
      </c>
      <c r="O850" s="1" t="n">
        <v>1</v>
      </c>
      <c r="P850" s="1"/>
      <c r="Q850" s="1" t="str">
        <f aca="false">IF(ISBLANK('Pak128 Britain In'!$N850),,'Pak128 Britain In'!$N850)</f>
        <v>ElectricMultipleUnit</v>
      </c>
      <c r="R850" s="1" t="s">
        <v>1489</v>
      </c>
      <c r="S850" s="1" t="s">
        <v>1350</v>
      </c>
      <c r="T850" s="1" t="s">
        <v>1351</v>
      </c>
    </row>
    <row r="851" customFormat="false" ht="15" hidden="false" customHeight="true" outlineLevel="0" collapsed="false">
      <c r="A851" s="1" t="s">
        <v>1735</v>
      </c>
      <c r="B851" s="1" t="n">
        <v>1898</v>
      </c>
      <c r="C851" s="1" t="n">
        <v>10</v>
      </c>
      <c r="D851" s="1" t="s">
        <v>38</v>
      </c>
      <c r="E851" s="1"/>
      <c r="F851" s="1" t="n">
        <v>0</v>
      </c>
      <c r="G851" s="1" t="n">
        <v>127</v>
      </c>
      <c r="H851" s="2" t="n">
        <v>0</v>
      </c>
      <c r="I851" s="2" t="n">
        <f aca="false">(((H851 / 800) / IF(ISBLANK(R851), 1000000, IF(ISNA(VLOOKUP(R851, Mileages!$A$2:$C$34, 2, 0)), R851, VLOOKUP(R851, Mileages!$A$2:$C$34, 2, 0)))) + (F851 * IF(ISBLANK(P851), 1, P851) * IF(ISBLANK(T851), 0, IF(ISNA(VLOOKUP(T851, 'Fuel Costs'!$A$2:$C$42, 2, 0)), T851, VLOOKUP(T851, 'Fuel Costs'!$A$2:$C$42, 2, 0))) / IF(ISBLANK(O851), 1, O851))) * 100</f>
        <v>0</v>
      </c>
      <c r="J851" s="2" t="n">
        <f aca="false">((H851 / 800) / (IF(ISBLANK(S851), 100, IF(ISNA(VLOOKUP(S851, Lives!$A$2:$C$35, 2, 0)), S851, VLOOKUP(S851, Lives!$A$2:$C$35, 2, 0))) * 12) + (IF(ISBLANK(Q851), 0, IF(ISNA(VLOOKUP(Q851, Wages!$A$2:$C$17, 2, 0)), Q851, VLOOKUP(Q851, Wages!$A$2:$C$17, 2, 0))) * IF(ISBLANK(N851), 0, IF(ISNA(VLOOKUP(N851, Crews!$A$2:$C$28, 2, 0)), N851, VLOOKUP(N851, Crews!$A$2:$C$28, 2, 0))))) * 400</f>
        <v>0</v>
      </c>
      <c r="K851" s="1" t="s">
        <v>1736</v>
      </c>
      <c r="L851" s="1" t="s">
        <v>1737</v>
      </c>
      <c r="M851" s="1" t="n">
        <v>0</v>
      </c>
      <c r="N851" s="1"/>
      <c r="O851" s="1"/>
      <c r="P851" s="1"/>
      <c r="Q851" s="1"/>
      <c r="R851" s="1"/>
      <c r="S851" s="1"/>
      <c r="T851" s="1"/>
    </row>
    <row r="852" customFormat="false" ht="15" hidden="false" customHeight="true" outlineLevel="0" collapsed="false">
      <c r="A852" s="1" t="s">
        <v>1738</v>
      </c>
      <c r="B852" s="1" t="n">
        <v>1898</v>
      </c>
      <c r="C852" s="1" t="n">
        <v>10</v>
      </c>
      <c r="D852" s="1" t="s">
        <v>38</v>
      </c>
      <c r="E852" s="1" t="s">
        <v>274</v>
      </c>
      <c r="F852" s="1" t="n">
        <v>179</v>
      </c>
      <c r="G852" s="1" t="n">
        <v>127</v>
      </c>
      <c r="H852" s="2" t="n">
        <v>9273600</v>
      </c>
      <c r="I852" s="2" t="n">
        <f aca="false">(((H852 / 800) / IF(ISBLANK(R852), 1000000, IF(ISNA(VLOOKUP(R852, Mileages!$A$2:$C$34, 2, 0)), R852, VLOOKUP(R852, Mileages!$A$2:$C$34, 2, 0)))) + (F852 * IF(ISBLANK(P852), 1, P852) * IF(ISBLANK(T852), 0, IF(ISNA(VLOOKUP(T852, 'Fuel Costs'!$A$2:$C$42, 2, 0)), T852, VLOOKUP(T852, 'Fuel Costs'!$A$2:$C$42, 2, 0))) / IF(ISBLANK(O852), 1, O852))) * 100</f>
        <v>120.4925333</v>
      </c>
      <c r="J852" s="2" t="n">
        <f aca="false">((H852 / 800) / (IF(ISBLANK(S852), 100, IF(ISNA(VLOOKUP(S852, Lives!$A$2:$C$35, 2, 0)), S852, VLOOKUP(S852, Lives!$A$2:$C$35, 2, 0))) * 12) + (IF(ISBLANK(Q852), 0, IF(ISNA(VLOOKUP(Q852, Wages!$A$2:$C$17, 2, 0)), Q852, VLOOKUP(Q852, Wages!$A$2:$C$17, 2, 0))) * IF(ISBLANK(N852), 0, IF(ISNA(VLOOKUP(N852, Crews!$A$2:$C$28, 2, 0)), N852, VLOOKUP(N852, Crews!$A$2:$C$28, 2, 0))))) * 400</f>
        <v>31728</v>
      </c>
      <c r="K852" s="3" t="s">
        <v>1739</v>
      </c>
      <c r="L852" s="1" t="s">
        <v>1740</v>
      </c>
      <c r="M852" s="1" t="n">
        <v>0</v>
      </c>
      <c r="N852" s="1" t="s">
        <v>590</v>
      </c>
      <c r="O852" s="1" t="n">
        <v>0.6</v>
      </c>
      <c r="P852" s="1"/>
      <c r="Q852" s="5" t="s">
        <v>284</v>
      </c>
      <c r="R852" s="1" t="s">
        <v>677</v>
      </c>
      <c r="S852" s="1" t="s">
        <v>677</v>
      </c>
      <c r="T852" s="1" t="s">
        <v>923</v>
      </c>
    </row>
    <row r="853" customFormat="false" ht="15" hidden="false" customHeight="true" outlineLevel="0" collapsed="false">
      <c r="A853" s="1" t="s">
        <v>1741</v>
      </c>
      <c r="B853" s="1" t="n">
        <v>1899</v>
      </c>
      <c r="C853" s="1" t="n">
        <v>1</v>
      </c>
      <c r="D853" s="1" t="s">
        <v>29</v>
      </c>
      <c r="E853" s="1"/>
      <c r="F853" s="1"/>
      <c r="G853" s="1" t="n">
        <v>35</v>
      </c>
      <c r="H853" s="2" t="n">
        <v>0</v>
      </c>
      <c r="I853" s="2" t="n">
        <v>0</v>
      </c>
      <c r="J853" s="2"/>
      <c r="K853" s="1"/>
      <c r="L853" s="1" t="s">
        <v>279</v>
      </c>
      <c r="M853" s="1" t="n">
        <v>6</v>
      </c>
      <c r="N853" s="1"/>
      <c r="O853" s="1"/>
      <c r="P853" s="1"/>
      <c r="Q853" s="1"/>
      <c r="R853" s="1"/>
      <c r="S853" s="1"/>
      <c r="T853" s="1"/>
    </row>
    <row r="854" customFormat="false" ht="15" hidden="false" customHeight="true" outlineLevel="0" collapsed="false">
      <c r="A854" s="1" t="s">
        <v>1742</v>
      </c>
      <c r="B854" s="1" t="n">
        <v>1899</v>
      </c>
      <c r="C854" s="1" t="n">
        <v>2</v>
      </c>
      <c r="D854" s="1" t="s">
        <v>38</v>
      </c>
      <c r="E854" s="1" t="s">
        <v>274</v>
      </c>
      <c r="F854" s="1" t="n">
        <v>192</v>
      </c>
      <c r="G854" s="1" t="n">
        <v>85</v>
      </c>
      <c r="H854" s="2" t="n">
        <v>1584000</v>
      </c>
      <c r="I854" s="2" t="n">
        <f aca="false">(((H854 / 800) / IF(ISBLANK(R854), 1000000, IF(ISNA(VLOOKUP(R854, Mileages!$A$2:$C$34, 2, 0)), R854, VLOOKUP(R854, Mileages!$A$2:$C$34, 2, 0)))) + (F854 * IF(ISBLANK(P854), 1, P854) * IF(ISBLANK(T854), 0, IF(ISNA(VLOOKUP(T854, 'Fuel Costs'!$A$2:$C$42, 2, 0)), T854, VLOOKUP(T854, 'Fuel Costs'!$A$2:$C$42, 2, 0))) / IF(ISBLANK(O854), 1, O854))) * 100</f>
        <v>128.198</v>
      </c>
      <c r="J854" s="2" t="n">
        <f aca="false">((H854 / 800) / (IF(ISBLANK(S854), 100, IF(ISNA(VLOOKUP(S854, Lives!$A$2:$C$35, 2, 0)), S854, VLOOKUP(S854, Lives!$A$2:$C$35, 2, 0))) * 12) + (IF(ISBLANK(Q854), 0, IF(ISNA(VLOOKUP(Q854, Wages!$A$2:$C$17, 2, 0)), Q854, VLOOKUP(Q854, Wages!$A$2:$C$17, 2, 0))) * IF(ISBLANK(N854), 0, IF(ISNA(VLOOKUP(N854, Crews!$A$2:$C$28, 2, 0)), N854, VLOOKUP(N854, Crews!$A$2:$C$28, 2, 0))))) * 400</f>
        <v>25320</v>
      </c>
      <c r="K854" s="3" t="s">
        <v>1743</v>
      </c>
      <c r="L854" s="1" t="s">
        <v>1744</v>
      </c>
      <c r="M854" s="1" t="n">
        <v>0</v>
      </c>
      <c r="N854" s="1" t="s">
        <v>590</v>
      </c>
      <c r="O854" s="1" t="n">
        <v>0.6</v>
      </c>
      <c r="P854" s="1"/>
      <c r="Q854" s="5" t="s">
        <v>284</v>
      </c>
      <c r="R854" s="1" t="s">
        <v>677</v>
      </c>
      <c r="S854" s="1" t="s">
        <v>677</v>
      </c>
      <c r="T854" s="1" t="s">
        <v>923</v>
      </c>
    </row>
    <row r="855" customFormat="false" ht="15" hidden="false" customHeight="true" outlineLevel="0" collapsed="false">
      <c r="A855" s="1" t="s">
        <v>1745</v>
      </c>
      <c r="B855" s="1" t="n">
        <v>1899</v>
      </c>
      <c r="C855" s="1" t="n">
        <v>3</v>
      </c>
      <c r="D855" s="1" t="s">
        <v>29</v>
      </c>
      <c r="E855" s="1" t="s">
        <v>274</v>
      </c>
      <c r="F855" s="1" t="n">
        <v>700</v>
      </c>
      <c r="G855" s="1" t="n">
        <v>35</v>
      </c>
      <c r="H855" s="2" t="n">
        <v>62000000</v>
      </c>
      <c r="I855" s="2" t="n">
        <f aca="false">(((H855 / 800) / IF(ISBLANK(R855), 1000000, IF(ISNA(VLOOKUP(R855, Mileages!$A$2:$C$34, 2, 0)), R855, VLOOKUP(R855, Mileages!$A$2:$C$34, 2, 0)))) + (F855 * IF(ISBLANK(P855), 1, P855) * IF(ISBLANK(T855), 0, IF(ISNA(VLOOKUP(T855, 'Fuel Costs'!$A$2:$C$42, 2, 0)), T855, VLOOKUP(T855, 'Fuel Costs'!$A$2:$C$42, 2, 0))) / IF(ISBLANK(O855), 1, O855))) * 100</f>
        <v>78.54166667</v>
      </c>
      <c r="J855" s="2" t="n">
        <f aca="false">((H855 / 800) / (IF(ISBLANK(S855), 100, IF(ISNA(VLOOKUP(S855, Lives!$A$2:$C$35, 2, 0)), S855, VLOOKUP(S855, Lives!$A$2:$C$35, 2, 0))) * 12) + (IF(ISBLANK(Q855), 0, IF(ISNA(VLOOKUP(Q855, Wages!$A$2:$C$17, 2, 0)), Q855, VLOOKUP(Q855, Wages!$A$2:$C$17, 2, 0))) * IF(ISBLANK(N855), 0, IF(ISNA(VLOOKUP(N855, Crews!$A$2:$C$28, 2, 0)), N855, VLOOKUP(N855, Crews!$A$2:$C$28, 2, 0))))) * 400</f>
        <v>225833.3333</v>
      </c>
      <c r="K855" s="1" t="s">
        <v>145</v>
      </c>
      <c r="L855" s="1" t="s">
        <v>1746</v>
      </c>
      <c r="M855" s="1" t="n">
        <v>0</v>
      </c>
      <c r="N855" s="1" t="s">
        <v>323</v>
      </c>
      <c r="O855" s="1" t="n">
        <v>0.75</v>
      </c>
      <c r="P855" s="1" t="n">
        <v>0.2</v>
      </c>
      <c r="Q855" s="1" t="s">
        <v>34</v>
      </c>
      <c r="R855" s="1" t="s">
        <v>574</v>
      </c>
      <c r="S855" s="1" t="s">
        <v>574</v>
      </c>
      <c r="T855" s="1" t="s">
        <v>923</v>
      </c>
    </row>
    <row r="856" customFormat="false" ht="15" hidden="false" customHeight="true" outlineLevel="0" collapsed="false">
      <c r="A856" s="1" t="s">
        <v>1747</v>
      </c>
      <c r="B856" s="1" t="n">
        <v>1899</v>
      </c>
      <c r="C856" s="1" t="n">
        <v>4</v>
      </c>
      <c r="D856" s="1" t="s">
        <v>38</v>
      </c>
      <c r="E856" s="1"/>
      <c r="F856" s="1"/>
      <c r="G856" s="1" t="n">
        <v>160</v>
      </c>
      <c r="H856" s="2" t="n">
        <v>560000</v>
      </c>
      <c r="I856" s="2" t="n">
        <f aca="false">(((H856 / 800) / IF(ISBLANK(R856), 1000000, IF(ISNA(VLOOKUP(R856, Mileages!$A$2:$C$34, 2, 0)), R856, VLOOKUP(R856, Mileages!$A$2:$C$34, 2, 0)))) + (F856 * IF(ISBLANK(P856), 1, P856) * IF(ISBLANK(T856), 0, IF(ISNA(VLOOKUP(T856, 'Fuel Costs'!$A$2:$C$42, 2, 0)), T856, VLOOKUP(T856, 'Fuel Costs'!$A$2:$C$42, 2, 0))) / IF(ISBLANK(O856), 1, O856))) * 100</f>
        <v>0.05833333333</v>
      </c>
      <c r="J856" s="2" t="n">
        <f aca="false">((H856 / 800) / (IF(ISBLANK(S856), 100, IF(ISNA(VLOOKUP(S856, Lives!$A$2:$C$35, 2, 0)), S856, VLOOKUP(S856, Lives!$A$2:$C$35, 2, 0))) * 12) + (IF(ISBLANK(Q856), 0, IF(ISNA(VLOOKUP(Q856, Wages!$A$2:$C$17, 2, 0)), Q856, VLOOKUP(Q856, Wages!$A$2:$C$17, 2, 0))) * IF(ISBLANK(N856), 0, IF(ISNA(VLOOKUP(N856, Crews!$A$2:$C$28, 2, 0)), N856, VLOOKUP(N856, Crews!$A$2:$C$28, 2, 0))))) * 400</f>
        <v>666.6666667</v>
      </c>
      <c r="K856" s="1" t="s">
        <v>1748</v>
      </c>
      <c r="L856" s="1" t="s">
        <v>1749</v>
      </c>
      <c r="M856" s="1" t="n">
        <v>0</v>
      </c>
      <c r="N856" s="1"/>
      <c r="O856" s="1"/>
      <c r="P856" s="1"/>
      <c r="Q856" s="1"/>
      <c r="R856" s="1" t="s">
        <v>689</v>
      </c>
      <c r="S856" s="1" t="s">
        <v>856</v>
      </c>
      <c r="T856" s="1"/>
    </row>
    <row r="857" customFormat="false" ht="15" hidden="false" customHeight="true" outlineLevel="0" collapsed="false">
      <c r="A857" s="1" t="s">
        <v>1750</v>
      </c>
      <c r="B857" s="1" t="n">
        <v>1899</v>
      </c>
      <c r="C857" s="1" t="n">
        <v>4</v>
      </c>
      <c r="D857" s="1" t="s">
        <v>38</v>
      </c>
      <c r="E857" s="1"/>
      <c r="F857" s="1"/>
      <c r="G857" s="1" t="n">
        <v>160</v>
      </c>
      <c r="H857" s="2" t="n">
        <v>560000</v>
      </c>
      <c r="I857" s="2" t="n">
        <f aca="false">(((H857 / 800) / IF(ISBLANK(R857), 1000000, IF(ISNA(VLOOKUP(R857, Mileages!$A$2:$C$34, 2, 0)), R857, VLOOKUP(R857, Mileages!$A$2:$C$34, 2, 0)))) + (F857 * IF(ISBLANK(P857), 1, P857) * IF(ISBLANK(T857), 0, IF(ISNA(VLOOKUP(T857, 'Fuel Costs'!$A$2:$C$42, 2, 0)), T857, VLOOKUP(T857, 'Fuel Costs'!$A$2:$C$42, 2, 0))) / IF(ISBLANK(O857), 1, O857))) * 100</f>
        <v>0.05833333333</v>
      </c>
      <c r="J857" s="2" t="n">
        <f aca="false">((H857 / 800) / (IF(ISBLANK(S857), 100, IF(ISNA(VLOOKUP(S857, Lives!$A$2:$C$35, 2, 0)), S857, VLOOKUP(S857, Lives!$A$2:$C$35, 2, 0))) * 12) + (IF(ISBLANK(Q857), 0, IF(ISNA(VLOOKUP(Q857, Wages!$A$2:$C$17, 2, 0)), Q857, VLOOKUP(Q857, Wages!$A$2:$C$17, 2, 0))) * IF(ISBLANK(N857), 0, IF(ISNA(VLOOKUP(N857, Crews!$A$2:$C$28, 2, 0)), N857, VLOOKUP(N857, Crews!$A$2:$C$28, 2, 0))))) * 400</f>
        <v>5466.666667</v>
      </c>
      <c r="K857" s="1"/>
      <c r="L857" s="1" t="s">
        <v>1749</v>
      </c>
      <c r="M857" s="1" t="n">
        <v>1</v>
      </c>
      <c r="N857" s="1" t="s">
        <v>25</v>
      </c>
      <c r="O857" s="1"/>
      <c r="P857" s="1"/>
      <c r="Q857" s="1" t="s">
        <v>378</v>
      </c>
      <c r="R857" s="1" t="s">
        <v>689</v>
      </c>
      <c r="S857" s="1" t="s">
        <v>856</v>
      </c>
      <c r="T857" s="1"/>
    </row>
    <row r="858" customFormat="false" ht="15" hidden="false" customHeight="true" outlineLevel="0" collapsed="false">
      <c r="A858" s="1" t="s">
        <v>1751</v>
      </c>
      <c r="B858" s="1" t="n">
        <v>1899</v>
      </c>
      <c r="C858" s="1" t="n">
        <v>4</v>
      </c>
      <c r="D858" s="1" t="s">
        <v>38</v>
      </c>
      <c r="E858" s="1"/>
      <c r="F858" s="1"/>
      <c r="G858" s="1" t="n">
        <v>160</v>
      </c>
      <c r="H858" s="2" t="n">
        <v>560000</v>
      </c>
      <c r="I858" s="2" t="n">
        <f aca="false">(((H858 / 800) / IF(ISBLANK(R858), 1000000, IF(ISNA(VLOOKUP(R858, Mileages!$A$2:$C$34, 2, 0)), R858, VLOOKUP(R858, Mileages!$A$2:$C$34, 2, 0)))) + (F858 * IF(ISBLANK(P858), 1, P858) * IF(ISBLANK(T858), 0, IF(ISNA(VLOOKUP(T858, 'Fuel Costs'!$A$2:$C$42, 2, 0)), T858, VLOOKUP(T858, 'Fuel Costs'!$A$2:$C$42, 2, 0))) / IF(ISBLANK(O858), 1, O858))) * 100</f>
        <v>0.05833333333</v>
      </c>
      <c r="J858" s="2" t="n">
        <f aca="false">((H858 / 800) / (IF(ISBLANK(S858), 100, IF(ISNA(VLOOKUP(S858, Lives!$A$2:$C$35, 2, 0)), S858, VLOOKUP(S858, Lives!$A$2:$C$35, 2, 0))) * 12) + (IF(ISBLANK(Q858), 0, IF(ISNA(VLOOKUP(Q858, Wages!$A$2:$C$17, 2, 0)), Q858, VLOOKUP(Q858, Wages!$A$2:$C$17, 2, 0))) * IF(ISBLANK(N858), 0, IF(ISNA(VLOOKUP(N858, Crews!$A$2:$C$28, 2, 0)), N858, VLOOKUP(N858, Crews!$A$2:$C$28, 2, 0))))) * 400</f>
        <v>5466.666667</v>
      </c>
      <c r="K858" s="1"/>
      <c r="L858" s="1" t="s">
        <v>1749</v>
      </c>
      <c r="M858" s="1" t="n">
        <v>2</v>
      </c>
      <c r="N858" s="1" t="s">
        <v>25</v>
      </c>
      <c r="O858" s="1"/>
      <c r="P858" s="1"/>
      <c r="Q858" s="1" t="s">
        <v>378</v>
      </c>
      <c r="R858" s="1" t="s">
        <v>689</v>
      </c>
      <c r="S858" s="1" t="s">
        <v>856</v>
      </c>
      <c r="T858" s="1"/>
    </row>
    <row r="859" customFormat="false" ht="15" hidden="false" customHeight="true" outlineLevel="0" collapsed="false">
      <c r="A859" s="1" t="s">
        <v>1752</v>
      </c>
      <c r="B859" s="1" t="n">
        <v>1899</v>
      </c>
      <c r="C859" s="1" t="n">
        <v>4</v>
      </c>
      <c r="D859" s="1" t="s">
        <v>38</v>
      </c>
      <c r="E859" s="1"/>
      <c r="F859" s="1"/>
      <c r="G859" s="1" t="n">
        <v>150</v>
      </c>
      <c r="H859" s="2" t="n">
        <v>512000</v>
      </c>
      <c r="I859" s="2" t="n">
        <f aca="false">(((H859 / 800) / IF(ISBLANK(R859), 1000000, IF(ISNA(VLOOKUP(R859, Mileages!$A$2:$C$34, 2, 0)), R859, VLOOKUP(R859, Mileages!$A$2:$C$34, 2, 0)))) + (F859 * IF(ISBLANK(P859), 1, P859) * IF(ISBLANK(T859), 0, IF(ISNA(VLOOKUP(T859, 'Fuel Costs'!$A$2:$C$42, 2, 0)), T859, VLOOKUP(T859, 'Fuel Costs'!$A$2:$C$42, 2, 0))) / IF(ISBLANK(O859), 1, O859))) * 100</f>
        <v>0.05333333333</v>
      </c>
      <c r="J859" s="2" t="n">
        <f aca="false">((H859 / 800) / (IF(ISBLANK(S859), 100, IF(ISNA(VLOOKUP(S859, Lives!$A$2:$C$35, 2, 0)), S859, VLOOKUP(S859, Lives!$A$2:$C$35, 2, 0))) * 12) + (IF(ISBLANK(Q859), 0, IF(ISNA(VLOOKUP(Q859, Wages!$A$2:$C$17, 2, 0)), Q859, VLOOKUP(Q859, Wages!$A$2:$C$17, 2, 0))) * IF(ISBLANK(N859), 0, IF(ISNA(VLOOKUP(N859, Crews!$A$2:$C$28, 2, 0)), N859, VLOOKUP(N859, Crews!$A$2:$C$28, 2, 0))))) * 400</f>
        <v>5409.52381</v>
      </c>
      <c r="K859" s="3" t="s">
        <v>1753</v>
      </c>
      <c r="L859" s="1" t="s">
        <v>1622</v>
      </c>
      <c r="M859" s="1" t="n">
        <v>2</v>
      </c>
      <c r="N859" s="1" t="s">
        <v>25</v>
      </c>
      <c r="O859" s="1"/>
      <c r="P859" s="1"/>
      <c r="Q859" s="1" t="s">
        <v>378</v>
      </c>
      <c r="R859" s="1" t="s">
        <v>689</v>
      </c>
      <c r="S859" s="1" t="s">
        <v>856</v>
      </c>
      <c r="T859" s="1"/>
    </row>
    <row r="860" customFormat="false" ht="15" hidden="false" customHeight="true" outlineLevel="0" collapsed="false">
      <c r="A860" s="1" t="s">
        <v>1754</v>
      </c>
      <c r="B860" s="1" t="n">
        <v>1899</v>
      </c>
      <c r="C860" s="1" t="n">
        <v>4</v>
      </c>
      <c r="D860" s="1" t="s">
        <v>38</v>
      </c>
      <c r="E860" s="1"/>
      <c r="F860" s="1"/>
      <c r="G860" s="1" t="n">
        <v>160</v>
      </c>
      <c r="H860" s="2" t="n">
        <v>895000</v>
      </c>
      <c r="I860" s="2" t="n">
        <f aca="false">(((H860 / 800) / IF(ISBLANK(R860), 1000000, IF(ISNA(VLOOKUP(R860, Mileages!$A$2:$C$34, 2, 0)), R860, VLOOKUP(R860, Mileages!$A$2:$C$34, 2, 0)))) + (F860 * IF(ISBLANK(P860), 1, P860) * IF(ISBLANK(T860), 0, IF(ISNA(VLOOKUP(T860, 'Fuel Costs'!$A$2:$C$42, 2, 0)), T860, VLOOKUP(T860, 'Fuel Costs'!$A$2:$C$42, 2, 0))) / IF(ISBLANK(O860), 1, O860))) * 100</f>
        <v>0.09322916667</v>
      </c>
      <c r="J860" s="2" t="n">
        <f aca="false">((H860 / 800) / (IF(ISBLANK(S860), 100, IF(ISNA(VLOOKUP(S860, Lives!$A$2:$C$35, 2, 0)), S860, VLOOKUP(S860, Lives!$A$2:$C$35, 2, 0))) * 12) + (IF(ISBLANK(Q860), 0, IF(ISNA(VLOOKUP(Q860, Wages!$A$2:$C$17, 2, 0)), Q860, VLOOKUP(Q860, Wages!$A$2:$C$17, 2, 0))) * IF(ISBLANK(N860), 0, IF(ISNA(VLOOKUP(N860, Crews!$A$2:$C$28, 2, 0)), N860, VLOOKUP(N860, Crews!$A$2:$C$28, 2, 0))))) * 400</f>
        <v>19065.47619</v>
      </c>
      <c r="K860" s="3" t="s">
        <v>1755</v>
      </c>
      <c r="L860" s="1" t="s">
        <v>1635</v>
      </c>
      <c r="M860" s="1" t="n">
        <v>4</v>
      </c>
      <c r="N860" s="1" t="s">
        <v>1481</v>
      </c>
      <c r="O860" s="1"/>
      <c r="P860" s="1"/>
      <c r="Q860" s="1" t="s">
        <v>1481</v>
      </c>
      <c r="R860" s="1" t="s">
        <v>689</v>
      </c>
      <c r="S860" s="1" t="s">
        <v>856</v>
      </c>
      <c r="T860" s="1"/>
    </row>
    <row r="861" customFormat="false" ht="15" hidden="false" customHeight="true" outlineLevel="0" collapsed="false">
      <c r="A861" s="1" t="s">
        <v>1756</v>
      </c>
      <c r="B861" s="1" t="n">
        <v>1899</v>
      </c>
      <c r="C861" s="1" t="n">
        <v>7</v>
      </c>
      <c r="D861" s="1" t="s">
        <v>38</v>
      </c>
      <c r="E861" s="1" t="s">
        <v>274</v>
      </c>
      <c r="F861" s="1" t="n">
        <v>247</v>
      </c>
      <c r="G861" s="1" t="n">
        <v>110</v>
      </c>
      <c r="H861" s="2" t="n">
        <v>5432500</v>
      </c>
      <c r="I861" s="2" t="n">
        <f aca="false">(((H861 / 800) / IF(ISBLANK(R861), 1000000, IF(ISNA(VLOOKUP(R861, Mileages!$A$2:$C$34, 2, 0)), R861, VLOOKUP(R861, Mileages!$A$2:$C$34, 2, 0)))) + (F861 * IF(ISBLANK(P861), 1, P861) * IF(ISBLANK(T861), 0, IF(ISNA(VLOOKUP(T861, 'Fuel Costs'!$A$2:$C$42, 2, 0)), T861, VLOOKUP(T861, 'Fuel Costs'!$A$2:$C$42, 2, 0))) / IF(ISBLANK(O861), 1, O861))) * 100</f>
        <v>165.3457292</v>
      </c>
      <c r="J861" s="2" t="n">
        <f aca="false">((H861 / 800) / (IF(ISBLANK(S861), 100, IF(ISNA(VLOOKUP(S861, Lives!$A$2:$C$35, 2, 0)), S861, VLOOKUP(S861, Lives!$A$2:$C$35, 2, 0))) * 12) + (IF(ISBLANK(Q861), 0, IF(ISNA(VLOOKUP(Q861, Wages!$A$2:$C$17, 2, 0)), Q861, VLOOKUP(Q861, Wages!$A$2:$C$17, 2, 0))) * IF(ISBLANK(N861), 0, IF(ISNA(VLOOKUP(N861, Crews!$A$2:$C$28, 2, 0)), N861, VLOOKUP(N861, Crews!$A$2:$C$28, 2, 0))))) * 400</f>
        <v>28527.08333</v>
      </c>
      <c r="K861" s="1" t="s">
        <v>1692</v>
      </c>
      <c r="L861" s="1" t="s">
        <v>1757</v>
      </c>
      <c r="M861" s="1" t="n">
        <v>0</v>
      </c>
      <c r="N861" s="1" t="s">
        <v>590</v>
      </c>
      <c r="O861" s="1" t="n">
        <v>0.6</v>
      </c>
      <c r="P861" s="1"/>
      <c r="Q861" s="5" t="s">
        <v>284</v>
      </c>
      <c r="R861" s="1" t="s">
        <v>677</v>
      </c>
      <c r="S861" s="1" t="s">
        <v>677</v>
      </c>
      <c r="T861" s="1" t="s">
        <v>923</v>
      </c>
    </row>
    <row r="862" customFormat="false" ht="15" hidden="false" customHeight="true" outlineLevel="0" collapsed="false">
      <c r="A862" s="1" t="s">
        <v>1758</v>
      </c>
      <c r="B862" s="1" t="n">
        <v>1899</v>
      </c>
      <c r="C862" s="1" t="n">
        <v>7</v>
      </c>
      <c r="D862" s="1" t="s">
        <v>38</v>
      </c>
      <c r="E862" s="1"/>
      <c r="F862" s="1" t="n">
        <v>0</v>
      </c>
      <c r="G862" s="1" t="n">
        <v>147</v>
      </c>
      <c r="H862" s="2" t="n">
        <v>0</v>
      </c>
      <c r="I862" s="2" t="n">
        <f aca="false">(((H862 / 800) / IF(ISBLANK(R862), 1000000, IF(ISNA(VLOOKUP(R862, Mileages!$A$2:$C$34, 2, 0)), R862, VLOOKUP(R862, Mileages!$A$2:$C$34, 2, 0)))) + (F862 * IF(ISBLANK(P862), 1, P862) * IF(ISBLANK(T862), 0, IF(ISNA(VLOOKUP(T862, 'Fuel Costs'!$A$2:$C$42, 2, 0)), T862, VLOOKUP(T862, 'Fuel Costs'!$A$2:$C$42, 2, 0))) / IF(ISBLANK(O862), 1, O862))) * 100</f>
        <v>0</v>
      </c>
      <c r="J862" s="2" t="n">
        <f aca="false">((H862 / 800) / (IF(ISBLANK(S862), 100, IF(ISNA(VLOOKUP(S862, Lives!$A$2:$C$35, 2, 0)), S862, VLOOKUP(S862, Lives!$A$2:$C$35, 2, 0))) * 12) + (IF(ISBLANK(Q862), 0, IF(ISNA(VLOOKUP(Q862, Wages!$A$2:$C$17, 2, 0)), Q862, VLOOKUP(Q862, Wages!$A$2:$C$17, 2, 0))) * IF(ISBLANK(N862), 0, IF(ISNA(VLOOKUP(N862, Crews!$A$2:$C$28, 2, 0)), N862, VLOOKUP(N862, Crews!$A$2:$C$28, 2, 0))))) * 400</f>
        <v>0</v>
      </c>
      <c r="K862" s="3" t="s">
        <v>1759</v>
      </c>
      <c r="L862" s="1" t="s">
        <v>1760</v>
      </c>
      <c r="M862" s="1" t="n">
        <v>0</v>
      </c>
      <c r="N862" s="1"/>
      <c r="O862" s="1"/>
      <c r="P862" s="1"/>
      <c r="Q862" s="1"/>
      <c r="R862" s="1"/>
      <c r="S862" s="1"/>
      <c r="T862" s="1"/>
    </row>
    <row r="863" customFormat="false" ht="15" hidden="false" customHeight="true" outlineLevel="0" collapsed="false">
      <c r="A863" s="1" t="s">
        <v>1761</v>
      </c>
      <c r="B863" s="1" t="n">
        <v>1899</v>
      </c>
      <c r="C863" s="1" t="n">
        <v>7</v>
      </c>
      <c r="D863" s="1" t="s">
        <v>38</v>
      </c>
      <c r="E863" s="1" t="s">
        <v>274</v>
      </c>
      <c r="F863" s="1" t="n">
        <v>298</v>
      </c>
      <c r="G863" s="1" t="n">
        <v>143</v>
      </c>
      <c r="H863" s="2" t="n">
        <v>6532500</v>
      </c>
      <c r="I863" s="2" t="n">
        <f aca="false">(((H863 / 800) / IF(ISBLANK(R863), 1000000, IF(ISNA(VLOOKUP(R863, Mileages!$A$2:$C$34, 2, 0)), R863, VLOOKUP(R863, Mileages!$A$2:$C$34, 2, 0)))) + (F863 * IF(ISBLANK(P863), 1, P863) * IF(ISBLANK(T863), 0, IF(ISNA(VLOOKUP(T863, 'Fuel Costs'!$A$2:$C$42, 2, 0)), T863, VLOOKUP(T863, 'Fuel Costs'!$A$2:$C$42, 2, 0))) / IF(ISBLANK(O863), 1, O863))) * 100</f>
        <v>199.4832292</v>
      </c>
      <c r="J863" s="2" t="n">
        <f aca="false">((H863 / 800) / (IF(ISBLANK(S863), 100, IF(ISNA(VLOOKUP(S863, Lives!$A$2:$C$35, 2, 0)), S863, VLOOKUP(S863, Lives!$A$2:$C$35, 2, 0))) * 12) + (IF(ISBLANK(Q863), 0, IF(ISNA(VLOOKUP(Q863, Wages!$A$2:$C$17, 2, 0)), Q863, VLOOKUP(Q863, Wages!$A$2:$C$17, 2, 0))) * IF(ISBLANK(N863), 0, IF(ISNA(VLOOKUP(N863, Crews!$A$2:$C$28, 2, 0)), N863, VLOOKUP(N863, Crews!$A$2:$C$28, 2, 0))))) * 400</f>
        <v>45443.75</v>
      </c>
      <c r="K863" s="1" t="s">
        <v>1692</v>
      </c>
      <c r="L863" s="1" t="s">
        <v>1762</v>
      </c>
      <c r="M863" s="1" t="n">
        <v>0</v>
      </c>
      <c r="N863" s="1" t="s">
        <v>1705</v>
      </c>
      <c r="O863" s="1" t="n">
        <v>0.6</v>
      </c>
      <c r="P863" s="1"/>
      <c r="Q863" s="5" t="s">
        <v>284</v>
      </c>
      <c r="R863" s="1" t="s">
        <v>677</v>
      </c>
      <c r="S863" s="1" t="s">
        <v>677</v>
      </c>
      <c r="T863" s="1" t="s">
        <v>923</v>
      </c>
    </row>
    <row r="864" customFormat="false" ht="15" hidden="false" customHeight="true" outlineLevel="0" collapsed="false">
      <c r="A864" s="1" t="s">
        <v>1763</v>
      </c>
      <c r="B864" s="1" t="n">
        <v>1899</v>
      </c>
      <c r="C864" s="1" t="n">
        <v>7</v>
      </c>
      <c r="D864" s="1" t="s">
        <v>38</v>
      </c>
      <c r="E864" s="1"/>
      <c r="F864" s="1" t="n">
        <v>0</v>
      </c>
      <c r="G864" s="1" t="n">
        <v>147</v>
      </c>
      <c r="H864" s="2" t="n">
        <v>0</v>
      </c>
      <c r="I864" s="2" t="n">
        <f aca="false">(((H864 / 800) / IF(ISBLANK(R864), 1000000, IF(ISNA(VLOOKUP(R864, Mileages!$A$2:$C$34, 2, 0)), R864, VLOOKUP(R864, Mileages!$A$2:$C$34, 2, 0)))) + (F864 * IF(ISBLANK(P864), 1, P864) * IF(ISBLANK(T864), 0, IF(ISNA(VLOOKUP(T864, 'Fuel Costs'!$A$2:$C$42, 2, 0)), T864, VLOOKUP(T864, 'Fuel Costs'!$A$2:$C$42, 2, 0))) / IF(ISBLANK(O864), 1, O864))) * 100</f>
        <v>0</v>
      </c>
      <c r="J864" s="2" t="n">
        <f aca="false">((H864 / 800) / (IF(ISBLANK(S864), 100, IF(ISNA(VLOOKUP(S864, Lives!$A$2:$C$35, 2, 0)), S864, VLOOKUP(S864, Lives!$A$2:$C$35, 2, 0))) * 12) + (IF(ISBLANK(Q864), 0, IF(ISNA(VLOOKUP(Q864, Wages!$A$2:$C$17, 2, 0)), Q864, VLOOKUP(Q864, Wages!$A$2:$C$17, 2, 0))) * IF(ISBLANK(N864), 0, IF(ISNA(VLOOKUP(N864, Crews!$A$2:$C$28, 2, 0)), N864, VLOOKUP(N864, Crews!$A$2:$C$28, 2, 0))))) * 400</f>
        <v>0</v>
      </c>
      <c r="K864" s="3" t="s">
        <v>1759</v>
      </c>
      <c r="L864" s="1" t="s">
        <v>1764</v>
      </c>
      <c r="M864" s="1" t="n">
        <v>0</v>
      </c>
      <c r="N864" s="1"/>
      <c r="O864" s="1"/>
      <c r="P864" s="1"/>
      <c r="Q864" s="1"/>
      <c r="R864" s="1"/>
      <c r="S864" s="1"/>
      <c r="T864" s="1"/>
    </row>
    <row r="865" customFormat="false" ht="15" hidden="false" customHeight="true" outlineLevel="0" collapsed="false">
      <c r="A865" s="1" t="s">
        <v>1765</v>
      </c>
      <c r="B865" s="1" t="n">
        <v>1899</v>
      </c>
      <c r="C865" s="1" t="n">
        <v>9</v>
      </c>
      <c r="D865" s="1" t="s">
        <v>38</v>
      </c>
      <c r="E865" s="1"/>
      <c r="F865" s="1"/>
      <c r="G865" s="1" t="n">
        <v>56</v>
      </c>
      <c r="H865" s="2" t="n">
        <v>120000</v>
      </c>
      <c r="I865" s="2" t="n">
        <f aca="false">(((H865 / 800) / IF(ISBLANK(R865), 1000000, IF(ISNA(VLOOKUP(R865, Mileages!$A$2:$C$34, 2, 0)), R865, VLOOKUP(R865, Mileages!$A$2:$C$34, 2, 0)))) + (F865 * IF(ISBLANK(P865), 1, P865) * IF(ISBLANK(T865), 0, IF(ISNA(VLOOKUP(T865, 'Fuel Costs'!$A$2:$C$42, 2, 0)), T865, VLOOKUP(T865, 'Fuel Costs'!$A$2:$C$42, 2, 0))) / IF(ISBLANK(O865), 1, O865))) * 100</f>
        <v>0.0125</v>
      </c>
      <c r="J865" s="2" t="n">
        <f aca="false">((H865 / 800) / (IF(ISBLANK(S865), 100, IF(ISNA(VLOOKUP(S865, Lives!$A$2:$C$35, 2, 0)), S865, VLOOKUP(S865, Lives!$A$2:$C$35, 2, 0))) * 12) + (IF(ISBLANK(Q865), 0, IF(ISNA(VLOOKUP(Q865, Wages!$A$2:$C$17, 2, 0)), Q865, VLOOKUP(Q865, Wages!$A$2:$C$17, 2, 0))) * IF(ISBLANK(N865), 0, IF(ISNA(VLOOKUP(N865, Crews!$A$2:$C$28, 2, 0)), N865, VLOOKUP(N865, Crews!$A$2:$C$28, 2, 0))))) * 400</f>
        <v>50</v>
      </c>
      <c r="K865" s="3" t="s">
        <v>1766</v>
      </c>
      <c r="L865" s="1" t="s">
        <v>1767</v>
      </c>
      <c r="M865" s="1" t="n">
        <v>0</v>
      </c>
      <c r="N865" s="1"/>
      <c r="O865" s="1"/>
      <c r="P865" s="1"/>
      <c r="Q865" s="1"/>
      <c r="R865" s="1" t="s">
        <v>689</v>
      </c>
      <c r="S865" s="1" t="s">
        <v>389</v>
      </c>
      <c r="T865" s="1"/>
    </row>
    <row r="866" customFormat="false" ht="15" hidden="false" customHeight="true" outlineLevel="0" collapsed="false">
      <c r="A866" s="1" t="s">
        <v>1768</v>
      </c>
      <c r="B866" s="1" t="n">
        <v>1899</v>
      </c>
      <c r="C866" s="1" t="n">
        <v>10</v>
      </c>
      <c r="D866" s="1" t="s">
        <v>876</v>
      </c>
      <c r="E866" s="1" t="s">
        <v>1346</v>
      </c>
      <c r="F866" s="1" t="n">
        <v>37</v>
      </c>
      <c r="G866" s="1" t="n">
        <v>32</v>
      </c>
      <c r="H866" s="2" t="n">
        <v>180000</v>
      </c>
      <c r="I866" s="2" t="n">
        <f aca="false">(((H866 / 800) / IF(ISBLANK(R866), 1000000, IF(ISNA(VLOOKUP(R866, Mileages!$A$2:$C$34, 2, 0)), R866, VLOOKUP(R866, Mileages!$A$2:$C$34, 2, 0)))) + (F866 * IF(ISBLANK(P866), 1, P866) * IF(ISBLANK(T866), 0, IF(ISNA(VLOOKUP(T866, 'Fuel Costs'!$A$2:$C$42, 2, 0)), T866, VLOOKUP(T866, 'Fuel Costs'!$A$2:$C$42, 2, 0))) / IF(ISBLANK(O866), 1, O866))) * 100</f>
        <v>22.2225</v>
      </c>
      <c r="J866" s="2" t="n">
        <f aca="false">((H866 / 800) / (IF(ISBLANK(S866), 100, IF(ISNA(VLOOKUP(S866, Lives!$A$2:$C$35, 2, 0)), S866, VLOOKUP(S866, Lives!$A$2:$C$35, 2, 0))) * 12) + (IF(ISBLANK(Q866), 0, IF(ISNA(VLOOKUP(Q866, Wages!$A$2:$C$17, 2, 0)), Q866, VLOOKUP(Q866, Wages!$A$2:$C$17, 2, 0))) * IF(ISBLANK(N866), 0, IF(ISNA(VLOOKUP(N866, Crews!$A$2:$C$28, 2, 0)), N866, VLOOKUP(N866, Crews!$A$2:$C$28, 2, 0))))) * 400</f>
        <v>6150</v>
      </c>
      <c r="K866" s="1" t="s">
        <v>1769</v>
      </c>
      <c r="L866" s="1" t="s">
        <v>1770</v>
      </c>
      <c r="M866" s="1" t="n">
        <v>0</v>
      </c>
      <c r="N866" s="1" t="s">
        <v>895</v>
      </c>
      <c r="O866" s="1"/>
      <c r="P866" s="1"/>
      <c r="Q866" s="1" t="s">
        <v>895</v>
      </c>
      <c r="R866" s="1" t="s">
        <v>1349</v>
      </c>
      <c r="S866" s="1" t="s">
        <v>1350</v>
      </c>
      <c r="T866" s="1" t="s">
        <v>1351</v>
      </c>
    </row>
    <row r="867" customFormat="false" ht="15" hidden="false" customHeight="true" outlineLevel="0" collapsed="false">
      <c r="A867" s="1" t="s">
        <v>1771</v>
      </c>
      <c r="B867" s="1" t="n">
        <v>1899</v>
      </c>
      <c r="C867" s="1" t="n">
        <v>10</v>
      </c>
      <c r="D867" s="1" t="s">
        <v>38</v>
      </c>
      <c r="E867" s="1"/>
      <c r="F867" s="1"/>
      <c r="G867" s="1" t="n">
        <v>160</v>
      </c>
      <c r="H867" s="2" t="n">
        <v>695000</v>
      </c>
      <c r="I867" s="2" t="n">
        <f aca="false">(((H867 / 800) / IF(ISBLANK(R867), 1000000, IF(ISNA(VLOOKUP(R867, Mileages!$A$2:$C$34, 2, 0)), R867, VLOOKUP(R867, Mileages!$A$2:$C$34, 2, 0)))) + (F867 * IF(ISBLANK(P867), 1, P867) * IF(ISBLANK(T867), 0, IF(ISNA(VLOOKUP(T867, 'Fuel Costs'!$A$2:$C$42, 2, 0)), T867, VLOOKUP(T867, 'Fuel Costs'!$A$2:$C$42, 2, 0))) / IF(ISBLANK(O867), 1, O867))) * 100</f>
        <v>0.07239583333</v>
      </c>
      <c r="J867" s="2" t="n">
        <f aca="false">((H867 / 800) / (IF(ISBLANK(S867), 100, IF(ISNA(VLOOKUP(S867, Lives!$A$2:$C$35, 2, 0)), S867, VLOOKUP(S867, Lives!$A$2:$C$35, 2, 0))) * 12) + (IF(ISBLANK(Q867), 0, IF(ISNA(VLOOKUP(Q867, Wages!$A$2:$C$17, 2, 0)), Q867, VLOOKUP(Q867, Wages!$A$2:$C$17, 2, 0))) * IF(ISBLANK(N867), 0, IF(ISNA(VLOOKUP(N867, Crews!$A$2:$C$28, 2, 0)), N867, VLOOKUP(N867, Crews!$A$2:$C$28, 2, 0))))) * 400</f>
        <v>5089.583333</v>
      </c>
      <c r="K867" s="1" t="s">
        <v>1224</v>
      </c>
      <c r="L867" s="1" t="s">
        <v>1772</v>
      </c>
      <c r="M867" s="1" t="n">
        <v>0</v>
      </c>
      <c r="N867" s="1" t="s">
        <v>25</v>
      </c>
      <c r="O867" s="1"/>
      <c r="P867" s="1"/>
      <c r="Q867" s="1" t="s">
        <v>378</v>
      </c>
      <c r="R867" s="1" t="s">
        <v>689</v>
      </c>
      <c r="S867" s="1" t="s">
        <v>389</v>
      </c>
      <c r="T867" s="1"/>
    </row>
    <row r="868" customFormat="false" ht="15" hidden="false" customHeight="true" outlineLevel="0" collapsed="false">
      <c r="A868" s="1" t="s">
        <v>1773</v>
      </c>
      <c r="B868" s="1" t="n">
        <v>1899</v>
      </c>
      <c r="C868" s="1" t="n">
        <v>10</v>
      </c>
      <c r="D868" s="1" t="s">
        <v>38</v>
      </c>
      <c r="E868" s="1"/>
      <c r="F868" s="1"/>
      <c r="G868" s="1" t="n">
        <v>160</v>
      </c>
      <c r="H868" s="2" t="n">
        <v>695000</v>
      </c>
      <c r="I868" s="2" t="n">
        <f aca="false">(((H868 / 800) / IF(ISBLANK(R868), 1000000, IF(ISNA(VLOOKUP(R868, Mileages!$A$2:$C$34, 2, 0)), R868, VLOOKUP(R868, Mileages!$A$2:$C$34, 2, 0)))) + (F868 * IF(ISBLANK(P868), 1, P868) * IF(ISBLANK(T868), 0, IF(ISNA(VLOOKUP(T868, 'Fuel Costs'!$A$2:$C$42, 2, 0)), T868, VLOOKUP(T868, 'Fuel Costs'!$A$2:$C$42, 2, 0))) / IF(ISBLANK(O868), 1, O868))) * 100</f>
        <v>0.07239583333</v>
      </c>
      <c r="J868" s="2" t="n">
        <f aca="false">((H868 / 800) / (IF(ISBLANK(S868), 100, IF(ISNA(VLOOKUP(S868, Lives!$A$2:$C$35, 2, 0)), S868, VLOOKUP(S868, Lives!$A$2:$C$35, 2, 0))) * 12) + (IF(ISBLANK(Q868), 0, IF(ISNA(VLOOKUP(Q868, Wages!$A$2:$C$17, 2, 0)), Q868, VLOOKUP(Q868, Wages!$A$2:$C$17, 2, 0))) * IF(ISBLANK(N868), 0, IF(ISNA(VLOOKUP(N868, Crews!$A$2:$C$28, 2, 0)), N868, VLOOKUP(N868, Crews!$A$2:$C$28, 2, 0))))) * 400</f>
        <v>5089.583333</v>
      </c>
      <c r="K868" s="1" t="s">
        <v>1224</v>
      </c>
      <c r="L868" s="1" t="s">
        <v>1772</v>
      </c>
      <c r="M868" s="1" t="n">
        <v>1</v>
      </c>
      <c r="N868" s="1" t="s">
        <v>25</v>
      </c>
      <c r="O868" s="1"/>
      <c r="P868" s="1"/>
      <c r="Q868" s="1" t="s">
        <v>378</v>
      </c>
      <c r="R868" s="1" t="s">
        <v>689</v>
      </c>
      <c r="S868" s="1" t="s">
        <v>389</v>
      </c>
      <c r="T868" s="1"/>
    </row>
    <row r="869" customFormat="false" ht="15" hidden="false" customHeight="true" outlineLevel="0" collapsed="false">
      <c r="A869" s="1" t="s">
        <v>1774</v>
      </c>
      <c r="B869" s="1" t="n">
        <v>1899</v>
      </c>
      <c r="C869" s="1" t="n">
        <v>10</v>
      </c>
      <c r="D869" s="1" t="s">
        <v>876</v>
      </c>
      <c r="E869" s="1" t="s">
        <v>1346</v>
      </c>
      <c r="F869" s="1" t="n">
        <v>37</v>
      </c>
      <c r="G869" s="1" t="n">
        <v>32</v>
      </c>
      <c r="H869" s="2" t="n">
        <v>360000</v>
      </c>
      <c r="I869" s="2" t="n">
        <f aca="false">(((H869 / 800) / IF(ISBLANK(R869), 1000000, IF(ISNA(VLOOKUP(R869, Mileages!$A$2:$C$34, 2, 0)), R869, VLOOKUP(R869, Mileages!$A$2:$C$34, 2, 0)))) + (F869 * IF(ISBLANK(P869), 1, P869) * IF(ISBLANK(T869), 0, IF(ISNA(VLOOKUP(T869, 'Fuel Costs'!$A$2:$C$42, 2, 0)), T869, VLOOKUP(T869, 'Fuel Costs'!$A$2:$C$42, 2, 0))) / IF(ISBLANK(O869), 1, O869))) * 100</f>
        <v>22.245</v>
      </c>
      <c r="J869" s="2" t="n">
        <f aca="false">((H869 / 800) / (IF(ISBLANK(S869), 100, IF(ISNA(VLOOKUP(S869, Lives!$A$2:$C$35, 2, 0)), S869, VLOOKUP(S869, Lives!$A$2:$C$35, 2, 0))) * 12) + (IF(ISBLANK(Q869), 0, IF(ISNA(VLOOKUP(Q869, Wages!$A$2:$C$17, 2, 0)), Q869, VLOOKUP(Q869, Wages!$A$2:$C$17, 2, 0))) * IF(ISBLANK(N869), 0, IF(ISNA(VLOOKUP(N869, Crews!$A$2:$C$28, 2, 0)), N869, VLOOKUP(N869, Crews!$A$2:$C$28, 2, 0))))) * 400</f>
        <v>6300</v>
      </c>
      <c r="K869" s="3" t="s">
        <v>1775</v>
      </c>
      <c r="L869" s="1" t="s">
        <v>1776</v>
      </c>
      <c r="M869" s="1" t="n">
        <v>0</v>
      </c>
      <c r="N869" s="1" t="s">
        <v>895</v>
      </c>
      <c r="O869" s="1"/>
      <c r="P869" s="1"/>
      <c r="Q869" s="1" t="s">
        <v>895</v>
      </c>
      <c r="R869" s="1" t="s">
        <v>1349</v>
      </c>
      <c r="S869" s="1" t="s">
        <v>1350</v>
      </c>
      <c r="T869" s="1" t="s">
        <v>1351</v>
      </c>
    </row>
    <row r="870" customFormat="false" ht="15" hidden="false" customHeight="true" outlineLevel="0" collapsed="false">
      <c r="A870" s="1" t="s">
        <v>1777</v>
      </c>
      <c r="B870" s="1" t="n">
        <v>1899</v>
      </c>
      <c r="C870" s="1" t="n">
        <v>12</v>
      </c>
      <c r="D870" s="1" t="s">
        <v>38</v>
      </c>
      <c r="E870" s="1" t="s">
        <v>274</v>
      </c>
      <c r="F870" s="1" t="n">
        <v>296</v>
      </c>
      <c r="G870" s="1" t="n">
        <v>145</v>
      </c>
      <c r="H870" s="2" t="n">
        <v>7000000</v>
      </c>
      <c r="I870" s="2" t="n">
        <f aca="false">(((H870 / 800) / IF(ISBLANK(R870), 1000000, IF(ISNA(VLOOKUP(R870, Mileages!$A$2:$C$34, 2, 0)), R870, VLOOKUP(R870, Mileages!$A$2:$C$34, 2, 0)))) + (F870 * IF(ISBLANK(P870), 1, P870) * IF(ISBLANK(T870), 0, IF(ISNA(VLOOKUP(T870, 'Fuel Costs'!$A$2:$C$42, 2, 0)), T870, VLOOKUP(T870, 'Fuel Costs'!$A$2:$C$42, 2, 0))) / IF(ISBLANK(O870), 1, O870))) * 100</f>
        <v>198.2083333</v>
      </c>
      <c r="J870" s="2" t="n">
        <f aca="false">((H870 / 800) / (IF(ISBLANK(S870), 100, IF(ISNA(VLOOKUP(S870, Lives!$A$2:$C$35, 2, 0)), S870, VLOOKUP(S870, Lives!$A$2:$C$35, 2, 0))) * 12) + (IF(ISBLANK(Q870), 0, IF(ISNA(VLOOKUP(Q870, Wages!$A$2:$C$17, 2, 0)), Q870, VLOOKUP(Q870, Wages!$A$2:$C$17, 2, 0))) * IF(ISBLANK(N870), 0, IF(ISNA(VLOOKUP(N870, Crews!$A$2:$C$28, 2, 0)), N870, VLOOKUP(N870, Crews!$A$2:$C$28, 2, 0))))) * 400</f>
        <v>45833.33333</v>
      </c>
      <c r="K870" s="3" t="s">
        <v>1778</v>
      </c>
      <c r="L870" s="1" t="s">
        <v>1779</v>
      </c>
      <c r="M870" s="1" t="n">
        <v>0</v>
      </c>
      <c r="N870" s="1" t="s">
        <v>1705</v>
      </c>
      <c r="O870" s="1" t="n">
        <v>0.6</v>
      </c>
      <c r="P870" s="1"/>
      <c r="Q870" s="5" t="s">
        <v>284</v>
      </c>
      <c r="R870" s="1" t="s">
        <v>677</v>
      </c>
      <c r="S870" s="1" t="s">
        <v>677</v>
      </c>
      <c r="T870" s="1" t="s">
        <v>923</v>
      </c>
    </row>
    <row r="871" customFormat="false" ht="15" hidden="false" customHeight="true" outlineLevel="0" collapsed="false">
      <c r="A871" s="1" t="s">
        <v>1780</v>
      </c>
      <c r="B871" s="1" t="n">
        <v>1899</v>
      </c>
      <c r="C871" s="1" t="n">
        <v>12</v>
      </c>
      <c r="D871" s="1" t="s">
        <v>38</v>
      </c>
      <c r="E871" s="1" t="s">
        <v>274</v>
      </c>
      <c r="F871" s="1"/>
      <c r="G871" s="1" t="n">
        <v>150</v>
      </c>
      <c r="H871" s="2" t="n">
        <v>0</v>
      </c>
      <c r="I871" s="2" t="n">
        <f aca="false">(((H871 / 800) / IF(ISBLANK(R871), 1000000, IF(ISNA(VLOOKUP(R871, Mileages!$A$2:$C$34, 2, 0)), R871, VLOOKUP(R871, Mileages!$A$2:$C$34, 2, 0)))) + (F871 * IF(ISBLANK(P871), 1, P871) * IF(ISBLANK(T871), 0, IF(ISNA(VLOOKUP(T871, 'Fuel Costs'!$A$2:$C$42, 2, 0)), T871, VLOOKUP(T871, 'Fuel Costs'!$A$2:$C$42, 2, 0))) / IF(ISBLANK(O871), 1, O871))) * 100</f>
        <v>0</v>
      </c>
      <c r="J871" s="2" t="n">
        <f aca="false">((H871 / 800) / (IF(ISBLANK(S871), 100, IF(ISNA(VLOOKUP(S871, Lives!$A$2:$C$35, 2, 0)), S871, VLOOKUP(S871, Lives!$A$2:$C$35, 2, 0))) * 12) + (IF(ISBLANK(Q871), 0, IF(ISNA(VLOOKUP(Q871, Wages!$A$2:$C$17, 2, 0)), Q871, VLOOKUP(Q871, Wages!$A$2:$C$17, 2, 0))) * IF(ISBLANK(N871), 0, IF(ISNA(VLOOKUP(N871, Crews!$A$2:$C$28, 2, 0)), N871, VLOOKUP(N871, Crews!$A$2:$C$28, 2, 0))))) * 400</f>
        <v>0</v>
      </c>
      <c r="K871" s="1" t="s">
        <v>1781</v>
      </c>
      <c r="L871" s="1" t="s">
        <v>1779</v>
      </c>
      <c r="M871" s="1" t="n">
        <v>1</v>
      </c>
      <c r="N871" s="1"/>
      <c r="O871" s="1"/>
      <c r="P871" s="1"/>
      <c r="Q871" s="1"/>
      <c r="R871" s="1"/>
      <c r="S871" s="1"/>
      <c r="T871" s="1"/>
    </row>
    <row r="872" customFormat="false" ht="15" hidden="false" customHeight="true" outlineLevel="0" collapsed="false">
      <c r="A872" s="1" t="s">
        <v>1782</v>
      </c>
      <c r="B872" s="1" t="n">
        <v>1900</v>
      </c>
      <c r="C872" s="1" t="n">
        <v>1</v>
      </c>
      <c r="D872" s="1" t="s">
        <v>38</v>
      </c>
      <c r="E872" s="1" t="s">
        <v>274</v>
      </c>
      <c r="F872" s="1" t="n">
        <v>282</v>
      </c>
      <c r="G872" s="1" t="n">
        <v>125</v>
      </c>
      <c r="H872" s="2" t="n">
        <v>8210000</v>
      </c>
      <c r="I872" s="2" t="n">
        <f aca="false">(((H872 / 800) / IF(ISBLANK(R872), 1000000, IF(ISNA(VLOOKUP(R872, Mileages!$A$2:$C$34, 2, 0)), R872, VLOOKUP(R872, Mileages!$A$2:$C$34, 2, 0)))) + (F872 * IF(ISBLANK(P872), 1, P872) * IF(ISBLANK(T872), 0, IF(ISNA(VLOOKUP(T872, 'Fuel Costs'!$A$2:$C$42, 2, 0)), T872, VLOOKUP(T872, 'Fuel Costs'!$A$2:$C$42, 2, 0))) / IF(ISBLANK(O872), 1, O872))) * 100</f>
        <v>142.02625</v>
      </c>
      <c r="J872" s="2" t="n">
        <f aca="false">((H872 / 800) / (IF(ISBLANK(S872), 100, IF(ISNA(VLOOKUP(S872, Lives!$A$2:$C$35, 2, 0)), S872, VLOOKUP(S872, Lives!$A$2:$C$35, 2, 0))) * 12) + (IF(ISBLANK(Q872), 0, IF(ISNA(VLOOKUP(Q872, Wages!$A$2:$C$17, 2, 0)), Q872, VLOOKUP(Q872, Wages!$A$2:$C$17, 2, 0))) * IF(ISBLANK(N872), 0, IF(ISNA(VLOOKUP(N872, Crews!$A$2:$C$28, 2, 0)), N872, VLOOKUP(N872, Crews!$A$2:$C$28, 2, 0))))) * 400</f>
        <v>46841.66667</v>
      </c>
      <c r="K872" s="3" t="s">
        <v>1783</v>
      </c>
      <c r="L872" s="1" t="s">
        <v>1784</v>
      </c>
      <c r="M872" s="1" t="n">
        <v>0</v>
      </c>
      <c r="N872" s="1" t="s">
        <v>1705</v>
      </c>
      <c r="O872" s="1" t="n">
        <v>0.6</v>
      </c>
      <c r="P872" s="1"/>
      <c r="Q872" s="5" t="s">
        <v>284</v>
      </c>
      <c r="R872" s="1" t="s">
        <v>677</v>
      </c>
      <c r="S872" s="1" t="s">
        <v>677</v>
      </c>
      <c r="T872" s="1" t="s">
        <v>1785</v>
      </c>
    </row>
    <row r="873" customFormat="false" ht="15" hidden="false" customHeight="true" outlineLevel="0" collapsed="false">
      <c r="A873" s="1" t="s">
        <v>1786</v>
      </c>
      <c r="B873" s="1" t="n">
        <v>1900</v>
      </c>
      <c r="C873" s="1" t="n">
        <v>1</v>
      </c>
      <c r="D873" s="1" t="s">
        <v>38</v>
      </c>
      <c r="E873" s="1" t="s">
        <v>274</v>
      </c>
      <c r="F873" s="1" t="n">
        <v>309</v>
      </c>
      <c r="G873" s="1" t="n">
        <v>146</v>
      </c>
      <c r="H873" s="2" t="n">
        <v>5450500</v>
      </c>
      <c r="I873" s="2" t="n">
        <f aca="false">(((H873 / 800) / IF(ISBLANK(R873), 1000000, IF(ISNA(VLOOKUP(R873, Mileages!$A$2:$C$34, 2, 0)), R873, VLOOKUP(R873, Mileages!$A$2:$C$34, 2, 0)))) + (F873 * IF(ISBLANK(P873), 1, P873) * IF(ISBLANK(T873), 0, IF(ISNA(VLOOKUP(T873, 'Fuel Costs'!$A$2:$C$42, 2, 0)), T873, VLOOKUP(T873, 'Fuel Costs'!$A$2:$C$42, 2, 0))) / IF(ISBLANK(O873), 1, O873))) * 100</f>
        <v>133.1098839</v>
      </c>
      <c r="J873" s="2" t="n">
        <f aca="false">((H873 / 800) / (IF(ISBLANK(S873), 100, IF(ISNA(VLOOKUP(S873, Lives!$A$2:$C$35, 2, 0)), S873, VLOOKUP(S873, Lives!$A$2:$C$35, 2, 0))) * 12) + (IF(ISBLANK(Q873), 0, IF(ISNA(VLOOKUP(Q873, Wages!$A$2:$C$17, 2, 0)), Q873, VLOOKUP(Q873, Wages!$A$2:$C$17, 2, 0))) * IF(ISBLANK(N873), 0, IF(ISNA(VLOOKUP(N873, Crews!$A$2:$C$28, 2, 0)), N873, VLOOKUP(N873, Crews!$A$2:$C$28, 2, 0))))) * 400</f>
        <v>44542.08333</v>
      </c>
      <c r="K873" s="3" t="s">
        <v>1787</v>
      </c>
      <c r="L873" s="1" t="s">
        <v>1788</v>
      </c>
      <c r="M873" s="1" t="n">
        <v>0</v>
      </c>
      <c r="N873" s="1" t="s">
        <v>1705</v>
      </c>
      <c r="O873" s="1" t="n">
        <v>0.7</v>
      </c>
      <c r="P873" s="1"/>
      <c r="Q873" s="5" t="s">
        <v>284</v>
      </c>
      <c r="R873" s="1" t="s">
        <v>677</v>
      </c>
      <c r="S873" s="1" t="s">
        <v>677</v>
      </c>
      <c r="T873" s="1" t="s">
        <v>1785</v>
      </c>
    </row>
    <row r="874" customFormat="false" ht="15" hidden="false" customHeight="true" outlineLevel="0" collapsed="false">
      <c r="A874" s="1" t="s">
        <v>1789</v>
      </c>
      <c r="B874" s="1" t="n">
        <v>1900</v>
      </c>
      <c r="C874" s="1" t="n">
        <v>2</v>
      </c>
      <c r="D874" s="1" t="s">
        <v>38</v>
      </c>
      <c r="E874" s="1" t="s">
        <v>274</v>
      </c>
      <c r="F874" s="1" t="n">
        <v>299</v>
      </c>
      <c r="G874" s="1" t="n">
        <v>145</v>
      </c>
      <c r="H874" s="2" t="n">
        <v>6462800</v>
      </c>
      <c r="I874" s="2" t="n">
        <f aca="false">(((H874 / 800) / IF(ISBLANK(R874), 1000000, IF(ISNA(VLOOKUP(R874, Mileages!$A$2:$C$34, 2, 0)), R874, VLOOKUP(R874, Mileages!$A$2:$C$34, 2, 0)))) + (F874 * IF(ISBLANK(P874), 1, P874) * IF(ISBLANK(T874), 0, IF(ISNA(VLOOKUP(T874, 'Fuel Costs'!$A$2:$C$42, 2, 0)), T874, VLOOKUP(T874, 'Fuel Costs'!$A$2:$C$42, 2, 0))) / IF(ISBLANK(O874), 1, O874))) * 100</f>
        <v>128.9507071</v>
      </c>
      <c r="J874" s="2" t="n">
        <f aca="false">((H874 / 800) / (IF(ISBLANK(S874), 100, IF(ISNA(VLOOKUP(S874, Lives!$A$2:$C$35, 2, 0)), S874, VLOOKUP(S874, Lives!$A$2:$C$35, 2, 0))) * 12) + (IF(ISBLANK(Q874), 0, IF(ISNA(VLOOKUP(Q874, Wages!$A$2:$C$17, 2, 0)), Q874, VLOOKUP(Q874, Wages!$A$2:$C$17, 2, 0))) * IF(ISBLANK(N874), 0, IF(ISNA(VLOOKUP(N874, Crews!$A$2:$C$28, 2, 0)), N874, VLOOKUP(N874, Crews!$A$2:$C$28, 2, 0))))) * 400</f>
        <v>45385.66667</v>
      </c>
      <c r="K874" s="3" t="s">
        <v>1790</v>
      </c>
      <c r="L874" s="1" t="s">
        <v>1791</v>
      </c>
      <c r="M874" s="1" t="n">
        <v>0</v>
      </c>
      <c r="N874" s="1" t="s">
        <v>1705</v>
      </c>
      <c r="O874" s="1" t="n">
        <v>0.7</v>
      </c>
      <c r="P874" s="1"/>
      <c r="Q874" s="5" t="s">
        <v>284</v>
      </c>
      <c r="R874" s="1" t="s">
        <v>677</v>
      </c>
      <c r="S874" s="1" t="s">
        <v>677</v>
      </c>
      <c r="T874" s="1" t="s">
        <v>1785</v>
      </c>
    </row>
    <row r="875" customFormat="false" ht="15" hidden="false" customHeight="true" outlineLevel="0" collapsed="false">
      <c r="A875" s="1" t="s">
        <v>1792</v>
      </c>
      <c r="B875" s="1" t="n">
        <v>1900</v>
      </c>
      <c r="C875" s="1" t="n">
        <v>2</v>
      </c>
      <c r="D875" s="1" t="s">
        <v>38</v>
      </c>
      <c r="E875" s="1"/>
      <c r="F875" s="1" t="n">
        <v>0</v>
      </c>
      <c r="G875" s="1" t="n">
        <v>148</v>
      </c>
      <c r="H875" s="2" t="n">
        <v>0</v>
      </c>
      <c r="I875" s="2" t="n">
        <f aca="false">(((H875 / 800) / IF(ISBLANK(R875), 1000000, IF(ISNA(VLOOKUP(R875, Mileages!$A$2:$C$34, 2, 0)), R875, VLOOKUP(R875, Mileages!$A$2:$C$34, 2, 0)))) + (F875 * IF(ISBLANK(P875), 1, P875) * IF(ISBLANK(T875), 0, IF(ISNA(VLOOKUP(T875, 'Fuel Costs'!$A$2:$C$42, 2, 0)), T875, VLOOKUP(T875, 'Fuel Costs'!$A$2:$C$42, 2, 0))) / IF(ISBLANK(O875), 1, O875))) * 100</f>
        <v>0</v>
      </c>
      <c r="J875" s="2" t="n">
        <f aca="false">((H875 / 800) / (IF(ISBLANK(S875), 100, IF(ISNA(VLOOKUP(S875, Lives!$A$2:$C$35, 2, 0)), S875, VLOOKUP(S875, Lives!$A$2:$C$35, 2, 0))) * 12) + (IF(ISBLANK(Q875), 0, IF(ISNA(VLOOKUP(Q875, Wages!$A$2:$C$17, 2, 0)), Q875, VLOOKUP(Q875, Wages!$A$2:$C$17, 2, 0))) * IF(ISBLANK(N875), 0, IF(ISNA(VLOOKUP(N875, Crews!$A$2:$C$28, 2, 0)), N875, VLOOKUP(N875, Crews!$A$2:$C$28, 2, 0))))) * 400</f>
        <v>0</v>
      </c>
      <c r="K875" s="1"/>
      <c r="L875" s="1" t="s">
        <v>1793</v>
      </c>
      <c r="M875" s="1" t="n">
        <v>0</v>
      </c>
      <c r="N875" s="1"/>
      <c r="O875" s="1"/>
      <c r="P875" s="1"/>
      <c r="Q875" s="1"/>
      <c r="R875" s="1"/>
      <c r="S875" s="1"/>
      <c r="T875" s="1"/>
    </row>
    <row r="876" customFormat="false" ht="15" hidden="false" customHeight="true" outlineLevel="0" collapsed="false">
      <c r="A876" s="1" t="s">
        <v>1794</v>
      </c>
      <c r="B876" s="1" t="n">
        <v>1900</v>
      </c>
      <c r="C876" s="1" t="n">
        <v>3</v>
      </c>
      <c r="D876" s="1" t="s">
        <v>38</v>
      </c>
      <c r="E876" s="1" t="s">
        <v>1346</v>
      </c>
      <c r="F876" s="1"/>
      <c r="G876" s="1" t="n">
        <v>60</v>
      </c>
      <c r="H876" s="2" t="n">
        <v>250000</v>
      </c>
      <c r="I876" s="2" t="n">
        <f aca="false">(((H876 / 800) / IF(ISBLANK(R876), 1000000, IF(ISNA(VLOOKUP(R876, Mileages!$A$2:$C$34, 2, 0)), R876, VLOOKUP(R876, Mileages!$A$2:$C$34, 2, 0)))) + (F876 * IF(ISBLANK(P876), 1, P876) * IF(ISBLANK(T876), 0, IF(ISNA(VLOOKUP(T876, 'Fuel Costs'!$A$2:$C$42, 2, 0)), T876, VLOOKUP(T876, 'Fuel Costs'!$A$2:$C$42, 2, 0))) / IF(ISBLANK(O876), 1, O876))) * 100</f>
        <v>0.02604166667</v>
      </c>
      <c r="J876" s="2" t="n">
        <f aca="false">((H876 / 800) / (IF(ISBLANK(S876), 100, IF(ISNA(VLOOKUP(S876, Lives!$A$2:$C$35, 2, 0)), S876, VLOOKUP(S876, Lives!$A$2:$C$35, 2, 0))) * 12) + (IF(ISBLANK(Q876), 0, IF(ISNA(VLOOKUP(Q876, Wages!$A$2:$C$17, 2, 0)), Q876, VLOOKUP(Q876, Wages!$A$2:$C$17, 2, 0))) * IF(ISBLANK(N876), 0, IF(ISNA(VLOOKUP(N876, Crews!$A$2:$C$28, 2, 0)), N876, VLOOKUP(N876, Crews!$A$2:$C$28, 2, 0))))) * 400</f>
        <v>297.6190476</v>
      </c>
      <c r="K876" s="1"/>
      <c r="L876" s="1" t="s">
        <v>1795</v>
      </c>
      <c r="M876" s="1" t="n">
        <v>1</v>
      </c>
      <c r="N876" s="1"/>
      <c r="O876" s="1"/>
      <c r="P876" s="1"/>
      <c r="Q876" s="1"/>
      <c r="R876" s="1" t="s">
        <v>689</v>
      </c>
      <c r="S876" s="1" t="s">
        <v>856</v>
      </c>
      <c r="T876" s="1"/>
    </row>
    <row r="877" customFormat="false" ht="15" hidden="false" customHeight="true" outlineLevel="0" collapsed="false">
      <c r="A877" s="1" t="s">
        <v>1796</v>
      </c>
      <c r="B877" s="1" t="n">
        <v>1900</v>
      </c>
      <c r="C877" s="1" t="n">
        <v>3</v>
      </c>
      <c r="D877" s="1" t="s">
        <v>38</v>
      </c>
      <c r="E877" s="1" t="s">
        <v>1346</v>
      </c>
      <c r="F877" s="1" t="n">
        <v>150</v>
      </c>
      <c r="G877" s="1" t="n">
        <v>50</v>
      </c>
      <c r="H877" s="2" t="n">
        <v>884000</v>
      </c>
      <c r="I877" s="2" t="n">
        <f aca="false">(((H877 / 800) / IF(ISBLANK(R877), 1000000, IF(ISNA(VLOOKUP(R877, Mileages!$A$2:$C$34, 2, 0)), R877, VLOOKUP(R877, Mileages!$A$2:$C$34, 2, 0)))) + (F877 * IF(ISBLANK(P877), 1, P877) * IF(ISBLANK(T877), 0, IF(ISNA(VLOOKUP(T877, 'Fuel Costs'!$A$2:$C$42, 2, 0)), T877, VLOOKUP(T877, 'Fuel Costs'!$A$2:$C$42, 2, 0))) / IF(ISBLANK(O877), 1, O877))) * 100</f>
        <v>90.14733333</v>
      </c>
      <c r="J877" s="2" t="n">
        <f aca="false">((H877 / 800) / (IF(ISBLANK(S877), 100, IF(ISNA(VLOOKUP(S877, Lives!$A$2:$C$35, 2, 0)), S877, VLOOKUP(S877, Lives!$A$2:$C$35, 2, 0))) * 12) + (IF(ISBLANK(Q877), 0, IF(ISNA(VLOOKUP(Q877, Wages!$A$2:$C$17, 2, 0)), Q877, VLOOKUP(Q877, Wages!$A$2:$C$17, 2, 0))) * IF(ISBLANK(N877), 0, IF(ISNA(VLOOKUP(N877, Crews!$A$2:$C$28, 2, 0)), N877, VLOOKUP(N877, Crews!$A$2:$C$28, 2, 0))))) * 400</f>
        <v>10920.83333</v>
      </c>
      <c r="K877" s="1"/>
      <c r="L877" s="1" t="s">
        <v>1797</v>
      </c>
      <c r="M877" s="1" t="n">
        <v>0</v>
      </c>
      <c r="N877" s="1" t="s">
        <v>1488</v>
      </c>
      <c r="O877" s="1" t="n">
        <v>1</v>
      </c>
      <c r="P877" s="1"/>
      <c r="Q877" s="1" t="str">
        <f aca="false">IF(ISBLANK('Pak128 Britain In'!$N877),,'Pak128 Britain In'!$N877)</f>
        <v>ElectricDriverRail</v>
      </c>
      <c r="R877" s="1" t="s">
        <v>1489</v>
      </c>
      <c r="S877" s="1" t="s">
        <v>1489</v>
      </c>
      <c r="T877" s="1" t="s">
        <v>1351</v>
      </c>
    </row>
    <row r="878" customFormat="false" ht="15" hidden="false" customHeight="true" outlineLevel="0" collapsed="false">
      <c r="A878" s="1" t="s">
        <v>1798</v>
      </c>
      <c r="B878" s="1" t="n">
        <v>1900</v>
      </c>
      <c r="C878" s="1" t="n">
        <v>3</v>
      </c>
      <c r="D878" s="1" t="s">
        <v>38</v>
      </c>
      <c r="E878" s="1" t="s">
        <v>274</v>
      </c>
      <c r="F878" s="1" t="n">
        <v>316</v>
      </c>
      <c r="G878" s="1" t="n">
        <v>147</v>
      </c>
      <c r="H878" s="2" t="n">
        <v>6841000</v>
      </c>
      <c r="I878" s="2" t="n">
        <f aca="false">(((H878 / 800) / IF(ISBLANK(R878), 1000000, IF(ISNA(VLOOKUP(R878, Mileages!$A$2:$C$34, 2, 0)), R878, VLOOKUP(R878, Mileages!$A$2:$C$34, 2, 0)))) + (F878 * IF(ISBLANK(P878), 1, P878) * IF(ISBLANK(T878), 0, IF(ISNA(VLOOKUP(T878, 'Fuel Costs'!$A$2:$C$42, 2, 0)), T878, VLOOKUP(T878, 'Fuel Costs'!$A$2:$C$42, 2, 0))) / IF(ISBLANK(O878), 1, O878))) * 100</f>
        <v>136.2836964</v>
      </c>
      <c r="J878" s="2" t="n">
        <f aca="false">((H878 / 800) / (IF(ISBLANK(S878), 100, IF(ISNA(VLOOKUP(S878, Lives!$A$2:$C$35, 2, 0)), S878, VLOOKUP(S878, Lives!$A$2:$C$35, 2, 0))) * 12) + (IF(ISBLANK(Q878), 0, IF(ISNA(VLOOKUP(Q878, Wages!$A$2:$C$17, 2, 0)), Q878, VLOOKUP(Q878, Wages!$A$2:$C$17, 2, 0))) * IF(ISBLANK(N878), 0, IF(ISNA(VLOOKUP(N878, Crews!$A$2:$C$28, 2, 0)), N878, VLOOKUP(N878, Crews!$A$2:$C$28, 2, 0))))) * 400</f>
        <v>45700.83333</v>
      </c>
      <c r="K878" s="3" t="s">
        <v>1799</v>
      </c>
      <c r="L878" s="1" t="s">
        <v>1318</v>
      </c>
      <c r="M878" s="1" t="n">
        <v>0</v>
      </c>
      <c r="N878" s="1" t="s">
        <v>1705</v>
      </c>
      <c r="O878" s="1" t="n">
        <v>0.7</v>
      </c>
      <c r="P878" s="1"/>
      <c r="Q878" s="5" t="s">
        <v>284</v>
      </c>
      <c r="R878" s="1" t="s">
        <v>677</v>
      </c>
      <c r="S878" s="1" t="s">
        <v>677</v>
      </c>
      <c r="T878" s="1" t="s">
        <v>1785</v>
      </c>
    </row>
    <row r="879" customFormat="false" ht="15" hidden="false" customHeight="true" outlineLevel="0" collapsed="false">
      <c r="A879" s="1" t="s">
        <v>1800</v>
      </c>
      <c r="B879" s="1" t="n">
        <v>1900</v>
      </c>
      <c r="C879" s="1" t="n">
        <v>7</v>
      </c>
      <c r="D879" s="1" t="s">
        <v>38</v>
      </c>
      <c r="E879" s="1"/>
      <c r="F879" s="1"/>
      <c r="G879" s="1" t="n">
        <v>160</v>
      </c>
      <c r="H879" s="2" t="n">
        <v>500000</v>
      </c>
      <c r="I879" s="2" t="n">
        <f aca="false">(((H879 / 800) / IF(ISBLANK(R879), 1000000, IF(ISNA(VLOOKUP(R879, Mileages!$A$2:$C$34, 2, 0)), R879, VLOOKUP(R879, Mileages!$A$2:$C$34, 2, 0)))) + (F879 * IF(ISBLANK(P879), 1, P879) * IF(ISBLANK(T879), 0, IF(ISNA(VLOOKUP(T879, 'Fuel Costs'!$A$2:$C$42, 2, 0)), T879, VLOOKUP(T879, 'Fuel Costs'!$A$2:$C$42, 2, 0))) / IF(ISBLANK(O879), 1, O879))) * 100</f>
        <v>0.05208333333</v>
      </c>
      <c r="J879" s="2" t="n">
        <f aca="false">((H879 / 800) / (IF(ISBLANK(S879), 100, IF(ISNA(VLOOKUP(S879, Lives!$A$2:$C$35, 2, 0)), S879, VLOOKUP(S879, Lives!$A$2:$C$35, 2, 0))) * 12) + (IF(ISBLANK(Q879), 0, IF(ISNA(VLOOKUP(Q879, Wages!$A$2:$C$17, 2, 0)), Q879, VLOOKUP(Q879, Wages!$A$2:$C$17, 2, 0))) * IF(ISBLANK(N879), 0, IF(ISNA(VLOOKUP(N879, Crews!$A$2:$C$28, 2, 0)), N879, VLOOKUP(N879, Crews!$A$2:$C$28, 2, 0))))) * 400</f>
        <v>5395.238095</v>
      </c>
      <c r="K879" s="3" t="s">
        <v>1801</v>
      </c>
      <c r="L879" s="1" t="s">
        <v>1658</v>
      </c>
      <c r="M879" s="1" t="n">
        <v>3</v>
      </c>
      <c r="N879" s="1" t="s">
        <v>25</v>
      </c>
      <c r="O879" s="1"/>
      <c r="P879" s="1"/>
      <c r="Q879" s="1" t="s">
        <v>378</v>
      </c>
      <c r="R879" s="1" t="s">
        <v>689</v>
      </c>
      <c r="S879" s="1" t="s">
        <v>856</v>
      </c>
      <c r="T879" s="1"/>
    </row>
    <row r="880" customFormat="false" ht="15" hidden="false" customHeight="true" outlineLevel="0" collapsed="false">
      <c r="A880" s="1" t="s">
        <v>1802</v>
      </c>
      <c r="B880" s="1" t="n">
        <v>1900</v>
      </c>
      <c r="C880" s="1" t="n">
        <v>7</v>
      </c>
      <c r="D880" s="1" t="s">
        <v>38</v>
      </c>
      <c r="E880" s="1"/>
      <c r="F880" s="1"/>
      <c r="G880" s="1" t="n">
        <v>160</v>
      </c>
      <c r="H880" s="2" t="n">
        <v>500000</v>
      </c>
      <c r="I880" s="2" t="n">
        <f aca="false">(((H880 / 800) / IF(ISBLANK(R880), 1000000, IF(ISNA(VLOOKUP(R880, Mileages!$A$2:$C$34, 2, 0)), R880, VLOOKUP(R880, Mileages!$A$2:$C$34, 2, 0)))) + (F880 * IF(ISBLANK(P880), 1, P880) * IF(ISBLANK(T880), 0, IF(ISNA(VLOOKUP(T880, 'Fuel Costs'!$A$2:$C$42, 2, 0)), T880, VLOOKUP(T880, 'Fuel Costs'!$A$2:$C$42, 2, 0))) / IF(ISBLANK(O880), 1, O880))) * 100</f>
        <v>0.05208333333</v>
      </c>
      <c r="J880" s="2" t="n">
        <f aca="false">((H880 / 800) / (IF(ISBLANK(S880), 100, IF(ISNA(VLOOKUP(S880, Lives!$A$2:$C$35, 2, 0)), S880, VLOOKUP(S880, Lives!$A$2:$C$35, 2, 0))) * 12) + (IF(ISBLANK(Q880), 0, IF(ISNA(VLOOKUP(Q880, Wages!$A$2:$C$17, 2, 0)), Q880, VLOOKUP(Q880, Wages!$A$2:$C$17, 2, 0))) * IF(ISBLANK(N880), 0, IF(ISNA(VLOOKUP(N880, Crews!$A$2:$C$28, 2, 0)), N880, VLOOKUP(N880, Crews!$A$2:$C$28, 2, 0))))) * 400</f>
        <v>5395.238095</v>
      </c>
      <c r="K880" s="3" t="s">
        <v>1803</v>
      </c>
      <c r="L880" s="1" t="s">
        <v>1658</v>
      </c>
      <c r="M880" s="1" t="n">
        <v>4</v>
      </c>
      <c r="N880" s="1" t="s">
        <v>25</v>
      </c>
      <c r="O880" s="1"/>
      <c r="P880" s="1"/>
      <c r="Q880" s="1" t="s">
        <v>378</v>
      </c>
      <c r="R880" s="1" t="s">
        <v>689</v>
      </c>
      <c r="S880" s="1" t="s">
        <v>856</v>
      </c>
      <c r="T880" s="1"/>
    </row>
    <row r="881" customFormat="false" ht="15" hidden="false" customHeight="true" outlineLevel="0" collapsed="false">
      <c r="A881" s="1" t="s">
        <v>1804</v>
      </c>
      <c r="B881" s="1" t="n">
        <v>1900</v>
      </c>
      <c r="C881" s="1" t="n">
        <v>7</v>
      </c>
      <c r="D881" s="1" t="s">
        <v>38</v>
      </c>
      <c r="E881" s="1"/>
      <c r="F881" s="1"/>
      <c r="G881" s="1" t="n">
        <v>160</v>
      </c>
      <c r="H881" s="2" t="n">
        <v>500000</v>
      </c>
      <c r="I881" s="2" t="n">
        <f aca="false">(((H881 / 800) / IF(ISBLANK(R881), 1000000, IF(ISNA(VLOOKUP(R881, Mileages!$A$2:$C$34, 2, 0)), R881, VLOOKUP(R881, Mileages!$A$2:$C$34, 2, 0)))) + (F881 * IF(ISBLANK(P881), 1, P881) * IF(ISBLANK(T881), 0, IF(ISNA(VLOOKUP(T881, 'Fuel Costs'!$A$2:$C$42, 2, 0)), T881, VLOOKUP(T881, 'Fuel Costs'!$A$2:$C$42, 2, 0))) / IF(ISBLANK(O881), 1, O881))) * 100</f>
        <v>0.05208333333</v>
      </c>
      <c r="J881" s="2" t="n">
        <f aca="false">((H881 / 800) / (IF(ISBLANK(S881), 100, IF(ISNA(VLOOKUP(S881, Lives!$A$2:$C$35, 2, 0)), S881, VLOOKUP(S881, Lives!$A$2:$C$35, 2, 0))) * 12) + (IF(ISBLANK(Q881), 0, IF(ISNA(VLOOKUP(Q881, Wages!$A$2:$C$17, 2, 0)), Q881, VLOOKUP(Q881, Wages!$A$2:$C$17, 2, 0))) * IF(ISBLANK(N881), 0, IF(ISNA(VLOOKUP(N881, Crews!$A$2:$C$28, 2, 0)), N881, VLOOKUP(N881, Crews!$A$2:$C$28, 2, 0))))) * 400</f>
        <v>595.2380952</v>
      </c>
      <c r="K881" s="1" t="s">
        <v>1805</v>
      </c>
      <c r="L881" s="1" t="s">
        <v>1658</v>
      </c>
      <c r="M881" s="1" t="n">
        <v>5</v>
      </c>
      <c r="N881" s="1"/>
      <c r="O881" s="1"/>
      <c r="P881" s="1"/>
      <c r="Q881" s="1"/>
      <c r="R881" s="1" t="s">
        <v>689</v>
      </c>
      <c r="S881" s="1" t="s">
        <v>856</v>
      </c>
      <c r="T881" s="1"/>
    </row>
    <row r="882" customFormat="false" ht="15" hidden="false" customHeight="true" outlineLevel="0" collapsed="false">
      <c r="A882" s="1" t="s">
        <v>1806</v>
      </c>
      <c r="B882" s="1" t="n">
        <v>1900</v>
      </c>
      <c r="C882" s="1" t="n">
        <v>7</v>
      </c>
      <c r="D882" s="1" t="s">
        <v>21</v>
      </c>
      <c r="E882" s="1"/>
      <c r="F882" s="1"/>
      <c r="G882" s="1" t="n">
        <v>12</v>
      </c>
      <c r="H882" s="2" t="n">
        <v>16000</v>
      </c>
      <c r="I882" s="2" t="n">
        <f aca="false">(((H882 / 800) / IF(ISBLANK(R882), 1000000, IF(ISNA(VLOOKUP(R882, Mileages!$A$2:$C$34, 2, 0)), R882, VLOOKUP(R882, Mileages!$A$2:$C$34, 2, 0)))) + (F882 * IF(ISBLANK(P882), 1, P882) * IF(ISBLANK(T882), 0, IF(ISNA(VLOOKUP(T882, 'Fuel Costs'!$A$2:$C$42, 2, 0)), T882, VLOOKUP(T882, 'Fuel Costs'!$A$2:$C$42, 2, 0))) / IF(ISBLANK(O882), 1, O882))) * 100</f>
        <v>0.0025</v>
      </c>
      <c r="J882" s="2" t="n">
        <f aca="false">((H882 / 800) / (IF(ISBLANK(S882), 100, IF(ISNA(VLOOKUP(S882, Lives!$A$2:$C$35, 2, 0)), S882, VLOOKUP(S882, Lives!$A$2:$C$35, 2, 0))) * 12) + (IF(ISBLANK(Q882), 0, IF(ISNA(VLOOKUP(Q882, Wages!$A$2:$C$17, 2, 0)), Q882, VLOOKUP(Q882, Wages!$A$2:$C$17, 2, 0))) * IF(ISBLANK(N882), 0, IF(ISNA(VLOOKUP(N882, Crews!$A$2:$C$28, 2, 0)), N882, VLOOKUP(N882, Crews!$A$2:$C$28, 2, 0))))) * 400</f>
        <v>8.333333333</v>
      </c>
      <c r="K882" s="1"/>
      <c r="L882" s="1" t="s">
        <v>1807</v>
      </c>
      <c r="M882" s="1" t="n">
        <v>0</v>
      </c>
      <c r="N882" s="1"/>
      <c r="O882" s="1"/>
      <c r="P882" s="1"/>
      <c r="Q882" s="1"/>
      <c r="R882" s="1" t="s">
        <v>828</v>
      </c>
      <c r="S882" s="1" t="s">
        <v>829</v>
      </c>
      <c r="T882" s="1"/>
    </row>
    <row r="883" customFormat="false" ht="15" hidden="false" customHeight="true" outlineLevel="0" collapsed="false">
      <c r="A883" s="1" t="s">
        <v>1808</v>
      </c>
      <c r="B883" s="1" t="n">
        <v>1900</v>
      </c>
      <c r="C883" s="1" t="n">
        <v>7</v>
      </c>
      <c r="D883" s="1" t="s">
        <v>21</v>
      </c>
      <c r="E883" s="1"/>
      <c r="F883" s="1"/>
      <c r="G883" s="1" t="n">
        <v>12</v>
      </c>
      <c r="H883" s="2" t="n">
        <v>16000</v>
      </c>
      <c r="I883" s="2" t="n">
        <f aca="false">(((H883 / 800) / IF(ISBLANK(R883), 1000000, IF(ISNA(VLOOKUP(R883, Mileages!$A$2:$C$34, 2, 0)), R883, VLOOKUP(R883, Mileages!$A$2:$C$34, 2, 0)))) + (F883 * IF(ISBLANK(P883), 1, P883) * IF(ISBLANK(T883), 0, IF(ISNA(VLOOKUP(T883, 'Fuel Costs'!$A$2:$C$42, 2, 0)), T883, VLOOKUP(T883, 'Fuel Costs'!$A$2:$C$42, 2, 0))) / IF(ISBLANK(O883), 1, O883))) * 100</f>
        <v>0.0025</v>
      </c>
      <c r="J883" s="2" t="n">
        <f aca="false">((H883 / 800) / (IF(ISBLANK(S883), 100, IF(ISNA(VLOOKUP(S883, Lives!$A$2:$C$35, 2, 0)), S883, VLOOKUP(S883, Lives!$A$2:$C$35, 2, 0))) * 12) + (IF(ISBLANK(Q883), 0, IF(ISNA(VLOOKUP(Q883, Wages!$A$2:$C$17, 2, 0)), Q883, VLOOKUP(Q883, Wages!$A$2:$C$17, 2, 0))) * IF(ISBLANK(N883), 0, IF(ISNA(VLOOKUP(N883, Crews!$A$2:$C$28, 2, 0)), N883, VLOOKUP(N883, Crews!$A$2:$C$28, 2, 0))))) * 400</f>
        <v>8.333333333</v>
      </c>
      <c r="K883" s="1"/>
      <c r="L883" s="1" t="s">
        <v>1807</v>
      </c>
      <c r="M883" s="1" t="n">
        <v>1</v>
      </c>
      <c r="N883" s="1"/>
      <c r="O883" s="1"/>
      <c r="P883" s="1"/>
      <c r="Q883" s="1"/>
      <c r="R883" s="1" t="s">
        <v>828</v>
      </c>
      <c r="S883" s="1" t="s">
        <v>829</v>
      </c>
      <c r="T883" s="1"/>
    </row>
    <row r="884" customFormat="false" ht="15" hidden="false" customHeight="true" outlineLevel="0" collapsed="false">
      <c r="A884" s="1" t="s">
        <v>1809</v>
      </c>
      <c r="B884" s="1" t="n">
        <v>1900</v>
      </c>
      <c r="C884" s="1" t="n">
        <v>7</v>
      </c>
      <c r="D884" s="1" t="s">
        <v>21</v>
      </c>
      <c r="E884" s="1"/>
      <c r="F884" s="1"/>
      <c r="G884" s="1" t="n">
        <v>12</v>
      </c>
      <c r="H884" s="2" t="n">
        <v>16000</v>
      </c>
      <c r="I884" s="2" t="n">
        <f aca="false">(((H884 / 800) / IF(ISBLANK(R884), 1000000, IF(ISNA(VLOOKUP(R884, Mileages!$A$2:$C$34, 2, 0)), R884, VLOOKUP(R884, Mileages!$A$2:$C$34, 2, 0)))) + (F884 * IF(ISBLANK(P884), 1, P884) * IF(ISBLANK(T884), 0, IF(ISNA(VLOOKUP(T884, 'Fuel Costs'!$A$2:$C$42, 2, 0)), T884, VLOOKUP(T884, 'Fuel Costs'!$A$2:$C$42, 2, 0))) / IF(ISBLANK(O884), 1, O884))) * 100</f>
        <v>0.0025</v>
      </c>
      <c r="J884" s="2" t="n">
        <f aca="false">((H884 / 800) / (IF(ISBLANK(S884), 100, IF(ISNA(VLOOKUP(S884, Lives!$A$2:$C$35, 2, 0)), S884, VLOOKUP(S884, Lives!$A$2:$C$35, 2, 0))) * 12) + (IF(ISBLANK(Q884), 0, IF(ISNA(VLOOKUP(Q884, Wages!$A$2:$C$17, 2, 0)), Q884, VLOOKUP(Q884, Wages!$A$2:$C$17, 2, 0))) * IF(ISBLANK(N884), 0, IF(ISNA(VLOOKUP(N884, Crews!$A$2:$C$28, 2, 0)), N884, VLOOKUP(N884, Crews!$A$2:$C$28, 2, 0))))) * 400</f>
        <v>8.333333333</v>
      </c>
      <c r="K884" s="1"/>
      <c r="L884" s="1" t="s">
        <v>1807</v>
      </c>
      <c r="M884" s="1" t="n">
        <v>2</v>
      </c>
      <c r="N884" s="1"/>
      <c r="O884" s="1"/>
      <c r="P884" s="1"/>
      <c r="Q884" s="1"/>
      <c r="R884" s="1" t="s">
        <v>828</v>
      </c>
      <c r="S884" s="1" t="s">
        <v>829</v>
      </c>
      <c r="T884" s="1"/>
    </row>
    <row r="885" customFormat="false" ht="15" hidden="false" customHeight="true" outlineLevel="0" collapsed="false">
      <c r="A885" s="1" t="s">
        <v>1810</v>
      </c>
      <c r="B885" s="1" t="n">
        <v>1900</v>
      </c>
      <c r="C885" s="1" t="n">
        <v>7</v>
      </c>
      <c r="D885" s="1" t="s">
        <v>21</v>
      </c>
      <c r="E885" s="1"/>
      <c r="F885" s="1"/>
      <c r="G885" s="1" t="n">
        <v>12</v>
      </c>
      <c r="H885" s="2" t="n">
        <v>16000</v>
      </c>
      <c r="I885" s="2" t="n">
        <f aca="false">(((H885 / 800) / IF(ISBLANK(R885), 1000000, IF(ISNA(VLOOKUP(R885, Mileages!$A$2:$C$34, 2, 0)), R885, VLOOKUP(R885, Mileages!$A$2:$C$34, 2, 0)))) + (F885 * IF(ISBLANK(P885), 1, P885) * IF(ISBLANK(T885), 0, IF(ISNA(VLOOKUP(T885, 'Fuel Costs'!$A$2:$C$42, 2, 0)), T885, VLOOKUP(T885, 'Fuel Costs'!$A$2:$C$42, 2, 0))) / IF(ISBLANK(O885), 1, O885))) * 100</f>
        <v>0.0025</v>
      </c>
      <c r="J885" s="2" t="n">
        <f aca="false">((H885 / 800) / (IF(ISBLANK(S885), 100, IF(ISNA(VLOOKUP(S885, Lives!$A$2:$C$35, 2, 0)), S885, VLOOKUP(S885, Lives!$A$2:$C$35, 2, 0))) * 12) + (IF(ISBLANK(Q885), 0, IF(ISNA(VLOOKUP(Q885, Wages!$A$2:$C$17, 2, 0)), Q885, VLOOKUP(Q885, Wages!$A$2:$C$17, 2, 0))) * IF(ISBLANK(N885), 0, IF(ISNA(VLOOKUP(N885, Crews!$A$2:$C$28, 2, 0)), N885, VLOOKUP(N885, Crews!$A$2:$C$28, 2, 0))))) * 400</f>
        <v>8.333333333</v>
      </c>
      <c r="K885" s="1"/>
      <c r="L885" s="1" t="s">
        <v>1807</v>
      </c>
      <c r="M885" s="1" t="n">
        <v>3</v>
      </c>
      <c r="N885" s="1"/>
      <c r="O885" s="1"/>
      <c r="P885" s="1"/>
      <c r="Q885" s="1"/>
      <c r="R885" s="1" t="s">
        <v>828</v>
      </c>
      <c r="S885" s="1" t="s">
        <v>829</v>
      </c>
      <c r="T885" s="1"/>
    </row>
    <row r="886" customFormat="false" ht="15" hidden="false" customHeight="true" outlineLevel="0" collapsed="false">
      <c r="A886" s="1" t="s">
        <v>1811</v>
      </c>
      <c r="B886" s="1" t="n">
        <v>1900</v>
      </c>
      <c r="C886" s="1" t="n">
        <v>7</v>
      </c>
      <c r="D886" s="1" t="s">
        <v>21</v>
      </c>
      <c r="E886" s="1"/>
      <c r="F886" s="1"/>
      <c r="G886" s="1" t="n">
        <v>12</v>
      </c>
      <c r="H886" s="2" t="n">
        <v>16000</v>
      </c>
      <c r="I886" s="2" t="n">
        <f aca="false">(((H886 / 800) / IF(ISBLANK(R886), 1000000, IF(ISNA(VLOOKUP(R886, Mileages!$A$2:$C$34, 2, 0)), R886, VLOOKUP(R886, Mileages!$A$2:$C$34, 2, 0)))) + (F886 * IF(ISBLANK(P886), 1, P886) * IF(ISBLANK(T886), 0, IF(ISNA(VLOOKUP(T886, 'Fuel Costs'!$A$2:$C$42, 2, 0)), T886, VLOOKUP(T886, 'Fuel Costs'!$A$2:$C$42, 2, 0))) / IF(ISBLANK(O886), 1, O886))) * 100</f>
        <v>0.0025</v>
      </c>
      <c r="J886" s="2" t="n">
        <f aca="false">((H886 / 800) / (IF(ISBLANK(S886), 100, IF(ISNA(VLOOKUP(S886, Lives!$A$2:$C$35, 2, 0)), S886, VLOOKUP(S886, Lives!$A$2:$C$35, 2, 0))) * 12) + (IF(ISBLANK(Q886), 0, IF(ISNA(VLOOKUP(Q886, Wages!$A$2:$C$17, 2, 0)), Q886, VLOOKUP(Q886, Wages!$A$2:$C$17, 2, 0))) * IF(ISBLANK(N886), 0, IF(ISNA(VLOOKUP(N886, Crews!$A$2:$C$28, 2, 0)), N886, VLOOKUP(N886, Crews!$A$2:$C$28, 2, 0))))) * 400</f>
        <v>8.333333333</v>
      </c>
      <c r="K886" s="1"/>
      <c r="L886" s="1" t="s">
        <v>1807</v>
      </c>
      <c r="M886" s="1" t="n">
        <v>4</v>
      </c>
      <c r="N886" s="1"/>
      <c r="O886" s="1"/>
      <c r="P886" s="1"/>
      <c r="Q886" s="1"/>
      <c r="R886" s="1" t="s">
        <v>828</v>
      </c>
      <c r="S886" s="1" t="s">
        <v>829</v>
      </c>
      <c r="T886" s="1"/>
    </row>
    <row r="887" customFormat="false" ht="15" hidden="false" customHeight="true" outlineLevel="0" collapsed="false">
      <c r="A887" s="1" t="s">
        <v>1812</v>
      </c>
      <c r="B887" s="1" t="n">
        <v>1900</v>
      </c>
      <c r="C887" s="1" t="n">
        <v>7</v>
      </c>
      <c r="D887" s="1" t="s">
        <v>21</v>
      </c>
      <c r="E887" s="1" t="s">
        <v>274</v>
      </c>
      <c r="F887" s="1" t="n">
        <v>15</v>
      </c>
      <c r="G887" s="1" t="n">
        <v>12</v>
      </c>
      <c r="H887" s="2" t="n">
        <v>82400</v>
      </c>
      <c r="I887" s="2" t="n">
        <f aca="false">(((H887 / 800) / IF(ISBLANK(R887), 1000000, IF(ISNA(VLOOKUP(R887, Mileages!$A$2:$C$34, 2, 0)), R887, VLOOKUP(R887, Mileages!$A$2:$C$34, 2, 0)))) + (F887 * IF(ISBLANK(P887), 1, P887) * IF(ISBLANK(T887), 0, IF(ISNA(VLOOKUP(T887, 'Fuel Costs'!$A$2:$C$42, 2, 0)), T887, VLOOKUP(T887, 'Fuel Costs'!$A$2:$C$42, 2, 0))) / IF(ISBLANK(O887), 1, O887))) * 100</f>
        <v>8.202418182</v>
      </c>
      <c r="J887" s="2" t="n">
        <f aca="false">((H887 / 800) / (IF(ISBLANK(S887), 100, IF(ISNA(VLOOKUP(S887, Lives!$A$2:$C$35, 2, 0)), S887, VLOOKUP(S887, Lives!$A$2:$C$35, 2, 0))) * 12) + (IF(ISBLANK(Q887), 0, IF(ISNA(VLOOKUP(Q887, Wages!$A$2:$C$17, 2, 0)), Q887, VLOOKUP(Q887, Wages!$A$2:$C$17, 2, 0))) * IF(ISBLANK(N887), 0, IF(ISNA(VLOOKUP(N887, Crews!$A$2:$C$28, 2, 0)), N887, VLOOKUP(N887, Crews!$A$2:$C$28, 2, 0))))) * 400</f>
        <v>8042.916667</v>
      </c>
      <c r="K887" s="3" t="s">
        <v>1813</v>
      </c>
      <c r="L887" s="1" t="s">
        <v>1814</v>
      </c>
      <c r="M887" s="1" t="n">
        <v>0</v>
      </c>
      <c r="N887" s="1" t="s">
        <v>25</v>
      </c>
      <c r="O887" s="1" t="n">
        <v>0.55</v>
      </c>
      <c r="P887" s="1"/>
      <c r="Q887" s="1" t="s">
        <v>1815</v>
      </c>
      <c r="R887" s="1" t="s">
        <v>837</v>
      </c>
      <c r="S887" s="1" t="s">
        <v>837</v>
      </c>
      <c r="T887" s="1" t="s">
        <v>1785</v>
      </c>
    </row>
    <row r="888" customFormat="false" ht="15" hidden="false" customHeight="true" outlineLevel="0" collapsed="false">
      <c r="A888" s="1" t="s">
        <v>1816</v>
      </c>
      <c r="B888" s="1" t="n">
        <v>1900</v>
      </c>
      <c r="C888" s="1" t="n">
        <v>7</v>
      </c>
      <c r="D888" s="1" t="s">
        <v>21</v>
      </c>
      <c r="E888" s="1" t="s">
        <v>274</v>
      </c>
      <c r="F888" s="1" t="n">
        <v>15</v>
      </c>
      <c r="G888" s="1" t="n">
        <v>12</v>
      </c>
      <c r="H888" s="2" t="n">
        <v>82400</v>
      </c>
      <c r="I888" s="2" t="n">
        <f aca="false">(((H888 / 800) / IF(ISBLANK(R888), 1000000, IF(ISNA(VLOOKUP(R888, Mileages!$A$2:$C$34, 2, 0)), R888, VLOOKUP(R888, Mileages!$A$2:$C$34, 2, 0)))) + (F888 * IF(ISBLANK(P888), 1, P888) * IF(ISBLANK(T888), 0, IF(ISNA(VLOOKUP(T888, 'Fuel Costs'!$A$2:$C$42, 2, 0)), T888, VLOOKUP(T888, 'Fuel Costs'!$A$2:$C$42, 2, 0))) / IF(ISBLANK(O888), 1, O888))) * 100</f>
        <v>8.202418182</v>
      </c>
      <c r="J888" s="2" t="n">
        <f aca="false">((H888 / 800) / (IF(ISBLANK(S888), 100, IF(ISNA(VLOOKUP(S888, Lives!$A$2:$C$35, 2, 0)), S888, VLOOKUP(S888, Lives!$A$2:$C$35, 2, 0))) * 12) + (IF(ISBLANK(Q888), 0, IF(ISNA(VLOOKUP(Q888, Wages!$A$2:$C$17, 2, 0)), Q888, VLOOKUP(Q888, Wages!$A$2:$C$17, 2, 0))) * IF(ISBLANK(N888), 0, IF(ISNA(VLOOKUP(N888, Crews!$A$2:$C$28, 2, 0)), N888, VLOOKUP(N888, Crews!$A$2:$C$28, 2, 0))))) * 400</f>
        <v>8042.916667</v>
      </c>
      <c r="K888" s="1"/>
      <c r="L888" s="1" t="s">
        <v>1814</v>
      </c>
      <c r="M888" s="1" t="n">
        <v>1</v>
      </c>
      <c r="N888" s="1" t="s">
        <v>25</v>
      </c>
      <c r="O888" s="1" t="n">
        <v>0.55</v>
      </c>
      <c r="P888" s="1"/>
      <c r="Q888" s="1" t="s">
        <v>1815</v>
      </c>
      <c r="R888" s="1" t="s">
        <v>837</v>
      </c>
      <c r="S888" s="1" t="s">
        <v>837</v>
      </c>
      <c r="T888" s="1" t="s">
        <v>1785</v>
      </c>
    </row>
    <row r="889" customFormat="false" ht="15" hidden="false" customHeight="true" outlineLevel="0" collapsed="false">
      <c r="A889" s="1" t="s">
        <v>1817</v>
      </c>
      <c r="B889" s="1" t="n">
        <v>1900</v>
      </c>
      <c r="C889" s="1" t="n">
        <v>7</v>
      </c>
      <c r="D889" s="1" t="s">
        <v>21</v>
      </c>
      <c r="E889" s="1" t="s">
        <v>274</v>
      </c>
      <c r="F889" s="1" t="n">
        <v>15</v>
      </c>
      <c r="G889" s="1" t="n">
        <v>12</v>
      </c>
      <c r="H889" s="2" t="n">
        <v>82400</v>
      </c>
      <c r="I889" s="2" t="n">
        <f aca="false">(((H889 / 800) / IF(ISBLANK(R889), 1000000, IF(ISNA(VLOOKUP(R889, Mileages!$A$2:$C$34, 2, 0)), R889, VLOOKUP(R889, Mileages!$A$2:$C$34, 2, 0)))) + (F889 * IF(ISBLANK(P889), 1, P889) * IF(ISBLANK(T889), 0, IF(ISNA(VLOOKUP(T889, 'Fuel Costs'!$A$2:$C$42, 2, 0)), T889, VLOOKUP(T889, 'Fuel Costs'!$A$2:$C$42, 2, 0))) / IF(ISBLANK(O889), 1, O889))) * 100</f>
        <v>8.202418182</v>
      </c>
      <c r="J889" s="2" t="n">
        <f aca="false">((H889 / 800) / (IF(ISBLANK(S889), 100, IF(ISNA(VLOOKUP(S889, Lives!$A$2:$C$35, 2, 0)), S889, VLOOKUP(S889, Lives!$A$2:$C$35, 2, 0))) * 12) + (IF(ISBLANK(Q889), 0, IF(ISNA(VLOOKUP(Q889, Wages!$A$2:$C$17, 2, 0)), Q889, VLOOKUP(Q889, Wages!$A$2:$C$17, 2, 0))) * IF(ISBLANK(N889), 0, IF(ISNA(VLOOKUP(N889, Crews!$A$2:$C$28, 2, 0)), N889, VLOOKUP(N889, Crews!$A$2:$C$28, 2, 0))))) * 400</f>
        <v>8042.916667</v>
      </c>
      <c r="K889" s="1"/>
      <c r="L889" s="1" t="s">
        <v>1814</v>
      </c>
      <c r="M889" s="1" t="n">
        <v>2</v>
      </c>
      <c r="N889" s="1" t="s">
        <v>25</v>
      </c>
      <c r="O889" s="1" t="n">
        <v>0.55</v>
      </c>
      <c r="P889" s="1"/>
      <c r="Q889" s="1" t="s">
        <v>1815</v>
      </c>
      <c r="R889" s="1" t="s">
        <v>837</v>
      </c>
      <c r="S889" s="1" t="s">
        <v>837</v>
      </c>
      <c r="T889" s="1" t="s">
        <v>1785</v>
      </c>
    </row>
    <row r="890" customFormat="false" ht="15" hidden="false" customHeight="true" outlineLevel="0" collapsed="false">
      <c r="A890" s="1" t="s">
        <v>1818</v>
      </c>
      <c r="B890" s="1" t="n">
        <v>1900</v>
      </c>
      <c r="C890" s="1" t="n">
        <v>7</v>
      </c>
      <c r="D890" s="1" t="s">
        <v>21</v>
      </c>
      <c r="E890" s="1" t="s">
        <v>274</v>
      </c>
      <c r="F890" s="1" t="n">
        <v>15</v>
      </c>
      <c r="G890" s="1" t="n">
        <v>12</v>
      </c>
      <c r="H890" s="2" t="n">
        <v>82400</v>
      </c>
      <c r="I890" s="2" t="n">
        <f aca="false">(((H890 / 800) / IF(ISBLANK(R890), 1000000, IF(ISNA(VLOOKUP(R890, Mileages!$A$2:$C$34, 2, 0)), R890, VLOOKUP(R890, Mileages!$A$2:$C$34, 2, 0)))) + (F890 * IF(ISBLANK(P890), 1, P890) * IF(ISBLANK(T890), 0, IF(ISNA(VLOOKUP(T890, 'Fuel Costs'!$A$2:$C$42, 2, 0)), T890, VLOOKUP(T890, 'Fuel Costs'!$A$2:$C$42, 2, 0))) / IF(ISBLANK(O890), 1, O890))) * 100</f>
        <v>8.202418182</v>
      </c>
      <c r="J890" s="2" t="n">
        <f aca="false">((H890 / 800) / (IF(ISBLANK(S890), 100, IF(ISNA(VLOOKUP(S890, Lives!$A$2:$C$35, 2, 0)), S890, VLOOKUP(S890, Lives!$A$2:$C$35, 2, 0))) * 12) + (IF(ISBLANK(Q890), 0, IF(ISNA(VLOOKUP(Q890, Wages!$A$2:$C$17, 2, 0)), Q890, VLOOKUP(Q890, Wages!$A$2:$C$17, 2, 0))) * IF(ISBLANK(N890), 0, IF(ISNA(VLOOKUP(N890, Crews!$A$2:$C$28, 2, 0)), N890, VLOOKUP(N890, Crews!$A$2:$C$28, 2, 0))))) * 400</f>
        <v>8042.916667</v>
      </c>
      <c r="K890" s="1"/>
      <c r="L890" s="1" t="s">
        <v>1814</v>
      </c>
      <c r="M890" s="1" t="n">
        <v>3</v>
      </c>
      <c r="N890" s="1" t="s">
        <v>25</v>
      </c>
      <c r="O890" s="1" t="n">
        <v>0.55</v>
      </c>
      <c r="P890" s="1"/>
      <c r="Q890" s="1" t="s">
        <v>1815</v>
      </c>
      <c r="R890" s="1" t="s">
        <v>837</v>
      </c>
      <c r="S890" s="1" t="s">
        <v>837</v>
      </c>
      <c r="T890" s="1" t="s">
        <v>1785</v>
      </c>
    </row>
    <row r="891" customFormat="false" ht="15" hidden="false" customHeight="true" outlineLevel="0" collapsed="false">
      <c r="A891" s="1" t="s">
        <v>1819</v>
      </c>
      <c r="B891" s="1" t="n">
        <v>1900</v>
      </c>
      <c r="C891" s="1" t="n">
        <v>7</v>
      </c>
      <c r="D891" s="1" t="s">
        <v>21</v>
      </c>
      <c r="E891" s="1" t="s">
        <v>274</v>
      </c>
      <c r="F891" s="1" t="n">
        <v>15</v>
      </c>
      <c r="G891" s="1" t="n">
        <v>12</v>
      </c>
      <c r="H891" s="2" t="n">
        <v>82400</v>
      </c>
      <c r="I891" s="2" t="n">
        <f aca="false">(((H891 / 800) / IF(ISBLANK(R891), 1000000, IF(ISNA(VLOOKUP(R891, Mileages!$A$2:$C$34, 2, 0)), R891, VLOOKUP(R891, Mileages!$A$2:$C$34, 2, 0)))) + (F891 * IF(ISBLANK(P891), 1, P891) * IF(ISBLANK(T891), 0, IF(ISNA(VLOOKUP(T891, 'Fuel Costs'!$A$2:$C$42, 2, 0)), T891, VLOOKUP(T891, 'Fuel Costs'!$A$2:$C$42, 2, 0))) / IF(ISBLANK(O891), 1, O891))) * 100</f>
        <v>8.202418182</v>
      </c>
      <c r="J891" s="2" t="n">
        <f aca="false">((H891 / 800) / (IF(ISBLANK(S891), 100, IF(ISNA(VLOOKUP(S891, Lives!$A$2:$C$35, 2, 0)), S891, VLOOKUP(S891, Lives!$A$2:$C$35, 2, 0))) * 12) + (IF(ISBLANK(Q891), 0, IF(ISNA(VLOOKUP(Q891, Wages!$A$2:$C$17, 2, 0)), Q891, VLOOKUP(Q891, Wages!$A$2:$C$17, 2, 0))) * IF(ISBLANK(N891), 0, IF(ISNA(VLOOKUP(N891, Crews!$A$2:$C$28, 2, 0)), N891, VLOOKUP(N891, Crews!$A$2:$C$28, 2, 0))))) * 400</f>
        <v>8042.916667</v>
      </c>
      <c r="K891" s="1"/>
      <c r="L891" s="1" t="s">
        <v>1814</v>
      </c>
      <c r="M891" s="1" t="n">
        <v>4</v>
      </c>
      <c r="N891" s="1" t="s">
        <v>25</v>
      </c>
      <c r="O891" s="1" t="n">
        <v>0.55</v>
      </c>
      <c r="P891" s="1"/>
      <c r="Q891" s="1" t="s">
        <v>1815</v>
      </c>
      <c r="R891" s="1" t="s">
        <v>837</v>
      </c>
      <c r="S891" s="1" t="s">
        <v>837</v>
      </c>
      <c r="T891" s="1" t="s">
        <v>1785</v>
      </c>
    </row>
    <row r="892" customFormat="false" ht="15" hidden="false" customHeight="true" outlineLevel="0" collapsed="false">
      <c r="A892" s="1" t="s">
        <v>1820</v>
      </c>
      <c r="B892" s="1" t="n">
        <v>1900</v>
      </c>
      <c r="C892" s="1" t="n">
        <v>11</v>
      </c>
      <c r="D892" s="1" t="s">
        <v>38</v>
      </c>
      <c r="E892" s="1" t="s">
        <v>274</v>
      </c>
      <c r="F892" s="1" t="n">
        <v>250</v>
      </c>
      <c r="G892" s="1" t="n">
        <v>140</v>
      </c>
      <c r="H892" s="2" t="n">
        <v>13560000</v>
      </c>
      <c r="I892" s="2" t="n">
        <f aca="false">(((H892 / 800) / IF(ISBLANK(R892), 1000000, IF(ISNA(VLOOKUP(R892, Mileages!$A$2:$C$34, 2, 0)), R892, VLOOKUP(R892, Mileages!$A$2:$C$34, 2, 0)))) + (F892 * IF(ISBLANK(P892), 1, P892) * IF(ISBLANK(T892), 0, IF(ISNA(VLOOKUP(T892, 'Fuel Costs'!$A$2:$C$42, 2, 0)), T892, VLOOKUP(T892, 'Fuel Costs'!$A$2:$C$42, 2, 0))) / IF(ISBLANK(O892), 1, O892))) * 100</f>
        <v>108.8378571</v>
      </c>
      <c r="J892" s="2" t="n">
        <f aca="false">((H892 / 800) / (IF(ISBLANK(S892), 100, IF(ISNA(VLOOKUP(S892, Lives!$A$2:$C$35, 2, 0)), S892, VLOOKUP(S892, Lives!$A$2:$C$35, 2, 0))) * 12) + (IF(ISBLANK(Q892), 0, IF(ISNA(VLOOKUP(Q892, Wages!$A$2:$C$17, 2, 0)), Q892, VLOOKUP(Q892, Wages!$A$2:$C$17, 2, 0))) * IF(ISBLANK(N892), 0, IF(ISNA(VLOOKUP(N892, Crews!$A$2:$C$28, 2, 0)), N892, VLOOKUP(N892, Crews!$A$2:$C$28, 2, 0))))) * 400</f>
        <v>35300</v>
      </c>
      <c r="K892" s="3" t="s">
        <v>1821</v>
      </c>
      <c r="L892" s="1" t="s">
        <v>1822</v>
      </c>
      <c r="M892" s="1" t="n">
        <v>0</v>
      </c>
      <c r="N892" s="1" t="s">
        <v>590</v>
      </c>
      <c r="O892" s="1" t="n">
        <v>0.7</v>
      </c>
      <c r="P892" s="1"/>
      <c r="Q892" s="5" t="s">
        <v>284</v>
      </c>
      <c r="R892" s="1" t="s">
        <v>677</v>
      </c>
      <c r="S892" s="1" t="s">
        <v>677</v>
      </c>
      <c r="T892" s="1" t="s">
        <v>1785</v>
      </c>
    </row>
    <row r="893" customFormat="false" ht="15" hidden="false" customHeight="true" outlineLevel="0" collapsed="false">
      <c r="A893" s="1" t="s">
        <v>1823</v>
      </c>
      <c r="B893" s="1" t="n">
        <v>1901</v>
      </c>
      <c r="C893" s="1" t="n">
        <v>1</v>
      </c>
      <c r="D893" s="1" t="s">
        <v>38</v>
      </c>
      <c r="E893" s="1" t="s">
        <v>274</v>
      </c>
      <c r="F893" s="1" t="n">
        <v>251</v>
      </c>
      <c r="G893" s="1" t="n">
        <v>85</v>
      </c>
      <c r="H893" s="2" t="n">
        <v>9400000</v>
      </c>
      <c r="I893" s="2" t="n">
        <f aca="false">(((H893 / 800) / IF(ISBLANK(R893), 1000000, IF(ISNA(VLOOKUP(R893, Mileages!$A$2:$C$34, 2, 0)), R893, VLOOKUP(R893, Mileages!$A$2:$C$34, 2, 0)))) + (F893 * IF(ISBLANK(P893), 1, P893) * IF(ISBLANK(T893), 0, IF(ISNA(VLOOKUP(T893, 'Fuel Costs'!$A$2:$C$42, 2, 0)), T893, VLOOKUP(T893, 'Fuel Costs'!$A$2:$C$42, 2, 0))) / IF(ISBLANK(O893), 1, O893))) * 100</f>
        <v>108.7464286</v>
      </c>
      <c r="J893" s="2" t="n">
        <f aca="false">((H893 / 800) / (IF(ISBLANK(S893), 100, IF(ISNA(VLOOKUP(S893, Lives!$A$2:$C$35, 2, 0)), S893, VLOOKUP(S893, Lives!$A$2:$C$35, 2, 0))) * 12) + (IF(ISBLANK(Q893), 0, IF(ISNA(VLOOKUP(Q893, Wages!$A$2:$C$17, 2, 0)), Q893, VLOOKUP(Q893, Wages!$A$2:$C$17, 2, 0))) * IF(ISBLANK(N893), 0, IF(ISNA(VLOOKUP(N893, Crews!$A$2:$C$28, 2, 0)), N893, VLOOKUP(N893, Crews!$A$2:$C$28, 2, 0))))) * 400</f>
        <v>31833.33333</v>
      </c>
      <c r="K893" s="3" t="s">
        <v>1824</v>
      </c>
      <c r="L893" s="1" t="s">
        <v>1825</v>
      </c>
      <c r="M893" s="1" t="n">
        <v>0</v>
      </c>
      <c r="N893" s="1" t="s">
        <v>590</v>
      </c>
      <c r="O893" s="1" t="n">
        <v>0.7</v>
      </c>
      <c r="P893" s="1"/>
      <c r="Q893" s="5" t="s">
        <v>284</v>
      </c>
      <c r="R893" s="1" t="s">
        <v>677</v>
      </c>
      <c r="S893" s="1" t="s">
        <v>677</v>
      </c>
      <c r="T893" s="1" t="s">
        <v>1785</v>
      </c>
    </row>
    <row r="894" customFormat="false" ht="15" hidden="false" customHeight="true" outlineLevel="0" collapsed="false">
      <c r="A894" s="1" t="s">
        <v>1826</v>
      </c>
      <c r="B894" s="1" t="n">
        <v>1901</v>
      </c>
      <c r="C894" s="1" t="n">
        <v>1</v>
      </c>
      <c r="D894" s="1" t="s">
        <v>29</v>
      </c>
      <c r="E894" s="1"/>
      <c r="F894" s="1"/>
      <c r="G894" s="1" t="n">
        <v>38</v>
      </c>
      <c r="H894" s="2" t="n">
        <v>0</v>
      </c>
      <c r="I894" s="2" t="n">
        <v>0</v>
      </c>
      <c r="J894" s="2"/>
      <c r="K894" s="1"/>
      <c r="L894" s="1" t="s">
        <v>279</v>
      </c>
      <c r="M894" s="1" t="n">
        <v>0</v>
      </c>
      <c r="N894" s="1"/>
      <c r="O894" s="1"/>
      <c r="P894" s="1"/>
      <c r="Q894" s="1"/>
      <c r="R894" s="1"/>
      <c r="S894" s="1"/>
      <c r="T894" s="1"/>
    </row>
    <row r="895" customFormat="false" ht="15" hidden="false" customHeight="true" outlineLevel="0" collapsed="false">
      <c r="A895" s="1" t="s">
        <v>1827</v>
      </c>
      <c r="B895" s="1" t="n">
        <v>1901</v>
      </c>
      <c r="C895" s="1" t="n">
        <v>3</v>
      </c>
      <c r="D895" s="1" t="s">
        <v>38</v>
      </c>
      <c r="E895" s="1" t="s">
        <v>274</v>
      </c>
      <c r="F895" s="1" t="n">
        <v>259</v>
      </c>
      <c r="G895" s="1" t="n">
        <v>142</v>
      </c>
      <c r="H895" s="2" t="n">
        <v>8600000</v>
      </c>
      <c r="I895" s="2" t="n">
        <f aca="false">(((H895 / 800) / IF(ISBLANK(R895), 1000000, IF(ISNA(VLOOKUP(R895, Mileages!$A$2:$C$34, 2, 0)), R895, VLOOKUP(R895, Mileages!$A$2:$C$34, 2, 0)))) + (F895 * IF(ISBLANK(P895), 1, P895) * IF(ISBLANK(T895), 0, IF(ISNA(VLOOKUP(T895, 'Fuel Costs'!$A$2:$C$42, 2, 0)), T895, VLOOKUP(T895, 'Fuel Costs'!$A$2:$C$42, 2, 0))) / IF(ISBLANK(O895), 1, O895))) * 100</f>
        <v>112.075</v>
      </c>
      <c r="J895" s="2" t="n">
        <f aca="false">((H895 / 800) / (IF(ISBLANK(S895), 100, IF(ISNA(VLOOKUP(S895, Lives!$A$2:$C$35, 2, 0)), S895, VLOOKUP(S895, Lives!$A$2:$C$35, 2, 0))) * 12) + (IF(ISBLANK(Q895), 0, IF(ISNA(VLOOKUP(Q895, Wages!$A$2:$C$17, 2, 0)), Q895, VLOOKUP(Q895, Wages!$A$2:$C$17, 2, 0))) * IF(ISBLANK(N895), 0, IF(ISNA(VLOOKUP(N895, Crews!$A$2:$C$28, 2, 0)), N895, VLOOKUP(N895, Crews!$A$2:$C$28, 2, 0))))) * 400</f>
        <v>31166.66667</v>
      </c>
      <c r="K895" s="3" t="s">
        <v>1828</v>
      </c>
      <c r="L895" s="1" t="s">
        <v>1829</v>
      </c>
      <c r="M895" s="1" t="n">
        <v>0</v>
      </c>
      <c r="N895" s="1" t="s">
        <v>590</v>
      </c>
      <c r="O895" s="1" t="n">
        <v>0.7</v>
      </c>
      <c r="P895" s="1"/>
      <c r="Q895" s="5" t="s">
        <v>284</v>
      </c>
      <c r="R895" s="1" t="s">
        <v>677</v>
      </c>
      <c r="S895" s="1" t="s">
        <v>677</v>
      </c>
      <c r="T895" s="1" t="s">
        <v>1785</v>
      </c>
    </row>
    <row r="896" customFormat="false" ht="15" hidden="false" customHeight="true" outlineLevel="0" collapsed="false">
      <c r="A896" s="1" t="s">
        <v>1830</v>
      </c>
      <c r="B896" s="1" t="n">
        <v>1901</v>
      </c>
      <c r="C896" s="1" t="n">
        <v>4</v>
      </c>
      <c r="D896" s="1" t="s">
        <v>21</v>
      </c>
      <c r="E896" s="1" t="s">
        <v>274</v>
      </c>
      <c r="F896" s="1" t="n">
        <v>18</v>
      </c>
      <c r="G896" s="1" t="n">
        <v>12</v>
      </c>
      <c r="H896" s="2" t="n">
        <v>85500</v>
      </c>
      <c r="I896" s="2" t="n">
        <f aca="false">(((H896 / 800) / IF(ISBLANK(R896), 1000000, IF(ISNA(VLOOKUP(R896, Mileages!$A$2:$C$34, 2, 0)), R896, VLOOKUP(R896, Mileages!$A$2:$C$34, 2, 0)))) + (F896 * IF(ISBLANK(P896), 1, P896) * IF(ISBLANK(T896), 0, IF(ISNA(VLOOKUP(T896, 'Fuel Costs'!$A$2:$C$42, 2, 0)), T896, VLOOKUP(T896, 'Fuel Costs'!$A$2:$C$42, 2, 0))) / IF(ISBLANK(O896), 1, O896))) * 100</f>
        <v>9.839556818</v>
      </c>
      <c r="J896" s="2" t="n">
        <f aca="false">((H896 / 800) / (IF(ISBLANK(S896), 100, IF(ISNA(VLOOKUP(S896, Lives!$A$2:$C$35, 2, 0)), S896, VLOOKUP(S896, Lives!$A$2:$C$35, 2, 0))) * 12) + (IF(ISBLANK(Q896), 0, IF(ISNA(VLOOKUP(Q896, Wages!$A$2:$C$17, 2, 0)), Q896, VLOOKUP(Q896, Wages!$A$2:$C$17, 2, 0))) * IF(ISBLANK(N896), 0, IF(ISNA(VLOOKUP(N896, Crews!$A$2:$C$28, 2, 0)), N896, VLOOKUP(N896, Crews!$A$2:$C$28, 2, 0))))) * 400</f>
        <v>8044.53125</v>
      </c>
      <c r="K896" s="3" t="s">
        <v>1831</v>
      </c>
      <c r="L896" s="1" t="s">
        <v>1832</v>
      </c>
      <c r="M896" s="1" t="n">
        <v>0</v>
      </c>
      <c r="N896" s="1" t="s">
        <v>25</v>
      </c>
      <c r="O896" s="1" t="n">
        <v>0.55</v>
      </c>
      <c r="P896" s="1"/>
      <c r="Q896" s="1" t="s">
        <v>1815</v>
      </c>
      <c r="R896" s="1" t="s">
        <v>837</v>
      </c>
      <c r="S896" s="1" t="s">
        <v>837</v>
      </c>
      <c r="T896" s="1" t="s">
        <v>1785</v>
      </c>
    </row>
    <row r="897" customFormat="false" ht="15" hidden="false" customHeight="true" outlineLevel="0" collapsed="false">
      <c r="A897" s="1" t="s">
        <v>1833</v>
      </c>
      <c r="B897" s="1" t="n">
        <v>1901</v>
      </c>
      <c r="C897" s="1" t="n">
        <v>4</v>
      </c>
      <c r="D897" s="1" t="s">
        <v>21</v>
      </c>
      <c r="E897" s="1" t="s">
        <v>274</v>
      </c>
      <c r="F897" s="1" t="n">
        <v>18</v>
      </c>
      <c r="G897" s="1" t="n">
        <v>12</v>
      </c>
      <c r="H897" s="2" t="n">
        <v>85500</v>
      </c>
      <c r="I897" s="2" t="n">
        <f aca="false">(((H897 / 800) / IF(ISBLANK(R897), 1000000, IF(ISNA(VLOOKUP(R897, Mileages!$A$2:$C$34, 2, 0)), R897, VLOOKUP(R897, Mileages!$A$2:$C$34, 2, 0)))) + (F897 * IF(ISBLANK(P897), 1, P897) * IF(ISBLANK(T897), 0, IF(ISNA(VLOOKUP(T897, 'Fuel Costs'!$A$2:$C$42, 2, 0)), T897, VLOOKUP(T897, 'Fuel Costs'!$A$2:$C$42, 2, 0))) / IF(ISBLANK(O897), 1, O897))) * 100</f>
        <v>9.839556818</v>
      </c>
      <c r="J897" s="2" t="n">
        <f aca="false">((H897 / 800) / (IF(ISBLANK(S897), 100, IF(ISNA(VLOOKUP(S897, Lives!$A$2:$C$35, 2, 0)), S897, VLOOKUP(S897, Lives!$A$2:$C$35, 2, 0))) * 12) + (IF(ISBLANK(Q897), 0, IF(ISNA(VLOOKUP(Q897, Wages!$A$2:$C$17, 2, 0)), Q897, VLOOKUP(Q897, Wages!$A$2:$C$17, 2, 0))) * IF(ISBLANK(N897), 0, IF(ISNA(VLOOKUP(N897, Crews!$A$2:$C$28, 2, 0)), N897, VLOOKUP(N897, Crews!$A$2:$C$28, 2, 0))))) * 400</f>
        <v>8044.53125</v>
      </c>
      <c r="K897" s="1"/>
      <c r="L897" s="1" t="s">
        <v>1832</v>
      </c>
      <c r="M897" s="1" t="n">
        <v>1</v>
      </c>
      <c r="N897" s="1" t="s">
        <v>25</v>
      </c>
      <c r="O897" s="1" t="n">
        <v>0.55</v>
      </c>
      <c r="P897" s="1"/>
      <c r="Q897" s="1" t="s">
        <v>1815</v>
      </c>
      <c r="R897" s="1" t="s">
        <v>837</v>
      </c>
      <c r="S897" s="1" t="s">
        <v>837</v>
      </c>
      <c r="T897" s="1" t="s">
        <v>1785</v>
      </c>
    </row>
    <row r="898" customFormat="false" ht="15" hidden="false" customHeight="true" outlineLevel="0" collapsed="false">
      <c r="A898" s="1" t="s">
        <v>1834</v>
      </c>
      <c r="B898" s="1" t="n">
        <v>1901</v>
      </c>
      <c r="C898" s="1" t="n">
        <v>4</v>
      </c>
      <c r="D898" s="1" t="s">
        <v>21</v>
      </c>
      <c r="E898" s="1" t="s">
        <v>274</v>
      </c>
      <c r="F898" s="1" t="n">
        <v>18</v>
      </c>
      <c r="G898" s="1" t="n">
        <v>12</v>
      </c>
      <c r="H898" s="2" t="n">
        <v>85500</v>
      </c>
      <c r="I898" s="2" t="n">
        <f aca="false">(((H898 / 800) / IF(ISBLANK(R898), 1000000, IF(ISNA(VLOOKUP(R898, Mileages!$A$2:$C$34, 2, 0)), R898, VLOOKUP(R898, Mileages!$A$2:$C$34, 2, 0)))) + (F898 * IF(ISBLANK(P898), 1, P898) * IF(ISBLANK(T898), 0, IF(ISNA(VLOOKUP(T898, 'Fuel Costs'!$A$2:$C$42, 2, 0)), T898, VLOOKUP(T898, 'Fuel Costs'!$A$2:$C$42, 2, 0))) / IF(ISBLANK(O898), 1, O898))) * 100</f>
        <v>9.839556818</v>
      </c>
      <c r="J898" s="2" t="n">
        <f aca="false">((H898 / 800) / (IF(ISBLANK(S898), 100, IF(ISNA(VLOOKUP(S898, Lives!$A$2:$C$35, 2, 0)), S898, VLOOKUP(S898, Lives!$A$2:$C$35, 2, 0))) * 12) + (IF(ISBLANK(Q898), 0, IF(ISNA(VLOOKUP(Q898, Wages!$A$2:$C$17, 2, 0)), Q898, VLOOKUP(Q898, Wages!$A$2:$C$17, 2, 0))) * IF(ISBLANK(N898), 0, IF(ISNA(VLOOKUP(N898, Crews!$A$2:$C$28, 2, 0)), N898, VLOOKUP(N898, Crews!$A$2:$C$28, 2, 0))))) * 400</f>
        <v>8044.53125</v>
      </c>
      <c r="K898" s="1"/>
      <c r="L898" s="1" t="s">
        <v>1832</v>
      </c>
      <c r="M898" s="1" t="n">
        <v>2</v>
      </c>
      <c r="N898" s="1" t="s">
        <v>25</v>
      </c>
      <c r="O898" s="1" t="n">
        <v>0.55</v>
      </c>
      <c r="P898" s="1"/>
      <c r="Q898" s="1" t="s">
        <v>1815</v>
      </c>
      <c r="R898" s="1" t="s">
        <v>837</v>
      </c>
      <c r="S898" s="1" t="s">
        <v>837</v>
      </c>
      <c r="T898" s="1" t="s">
        <v>1785</v>
      </c>
    </row>
    <row r="899" customFormat="false" ht="15" hidden="false" customHeight="true" outlineLevel="0" collapsed="false">
      <c r="A899" s="1" t="s">
        <v>1835</v>
      </c>
      <c r="B899" s="1" t="n">
        <v>1901</v>
      </c>
      <c r="C899" s="1" t="n">
        <v>4</v>
      </c>
      <c r="D899" s="1" t="s">
        <v>21</v>
      </c>
      <c r="E899" s="1" t="s">
        <v>274</v>
      </c>
      <c r="F899" s="1" t="n">
        <v>18</v>
      </c>
      <c r="G899" s="1" t="n">
        <v>12</v>
      </c>
      <c r="H899" s="2" t="n">
        <v>85500</v>
      </c>
      <c r="I899" s="2" t="n">
        <f aca="false">(((H899 / 800) / IF(ISBLANK(R899), 1000000, IF(ISNA(VLOOKUP(R899, Mileages!$A$2:$C$34, 2, 0)), R899, VLOOKUP(R899, Mileages!$A$2:$C$34, 2, 0)))) + (F899 * IF(ISBLANK(P899), 1, P899) * IF(ISBLANK(T899), 0, IF(ISNA(VLOOKUP(T899, 'Fuel Costs'!$A$2:$C$42, 2, 0)), T899, VLOOKUP(T899, 'Fuel Costs'!$A$2:$C$42, 2, 0))) / IF(ISBLANK(O899), 1, O899))) * 100</f>
        <v>9.839556818</v>
      </c>
      <c r="J899" s="2" t="n">
        <f aca="false">((H899 / 800) / (IF(ISBLANK(S899), 100, IF(ISNA(VLOOKUP(S899, Lives!$A$2:$C$35, 2, 0)), S899, VLOOKUP(S899, Lives!$A$2:$C$35, 2, 0))) * 12) + (IF(ISBLANK(Q899), 0, IF(ISNA(VLOOKUP(Q899, Wages!$A$2:$C$17, 2, 0)), Q899, VLOOKUP(Q899, Wages!$A$2:$C$17, 2, 0))) * IF(ISBLANK(N899), 0, IF(ISNA(VLOOKUP(N899, Crews!$A$2:$C$28, 2, 0)), N899, VLOOKUP(N899, Crews!$A$2:$C$28, 2, 0))))) * 400</f>
        <v>8044.53125</v>
      </c>
      <c r="K899" s="1"/>
      <c r="L899" s="1" t="s">
        <v>1832</v>
      </c>
      <c r="M899" s="1" t="n">
        <v>3</v>
      </c>
      <c r="N899" s="1" t="s">
        <v>25</v>
      </c>
      <c r="O899" s="1" t="n">
        <v>0.55</v>
      </c>
      <c r="P899" s="1"/>
      <c r="Q899" s="1" t="s">
        <v>1815</v>
      </c>
      <c r="R899" s="1" t="s">
        <v>837</v>
      </c>
      <c r="S899" s="1" t="s">
        <v>837</v>
      </c>
      <c r="T899" s="1" t="s">
        <v>1785</v>
      </c>
    </row>
    <row r="900" customFormat="false" ht="15" hidden="false" customHeight="true" outlineLevel="0" collapsed="false">
      <c r="A900" s="1" t="s">
        <v>1836</v>
      </c>
      <c r="B900" s="1" t="n">
        <v>1901</v>
      </c>
      <c r="C900" s="1" t="n">
        <v>4</v>
      </c>
      <c r="D900" s="1" t="s">
        <v>21</v>
      </c>
      <c r="E900" s="1" t="s">
        <v>274</v>
      </c>
      <c r="F900" s="1" t="n">
        <v>18</v>
      </c>
      <c r="G900" s="1" t="n">
        <v>12</v>
      </c>
      <c r="H900" s="2" t="n">
        <v>85500</v>
      </c>
      <c r="I900" s="2" t="n">
        <f aca="false">(((H900 / 800) / IF(ISBLANK(R900), 1000000, IF(ISNA(VLOOKUP(R900, Mileages!$A$2:$C$34, 2, 0)), R900, VLOOKUP(R900, Mileages!$A$2:$C$34, 2, 0)))) + (F900 * IF(ISBLANK(P900), 1, P900) * IF(ISBLANK(T900), 0, IF(ISNA(VLOOKUP(T900, 'Fuel Costs'!$A$2:$C$42, 2, 0)), T900, VLOOKUP(T900, 'Fuel Costs'!$A$2:$C$42, 2, 0))) / IF(ISBLANK(O900), 1, O900))) * 100</f>
        <v>9.839556818</v>
      </c>
      <c r="J900" s="2" t="n">
        <f aca="false">((H900 / 800) / (IF(ISBLANK(S900), 100, IF(ISNA(VLOOKUP(S900, Lives!$A$2:$C$35, 2, 0)), S900, VLOOKUP(S900, Lives!$A$2:$C$35, 2, 0))) * 12) + (IF(ISBLANK(Q900), 0, IF(ISNA(VLOOKUP(Q900, Wages!$A$2:$C$17, 2, 0)), Q900, VLOOKUP(Q900, Wages!$A$2:$C$17, 2, 0))) * IF(ISBLANK(N900), 0, IF(ISNA(VLOOKUP(N900, Crews!$A$2:$C$28, 2, 0)), N900, VLOOKUP(N900, Crews!$A$2:$C$28, 2, 0))))) * 400</f>
        <v>8044.53125</v>
      </c>
      <c r="K900" s="1"/>
      <c r="L900" s="1" t="s">
        <v>1832</v>
      </c>
      <c r="M900" s="1" t="n">
        <v>4</v>
      </c>
      <c r="N900" s="1" t="s">
        <v>25</v>
      </c>
      <c r="O900" s="1" t="n">
        <v>0.55</v>
      </c>
      <c r="P900" s="1"/>
      <c r="Q900" s="1" t="s">
        <v>1815</v>
      </c>
      <c r="R900" s="1" t="s">
        <v>837</v>
      </c>
      <c r="S900" s="1" t="s">
        <v>837</v>
      </c>
      <c r="T900" s="1" t="s">
        <v>1785</v>
      </c>
    </row>
    <row r="901" customFormat="false" ht="15" hidden="false" customHeight="true" outlineLevel="0" collapsed="false">
      <c r="A901" s="1" t="s">
        <v>1837</v>
      </c>
      <c r="B901" s="1" t="n">
        <v>1901</v>
      </c>
      <c r="C901" s="1" t="n">
        <v>4</v>
      </c>
      <c r="D901" s="1" t="s">
        <v>21</v>
      </c>
      <c r="E901" s="1" t="s">
        <v>274</v>
      </c>
      <c r="F901" s="1" t="n">
        <v>18</v>
      </c>
      <c r="G901" s="1" t="n">
        <v>12</v>
      </c>
      <c r="H901" s="2" t="n">
        <v>85500</v>
      </c>
      <c r="I901" s="2" t="n">
        <f aca="false">(((H901 / 800) / IF(ISBLANK(R901), 1000000, IF(ISNA(VLOOKUP(R901, Mileages!$A$2:$C$34, 2, 0)), R901, VLOOKUP(R901, Mileages!$A$2:$C$34, 2, 0)))) + (F901 * IF(ISBLANK(P901), 1, P901) * IF(ISBLANK(T901), 0, IF(ISNA(VLOOKUP(T901, 'Fuel Costs'!$A$2:$C$42, 2, 0)), T901, VLOOKUP(T901, 'Fuel Costs'!$A$2:$C$42, 2, 0))) / IF(ISBLANK(O901), 1, O901))) * 100</f>
        <v>9.839556818</v>
      </c>
      <c r="J901" s="2" t="n">
        <f aca="false">((H901 / 800) / (IF(ISBLANK(S901), 100, IF(ISNA(VLOOKUP(S901, Lives!$A$2:$C$35, 2, 0)), S901, VLOOKUP(S901, Lives!$A$2:$C$35, 2, 0))) * 12) + (IF(ISBLANK(Q901), 0, IF(ISNA(VLOOKUP(Q901, Wages!$A$2:$C$17, 2, 0)), Q901, VLOOKUP(Q901, Wages!$A$2:$C$17, 2, 0))) * IF(ISBLANK(N901), 0, IF(ISNA(VLOOKUP(N901, Crews!$A$2:$C$28, 2, 0)), N901, VLOOKUP(N901, Crews!$A$2:$C$28, 2, 0))))) * 400</f>
        <v>8044.53125</v>
      </c>
      <c r="K901" s="1"/>
      <c r="L901" s="1" t="s">
        <v>1832</v>
      </c>
      <c r="M901" s="1" t="n">
        <v>5</v>
      </c>
      <c r="N901" s="1" t="s">
        <v>25</v>
      </c>
      <c r="O901" s="1" t="n">
        <v>0.55</v>
      </c>
      <c r="P901" s="1"/>
      <c r="Q901" s="1" t="s">
        <v>1815</v>
      </c>
      <c r="R901" s="1" t="s">
        <v>837</v>
      </c>
      <c r="S901" s="1" t="s">
        <v>837</v>
      </c>
      <c r="T901" s="1" t="s">
        <v>1785</v>
      </c>
    </row>
    <row r="902" customFormat="false" ht="15" hidden="false" customHeight="true" outlineLevel="0" collapsed="false">
      <c r="A902" s="1" t="s">
        <v>1838</v>
      </c>
      <c r="B902" s="1" t="n">
        <v>1901</v>
      </c>
      <c r="C902" s="1" t="n">
        <v>4</v>
      </c>
      <c r="D902" s="1" t="s">
        <v>21</v>
      </c>
      <c r="E902" s="1" t="s">
        <v>1839</v>
      </c>
      <c r="F902" s="1" t="n">
        <v>16</v>
      </c>
      <c r="G902" s="1" t="n">
        <v>20</v>
      </c>
      <c r="H902" s="2" t="n">
        <v>37500</v>
      </c>
      <c r="I902" s="2" t="n">
        <f aca="false">(((H902 / 800) / IF(ISBLANK(R902), 1000000, IF(ISNA(VLOOKUP(R902, Mileages!$A$2:$C$34, 2, 0)), R902, VLOOKUP(R902, Mileages!$A$2:$C$34, 2, 0)))) + (F902 * IF(ISBLANK(P902), 1, P902) * IF(ISBLANK(T902), 0, IF(ISNA(VLOOKUP(T902, 'Fuel Costs'!$A$2:$C$42, 2, 0)), T902, VLOOKUP(T902, 'Fuel Costs'!$A$2:$C$42, 2, 0))) / IF(ISBLANK(O902), 1, O902))) * 100</f>
        <v>18.67604167</v>
      </c>
      <c r="J902" s="2" t="n">
        <f aca="false">((H902 / 800) / (IF(ISBLANK(S902), 100, IF(ISNA(VLOOKUP(S902, Lives!$A$2:$C$35, 2, 0)), S902, VLOOKUP(S902, Lives!$A$2:$C$35, 2, 0))) * 12) + (IF(ISBLANK(Q902), 0, IF(ISNA(VLOOKUP(Q902, Wages!$A$2:$C$17, 2, 0)), Q902, VLOOKUP(Q902, Wages!$A$2:$C$17, 2, 0))) * IF(ISBLANK(N902), 0, IF(ISNA(VLOOKUP(N902, Crews!$A$2:$C$28, 2, 0)), N902, VLOOKUP(N902, Crews!$A$2:$C$28, 2, 0))))) * 400</f>
        <v>8019.53125</v>
      </c>
      <c r="K902" s="3" t="s">
        <v>1840</v>
      </c>
      <c r="L902" s="1" t="s">
        <v>1841</v>
      </c>
      <c r="M902" s="1" t="n">
        <v>0</v>
      </c>
      <c r="N902" s="1" t="s">
        <v>25</v>
      </c>
      <c r="O902" s="1" t="n">
        <v>0.6</v>
      </c>
      <c r="P902" s="1"/>
      <c r="Q902" s="1" t="s">
        <v>1815</v>
      </c>
      <c r="R902" s="1" t="s">
        <v>1842</v>
      </c>
      <c r="S902" s="1" t="s">
        <v>1843</v>
      </c>
      <c r="T902" s="1" t="s">
        <v>1844</v>
      </c>
    </row>
    <row r="903" customFormat="false" ht="15" hidden="false" customHeight="true" outlineLevel="0" collapsed="false">
      <c r="A903" s="1" t="s">
        <v>1845</v>
      </c>
      <c r="B903" s="1" t="n">
        <v>1901</v>
      </c>
      <c r="C903" s="1" t="n">
        <v>5</v>
      </c>
      <c r="D903" s="1" t="s">
        <v>29</v>
      </c>
      <c r="E903" s="1" t="s">
        <v>274</v>
      </c>
      <c r="F903" s="1" t="n">
        <v>1827</v>
      </c>
      <c r="G903" s="1" t="n">
        <v>38</v>
      </c>
      <c r="H903" s="2" t="n">
        <v>74000000</v>
      </c>
      <c r="I903" s="2" t="n">
        <f aca="false">(((H903 / 800) / IF(ISBLANK(R903), 1000000, IF(ISNA(VLOOKUP(R903, Mileages!$A$2:$C$34, 2, 0)), R903, VLOOKUP(R903, Mileages!$A$2:$C$34, 2, 0)))) + (F903 * IF(ISBLANK(P903), 1, P903) * IF(ISBLANK(T903), 0, IF(ISNA(VLOOKUP(T903, 'Fuel Costs'!$A$2:$C$42, 2, 0)), T903, VLOOKUP(T903, 'Fuel Costs'!$A$2:$C$42, 2, 0))) / IF(ISBLANK(O903), 1, O903))) * 100</f>
        <v>114.245</v>
      </c>
      <c r="J903" s="2" t="n">
        <f aca="false">((H903 / 800) / (IF(ISBLANK(S903), 100, IF(ISNA(VLOOKUP(S903, Lives!$A$2:$C$35, 2, 0)), S903, VLOOKUP(S903, Lives!$A$2:$C$35, 2, 0))) * 12) + (IF(ISBLANK(Q903), 0, IF(ISNA(VLOOKUP(Q903, Wages!$A$2:$C$17, 2, 0)), Q903, VLOOKUP(Q903, Wages!$A$2:$C$17, 2, 0))) * IF(ISBLANK(N903), 0, IF(ISNA(VLOOKUP(N903, Crews!$A$2:$C$28, 2, 0)), N903, VLOOKUP(N903, Crews!$A$2:$C$28, 2, 0))))) * 400</f>
        <v>630833.3333</v>
      </c>
      <c r="K903" s="1" t="s">
        <v>145</v>
      </c>
      <c r="L903" s="1" t="s">
        <v>1846</v>
      </c>
      <c r="M903" s="1" t="n">
        <v>0</v>
      </c>
      <c r="N903" s="1" t="s">
        <v>754</v>
      </c>
      <c r="O903" s="1" t="n">
        <v>1</v>
      </c>
      <c r="P903" s="1" t="n">
        <v>0.2</v>
      </c>
      <c r="Q903" s="1" t="s">
        <v>34</v>
      </c>
      <c r="R903" s="1" t="s">
        <v>574</v>
      </c>
      <c r="S903" s="1" t="s">
        <v>574</v>
      </c>
      <c r="T903" s="1" t="s">
        <v>1785</v>
      </c>
    </row>
    <row r="904" customFormat="false" ht="15" hidden="false" customHeight="true" outlineLevel="0" collapsed="false">
      <c r="A904" s="1" t="s">
        <v>1847</v>
      </c>
      <c r="B904" s="1" t="n">
        <v>1901</v>
      </c>
      <c r="C904" s="1" t="n">
        <v>6</v>
      </c>
      <c r="D904" s="1" t="s">
        <v>876</v>
      </c>
      <c r="E904" s="1" t="s">
        <v>1346</v>
      </c>
      <c r="F904" s="1" t="n">
        <v>37</v>
      </c>
      <c r="G904" s="1" t="n">
        <v>32</v>
      </c>
      <c r="H904" s="2" t="n">
        <v>425000</v>
      </c>
      <c r="I904" s="2" t="n">
        <f aca="false">(((H904 / 800) / IF(ISBLANK(R904), 1000000, IF(ISNA(VLOOKUP(R904, Mileages!$A$2:$C$34, 2, 0)), R904, VLOOKUP(R904, Mileages!$A$2:$C$34, 2, 0)))) + (F904 * IF(ISBLANK(P904), 1, P904) * IF(ISBLANK(T904), 0, IF(ISNA(VLOOKUP(T904, 'Fuel Costs'!$A$2:$C$42, 2, 0)), T904, VLOOKUP(T904, 'Fuel Costs'!$A$2:$C$42, 2, 0))) / IF(ISBLANK(O904), 1, O904))) * 100</f>
        <v>22.253125</v>
      </c>
      <c r="J904" s="2" t="n">
        <f aca="false">((H904 / 800) / (IF(ISBLANK(S904), 100, IF(ISNA(VLOOKUP(S904, Lives!$A$2:$C$35, 2, 0)), S904, VLOOKUP(S904, Lives!$A$2:$C$35, 2, 0))) * 12) + (IF(ISBLANK(Q904), 0, IF(ISNA(VLOOKUP(Q904, Wages!$A$2:$C$17, 2, 0)), Q904, VLOOKUP(Q904, Wages!$A$2:$C$17, 2, 0))) * IF(ISBLANK(N904), 0, IF(ISNA(VLOOKUP(N904, Crews!$A$2:$C$28, 2, 0)), N904, VLOOKUP(N904, Crews!$A$2:$C$28, 2, 0))))) * 400</f>
        <v>6354.166667</v>
      </c>
      <c r="K904" s="3" t="s">
        <v>1848</v>
      </c>
      <c r="L904" s="1" t="s">
        <v>1849</v>
      </c>
      <c r="M904" s="1" t="n">
        <v>0</v>
      </c>
      <c r="N904" s="1" t="s">
        <v>895</v>
      </c>
      <c r="O904" s="1"/>
      <c r="P904" s="1"/>
      <c r="Q904" s="1" t="s">
        <v>895</v>
      </c>
      <c r="R904" s="1" t="s">
        <v>1349</v>
      </c>
      <c r="S904" s="1" t="s">
        <v>1350</v>
      </c>
      <c r="T904" s="1" t="s">
        <v>1351</v>
      </c>
    </row>
    <row r="905" customFormat="false" ht="15" hidden="false" customHeight="true" outlineLevel="0" collapsed="false">
      <c r="A905" s="1" t="s">
        <v>1850</v>
      </c>
      <c r="B905" s="1" t="n">
        <v>1901</v>
      </c>
      <c r="C905" s="1" t="n">
        <v>8</v>
      </c>
      <c r="D905" s="1" t="s">
        <v>38</v>
      </c>
      <c r="E905" s="1" t="s">
        <v>274</v>
      </c>
      <c r="F905" s="1" t="n">
        <v>259</v>
      </c>
      <c r="G905" s="1" t="n">
        <v>85</v>
      </c>
      <c r="H905" s="2" t="n">
        <v>6456000</v>
      </c>
      <c r="I905" s="2" t="n">
        <f aca="false">(((H905 / 800) / IF(ISBLANK(R905), 1000000, IF(ISNA(VLOOKUP(R905, Mileages!$A$2:$C$34, 2, 0)), R905, VLOOKUP(R905, Mileages!$A$2:$C$34, 2, 0)))) + (F905 * IF(ISBLANK(P905), 1, P905) * IF(ISBLANK(T905), 0, IF(ISNA(VLOOKUP(T905, 'Fuel Costs'!$A$2:$C$42, 2, 0)), T905, VLOOKUP(T905, 'Fuel Costs'!$A$2:$C$42, 2, 0))) / IF(ISBLANK(O905), 1, O905))) * 100</f>
        <v>111.807</v>
      </c>
      <c r="J905" s="2" t="n">
        <f aca="false">((H905 / 800) / (IF(ISBLANK(S905), 100, IF(ISNA(VLOOKUP(S905, Lives!$A$2:$C$35, 2, 0)), S905, VLOOKUP(S905, Lives!$A$2:$C$35, 2, 0))) * 12) + (IF(ISBLANK(Q905), 0, IF(ISNA(VLOOKUP(Q905, Wages!$A$2:$C$17, 2, 0)), Q905, VLOOKUP(Q905, Wages!$A$2:$C$17, 2, 0))) * IF(ISBLANK(N905), 0, IF(ISNA(VLOOKUP(N905, Crews!$A$2:$C$28, 2, 0)), N905, VLOOKUP(N905, Crews!$A$2:$C$28, 2, 0))))) * 400</f>
        <v>29380</v>
      </c>
      <c r="K905" s="3" t="s">
        <v>1851</v>
      </c>
      <c r="L905" s="1" t="s">
        <v>1852</v>
      </c>
      <c r="M905" s="1" t="n">
        <v>0</v>
      </c>
      <c r="N905" s="1" t="s">
        <v>590</v>
      </c>
      <c r="O905" s="1" t="n">
        <v>0.7</v>
      </c>
      <c r="P905" s="1"/>
      <c r="Q905" s="5" t="s">
        <v>284</v>
      </c>
      <c r="R905" s="1" t="s">
        <v>677</v>
      </c>
      <c r="S905" s="1" t="s">
        <v>677</v>
      </c>
      <c r="T905" s="1" t="s">
        <v>1785</v>
      </c>
    </row>
    <row r="906" customFormat="false" ht="15" hidden="false" customHeight="true" outlineLevel="0" collapsed="false">
      <c r="A906" s="1" t="s">
        <v>1853</v>
      </c>
      <c r="B906" s="1" t="n">
        <v>1901</v>
      </c>
      <c r="C906" s="1" t="n">
        <v>11</v>
      </c>
      <c r="D906" s="1" t="s">
        <v>38</v>
      </c>
      <c r="E906" s="1"/>
      <c r="F906" s="1"/>
      <c r="G906" s="1" t="n">
        <v>160</v>
      </c>
      <c r="H906" s="2" t="n">
        <v>400000</v>
      </c>
      <c r="I906" s="2" t="n">
        <f aca="false">(((H906 / 800) / IF(ISBLANK(R906), 1000000, IF(ISNA(VLOOKUP(R906, Mileages!$A$2:$C$34, 2, 0)), R906, VLOOKUP(R906, Mileages!$A$2:$C$34, 2, 0)))) + (F906 * IF(ISBLANK(P906), 1, P906) * IF(ISBLANK(T906), 0, IF(ISNA(VLOOKUP(T906, 'Fuel Costs'!$A$2:$C$42, 2, 0)), T906, VLOOKUP(T906, 'Fuel Costs'!$A$2:$C$42, 2, 0))) / IF(ISBLANK(O906), 1, O906))) * 100</f>
        <v>0.04166666667</v>
      </c>
      <c r="J906" s="2" t="n">
        <f aca="false">((H906 / 800) / (IF(ISBLANK(S906), 100, IF(ISNA(VLOOKUP(S906, Lives!$A$2:$C$35, 2, 0)), S906, VLOOKUP(S906, Lives!$A$2:$C$35, 2, 0))) * 12) + (IF(ISBLANK(Q906), 0, IF(ISNA(VLOOKUP(Q906, Wages!$A$2:$C$17, 2, 0)), Q906, VLOOKUP(Q906, Wages!$A$2:$C$17, 2, 0))) * IF(ISBLANK(N906), 0, IF(ISNA(VLOOKUP(N906, Crews!$A$2:$C$28, 2, 0)), N906, VLOOKUP(N906, Crews!$A$2:$C$28, 2, 0))))) * 400</f>
        <v>476.1904762</v>
      </c>
      <c r="K906" s="1"/>
      <c r="L906" s="1" t="s">
        <v>1854</v>
      </c>
      <c r="M906" s="1" t="n">
        <v>0</v>
      </c>
      <c r="N906" s="1"/>
      <c r="O906" s="1"/>
      <c r="P906" s="1"/>
      <c r="Q906" s="1"/>
      <c r="R906" s="1" t="s">
        <v>689</v>
      </c>
      <c r="S906" s="1" t="s">
        <v>856</v>
      </c>
      <c r="T906" s="1"/>
    </row>
    <row r="907" customFormat="false" ht="15" hidden="false" customHeight="true" outlineLevel="0" collapsed="false">
      <c r="A907" s="1" t="s">
        <v>1855</v>
      </c>
      <c r="B907" s="1" t="n">
        <v>1901</v>
      </c>
      <c r="C907" s="1" t="n">
        <v>11</v>
      </c>
      <c r="D907" s="1" t="s">
        <v>38</v>
      </c>
      <c r="E907" s="1"/>
      <c r="F907" s="1"/>
      <c r="G907" s="1" t="n">
        <v>160</v>
      </c>
      <c r="H907" s="2" t="n">
        <v>450000</v>
      </c>
      <c r="I907" s="2" t="n">
        <f aca="false">(((H907 / 800) / IF(ISBLANK(R907), 1000000, IF(ISNA(VLOOKUP(R907, Mileages!$A$2:$C$34, 2, 0)), R907, VLOOKUP(R907, Mileages!$A$2:$C$34, 2, 0)))) + (F907 * IF(ISBLANK(P907), 1, P907) * IF(ISBLANK(T907), 0, IF(ISNA(VLOOKUP(T907, 'Fuel Costs'!$A$2:$C$42, 2, 0)), T907, VLOOKUP(T907, 'Fuel Costs'!$A$2:$C$42, 2, 0))) / IF(ISBLANK(O907), 1, O907))) * 100</f>
        <v>0.046875</v>
      </c>
      <c r="J907" s="2" t="n">
        <f aca="false">((H907 / 800) / (IF(ISBLANK(S907), 100, IF(ISNA(VLOOKUP(S907, Lives!$A$2:$C$35, 2, 0)), S907, VLOOKUP(S907, Lives!$A$2:$C$35, 2, 0))) * 12) + (IF(ISBLANK(Q907), 0, IF(ISNA(VLOOKUP(Q907, Wages!$A$2:$C$17, 2, 0)), Q907, VLOOKUP(Q907, Wages!$A$2:$C$17, 2, 0))) * IF(ISBLANK(N907), 0, IF(ISNA(VLOOKUP(N907, Crews!$A$2:$C$28, 2, 0)), N907, VLOOKUP(N907, Crews!$A$2:$C$28, 2, 0))))) * 400</f>
        <v>535.7142857</v>
      </c>
      <c r="K907" s="1"/>
      <c r="L907" s="1" t="s">
        <v>1854</v>
      </c>
      <c r="M907" s="1" t="n">
        <v>1</v>
      </c>
      <c r="N907" s="1"/>
      <c r="O907" s="1"/>
      <c r="P907" s="1"/>
      <c r="Q907" s="1"/>
      <c r="R907" s="1" t="s">
        <v>689</v>
      </c>
      <c r="S907" s="1" t="s">
        <v>856</v>
      </c>
      <c r="T907" s="1"/>
    </row>
    <row r="908" customFormat="false" ht="15" hidden="false" customHeight="true" outlineLevel="0" collapsed="false">
      <c r="A908" s="1" t="s">
        <v>1856</v>
      </c>
      <c r="B908" s="1" t="n">
        <v>1901</v>
      </c>
      <c r="C908" s="1" t="n">
        <v>11</v>
      </c>
      <c r="D908" s="1" t="s">
        <v>38</v>
      </c>
      <c r="E908" s="1"/>
      <c r="F908" s="1"/>
      <c r="G908" s="1" t="n">
        <v>160</v>
      </c>
      <c r="H908" s="2" t="n">
        <v>400000</v>
      </c>
      <c r="I908" s="2" t="n">
        <f aca="false">(((H908 / 800) / IF(ISBLANK(R908), 1000000, IF(ISNA(VLOOKUP(R908, Mileages!$A$2:$C$34, 2, 0)), R908, VLOOKUP(R908, Mileages!$A$2:$C$34, 2, 0)))) + (F908 * IF(ISBLANK(P908), 1, P908) * IF(ISBLANK(T908), 0, IF(ISNA(VLOOKUP(T908, 'Fuel Costs'!$A$2:$C$42, 2, 0)), T908, VLOOKUP(T908, 'Fuel Costs'!$A$2:$C$42, 2, 0))) / IF(ISBLANK(O908), 1, O908))) * 100</f>
        <v>0.04166666667</v>
      </c>
      <c r="J908" s="2" t="n">
        <f aca="false">((H908 / 800) / (IF(ISBLANK(S908), 100, IF(ISNA(VLOOKUP(S908, Lives!$A$2:$C$35, 2, 0)), S908, VLOOKUP(S908, Lives!$A$2:$C$35, 2, 0))) * 12) + (IF(ISBLANK(Q908), 0, IF(ISNA(VLOOKUP(Q908, Wages!$A$2:$C$17, 2, 0)), Q908, VLOOKUP(Q908, Wages!$A$2:$C$17, 2, 0))) * IF(ISBLANK(N908), 0, IF(ISNA(VLOOKUP(N908, Crews!$A$2:$C$28, 2, 0)), N908, VLOOKUP(N908, Crews!$A$2:$C$28, 2, 0))))) * 400</f>
        <v>5276.190476</v>
      </c>
      <c r="K908" s="1"/>
      <c r="L908" s="1" t="s">
        <v>1854</v>
      </c>
      <c r="M908" s="1" t="n">
        <v>2</v>
      </c>
      <c r="N908" s="1" t="s">
        <v>25</v>
      </c>
      <c r="O908" s="1"/>
      <c r="P908" s="1"/>
      <c r="Q908" s="1" t="s">
        <v>378</v>
      </c>
      <c r="R908" s="1" t="s">
        <v>689</v>
      </c>
      <c r="S908" s="1" t="s">
        <v>856</v>
      </c>
      <c r="T908" s="1"/>
    </row>
    <row r="909" customFormat="false" ht="15" hidden="false" customHeight="true" outlineLevel="0" collapsed="false">
      <c r="A909" s="1" t="s">
        <v>1857</v>
      </c>
      <c r="B909" s="1" t="n">
        <v>1901</v>
      </c>
      <c r="C909" s="1" t="n">
        <v>12</v>
      </c>
      <c r="D909" s="1" t="s">
        <v>38</v>
      </c>
      <c r="E909" s="1"/>
      <c r="F909" s="1" t="n">
        <v>0</v>
      </c>
      <c r="G909" s="1" t="n">
        <v>145</v>
      </c>
      <c r="H909" s="2" t="n">
        <v>0</v>
      </c>
      <c r="I909" s="2" t="n">
        <f aca="false">(((H909 / 800) / IF(ISBLANK(R909), 1000000, IF(ISNA(VLOOKUP(R909, Mileages!$A$2:$C$34, 2, 0)), R909, VLOOKUP(R909, Mileages!$A$2:$C$34, 2, 0)))) + (F909 * IF(ISBLANK(P909), 1, P909) * IF(ISBLANK(T909), 0, IF(ISNA(VLOOKUP(T909, 'Fuel Costs'!$A$2:$C$42, 2, 0)), T909, VLOOKUP(T909, 'Fuel Costs'!$A$2:$C$42, 2, 0))) / IF(ISBLANK(O909), 1, O909))) * 100</f>
        <v>0</v>
      </c>
      <c r="J909" s="2" t="n">
        <f aca="false">((H909 / 800) / (IF(ISBLANK(S909), 100, IF(ISNA(VLOOKUP(S909, Lives!$A$2:$C$35, 2, 0)), S909, VLOOKUP(S909, Lives!$A$2:$C$35, 2, 0))) * 12) + (IF(ISBLANK(Q909), 0, IF(ISNA(VLOOKUP(Q909, Wages!$A$2:$C$17, 2, 0)), Q909, VLOOKUP(Q909, Wages!$A$2:$C$17, 2, 0))) * IF(ISBLANK(N909), 0, IF(ISNA(VLOOKUP(N909, Crews!$A$2:$C$28, 2, 0)), N909, VLOOKUP(N909, Crews!$A$2:$C$28, 2, 0))))) * 400</f>
        <v>0</v>
      </c>
      <c r="K909" s="1"/>
      <c r="L909" s="1" t="s">
        <v>1858</v>
      </c>
      <c r="M909" s="1" t="n">
        <v>0</v>
      </c>
      <c r="N909" s="1"/>
      <c r="O909" s="1"/>
      <c r="P909" s="1"/>
      <c r="Q909" s="1"/>
      <c r="R909" s="1"/>
      <c r="S909" s="1"/>
      <c r="T909" s="1"/>
    </row>
    <row r="910" customFormat="false" ht="15" hidden="false" customHeight="true" outlineLevel="0" collapsed="false">
      <c r="A910" s="1" t="s">
        <v>1859</v>
      </c>
      <c r="B910" s="1" t="n">
        <v>1901</v>
      </c>
      <c r="C910" s="1" t="n">
        <v>12</v>
      </c>
      <c r="D910" s="1" t="s">
        <v>38</v>
      </c>
      <c r="E910" s="1" t="s">
        <v>274</v>
      </c>
      <c r="F910" s="1" t="n">
        <v>349</v>
      </c>
      <c r="G910" s="1" t="n">
        <v>145</v>
      </c>
      <c r="H910" s="2" t="n">
        <v>7600000</v>
      </c>
      <c r="I910" s="2" t="n">
        <f aca="false">(((H910 / 800) / IF(ISBLANK(R910), 1000000, IF(ISNA(VLOOKUP(R910, Mileages!$A$2:$C$34, 2, 0)), R910, VLOOKUP(R910, Mileages!$A$2:$C$34, 2, 0)))) + (F910 * IF(ISBLANK(P910), 1, P910) * IF(ISBLANK(T910), 0, IF(ISNA(VLOOKUP(T910, 'Fuel Costs'!$A$2:$C$42, 2, 0)), T910, VLOOKUP(T910, 'Fuel Costs'!$A$2:$C$42, 2, 0))) / IF(ISBLANK(O910), 1, O910))) * 100</f>
        <v>150.5214286</v>
      </c>
      <c r="J910" s="2" t="n">
        <f aca="false">((H910 / 800) / (IF(ISBLANK(S910), 100, IF(ISNA(VLOOKUP(S910, Lives!$A$2:$C$35, 2, 0)), S910, VLOOKUP(S910, Lives!$A$2:$C$35, 2, 0))) * 12) + (IF(ISBLANK(Q910), 0, IF(ISNA(VLOOKUP(Q910, Wages!$A$2:$C$17, 2, 0)), Q910, VLOOKUP(Q910, Wages!$A$2:$C$17, 2, 0))) * IF(ISBLANK(N910), 0, IF(ISNA(VLOOKUP(N910, Crews!$A$2:$C$28, 2, 0)), N910, VLOOKUP(N910, Crews!$A$2:$C$28, 2, 0))))) * 400</f>
        <v>46333.33333</v>
      </c>
      <c r="K910" s="3" t="s">
        <v>1860</v>
      </c>
      <c r="L910" s="1" t="s">
        <v>1861</v>
      </c>
      <c r="M910" s="1" t="n">
        <v>0</v>
      </c>
      <c r="N910" s="1" t="s">
        <v>1705</v>
      </c>
      <c r="O910" s="1" t="n">
        <v>0.7</v>
      </c>
      <c r="P910" s="1"/>
      <c r="Q910" s="5" t="s">
        <v>284</v>
      </c>
      <c r="R910" s="1" t="s">
        <v>677</v>
      </c>
      <c r="S910" s="1" t="s">
        <v>677</v>
      </c>
      <c r="T910" s="1" t="s">
        <v>1785</v>
      </c>
    </row>
    <row r="911" customFormat="false" ht="15" hidden="false" customHeight="true" outlineLevel="0" collapsed="false">
      <c r="A911" s="1" t="s">
        <v>1862</v>
      </c>
      <c r="B911" s="1" t="n">
        <v>1902</v>
      </c>
      <c r="C911" s="1" t="n">
        <v>3</v>
      </c>
      <c r="D911" s="1" t="s">
        <v>21</v>
      </c>
      <c r="E911" s="1" t="s">
        <v>1839</v>
      </c>
      <c r="F911" s="1" t="n">
        <v>19</v>
      </c>
      <c r="G911" s="1" t="n">
        <v>20</v>
      </c>
      <c r="H911" s="2" t="n">
        <v>80000</v>
      </c>
      <c r="I911" s="2" t="n">
        <f aca="false">(((H911 / 800) / IF(ISBLANK(R911), 1000000, IF(ISNA(VLOOKUP(R911, Mileages!$A$2:$C$34, 2, 0)), R911, VLOOKUP(R911, Mileages!$A$2:$C$34, 2, 0)))) + (F911 * IF(ISBLANK(P911), 1, P911) * IF(ISBLANK(T911), 0, IF(ISNA(VLOOKUP(T911, 'Fuel Costs'!$A$2:$C$42, 2, 0)), T911, VLOOKUP(T911, 'Fuel Costs'!$A$2:$C$42, 2, 0))) / IF(ISBLANK(O911), 1, O911))) * 100</f>
        <v>22.18666667</v>
      </c>
      <c r="J911" s="2" t="n">
        <f aca="false">((H911 / 800) / (IF(ISBLANK(S911), 100, IF(ISNA(VLOOKUP(S911, Lives!$A$2:$C$35, 2, 0)), S911, VLOOKUP(S911, Lives!$A$2:$C$35, 2, 0))) * 12) + (IF(ISBLANK(Q911), 0, IF(ISNA(VLOOKUP(Q911, Wages!$A$2:$C$17, 2, 0)), Q911, VLOOKUP(Q911, Wages!$A$2:$C$17, 2, 0))) * IF(ISBLANK(N911), 0, IF(ISNA(VLOOKUP(N911, Crews!$A$2:$C$28, 2, 0)), N911, VLOOKUP(N911, Crews!$A$2:$C$28, 2, 0))))) * 400</f>
        <v>8041.666667</v>
      </c>
      <c r="K911" s="3" t="s">
        <v>1863</v>
      </c>
      <c r="L911" s="1" t="s">
        <v>1864</v>
      </c>
      <c r="M911" s="1" t="n">
        <v>0</v>
      </c>
      <c r="N911" s="1" t="s">
        <v>25</v>
      </c>
      <c r="O911" s="1" t="n">
        <v>0.6</v>
      </c>
      <c r="P911" s="1"/>
      <c r="Q911" s="1" t="s">
        <v>1815</v>
      </c>
      <c r="R911" s="1" t="s">
        <v>1842</v>
      </c>
      <c r="S911" s="1" t="s">
        <v>1843</v>
      </c>
      <c r="T911" s="1" t="s">
        <v>1844</v>
      </c>
    </row>
    <row r="912" customFormat="false" ht="15" hidden="false" customHeight="true" outlineLevel="0" collapsed="false">
      <c r="A912" s="1" t="s">
        <v>1865</v>
      </c>
      <c r="B912" s="1" t="n">
        <v>1902</v>
      </c>
      <c r="C912" s="1" t="n">
        <v>3</v>
      </c>
      <c r="D912" s="1" t="s">
        <v>38</v>
      </c>
      <c r="E912" s="1" t="s">
        <v>274</v>
      </c>
      <c r="F912" s="1" t="n">
        <v>374</v>
      </c>
      <c r="G912" s="1" t="n">
        <v>144</v>
      </c>
      <c r="H912" s="2" t="n">
        <v>9601000</v>
      </c>
      <c r="I912" s="2" t="n">
        <f aca="false">(((H912 / 800) / IF(ISBLANK(R912), 1000000, IF(ISNA(VLOOKUP(R912, Mileages!$A$2:$C$34, 2, 0)), R912, VLOOKUP(R912, Mileages!$A$2:$C$34, 2, 0)))) + (F912 * IF(ISBLANK(P912), 1, P912) * IF(ISBLANK(T912), 0, IF(ISNA(VLOOKUP(T912, 'Fuel Costs'!$A$2:$C$42, 2, 0)), T912, VLOOKUP(T912, 'Fuel Costs'!$A$2:$C$42, 2, 0))) / IF(ISBLANK(O912), 1, O912))) * 100</f>
        <v>161.4858393</v>
      </c>
      <c r="J912" s="2" t="n">
        <f aca="false">((H912 / 800) / (IF(ISBLANK(S912), 100, IF(ISNA(VLOOKUP(S912, Lives!$A$2:$C$35, 2, 0)), S912, VLOOKUP(S912, Lives!$A$2:$C$35, 2, 0))) * 12) + (IF(ISBLANK(Q912), 0, IF(ISNA(VLOOKUP(Q912, Wages!$A$2:$C$17, 2, 0)), Q912, VLOOKUP(Q912, Wages!$A$2:$C$17, 2, 0))) * IF(ISBLANK(N912), 0, IF(ISNA(VLOOKUP(N912, Crews!$A$2:$C$28, 2, 0)), N912, VLOOKUP(N912, Crews!$A$2:$C$28, 2, 0))))) * 400</f>
        <v>48000.83333</v>
      </c>
      <c r="K912" s="3" t="s">
        <v>1866</v>
      </c>
      <c r="L912" s="1" t="s">
        <v>1867</v>
      </c>
      <c r="M912" s="1" t="n">
        <v>0</v>
      </c>
      <c r="N912" s="1" t="s">
        <v>1705</v>
      </c>
      <c r="O912" s="1" t="n">
        <v>0.7</v>
      </c>
      <c r="P912" s="1"/>
      <c r="Q912" s="5" t="s">
        <v>284</v>
      </c>
      <c r="R912" s="1" t="s">
        <v>677</v>
      </c>
      <c r="S912" s="1" t="s">
        <v>677</v>
      </c>
      <c r="T912" s="1" t="s">
        <v>1785</v>
      </c>
    </row>
    <row r="913" customFormat="false" ht="15" hidden="false" customHeight="true" outlineLevel="0" collapsed="false">
      <c r="A913" s="1" t="s">
        <v>1868</v>
      </c>
      <c r="B913" s="1" t="n">
        <v>1902</v>
      </c>
      <c r="C913" s="1" t="n">
        <v>3</v>
      </c>
      <c r="D913" s="1" t="s">
        <v>38</v>
      </c>
      <c r="E913" s="1"/>
      <c r="F913" s="1" t="n">
        <v>0</v>
      </c>
      <c r="G913" s="1" t="n">
        <v>144</v>
      </c>
      <c r="H913" s="2" t="n">
        <v>0</v>
      </c>
      <c r="I913" s="2" t="n">
        <f aca="false">(((H913 / 800) / IF(ISBLANK(R913), 1000000, IF(ISNA(VLOOKUP(R913, Mileages!$A$2:$C$34, 2, 0)), R913, VLOOKUP(R913, Mileages!$A$2:$C$34, 2, 0)))) + (F913 * IF(ISBLANK(P913), 1, P913) * IF(ISBLANK(T913), 0, IF(ISNA(VLOOKUP(T913, 'Fuel Costs'!$A$2:$C$42, 2, 0)), T913, VLOOKUP(T913, 'Fuel Costs'!$A$2:$C$42, 2, 0))) / IF(ISBLANK(O913), 1, O913))) * 100</f>
        <v>0</v>
      </c>
      <c r="J913" s="2" t="n">
        <f aca="false">((H913 / 800) / (IF(ISBLANK(S913), 100, IF(ISNA(VLOOKUP(S913, Lives!$A$2:$C$35, 2, 0)), S913, VLOOKUP(S913, Lives!$A$2:$C$35, 2, 0))) * 12) + (IF(ISBLANK(Q913), 0, IF(ISNA(VLOOKUP(Q913, Wages!$A$2:$C$17, 2, 0)), Q913, VLOOKUP(Q913, Wages!$A$2:$C$17, 2, 0))) * IF(ISBLANK(N913), 0, IF(ISNA(VLOOKUP(N913, Crews!$A$2:$C$28, 2, 0)), N913, VLOOKUP(N913, Crews!$A$2:$C$28, 2, 0))))) * 400</f>
        <v>0</v>
      </c>
      <c r="K913" s="1"/>
      <c r="L913" s="1" t="s">
        <v>1867</v>
      </c>
      <c r="M913" s="1" t="n">
        <v>1</v>
      </c>
      <c r="N913" s="1"/>
      <c r="O913" s="1"/>
      <c r="P913" s="1"/>
      <c r="Q913" s="1"/>
      <c r="R913" s="1"/>
      <c r="S913" s="1"/>
      <c r="T913" s="1"/>
    </row>
    <row r="914" customFormat="false" ht="15" hidden="false" customHeight="true" outlineLevel="0" collapsed="false">
      <c r="A914" s="1" t="s">
        <v>1869</v>
      </c>
      <c r="B914" s="1" t="n">
        <v>1902</v>
      </c>
      <c r="C914" s="1" t="n">
        <v>6</v>
      </c>
      <c r="D914" s="1" t="s">
        <v>38</v>
      </c>
      <c r="E914" s="1" t="s">
        <v>274</v>
      </c>
      <c r="F914" s="1" t="n">
        <v>300</v>
      </c>
      <c r="G914" s="1" t="n">
        <v>150</v>
      </c>
      <c r="H914" s="2" t="n">
        <v>9273600</v>
      </c>
      <c r="I914" s="2" t="n">
        <f aca="false">(((H914 / 800) / IF(ISBLANK(R914), 1000000, IF(ISNA(VLOOKUP(R914, Mileages!$A$2:$C$34, 2, 0)), R914, VLOOKUP(R914, Mileages!$A$2:$C$34, 2, 0)))) + (F914 * IF(ISBLANK(P914), 1, P914) * IF(ISBLANK(T914), 0, IF(ISNA(VLOOKUP(T914, 'Fuel Costs'!$A$2:$C$42, 2, 0)), T914, VLOOKUP(T914, 'Fuel Costs'!$A$2:$C$42, 2, 0))) / IF(ISBLANK(O914), 1, O914))) * 100</f>
        <v>129.7306286</v>
      </c>
      <c r="J914" s="2" t="n">
        <f aca="false">((H914 / 800) / (IF(ISBLANK(S914), 100, IF(ISNA(VLOOKUP(S914, Lives!$A$2:$C$35, 2, 0)), S914, VLOOKUP(S914, Lives!$A$2:$C$35, 2, 0))) * 12) + (IF(ISBLANK(Q914), 0, IF(ISNA(VLOOKUP(Q914, Wages!$A$2:$C$17, 2, 0)), Q914, VLOOKUP(Q914, Wages!$A$2:$C$17, 2, 0))) * IF(ISBLANK(N914), 0, IF(ISNA(VLOOKUP(N914, Crews!$A$2:$C$28, 2, 0)), N914, VLOOKUP(N914, Crews!$A$2:$C$28, 2, 0))))) * 400</f>
        <v>47728</v>
      </c>
      <c r="K914" s="3" t="s">
        <v>1870</v>
      </c>
      <c r="L914" s="1" t="s">
        <v>1871</v>
      </c>
      <c r="M914" s="1" t="n">
        <v>0</v>
      </c>
      <c r="N914" s="1" t="s">
        <v>1705</v>
      </c>
      <c r="O914" s="1" t="n">
        <v>0.7</v>
      </c>
      <c r="P914" s="1"/>
      <c r="Q914" s="5" t="s">
        <v>284</v>
      </c>
      <c r="R914" s="1" t="s">
        <v>677</v>
      </c>
      <c r="S914" s="1" t="s">
        <v>677</v>
      </c>
      <c r="T914" s="1" t="s">
        <v>1785</v>
      </c>
    </row>
    <row r="915" customFormat="false" ht="15" hidden="false" customHeight="true" outlineLevel="0" collapsed="false">
      <c r="A915" s="1" t="s">
        <v>1872</v>
      </c>
      <c r="B915" s="1" t="n">
        <v>1902</v>
      </c>
      <c r="C915" s="1" t="n">
        <v>10</v>
      </c>
      <c r="D915" s="1" t="s">
        <v>38</v>
      </c>
      <c r="E915" s="1"/>
      <c r="F915" s="1"/>
      <c r="G915" s="1" t="n">
        <v>160</v>
      </c>
      <c r="H915" s="2" t="n">
        <v>470000</v>
      </c>
      <c r="I915" s="2" t="n">
        <f aca="false">(((H915 / 800) / IF(ISBLANK(R915), 1000000, IF(ISNA(VLOOKUP(R915, Mileages!$A$2:$C$34, 2, 0)), R915, VLOOKUP(R915, Mileages!$A$2:$C$34, 2, 0)))) + (F915 * IF(ISBLANK(P915), 1, P915) * IF(ISBLANK(T915), 0, IF(ISNA(VLOOKUP(T915, 'Fuel Costs'!$A$2:$C$42, 2, 0)), T915, VLOOKUP(T915, 'Fuel Costs'!$A$2:$C$42, 2, 0))) / IF(ISBLANK(O915), 1, O915))) * 100</f>
        <v>0.04895833333</v>
      </c>
      <c r="J915" s="2" t="n">
        <f aca="false">((H915 / 800) / (IF(ISBLANK(S915), 100, IF(ISNA(VLOOKUP(S915, Lives!$A$2:$C$35, 2, 0)), S915, VLOOKUP(S915, Lives!$A$2:$C$35, 2, 0))) * 12) + (IF(ISBLANK(Q915), 0, IF(ISNA(VLOOKUP(Q915, Wages!$A$2:$C$17, 2, 0)), Q915, VLOOKUP(Q915, Wages!$A$2:$C$17, 2, 0))) * IF(ISBLANK(N915), 0, IF(ISNA(VLOOKUP(N915, Crews!$A$2:$C$28, 2, 0)), N915, VLOOKUP(N915, Crews!$A$2:$C$28, 2, 0))))) * 400</f>
        <v>559.5238095</v>
      </c>
      <c r="K915" s="3" t="s">
        <v>1873</v>
      </c>
      <c r="L915" s="1" t="s">
        <v>1874</v>
      </c>
      <c r="M915" s="1" t="n">
        <v>0</v>
      </c>
      <c r="N915" s="1"/>
      <c r="O915" s="1"/>
      <c r="P915" s="1"/>
      <c r="Q915" s="1"/>
      <c r="R915" s="1" t="s">
        <v>689</v>
      </c>
      <c r="S915" s="1" t="s">
        <v>856</v>
      </c>
      <c r="T915" s="1"/>
    </row>
    <row r="916" customFormat="false" ht="15" hidden="false" customHeight="true" outlineLevel="0" collapsed="false">
      <c r="A916" s="1" t="s">
        <v>1875</v>
      </c>
      <c r="B916" s="1" t="n">
        <v>1902</v>
      </c>
      <c r="C916" s="1" t="n">
        <v>11</v>
      </c>
      <c r="D916" s="1" t="s">
        <v>38</v>
      </c>
      <c r="E916" s="1"/>
      <c r="F916" s="1"/>
      <c r="G916" s="1" t="n">
        <v>140</v>
      </c>
      <c r="H916" s="2" t="n">
        <v>440000</v>
      </c>
      <c r="I916" s="2" t="n">
        <f aca="false">(((H916 / 800) / IF(ISBLANK(R916), 1000000, IF(ISNA(VLOOKUP(R916, Mileages!$A$2:$C$34, 2, 0)), R916, VLOOKUP(R916, Mileages!$A$2:$C$34, 2, 0)))) + (F916 * IF(ISBLANK(P916), 1, P916) * IF(ISBLANK(T916), 0, IF(ISNA(VLOOKUP(T916, 'Fuel Costs'!$A$2:$C$42, 2, 0)), T916, VLOOKUP(T916, 'Fuel Costs'!$A$2:$C$42, 2, 0))) / IF(ISBLANK(O916), 1, O916))) * 100</f>
        <v>0.04583333333</v>
      </c>
      <c r="J916" s="2" t="n">
        <f aca="false">((H916 / 800) / (IF(ISBLANK(S916), 100, IF(ISNA(VLOOKUP(S916, Lives!$A$2:$C$35, 2, 0)), S916, VLOOKUP(S916, Lives!$A$2:$C$35, 2, 0))) * 12) + (IF(ISBLANK(Q916), 0, IF(ISNA(VLOOKUP(Q916, Wages!$A$2:$C$17, 2, 0)), Q916, VLOOKUP(Q916, Wages!$A$2:$C$17, 2, 0))) * IF(ISBLANK(N916), 0, IF(ISNA(VLOOKUP(N916, Crews!$A$2:$C$28, 2, 0)), N916, VLOOKUP(N916, Crews!$A$2:$C$28, 2, 0))))) * 400</f>
        <v>523.8095238</v>
      </c>
      <c r="K916" s="1" t="s">
        <v>1876</v>
      </c>
      <c r="L916" s="1" t="s">
        <v>1877</v>
      </c>
      <c r="M916" s="1" t="n">
        <v>0</v>
      </c>
      <c r="N916" s="1"/>
      <c r="O916" s="1"/>
      <c r="P916" s="1"/>
      <c r="Q916" s="1"/>
      <c r="R916" s="1" t="s">
        <v>689</v>
      </c>
      <c r="S916" s="1" t="s">
        <v>856</v>
      </c>
      <c r="T916" s="1"/>
    </row>
    <row r="917" customFormat="false" ht="15" hidden="false" customHeight="true" outlineLevel="0" collapsed="false">
      <c r="A917" s="1" t="s">
        <v>1878</v>
      </c>
      <c r="B917" s="1" t="n">
        <v>1902</v>
      </c>
      <c r="C917" s="1" t="n">
        <v>11</v>
      </c>
      <c r="D917" s="1" t="s">
        <v>38</v>
      </c>
      <c r="E917" s="1"/>
      <c r="F917" s="1"/>
      <c r="G917" s="1" t="n">
        <v>140</v>
      </c>
      <c r="H917" s="2" t="n">
        <v>432000</v>
      </c>
      <c r="I917" s="2" t="n">
        <f aca="false">(((H917 / 800) / IF(ISBLANK(R917), 1000000, IF(ISNA(VLOOKUP(R917, Mileages!$A$2:$C$34, 2, 0)), R917, VLOOKUP(R917, Mileages!$A$2:$C$34, 2, 0)))) + (F917 * IF(ISBLANK(P917), 1, P917) * IF(ISBLANK(T917), 0, IF(ISNA(VLOOKUP(T917, 'Fuel Costs'!$A$2:$C$42, 2, 0)), T917, VLOOKUP(T917, 'Fuel Costs'!$A$2:$C$42, 2, 0))) / IF(ISBLANK(O917), 1, O917))) * 100</f>
        <v>0.045</v>
      </c>
      <c r="J917" s="2" t="n">
        <f aca="false">((H917 / 800) / (IF(ISBLANK(S917), 100, IF(ISNA(VLOOKUP(S917, Lives!$A$2:$C$35, 2, 0)), S917, VLOOKUP(S917, Lives!$A$2:$C$35, 2, 0))) * 12) + (IF(ISBLANK(Q917), 0, IF(ISNA(VLOOKUP(Q917, Wages!$A$2:$C$17, 2, 0)), Q917, VLOOKUP(Q917, Wages!$A$2:$C$17, 2, 0))) * IF(ISBLANK(N917), 0, IF(ISNA(VLOOKUP(N917, Crews!$A$2:$C$28, 2, 0)), N917, VLOOKUP(N917, Crews!$A$2:$C$28, 2, 0))))) * 400</f>
        <v>5314.285714</v>
      </c>
      <c r="K917" s="1" t="s">
        <v>1876</v>
      </c>
      <c r="L917" s="1" t="s">
        <v>1877</v>
      </c>
      <c r="M917" s="1" t="n">
        <v>1</v>
      </c>
      <c r="N917" s="1" t="s">
        <v>25</v>
      </c>
      <c r="O917" s="1"/>
      <c r="P917" s="1"/>
      <c r="Q917" s="1" t="s">
        <v>378</v>
      </c>
      <c r="R917" s="1" t="s">
        <v>689</v>
      </c>
      <c r="S917" s="1" t="s">
        <v>856</v>
      </c>
      <c r="T917" s="1"/>
    </row>
    <row r="918" customFormat="false" ht="15" hidden="false" customHeight="true" outlineLevel="0" collapsed="false">
      <c r="A918" s="1" t="s">
        <v>1879</v>
      </c>
      <c r="B918" s="1" t="n">
        <v>1902</v>
      </c>
      <c r="C918" s="1" t="n">
        <v>11</v>
      </c>
      <c r="D918" s="1" t="s">
        <v>38</v>
      </c>
      <c r="E918" s="1"/>
      <c r="F918" s="1"/>
      <c r="G918" s="1" t="n">
        <v>140</v>
      </c>
      <c r="H918" s="2" t="n">
        <v>432000</v>
      </c>
      <c r="I918" s="2" t="n">
        <f aca="false">(((H918 / 800) / IF(ISBLANK(R918), 1000000, IF(ISNA(VLOOKUP(R918, Mileages!$A$2:$C$34, 2, 0)), R918, VLOOKUP(R918, Mileages!$A$2:$C$34, 2, 0)))) + (F918 * IF(ISBLANK(P918), 1, P918) * IF(ISBLANK(T918), 0, IF(ISNA(VLOOKUP(T918, 'Fuel Costs'!$A$2:$C$42, 2, 0)), T918, VLOOKUP(T918, 'Fuel Costs'!$A$2:$C$42, 2, 0))) / IF(ISBLANK(O918), 1, O918))) * 100</f>
        <v>0.045</v>
      </c>
      <c r="J918" s="2" t="n">
        <f aca="false">((H918 / 800) / (IF(ISBLANK(S918), 100, IF(ISNA(VLOOKUP(S918, Lives!$A$2:$C$35, 2, 0)), S918, VLOOKUP(S918, Lives!$A$2:$C$35, 2, 0))) * 12) + (IF(ISBLANK(Q918), 0, IF(ISNA(VLOOKUP(Q918, Wages!$A$2:$C$17, 2, 0)), Q918, VLOOKUP(Q918, Wages!$A$2:$C$17, 2, 0))) * IF(ISBLANK(N918), 0, IF(ISNA(VLOOKUP(N918, Crews!$A$2:$C$28, 2, 0)), N918, VLOOKUP(N918, Crews!$A$2:$C$28, 2, 0))))) * 400</f>
        <v>5314.285714</v>
      </c>
      <c r="K918" s="1" t="s">
        <v>1876</v>
      </c>
      <c r="L918" s="1" t="s">
        <v>1877</v>
      </c>
      <c r="M918" s="1" t="n">
        <v>2</v>
      </c>
      <c r="N918" s="1" t="s">
        <v>25</v>
      </c>
      <c r="O918" s="1"/>
      <c r="P918" s="1"/>
      <c r="Q918" s="1" t="s">
        <v>378</v>
      </c>
      <c r="R918" s="1" t="s">
        <v>689</v>
      </c>
      <c r="S918" s="1" t="s">
        <v>856</v>
      </c>
      <c r="T918" s="1"/>
    </row>
    <row r="919" customFormat="false" ht="15" hidden="false" customHeight="true" outlineLevel="0" collapsed="false">
      <c r="A919" s="1" t="s">
        <v>1880</v>
      </c>
      <c r="B919" s="1" t="n">
        <v>1902</v>
      </c>
      <c r="C919" s="1" t="n">
        <v>11</v>
      </c>
      <c r="D919" s="1" t="s">
        <v>38</v>
      </c>
      <c r="E919" s="1" t="s">
        <v>274</v>
      </c>
      <c r="F919" s="1" t="n">
        <v>243</v>
      </c>
      <c r="G919" s="1" t="n">
        <v>100</v>
      </c>
      <c r="H919" s="2" t="n">
        <v>4023300</v>
      </c>
      <c r="I919" s="2" t="n">
        <f aca="false">(((H919 / 800) / IF(ISBLANK(R919), 1000000, IF(ISNA(VLOOKUP(R919, Mileages!$A$2:$C$34, 2, 0)), R919, VLOOKUP(R919, Mileages!$A$2:$C$34, 2, 0)))) + (F919 * IF(ISBLANK(P919), 1, P919) * IF(ISBLANK(T919), 0, IF(ISNA(VLOOKUP(T919, 'Fuel Costs'!$A$2:$C$42, 2, 0)), T919, VLOOKUP(T919, 'Fuel Costs'!$A$2:$C$42, 2, 0))) / IF(ISBLANK(O919), 1, O919))) * 100</f>
        <v>104.6457696</v>
      </c>
      <c r="J919" s="2" t="n">
        <f aca="false">((H919 / 800) / (IF(ISBLANK(S919), 100, IF(ISNA(VLOOKUP(S919, Lives!$A$2:$C$35, 2, 0)), S919, VLOOKUP(S919, Lives!$A$2:$C$35, 2, 0))) * 12) + (IF(ISBLANK(Q919), 0, IF(ISNA(VLOOKUP(Q919, Wages!$A$2:$C$17, 2, 0)), Q919, VLOOKUP(Q919, Wages!$A$2:$C$17, 2, 0))) * IF(ISBLANK(N919), 0, IF(ISNA(VLOOKUP(N919, Crews!$A$2:$C$28, 2, 0)), N919, VLOOKUP(N919, Crews!$A$2:$C$28, 2, 0))))) * 400</f>
        <v>27352.75</v>
      </c>
      <c r="K919" s="3" t="s">
        <v>1881</v>
      </c>
      <c r="L919" s="1" t="s">
        <v>1882</v>
      </c>
      <c r="M919" s="1" t="n">
        <v>0</v>
      </c>
      <c r="N919" s="1" t="s">
        <v>590</v>
      </c>
      <c r="O919" s="1" t="n">
        <v>0.7</v>
      </c>
      <c r="P919" s="1"/>
      <c r="Q919" s="5" t="s">
        <v>284</v>
      </c>
      <c r="R919" s="1" t="s">
        <v>677</v>
      </c>
      <c r="S919" s="1" t="s">
        <v>677</v>
      </c>
      <c r="T919" s="1" t="s">
        <v>1785</v>
      </c>
    </row>
    <row r="920" customFormat="false" ht="15" hidden="false" customHeight="true" outlineLevel="0" collapsed="false">
      <c r="A920" s="1" t="s">
        <v>1883</v>
      </c>
      <c r="B920" s="1" t="n">
        <v>1902</v>
      </c>
      <c r="C920" s="1" t="n">
        <v>12</v>
      </c>
      <c r="D920" s="1" t="s">
        <v>38</v>
      </c>
      <c r="E920" s="1" t="s">
        <v>274</v>
      </c>
      <c r="F920" s="1" t="n">
        <v>375</v>
      </c>
      <c r="G920" s="1" t="n">
        <v>150</v>
      </c>
      <c r="H920" s="2" t="n">
        <v>8346250</v>
      </c>
      <c r="I920" s="2" t="n">
        <f aca="false">(((H920 / 800) / IF(ISBLANK(R920), 1000000, IF(ISNA(VLOOKUP(R920, Mileages!$A$2:$C$34, 2, 0)), R920, VLOOKUP(R920, Mileages!$A$2:$C$34, 2, 0)))) + (F920 * IF(ISBLANK(P920), 1, P920) * IF(ISBLANK(T920), 0, IF(ISNA(VLOOKUP(T920, 'Fuel Costs'!$A$2:$C$42, 2, 0)), T920, VLOOKUP(T920, 'Fuel Costs'!$A$2:$C$42, 2, 0))) / IF(ISBLANK(O920), 1, O920))) * 100</f>
        <v>161.757567</v>
      </c>
      <c r="J920" s="2" t="n">
        <f aca="false">((H920 / 800) / (IF(ISBLANK(S920), 100, IF(ISNA(VLOOKUP(S920, Lives!$A$2:$C$35, 2, 0)), S920, VLOOKUP(S920, Lives!$A$2:$C$35, 2, 0))) * 12) + (IF(ISBLANK(Q920), 0, IF(ISNA(VLOOKUP(Q920, Wages!$A$2:$C$17, 2, 0)), Q920, VLOOKUP(Q920, Wages!$A$2:$C$17, 2, 0))) * IF(ISBLANK(N920), 0, IF(ISNA(VLOOKUP(N920, Crews!$A$2:$C$28, 2, 0)), N920, VLOOKUP(N920, Crews!$A$2:$C$28, 2, 0))))) * 400</f>
        <v>46955.20833</v>
      </c>
      <c r="K920" s="3" t="s">
        <v>1884</v>
      </c>
      <c r="L920" s="1" t="s">
        <v>1885</v>
      </c>
      <c r="M920" s="1" t="n">
        <v>0</v>
      </c>
      <c r="N920" s="1" t="s">
        <v>1705</v>
      </c>
      <c r="O920" s="1" t="n">
        <v>0.7</v>
      </c>
      <c r="P920" s="1"/>
      <c r="Q920" s="5" t="s">
        <v>284</v>
      </c>
      <c r="R920" s="1" t="s">
        <v>677</v>
      </c>
      <c r="S920" s="1" t="s">
        <v>677</v>
      </c>
      <c r="T920" s="1" t="s">
        <v>1785</v>
      </c>
    </row>
    <row r="921" customFormat="false" ht="15" hidden="false" customHeight="true" outlineLevel="0" collapsed="false">
      <c r="A921" s="1" t="s">
        <v>1886</v>
      </c>
      <c r="B921" s="1" t="n">
        <v>1903</v>
      </c>
      <c r="C921" s="1" t="n">
        <v>1</v>
      </c>
      <c r="D921" s="1" t="s">
        <v>38</v>
      </c>
      <c r="E921" s="1"/>
      <c r="F921" s="1"/>
      <c r="G921" s="1" t="n">
        <v>80</v>
      </c>
      <c r="H921" s="2" t="n">
        <v>0</v>
      </c>
      <c r="I921" s="2" t="n">
        <f aca="false">(((H921 / 800) / IF(ISBLANK(R921), 1000000, IF(ISNA(VLOOKUP(R921, Mileages!$A$2:$C$34, 2, 0)), R921, VLOOKUP(R921, Mileages!$A$2:$C$34, 2, 0)))) + (F921 * IF(ISBLANK(P921), 1, P921) * IF(ISBLANK(T921), 0, IF(ISNA(VLOOKUP(T921, 'Fuel Costs'!$A$2:$C$42, 2, 0)), T921, VLOOKUP(T921, 'Fuel Costs'!$A$2:$C$42, 2, 0))) / IF(ISBLANK(O921), 1, O921))) * 100</f>
        <v>0</v>
      </c>
      <c r="J921" s="2" t="n">
        <f aca="false">((H921 / 800) / (IF(ISBLANK(S921), 100, IF(ISNA(VLOOKUP(S921, Lives!$A$2:$C$35, 2, 0)), S921, VLOOKUP(S921, Lives!$A$2:$C$35, 2, 0))) * 12) + (IF(ISBLANK(Q921), 0, IF(ISNA(VLOOKUP(Q921, Wages!$A$2:$C$17, 2, 0)), Q921, VLOOKUP(Q921, Wages!$A$2:$C$17, 2, 0))) * IF(ISBLANK(N921), 0, IF(ISNA(VLOOKUP(N921, Crews!$A$2:$C$28, 2, 0)), N921, VLOOKUP(N921, Crews!$A$2:$C$28, 2, 0))))) * 400</f>
        <v>0</v>
      </c>
      <c r="K921" s="3" t="s">
        <v>1766</v>
      </c>
      <c r="L921" s="1" t="s">
        <v>1887</v>
      </c>
      <c r="M921" s="1" t="n">
        <v>0</v>
      </c>
      <c r="N921" s="1"/>
      <c r="O921" s="1"/>
      <c r="P921" s="1"/>
      <c r="Q921" s="1"/>
      <c r="R921" s="1"/>
      <c r="S921" s="1"/>
      <c r="T921" s="1"/>
    </row>
    <row r="922" customFormat="false" ht="15" hidden="false" customHeight="true" outlineLevel="0" collapsed="false">
      <c r="A922" s="1" t="s">
        <v>1888</v>
      </c>
      <c r="B922" s="1" t="n">
        <v>1903</v>
      </c>
      <c r="C922" s="1" t="n">
        <v>1</v>
      </c>
      <c r="D922" s="1" t="s">
        <v>38</v>
      </c>
      <c r="E922" s="1" t="s">
        <v>274</v>
      </c>
      <c r="F922" s="1" t="n">
        <v>298</v>
      </c>
      <c r="G922" s="1" t="n">
        <v>130</v>
      </c>
      <c r="H922" s="2" t="n">
        <v>6520000</v>
      </c>
      <c r="I922" s="2" t="n">
        <f aca="false">(((H922 / 800) / IF(ISBLANK(R922), 1000000, IF(ISNA(VLOOKUP(R922, Mileages!$A$2:$C$34, 2, 0)), R922, VLOOKUP(R922, Mileages!$A$2:$C$34, 2, 0)))) + (F922 * IF(ISBLANK(P922), 1, P922) * IF(ISBLANK(T922), 0, IF(ISNA(VLOOKUP(T922, 'Fuel Costs'!$A$2:$C$42, 2, 0)), T922, VLOOKUP(T922, 'Fuel Costs'!$A$2:$C$42, 2, 0))) / IF(ISBLANK(O922), 1, O922))) * 100</f>
        <v>128.5292857</v>
      </c>
      <c r="J922" s="2" t="n">
        <f aca="false">((H922 / 800) / (IF(ISBLANK(S922), 100, IF(ISNA(VLOOKUP(S922, Lives!$A$2:$C$35, 2, 0)), S922, VLOOKUP(S922, Lives!$A$2:$C$35, 2, 0))) * 12) + (IF(ISBLANK(Q922), 0, IF(ISNA(VLOOKUP(Q922, Wages!$A$2:$C$17, 2, 0)), Q922, VLOOKUP(Q922, Wages!$A$2:$C$17, 2, 0))) * IF(ISBLANK(N922), 0, IF(ISNA(VLOOKUP(N922, Crews!$A$2:$C$28, 2, 0)), N922, VLOOKUP(N922, Crews!$A$2:$C$28, 2, 0))))) * 400</f>
        <v>45433.33333</v>
      </c>
      <c r="K922" s="1" t="s">
        <v>1692</v>
      </c>
      <c r="L922" s="1" t="s">
        <v>1889</v>
      </c>
      <c r="M922" s="1" t="n">
        <v>0</v>
      </c>
      <c r="N922" s="1" t="s">
        <v>1705</v>
      </c>
      <c r="O922" s="1" t="n">
        <v>0.7</v>
      </c>
      <c r="P922" s="1"/>
      <c r="Q922" s="5" t="s">
        <v>284</v>
      </c>
      <c r="R922" s="1" t="s">
        <v>677</v>
      </c>
      <c r="S922" s="1" t="s">
        <v>677</v>
      </c>
      <c r="T922" s="1" t="s">
        <v>1785</v>
      </c>
    </row>
    <row r="923" customFormat="false" ht="15" hidden="false" customHeight="true" outlineLevel="0" collapsed="false">
      <c r="A923" s="1" t="s">
        <v>1890</v>
      </c>
      <c r="B923" s="1" t="n">
        <v>1903</v>
      </c>
      <c r="C923" s="1" t="n">
        <v>1</v>
      </c>
      <c r="D923" s="1" t="s">
        <v>38</v>
      </c>
      <c r="E923" s="1" t="s">
        <v>274</v>
      </c>
      <c r="F923" s="1" t="n">
        <v>298</v>
      </c>
      <c r="G923" s="1" t="n">
        <v>116</v>
      </c>
      <c r="H923" s="2" t="n">
        <v>6400000</v>
      </c>
      <c r="I923" s="2" t="n">
        <f aca="false">(((H923 / 800) / IF(ISBLANK(R923), 1000000, IF(ISNA(VLOOKUP(R923, Mileages!$A$2:$C$34, 2, 0)), R923, VLOOKUP(R923, Mileages!$A$2:$C$34, 2, 0)))) + (F923 * IF(ISBLANK(P923), 1, P923) * IF(ISBLANK(T923), 0, IF(ISNA(VLOOKUP(T923, 'Fuel Costs'!$A$2:$C$42, 2, 0)), T923, VLOOKUP(T923, 'Fuel Costs'!$A$2:$C$42, 2, 0))) / IF(ISBLANK(O923), 1, O923))) * 100</f>
        <v>128.5142857</v>
      </c>
      <c r="J923" s="2" t="n">
        <f aca="false">((H923 / 800) / (IF(ISBLANK(S923), 100, IF(ISNA(VLOOKUP(S923, Lives!$A$2:$C$35, 2, 0)), S923, VLOOKUP(S923, Lives!$A$2:$C$35, 2, 0))) * 12) + (IF(ISBLANK(Q923), 0, IF(ISNA(VLOOKUP(Q923, Wages!$A$2:$C$17, 2, 0)), Q923, VLOOKUP(Q923, Wages!$A$2:$C$17, 2, 0))) * IF(ISBLANK(N923), 0, IF(ISNA(VLOOKUP(N923, Crews!$A$2:$C$28, 2, 0)), N923, VLOOKUP(N923, Crews!$A$2:$C$28, 2, 0))))) * 400</f>
        <v>45333.33333</v>
      </c>
      <c r="K923" s="1" t="s">
        <v>1692</v>
      </c>
      <c r="L923" s="1" t="s">
        <v>1891</v>
      </c>
      <c r="M923" s="1" t="n">
        <v>0</v>
      </c>
      <c r="N923" s="1" t="s">
        <v>1705</v>
      </c>
      <c r="O923" s="1" t="n">
        <v>0.7</v>
      </c>
      <c r="P923" s="1"/>
      <c r="Q923" s="5" t="s">
        <v>284</v>
      </c>
      <c r="R923" s="1" t="s">
        <v>677</v>
      </c>
      <c r="S923" s="1" t="s">
        <v>677</v>
      </c>
      <c r="T923" s="1" t="s">
        <v>1785</v>
      </c>
    </row>
    <row r="924" customFormat="false" ht="15" hidden="false" customHeight="true" outlineLevel="0" collapsed="false">
      <c r="A924" s="1" t="s">
        <v>1892</v>
      </c>
      <c r="B924" s="1" t="n">
        <v>1903</v>
      </c>
      <c r="C924" s="1" t="n">
        <v>3</v>
      </c>
      <c r="D924" s="1" t="s">
        <v>38</v>
      </c>
      <c r="E924" s="1"/>
      <c r="F924" s="1"/>
      <c r="G924" s="1" t="n">
        <v>56</v>
      </c>
      <c r="H924" s="2" t="n">
        <v>120000</v>
      </c>
      <c r="I924" s="2" t="n">
        <f aca="false">(((H924 / 800) / IF(ISBLANK(R924), 1000000, IF(ISNA(VLOOKUP(R924, Mileages!$A$2:$C$34, 2, 0)), R924, VLOOKUP(R924, Mileages!$A$2:$C$34, 2, 0)))) + (F924 * IF(ISBLANK(P924), 1, P924) * IF(ISBLANK(T924), 0, IF(ISNA(VLOOKUP(T924, 'Fuel Costs'!$A$2:$C$42, 2, 0)), T924, VLOOKUP(T924, 'Fuel Costs'!$A$2:$C$42, 2, 0))) / IF(ISBLANK(O924), 1, O924))) * 100</f>
        <v>0.0125</v>
      </c>
      <c r="J924" s="2" t="n">
        <f aca="false">((H924 / 800) / (IF(ISBLANK(S924), 100, IF(ISNA(VLOOKUP(S924, Lives!$A$2:$C$35, 2, 0)), S924, VLOOKUP(S924, Lives!$A$2:$C$35, 2, 0))) * 12) + (IF(ISBLANK(Q924), 0, IF(ISNA(VLOOKUP(Q924, Wages!$A$2:$C$17, 2, 0)), Q924, VLOOKUP(Q924, Wages!$A$2:$C$17, 2, 0))) * IF(ISBLANK(N924), 0, IF(ISNA(VLOOKUP(N924, Crews!$A$2:$C$28, 2, 0)), N924, VLOOKUP(N924, Crews!$A$2:$C$28, 2, 0))))) * 400</f>
        <v>100</v>
      </c>
      <c r="K924" s="3" t="s">
        <v>1766</v>
      </c>
      <c r="L924" s="1" t="s">
        <v>1893</v>
      </c>
      <c r="M924" s="1" t="n">
        <v>0</v>
      </c>
      <c r="N924" s="1"/>
      <c r="O924" s="1"/>
      <c r="P924" s="1"/>
      <c r="Q924" s="1"/>
      <c r="R924" s="1" t="s">
        <v>689</v>
      </c>
      <c r="S924" s="1" t="s">
        <v>785</v>
      </c>
      <c r="T924" s="1"/>
    </row>
    <row r="925" customFormat="false" ht="15" hidden="false" customHeight="true" outlineLevel="0" collapsed="false">
      <c r="A925" s="1" t="s">
        <v>1894</v>
      </c>
      <c r="B925" s="1" t="n">
        <v>1903</v>
      </c>
      <c r="C925" s="1" t="n">
        <v>4</v>
      </c>
      <c r="D925" s="1" t="s">
        <v>29</v>
      </c>
      <c r="E925" s="1" t="s">
        <v>274</v>
      </c>
      <c r="F925" s="1" t="n">
        <v>4250</v>
      </c>
      <c r="G925" s="1" t="n">
        <v>40</v>
      </c>
      <c r="H925" s="2" t="n">
        <f aca="false">22500000*3</f>
        <v>67500000</v>
      </c>
      <c r="I925" s="2" t="n">
        <f aca="false">(((H925 / 800) / IF(ISBLANK(R925), 1000000, IF(ISNA(VLOOKUP(R925, Mileages!$A$2:$C$34, 2, 0)), R925, VLOOKUP(R925, Mileages!$A$2:$C$34, 2, 0)))) + (F925 * IF(ISBLANK(P925), 1, P925) * IF(ISBLANK(T925), 0, IF(ISNA(VLOOKUP(T925, 'Fuel Costs'!$A$2:$C$42, 2, 0)), T925, VLOOKUP(T925, 'Fuel Costs'!$A$2:$C$42, 2, 0))) / IF(ISBLANK(O925), 1, O925))) * 100</f>
        <v>259.21875</v>
      </c>
      <c r="J925" s="2" t="n">
        <f aca="false">((H925 / 800) / (IF(ISBLANK(S925), 100, IF(ISNA(VLOOKUP(S925, Lives!$A$2:$C$35, 2, 0)), S925, VLOOKUP(S925, Lives!$A$2:$C$35, 2, 0))) * 12) + (IF(ISBLANK(Q925), 0, IF(ISNA(VLOOKUP(Q925, Wages!$A$2:$C$17, 2, 0)), Q925, VLOOKUP(Q925, Wages!$A$2:$C$17, 2, 0))) * IF(ISBLANK(N925), 0, IF(ISNA(VLOOKUP(N925, Crews!$A$2:$C$28, 2, 0)), N925, VLOOKUP(N925, Crews!$A$2:$C$28, 2, 0))))) * 400</f>
        <v>228125</v>
      </c>
      <c r="K925" s="3" t="s">
        <v>1895</v>
      </c>
      <c r="L925" s="1" t="s">
        <v>1896</v>
      </c>
      <c r="M925" s="1" t="n">
        <v>0</v>
      </c>
      <c r="N925" s="1" t="s">
        <v>323</v>
      </c>
      <c r="O925" s="1" t="n">
        <v>1</v>
      </c>
      <c r="P925" s="1" t="n">
        <v>0.2</v>
      </c>
      <c r="Q925" s="1" t="s">
        <v>34</v>
      </c>
      <c r="R925" s="1" t="s">
        <v>574</v>
      </c>
      <c r="S925" s="1" t="s">
        <v>574</v>
      </c>
      <c r="T925" s="1" t="s">
        <v>1785</v>
      </c>
    </row>
    <row r="926" customFormat="false" ht="15" hidden="false" customHeight="true" outlineLevel="0" collapsed="false">
      <c r="A926" s="1" t="s">
        <v>1897</v>
      </c>
      <c r="B926" s="1" t="n">
        <v>1903</v>
      </c>
      <c r="C926" s="1" t="n">
        <v>4</v>
      </c>
      <c r="D926" s="1" t="s">
        <v>38</v>
      </c>
      <c r="E926" s="1" t="s">
        <v>274</v>
      </c>
      <c r="F926" s="1" t="n">
        <v>288</v>
      </c>
      <c r="G926" s="1" t="n">
        <v>95</v>
      </c>
      <c r="H926" s="2" t="n">
        <v>8200000</v>
      </c>
      <c r="I926" s="2" t="n">
        <f aca="false">(((H926 / 800) / IF(ISBLANK(R926), 1000000, IF(ISNA(VLOOKUP(R926, Mileages!$A$2:$C$34, 2, 0)), R926, VLOOKUP(R926, Mileages!$A$2:$C$34, 2, 0)))) + (F926 * IF(ISBLANK(P926), 1, P926) * IF(ISBLANK(T926), 0, IF(ISNA(VLOOKUP(T926, 'Fuel Costs'!$A$2:$C$42, 2, 0)), T926, VLOOKUP(T926, 'Fuel Costs'!$A$2:$C$42, 2, 0))) / IF(ISBLANK(O926), 1, O926))) * 100</f>
        <v>124.4535714</v>
      </c>
      <c r="J926" s="2" t="n">
        <f aca="false">((H926 / 800) / (IF(ISBLANK(S926), 100, IF(ISNA(VLOOKUP(S926, Lives!$A$2:$C$35, 2, 0)), S926, VLOOKUP(S926, Lives!$A$2:$C$35, 2, 0))) * 12) + (IF(ISBLANK(Q926), 0, IF(ISNA(VLOOKUP(Q926, Wages!$A$2:$C$17, 2, 0)), Q926, VLOOKUP(Q926, Wages!$A$2:$C$17, 2, 0))) * IF(ISBLANK(N926), 0, IF(ISNA(VLOOKUP(N926, Crews!$A$2:$C$28, 2, 0)), N926, VLOOKUP(N926, Crews!$A$2:$C$28, 2, 0))))) * 400</f>
        <v>46833.33333</v>
      </c>
      <c r="K926" s="3" t="s">
        <v>1898</v>
      </c>
      <c r="L926" s="1" t="s">
        <v>1899</v>
      </c>
      <c r="M926" s="1" t="n">
        <v>0</v>
      </c>
      <c r="N926" s="1" t="s">
        <v>1705</v>
      </c>
      <c r="O926" s="1" t="n">
        <v>0.7</v>
      </c>
      <c r="P926" s="1"/>
      <c r="Q926" s="5" t="s">
        <v>284</v>
      </c>
      <c r="R926" s="1" t="s">
        <v>677</v>
      </c>
      <c r="S926" s="1" t="s">
        <v>677</v>
      </c>
      <c r="T926" s="1" t="s">
        <v>1785</v>
      </c>
    </row>
    <row r="927" customFormat="false" ht="15" hidden="false" customHeight="true" outlineLevel="0" collapsed="false">
      <c r="A927" s="1" t="s">
        <v>1900</v>
      </c>
      <c r="B927" s="1" t="n">
        <v>1903</v>
      </c>
      <c r="C927" s="1" t="n">
        <v>4</v>
      </c>
      <c r="D927" s="1" t="s">
        <v>29</v>
      </c>
      <c r="E927" s="1"/>
      <c r="F927" s="1"/>
      <c r="G927" s="1" t="n">
        <v>40</v>
      </c>
      <c r="H927" s="2"/>
      <c r="I927" s="2"/>
      <c r="J927" s="2"/>
      <c r="K927" s="1"/>
      <c r="L927" s="1" t="s">
        <v>1901</v>
      </c>
      <c r="M927" s="1" t="n">
        <v>0</v>
      </c>
      <c r="N927" s="1"/>
      <c r="O927" s="1"/>
      <c r="P927" s="1"/>
      <c r="Q927" s="1"/>
      <c r="R927" s="1"/>
      <c r="S927" s="1"/>
      <c r="T927" s="1"/>
    </row>
    <row r="928" customFormat="false" ht="15" hidden="false" customHeight="true" outlineLevel="0" collapsed="false">
      <c r="A928" s="1" t="s">
        <v>1902</v>
      </c>
      <c r="B928" s="1" t="n">
        <v>1903</v>
      </c>
      <c r="C928" s="1" t="n">
        <v>5</v>
      </c>
      <c r="D928" s="1" t="s">
        <v>38</v>
      </c>
      <c r="E928" s="1"/>
      <c r="F928" s="1"/>
      <c r="G928" s="1" t="n">
        <v>56</v>
      </c>
      <c r="H928" s="2" t="n">
        <v>120000</v>
      </c>
      <c r="I928" s="2" t="n">
        <f aca="false">(((H928 / 800) / IF(ISBLANK(R928), 1000000, IF(ISNA(VLOOKUP(R928, Mileages!$A$2:$C$34, 2, 0)), R928, VLOOKUP(R928, Mileages!$A$2:$C$34, 2, 0)))) + (F928 * IF(ISBLANK(P928), 1, P928) * IF(ISBLANK(T928), 0, IF(ISNA(VLOOKUP(T928, 'Fuel Costs'!$A$2:$C$42, 2, 0)), T928, VLOOKUP(T928, 'Fuel Costs'!$A$2:$C$42, 2, 0))) / IF(ISBLANK(O928), 1, O928))) * 100</f>
        <v>0.0125</v>
      </c>
      <c r="J928" s="2" t="n">
        <f aca="false">((H928 / 800) / (IF(ISBLANK(S928), 100, IF(ISNA(VLOOKUP(S928, Lives!$A$2:$C$35, 2, 0)), S928, VLOOKUP(S928, Lives!$A$2:$C$35, 2, 0))) * 12) + (IF(ISBLANK(Q928), 0, IF(ISNA(VLOOKUP(Q928, Wages!$A$2:$C$17, 2, 0)), Q928, VLOOKUP(Q928, Wages!$A$2:$C$17, 2, 0))) * IF(ISBLANK(N928), 0, IF(ISNA(VLOOKUP(N928, Crews!$A$2:$C$28, 2, 0)), N928, VLOOKUP(N928, Crews!$A$2:$C$28, 2, 0))))) * 400</f>
        <v>100</v>
      </c>
      <c r="K928" s="1"/>
      <c r="L928" s="1" t="s">
        <v>1903</v>
      </c>
      <c r="M928" s="1" t="n">
        <v>0</v>
      </c>
      <c r="N928" s="1"/>
      <c r="O928" s="1"/>
      <c r="P928" s="1"/>
      <c r="Q928" s="1"/>
      <c r="R928" s="1" t="s">
        <v>689</v>
      </c>
      <c r="S928" s="1" t="s">
        <v>785</v>
      </c>
      <c r="T928" s="1"/>
    </row>
    <row r="929" customFormat="false" ht="15" hidden="false" customHeight="true" outlineLevel="0" collapsed="false">
      <c r="A929" s="1" t="s">
        <v>1904</v>
      </c>
      <c r="B929" s="1" t="n">
        <v>1903</v>
      </c>
      <c r="C929" s="1" t="n">
        <v>5</v>
      </c>
      <c r="D929" s="1" t="s">
        <v>38</v>
      </c>
      <c r="E929" s="1" t="s">
        <v>274</v>
      </c>
      <c r="F929" s="1" t="n">
        <v>191</v>
      </c>
      <c r="G929" s="1" t="n">
        <v>85</v>
      </c>
      <c r="H929" s="2" t="n">
        <v>7616000</v>
      </c>
      <c r="I929" s="2" t="n">
        <f aca="false">(((H929 / 800) / IF(ISBLANK(R929), 1000000, IF(ISNA(VLOOKUP(R929, Mileages!$A$2:$C$34, 2, 0)), R929, VLOOKUP(R929, Mileages!$A$2:$C$34, 2, 0)))) + (F929 * IF(ISBLANK(P929), 1, P929) * IF(ISBLANK(T929), 0, IF(ISNA(VLOOKUP(T929, 'Fuel Costs'!$A$2:$C$42, 2, 0)), T929, VLOOKUP(T929, 'Fuel Costs'!$A$2:$C$42, 2, 0))) / IF(ISBLANK(O929), 1, O929))) * 100</f>
        <v>82.80914286</v>
      </c>
      <c r="J929" s="2" t="n">
        <f aca="false">((H929 / 800) / (IF(ISBLANK(S929), 100, IF(ISNA(VLOOKUP(S929, Lives!$A$2:$C$35, 2, 0)), S929, VLOOKUP(S929, Lives!$A$2:$C$35, 2, 0))) * 12) + (IF(ISBLANK(Q929), 0, IF(ISNA(VLOOKUP(Q929, Wages!$A$2:$C$17, 2, 0)), Q929, VLOOKUP(Q929, Wages!$A$2:$C$17, 2, 0))) * IF(ISBLANK(N929), 0, IF(ISNA(VLOOKUP(N929, Crews!$A$2:$C$28, 2, 0)), N929, VLOOKUP(N929, Crews!$A$2:$C$28, 2, 0))))) * 400</f>
        <v>30346.66667</v>
      </c>
      <c r="K929" s="3" t="s">
        <v>1905</v>
      </c>
      <c r="L929" s="1" t="s">
        <v>1906</v>
      </c>
      <c r="M929" s="1" t="n">
        <v>0</v>
      </c>
      <c r="N929" s="1" t="s">
        <v>590</v>
      </c>
      <c r="O929" s="1" t="n">
        <v>0.7</v>
      </c>
      <c r="P929" s="1"/>
      <c r="Q929" s="5" t="s">
        <v>284</v>
      </c>
      <c r="R929" s="1" t="s">
        <v>677</v>
      </c>
      <c r="S929" s="1" t="s">
        <v>677</v>
      </c>
      <c r="T929" s="1" t="s">
        <v>1785</v>
      </c>
    </row>
    <row r="930" customFormat="false" ht="15" hidden="false" customHeight="true" outlineLevel="0" collapsed="false">
      <c r="A930" s="1" t="s">
        <v>1907</v>
      </c>
      <c r="B930" s="1" t="n">
        <v>1903</v>
      </c>
      <c r="C930" s="1" t="n">
        <v>6</v>
      </c>
      <c r="D930" s="1" t="s">
        <v>38</v>
      </c>
      <c r="E930" s="1"/>
      <c r="F930" s="1" t="n">
        <v>0</v>
      </c>
      <c r="G930" s="1" t="n">
        <v>90</v>
      </c>
      <c r="H930" s="2" t="n">
        <v>0</v>
      </c>
      <c r="I930" s="2" t="n">
        <f aca="false">(((H930 / 800) / IF(ISBLANK(R930), 1000000, IF(ISNA(VLOOKUP(R930, Mileages!$A$2:$C$34, 2, 0)), R930, VLOOKUP(R930, Mileages!$A$2:$C$34, 2, 0)))) + (F930 * IF(ISBLANK(P930), 1, P930) * IF(ISBLANK(T930), 0, IF(ISNA(VLOOKUP(T930, 'Fuel Costs'!$A$2:$C$42, 2, 0)), T930, VLOOKUP(T930, 'Fuel Costs'!$A$2:$C$42, 2, 0))) / IF(ISBLANK(O930), 1, O930))) * 100</f>
        <v>0</v>
      </c>
      <c r="J930" s="2" t="n">
        <f aca="false">((H930 / 800) / (IF(ISBLANK(S930), 100, IF(ISNA(VLOOKUP(S930, Lives!$A$2:$C$35, 2, 0)), S930, VLOOKUP(S930, Lives!$A$2:$C$35, 2, 0))) * 12) + (IF(ISBLANK(Q930), 0, IF(ISNA(VLOOKUP(Q930, Wages!$A$2:$C$17, 2, 0)), Q930, VLOOKUP(Q930, Wages!$A$2:$C$17, 2, 0))) * IF(ISBLANK(N930), 0, IF(ISNA(VLOOKUP(N930, Crews!$A$2:$C$28, 2, 0)), N930, VLOOKUP(N930, Crews!$A$2:$C$28, 2, 0))))) * 400</f>
        <v>0</v>
      </c>
      <c r="K930" s="1"/>
      <c r="L930" s="1" t="s">
        <v>1908</v>
      </c>
      <c r="M930" s="1" t="n">
        <v>0</v>
      </c>
      <c r="N930" s="1"/>
      <c r="O930" s="1"/>
      <c r="P930" s="1"/>
      <c r="Q930" s="1"/>
      <c r="R930" s="1"/>
      <c r="S930" s="1"/>
      <c r="T930" s="1"/>
    </row>
    <row r="931" customFormat="false" ht="15" hidden="false" customHeight="true" outlineLevel="0" collapsed="false">
      <c r="A931" s="1" t="s">
        <v>1909</v>
      </c>
      <c r="B931" s="1" t="n">
        <v>1903</v>
      </c>
      <c r="C931" s="1" t="n">
        <v>6</v>
      </c>
      <c r="D931" s="1" t="s">
        <v>38</v>
      </c>
      <c r="E931" s="1"/>
      <c r="F931" s="1"/>
      <c r="G931" s="1" t="n">
        <v>56</v>
      </c>
      <c r="H931" s="2" t="n">
        <v>120000</v>
      </c>
      <c r="I931" s="2" t="n">
        <f aca="false">(((H931 / 800) / IF(ISBLANK(R931), 1000000, IF(ISNA(VLOOKUP(R931, Mileages!$A$2:$C$34, 2, 0)), R931, VLOOKUP(R931, Mileages!$A$2:$C$34, 2, 0)))) + (F931 * IF(ISBLANK(P931), 1, P931) * IF(ISBLANK(T931), 0, IF(ISNA(VLOOKUP(T931, 'Fuel Costs'!$A$2:$C$42, 2, 0)), T931, VLOOKUP(T931, 'Fuel Costs'!$A$2:$C$42, 2, 0))) / IF(ISBLANK(O931), 1, O931))) * 100</f>
        <v>0.0125</v>
      </c>
      <c r="J931" s="2" t="n">
        <f aca="false">((H931 / 800) / (IF(ISBLANK(S931), 100, IF(ISNA(VLOOKUP(S931, Lives!$A$2:$C$35, 2, 0)), S931, VLOOKUP(S931, Lives!$A$2:$C$35, 2, 0))) * 12) + (IF(ISBLANK(Q931), 0, IF(ISNA(VLOOKUP(Q931, Wages!$A$2:$C$17, 2, 0)), Q931, VLOOKUP(Q931, Wages!$A$2:$C$17, 2, 0))) * IF(ISBLANK(N931), 0, IF(ISNA(VLOOKUP(N931, Crews!$A$2:$C$28, 2, 0)), N931, VLOOKUP(N931, Crews!$A$2:$C$28, 2, 0))))) * 400</f>
        <v>50</v>
      </c>
      <c r="K931" s="3" t="s">
        <v>1766</v>
      </c>
      <c r="L931" s="1" t="s">
        <v>1910</v>
      </c>
      <c r="M931" s="1" t="n">
        <v>0</v>
      </c>
      <c r="N931" s="1"/>
      <c r="O931" s="1"/>
      <c r="P931" s="1"/>
      <c r="Q931" s="1"/>
      <c r="R931" s="1" t="s">
        <v>689</v>
      </c>
      <c r="S931" s="1" t="s">
        <v>389</v>
      </c>
      <c r="T931" s="1"/>
    </row>
    <row r="932" customFormat="false" ht="15" hidden="false" customHeight="true" outlineLevel="0" collapsed="false">
      <c r="A932" s="1" t="s">
        <v>1911</v>
      </c>
      <c r="B932" s="1" t="n">
        <v>1903</v>
      </c>
      <c r="C932" s="1" t="n">
        <v>6</v>
      </c>
      <c r="D932" s="1" t="s">
        <v>38</v>
      </c>
      <c r="E932" s="1" t="s">
        <v>274</v>
      </c>
      <c r="F932" s="1" t="n">
        <v>381</v>
      </c>
      <c r="G932" s="1" t="n">
        <v>90</v>
      </c>
      <c r="H932" s="2" t="n">
        <v>5940000</v>
      </c>
      <c r="I932" s="2" t="n">
        <f aca="false">(((H932 / 800) / IF(ISBLANK(R932), 1000000, IF(ISNA(VLOOKUP(R932, Mileages!$A$2:$C$34, 2, 0)), R932, VLOOKUP(R932, Mileages!$A$2:$C$34, 2, 0)))) + (F932 * IF(ISBLANK(P932), 1, P932) * IF(ISBLANK(T932), 0, IF(ISNA(VLOOKUP(T932, 'Fuel Costs'!$A$2:$C$42, 2, 0)), T932, VLOOKUP(T932, 'Fuel Costs'!$A$2:$C$42, 2, 0))) / IF(ISBLANK(O932), 1, O932))) * 100</f>
        <v>164.0282143</v>
      </c>
      <c r="J932" s="2" t="n">
        <f aca="false">((H932 / 800) / (IF(ISBLANK(S932), 100, IF(ISNA(VLOOKUP(S932, Lives!$A$2:$C$35, 2, 0)), S932, VLOOKUP(S932, Lives!$A$2:$C$35, 2, 0))) * 12) + (IF(ISBLANK(Q932), 0, IF(ISNA(VLOOKUP(Q932, Wages!$A$2:$C$17, 2, 0)), Q932, VLOOKUP(Q932, Wages!$A$2:$C$17, 2, 0))) * IF(ISBLANK(N932), 0, IF(ISNA(VLOOKUP(N932, Crews!$A$2:$C$28, 2, 0)), N932, VLOOKUP(N932, Crews!$A$2:$C$28, 2, 0))))) * 400</f>
        <v>44950</v>
      </c>
      <c r="K932" s="3" t="s">
        <v>1912</v>
      </c>
      <c r="L932" s="1" t="s">
        <v>1913</v>
      </c>
      <c r="M932" s="1" t="n">
        <v>0</v>
      </c>
      <c r="N932" s="1" t="s">
        <v>1705</v>
      </c>
      <c r="O932" s="1" t="n">
        <v>0.7</v>
      </c>
      <c r="P932" s="1"/>
      <c r="Q932" s="5" t="s">
        <v>284</v>
      </c>
      <c r="R932" s="1" t="s">
        <v>677</v>
      </c>
      <c r="S932" s="1" t="s">
        <v>677</v>
      </c>
      <c r="T932" s="1" t="s">
        <v>1785</v>
      </c>
    </row>
    <row r="933" customFormat="false" ht="15" hidden="false" customHeight="true" outlineLevel="0" collapsed="false">
      <c r="A933" s="1" t="s">
        <v>1914</v>
      </c>
      <c r="B933" s="1" t="n">
        <v>1903</v>
      </c>
      <c r="C933" s="1" t="n">
        <v>7</v>
      </c>
      <c r="D933" s="1" t="s">
        <v>38</v>
      </c>
      <c r="E933" s="1" t="s">
        <v>1346</v>
      </c>
      <c r="F933" s="1" t="n">
        <v>175</v>
      </c>
      <c r="G933" s="1" t="n">
        <v>70</v>
      </c>
      <c r="H933" s="2" t="n">
        <v>1461000</v>
      </c>
      <c r="I933" s="2" t="n">
        <f aca="false">(((H933 / 800) / IF(ISBLANK(R933), 1000000, IF(ISNA(VLOOKUP(R933, Mileages!$A$2:$C$34, 2, 0)), R933, VLOOKUP(R933, Mileages!$A$2:$C$34, 2, 0)))) + (F933 * IF(ISBLANK(P933), 1, P933) * IF(ISBLANK(T933), 0, IF(ISNA(VLOOKUP(T933, 'Fuel Costs'!$A$2:$C$42, 2, 0)), T933, VLOOKUP(T933, 'Fuel Costs'!$A$2:$C$42, 2, 0))) / IF(ISBLANK(O933), 1, O933))) * 100</f>
        <v>105.2435</v>
      </c>
      <c r="J933" s="2" t="n">
        <f aca="false">((H933 / 800) / (IF(ISBLANK(S933), 100, IF(ISNA(VLOOKUP(S933, Lives!$A$2:$C$35, 2, 0)), S933, VLOOKUP(S933, Lives!$A$2:$C$35, 2, 0))) * 12) + (IF(ISBLANK(Q933), 0, IF(ISNA(VLOOKUP(Q933, Wages!$A$2:$C$17, 2, 0)), Q933, VLOOKUP(Q933, Wages!$A$2:$C$17, 2, 0))) * IF(ISBLANK(N933), 0, IF(ISNA(VLOOKUP(N933, Crews!$A$2:$C$28, 2, 0)), N933, VLOOKUP(N933, Crews!$A$2:$C$28, 2, 0))))) * 400</f>
        <v>7217.5</v>
      </c>
      <c r="K933" s="3" t="s">
        <v>1915</v>
      </c>
      <c r="L933" s="1" t="s">
        <v>1916</v>
      </c>
      <c r="M933" s="1" t="n">
        <v>0</v>
      </c>
      <c r="N933" s="1" t="s">
        <v>1512</v>
      </c>
      <c r="O933" s="1" t="n">
        <v>1</v>
      </c>
      <c r="P933" s="1"/>
      <c r="Q933" s="1" t="str">
        <f aca="false">IF(ISBLANK('Pak128 Britain In'!$N933),,'Pak128 Britain In'!$N933)</f>
        <v>ElectricMultipleUnit</v>
      </c>
      <c r="R933" s="1" t="s">
        <v>1489</v>
      </c>
      <c r="S933" s="1" t="s">
        <v>1350</v>
      </c>
      <c r="T933" s="1" t="s">
        <v>1351</v>
      </c>
    </row>
    <row r="934" customFormat="false" ht="15" hidden="false" customHeight="true" outlineLevel="0" collapsed="false">
      <c r="A934" s="1" t="s">
        <v>1917</v>
      </c>
      <c r="B934" s="1" t="n">
        <v>1903</v>
      </c>
      <c r="C934" s="1" t="n">
        <v>7</v>
      </c>
      <c r="D934" s="1" t="s">
        <v>38</v>
      </c>
      <c r="E934" s="1" t="s">
        <v>1346</v>
      </c>
      <c r="F934" s="1"/>
      <c r="G934" s="1" t="n">
        <v>70</v>
      </c>
      <c r="H934" s="2" t="n">
        <v>1461000</v>
      </c>
      <c r="I934" s="2" t="n">
        <f aca="false">(((H934 / 800) / IF(ISBLANK(R934), 1000000, IF(ISNA(VLOOKUP(R934, Mileages!$A$2:$C$34, 2, 0)), R934, VLOOKUP(R934, Mileages!$A$2:$C$34, 2, 0)))) + (F934 * IF(ISBLANK(P934), 1, P934) * IF(ISBLANK(T934), 0, IF(ISNA(VLOOKUP(T934, 'Fuel Costs'!$A$2:$C$42, 2, 0)), T934, VLOOKUP(T934, 'Fuel Costs'!$A$2:$C$42, 2, 0))) / IF(ISBLANK(O934), 1, O934))) * 100</f>
        <v>0.1521875</v>
      </c>
      <c r="J934" s="2" t="n">
        <f aca="false">((H934 / 800) / (IF(ISBLANK(S934), 100, IF(ISNA(VLOOKUP(S934, Lives!$A$2:$C$35, 2, 0)), S934, VLOOKUP(S934, Lives!$A$2:$C$35, 2, 0))) * 12) + (IF(ISBLANK(Q934), 0, IF(ISNA(VLOOKUP(Q934, Wages!$A$2:$C$17, 2, 0)), Q934, VLOOKUP(Q934, Wages!$A$2:$C$17, 2, 0))) * IF(ISBLANK(N934), 0, IF(ISNA(VLOOKUP(N934, Crews!$A$2:$C$28, 2, 0)), N934, VLOOKUP(N934, Crews!$A$2:$C$28, 2, 0))))) * 400</f>
        <v>1739.285714</v>
      </c>
      <c r="K934" s="1"/>
      <c r="L934" s="1" t="s">
        <v>1916</v>
      </c>
      <c r="M934" s="1" t="n">
        <v>1</v>
      </c>
      <c r="N934" s="1"/>
      <c r="O934" s="1"/>
      <c r="P934" s="1"/>
      <c r="Q934" s="1"/>
      <c r="R934" s="1" t="s">
        <v>689</v>
      </c>
      <c r="S934" s="1" t="s">
        <v>856</v>
      </c>
      <c r="T934" s="1"/>
    </row>
    <row r="935" customFormat="false" ht="15" hidden="false" customHeight="true" outlineLevel="0" collapsed="false">
      <c r="A935" s="1" t="s">
        <v>1918</v>
      </c>
      <c r="B935" s="1" t="n">
        <v>1903</v>
      </c>
      <c r="C935" s="1" t="n">
        <v>7</v>
      </c>
      <c r="D935" s="1" t="s">
        <v>38</v>
      </c>
      <c r="E935" s="1" t="s">
        <v>1346</v>
      </c>
      <c r="F935" s="1"/>
      <c r="G935" s="1" t="n">
        <v>70</v>
      </c>
      <c r="H935" s="2" t="n">
        <v>1461000</v>
      </c>
      <c r="I935" s="2" t="n">
        <f aca="false">(((H935 / 800) / IF(ISBLANK(R935), 1000000, IF(ISNA(VLOOKUP(R935, Mileages!$A$2:$C$34, 2, 0)), R935, VLOOKUP(R935, Mileages!$A$2:$C$34, 2, 0)))) + (F935 * IF(ISBLANK(P935), 1, P935) * IF(ISBLANK(T935), 0, IF(ISNA(VLOOKUP(T935, 'Fuel Costs'!$A$2:$C$42, 2, 0)), T935, VLOOKUP(T935, 'Fuel Costs'!$A$2:$C$42, 2, 0))) / IF(ISBLANK(O935), 1, O935))) * 100</f>
        <v>0.1521875</v>
      </c>
      <c r="J935" s="2" t="n">
        <f aca="false">((H935 / 800) / (IF(ISBLANK(S935), 100, IF(ISNA(VLOOKUP(S935, Lives!$A$2:$C$35, 2, 0)), S935, VLOOKUP(S935, Lives!$A$2:$C$35, 2, 0))) * 12) + (IF(ISBLANK(Q935), 0, IF(ISNA(VLOOKUP(Q935, Wages!$A$2:$C$17, 2, 0)), Q935, VLOOKUP(Q935, Wages!$A$2:$C$17, 2, 0))) * IF(ISBLANK(N935), 0, IF(ISNA(VLOOKUP(N935, Crews!$A$2:$C$28, 2, 0)), N935, VLOOKUP(N935, Crews!$A$2:$C$28, 2, 0))))) * 400</f>
        <v>1739.285714</v>
      </c>
      <c r="K935" s="1" t="s">
        <v>1919</v>
      </c>
      <c r="L935" s="1" t="s">
        <v>1916</v>
      </c>
      <c r="M935" s="1" t="n">
        <v>2</v>
      </c>
      <c r="N935" s="1"/>
      <c r="O935" s="1"/>
      <c r="P935" s="1"/>
      <c r="Q935" s="1"/>
      <c r="R935" s="1" t="s">
        <v>689</v>
      </c>
      <c r="S935" s="1" t="s">
        <v>856</v>
      </c>
      <c r="T935" s="1"/>
    </row>
    <row r="936" customFormat="false" ht="15" hidden="false" customHeight="true" outlineLevel="0" collapsed="false">
      <c r="A936" s="1" t="s">
        <v>1920</v>
      </c>
      <c r="B936" s="1" t="n">
        <v>1903</v>
      </c>
      <c r="C936" s="1" t="n">
        <v>7</v>
      </c>
      <c r="D936" s="1" t="s">
        <v>38</v>
      </c>
      <c r="E936" s="1" t="s">
        <v>1346</v>
      </c>
      <c r="F936" s="1" t="n">
        <v>175</v>
      </c>
      <c r="G936" s="1" t="n">
        <v>70</v>
      </c>
      <c r="H936" s="2" t="n">
        <v>1461000</v>
      </c>
      <c r="I936" s="2" t="n">
        <f aca="false">(((H936 / 800) / IF(ISBLANK(R936), 1000000, IF(ISNA(VLOOKUP(R936, Mileages!$A$2:$C$34, 2, 0)), R936, VLOOKUP(R936, Mileages!$A$2:$C$34, 2, 0)))) + (F936 * IF(ISBLANK(P936), 1, P936) * IF(ISBLANK(T936), 0, IF(ISNA(VLOOKUP(T936, 'Fuel Costs'!$A$2:$C$42, 2, 0)), T936, VLOOKUP(T936, 'Fuel Costs'!$A$2:$C$42, 2, 0))) / IF(ISBLANK(O936), 1, O936))) * 100</f>
        <v>105.2435</v>
      </c>
      <c r="J936" s="2" t="n">
        <f aca="false">((H936 / 800) / (IF(ISBLANK(S936), 100, IF(ISNA(VLOOKUP(S936, Lives!$A$2:$C$35, 2, 0)), S936, VLOOKUP(S936, Lives!$A$2:$C$35, 2, 0))) * 12) + (IF(ISBLANK(Q936), 0, IF(ISNA(VLOOKUP(Q936, Wages!$A$2:$C$17, 2, 0)), Q936, VLOOKUP(Q936, Wages!$A$2:$C$17, 2, 0))) * IF(ISBLANK(N936), 0, IF(ISNA(VLOOKUP(N936, Crews!$A$2:$C$28, 2, 0)), N936, VLOOKUP(N936, Crews!$A$2:$C$28, 2, 0))))) * 400</f>
        <v>7217.5</v>
      </c>
      <c r="K936" s="1"/>
      <c r="L936" s="1" t="s">
        <v>1916</v>
      </c>
      <c r="M936" s="1" t="n">
        <v>3</v>
      </c>
      <c r="N936" s="1" t="s">
        <v>1512</v>
      </c>
      <c r="O936" s="1" t="n">
        <v>1</v>
      </c>
      <c r="P936" s="1"/>
      <c r="Q936" s="1" t="str">
        <f aca="false">IF(ISBLANK('Pak128 Britain In'!$N936),,'Pak128 Britain In'!$N936)</f>
        <v>ElectricMultipleUnit</v>
      </c>
      <c r="R936" s="1" t="s">
        <v>1489</v>
      </c>
      <c r="S936" s="1" t="s">
        <v>1350</v>
      </c>
      <c r="T936" s="1" t="s">
        <v>1351</v>
      </c>
    </row>
    <row r="937" customFormat="false" ht="15" hidden="false" customHeight="true" outlineLevel="0" collapsed="false">
      <c r="A937" s="1" t="s">
        <v>1921</v>
      </c>
      <c r="B937" s="1" t="n">
        <v>1903</v>
      </c>
      <c r="C937" s="1" t="n">
        <v>8</v>
      </c>
      <c r="D937" s="1" t="s">
        <v>38</v>
      </c>
      <c r="E937" s="1" t="s">
        <v>1346</v>
      </c>
      <c r="F937" s="1" t="n">
        <v>280</v>
      </c>
      <c r="G937" s="1" t="n">
        <v>60</v>
      </c>
      <c r="H937" s="2" t="n">
        <v>7000000</v>
      </c>
      <c r="I937" s="2" t="n">
        <f aca="false">(((H937 / 800) / IF(ISBLANK(R937), 1000000, IF(ISNA(VLOOKUP(R937, Mileages!$A$2:$C$34, 2, 0)), R937, VLOOKUP(R937, Mileages!$A$2:$C$34, 2, 0)))) + (F937 * IF(ISBLANK(P937), 1, P937) * IF(ISBLANK(T937), 0, IF(ISNA(VLOOKUP(T937, 'Fuel Costs'!$A$2:$C$42, 2, 0)), T937, VLOOKUP(T937, 'Fuel Costs'!$A$2:$C$42, 2, 0))) / IF(ISBLANK(O937), 1, O937))) * 100</f>
        <v>169.1666667</v>
      </c>
      <c r="J937" s="2" t="n">
        <f aca="false">((H937 / 800) / (IF(ISBLANK(S937), 100, IF(ISNA(VLOOKUP(S937, Lives!$A$2:$C$35, 2, 0)), S937, VLOOKUP(S937, Lives!$A$2:$C$35, 2, 0))) * 12) + (IF(ISBLANK(Q937), 0, IF(ISNA(VLOOKUP(Q937, Wages!$A$2:$C$17, 2, 0)), Q937, VLOOKUP(Q937, Wages!$A$2:$C$17, 2, 0))) * IF(ISBLANK(N937), 0, IF(ISNA(VLOOKUP(N937, Crews!$A$2:$C$28, 2, 0)), N937, VLOOKUP(N937, Crews!$A$2:$C$28, 2, 0))))) * 400</f>
        <v>11833.33333</v>
      </c>
      <c r="K937" s="3" t="s">
        <v>1922</v>
      </c>
      <c r="L937" s="1" t="s">
        <v>1923</v>
      </c>
      <c r="M937" s="1" t="n">
        <v>0</v>
      </c>
      <c r="N937" s="1" t="s">
        <v>1512</v>
      </c>
      <c r="O937" s="1" t="n">
        <v>1</v>
      </c>
      <c r="P937" s="1"/>
      <c r="Q937" s="1" t="str">
        <f aca="false">IF(ISBLANK('Pak128 Britain In'!$N937),,'Pak128 Britain In'!$N937)</f>
        <v>ElectricMultipleUnit</v>
      </c>
      <c r="R937" s="1" t="s">
        <v>1489</v>
      </c>
      <c r="S937" s="1" t="s">
        <v>1350</v>
      </c>
      <c r="T937" s="1" t="s">
        <v>1351</v>
      </c>
    </row>
    <row r="938" customFormat="false" ht="15" hidden="false" customHeight="true" outlineLevel="0" collapsed="false">
      <c r="A938" s="1" t="s">
        <v>1924</v>
      </c>
      <c r="B938" s="1" t="n">
        <v>1903</v>
      </c>
      <c r="C938" s="1" t="n">
        <v>8</v>
      </c>
      <c r="D938" s="1" t="s">
        <v>38</v>
      </c>
      <c r="E938" s="1" t="s">
        <v>1346</v>
      </c>
      <c r="F938" s="1"/>
      <c r="G938" s="1" t="n">
        <v>60</v>
      </c>
      <c r="H938" s="2" t="n">
        <v>1400000</v>
      </c>
      <c r="I938" s="2" t="n">
        <f aca="false">(((H938 / 800) / IF(ISBLANK(R938), 1000000, IF(ISNA(VLOOKUP(R938, Mileages!$A$2:$C$34, 2, 0)), R938, VLOOKUP(R938, Mileages!$A$2:$C$34, 2, 0)))) + (F938 * IF(ISBLANK(P938), 1, P938) * IF(ISBLANK(T938), 0, IF(ISNA(VLOOKUP(T938, 'Fuel Costs'!$A$2:$C$42, 2, 0)), T938, VLOOKUP(T938, 'Fuel Costs'!$A$2:$C$42, 2, 0))) / IF(ISBLANK(O938), 1, O938))) * 100</f>
        <v>0.1458333333</v>
      </c>
      <c r="J938" s="2" t="n">
        <f aca="false">((H938 / 800) / (IF(ISBLANK(S938), 100, IF(ISNA(VLOOKUP(S938, Lives!$A$2:$C$35, 2, 0)), S938, VLOOKUP(S938, Lives!$A$2:$C$35, 2, 0))) * 12) + (IF(ISBLANK(Q938), 0, IF(ISNA(VLOOKUP(Q938, Wages!$A$2:$C$17, 2, 0)), Q938, VLOOKUP(Q938, Wages!$A$2:$C$17, 2, 0))) * IF(ISBLANK(N938), 0, IF(ISNA(VLOOKUP(N938, Crews!$A$2:$C$28, 2, 0)), N938, VLOOKUP(N938, Crews!$A$2:$C$28, 2, 0))))) * 400</f>
        <v>1666.666667</v>
      </c>
      <c r="K938" s="1"/>
      <c r="L938" s="1" t="s">
        <v>1923</v>
      </c>
      <c r="M938" s="1" t="n">
        <v>1</v>
      </c>
      <c r="N938" s="1"/>
      <c r="O938" s="1"/>
      <c r="P938" s="1"/>
      <c r="Q938" s="1"/>
      <c r="R938" s="1" t="s">
        <v>689</v>
      </c>
      <c r="S938" s="1" t="s">
        <v>856</v>
      </c>
      <c r="T938" s="1"/>
    </row>
    <row r="939" customFormat="false" ht="15" hidden="false" customHeight="true" outlineLevel="0" collapsed="false">
      <c r="A939" s="1" t="s">
        <v>1925</v>
      </c>
      <c r="B939" s="1" t="n">
        <v>1903</v>
      </c>
      <c r="C939" s="1" t="n">
        <v>8</v>
      </c>
      <c r="D939" s="1" t="s">
        <v>38</v>
      </c>
      <c r="E939" s="1" t="s">
        <v>1346</v>
      </c>
      <c r="F939" s="1"/>
      <c r="G939" s="1" t="n">
        <v>60</v>
      </c>
      <c r="H939" s="2" t="n">
        <v>1400000</v>
      </c>
      <c r="I939" s="2" t="n">
        <f aca="false">(((H939 / 800) / IF(ISBLANK(R939), 1000000, IF(ISNA(VLOOKUP(R939, Mileages!$A$2:$C$34, 2, 0)), R939, VLOOKUP(R939, Mileages!$A$2:$C$34, 2, 0)))) + (F939 * IF(ISBLANK(P939), 1, P939) * IF(ISBLANK(T939), 0, IF(ISNA(VLOOKUP(T939, 'Fuel Costs'!$A$2:$C$42, 2, 0)), T939, VLOOKUP(T939, 'Fuel Costs'!$A$2:$C$42, 2, 0))) / IF(ISBLANK(O939), 1, O939))) * 100</f>
        <v>0.1458333333</v>
      </c>
      <c r="J939" s="2" t="n">
        <f aca="false">((H939 / 800) / (IF(ISBLANK(S939), 100, IF(ISNA(VLOOKUP(S939, Lives!$A$2:$C$35, 2, 0)), S939, VLOOKUP(S939, Lives!$A$2:$C$35, 2, 0))) * 12) + (IF(ISBLANK(Q939), 0, IF(ISNA(VLOOKUP(Q939, Wages!$A$2:$C$17, 2, 0)), Q939, VLOOKUP(Q939, Wages!$A$2:$C$17, 2, 0))) * IF(ISBLANK(N939), 0, IF(ISNA(VLOOKUP(N939, Crews!$A$2:$C$28, 2, 0)), N939, VLOOKUP(N939, Crews!$A$2:$C$28, 2, 0))))) * 400</f>
        <v>1666.666667</v>
      </c>
      <c r="K939" s="3" t="s">
        <v>1926</v>
      </c>
      <c r="L939" s="1" t="s">
        <v>1923</v>
      </c>
      <c r="M939" s="1" t="n">
        <v>2</v>
      </c>
      <c r="N939" s="1"/>
      <c r="O939" s="1"/>
      <c r="P939" s="1"/>
      <c r="Q939" s="1"/>
      <c r="R939" s="1" t="s">
        <v>689</v>
      </c>
      <c r="S939" s="1" t="s">
        <v>856</v>
      </c>
      <c r="T939" s="1"/>
    </row>
    <row r="940" customFormat="false" ht="15" hidden="false" customHeight="true" outlineLevel="0" collapsed="false">
      <c r="A940" s="1" t="s">
        <v>1927</v>
      </c>
      <c r="B940" s="1" t="n">
        <v>1903</v>
      </c>
      <c r="C940" s="1" t="n">
        <v>8</v>
      </c>
      <c r="D940" s="1" t="s">
        <v>38</v>
      </c>
      <c r="E940" s="1" t="s">
        <v>1346</v>
      </c>
      <c r="F940" s="1" t="n">
        <v>280</v>
      </c>
      <c r="G940" s="1" t="n">
        <v>60</v>
      </c>
      <c r="H940" s="2" t="n">
        <v>7000000</v>
      </c>
      <c r="I940" s="2" t="n">
        <f aca="false">(((H940 / 800) / IF(ISBLANK(R940), 1000000, IF(ISNA(VLOOKUP(R940, Mileages!$A$2:$C$34, 2, 0)), R940, VLOOKUP(R940, Mileages!$A$2:$C$34, 2, 0)))) + (F940 * IF(ISBLANK(P940), 1, P940) * IF(ISBLANK(T940), 0, IF(ISNA(VLOOKUP(T940, 'Fuel Costs'!$A$2:$C$42, 2, 0)), T940, VLOOKUP(T940, 'Fuel Costs'!$A$2:$C$42, 2, 0))) / IF(ISBLANK(O940), 1, O940))) * 100</f>
        <v>169.1666667</v>
      </c>
      <c r="J940" s="2" t="n">
        <f aca="false">((H940 / 800) / (IF(ISBLANK(S940), 100, IF(ISNA(VLOOKUP(S940, Lives!$A$2:$C$35, 2, 0)), S940, VLOOKUP(S940, Lives!$A$2:$C$35, 2, 0))) * 12) + (IF(ISBLANK(Q940), 0, IF(ISNA(VLOOKUP(Q940, Wages!$A$2:$C$17, 2, 0)), Q940, VLOOKUP(Q940, Wages!$A$2:$C$17, 2, 0))) * IF(ISBLANK(N940), 0, IF(ISNA(VLOOKUP(N940, Crews!$A$2:$C$28, 2, 0)), N940, VLOOKUP(N940, Crews!$A$2:$C$28, 2, 0))))) * 400</f>
        <v>11833.33333</v>
      </c>
      <c r="K940" s="1"/>
      <c r="L940" s="1" t="s">
        <v>1923</v>
      </c>
      <c r="M940" s="1" t="n">
        <v>3</v>
      </c>
      <c r="N940" s="1" t="s">
        <v>1512</v>
      </c>
      <c r="O940" s="1" t="n">
        <v>1</v>
      </c>
      <c r="P940" s="1"/>
      <c r="Q940" s="1" t="str">
        <f aca="false">IF(ISBLANK('Pak128 Britain In'!$N940),,'Pak128 Britain In'!$N940)</f>
        <v>ElectricMultipleUnit</v>
      </c>
      <c r="R940" s="1" t="s">
        <v>1489</v>
      </c>
      <c r="S940" s="1" t="s">
        <v>1350</v>
      </c>
      <c r="T940" s="1" t="s">
        <v>1351</v>
      </c>
    </row>
    <row r="941" customFormat="false" ht="15" hidden="false" customHeight="true" outlineLevel="0" collapsed="false">
      <c r="A941" s="1" t="s">
        <v>1928</v>
      </c>
      <c r="B941" s="1" t="n">
        <v>1903</v>
      </c>
      <c r="C941" s="1" t="n">
        <v>8</v>
      </c>
      <c r="D941" s="1" t="s">
        <v>38</v>
      </c>
      <c r="E941" s="1" t="s">
        <v>274</v>
      </c>
      <c r="F941" s="1" t="n">
        <v>307</v>
      </c>
      <c r="G941" s="1" t="n">
        <v>145</v>
      </c>
      <c r="H941" s="2" t="n">
        <v>6500000</v>
      </c>
      <c r="I941" s="2" t="n">
        <f aca="false">(((H941 / 800) / IF(ISBLANK(R941), 1000000, IF(ISNA(VLOOKUP(R941, Mileages!$A$2:$C$34, 2, 0)), R941, VLOOKUP(R941, Mileages!$A$2:$C$34, 2, 0)))) + (F941 * IF(ISBLANK(P941), 1, P941) * IF(ISBLANK(T941), 0, IF(ISNA(VLOOKUP(T941, 'Fuel Costs'!$A$2:$C$42, 2, 0)), T941, VLOOKUP(T941, 'Fuel Costs'!$A$2:$C$42, 2, 0))) / IF(ISBLANK(O941), 1, O941))) * 100</f>
        <v>132.3839286</v>
      </c>
      <c r="J941" s="2" t="n">
        <f aca="false">((H941 / 800) / (IF(ISBLANK(S941), 100, IF(ISNA(VLOOKUP(S941, Lives!$A$2:$C$35, 2, 0)), S941, VLOOKUP(S941, Lives!$A$2:$C$35, 2, 0))) * 12) + (IF(ISBLANK(Q941), 0, IF(ISNA(VLOOKUP(Q941, Wages!$A$2:$C$17, 2, 0)), Q941, VLOOKUP(Q941, Wages!$A$2:$C$17, 2, 0))) * IF(ISBLANK(N941), 0, IF(ISNA(VLOOKUP(N941, Crews!$A$2:$C$28, 2, 0)), N941, VLOOKUP(N941, Crews!$A$2:$C$28, 2, 0))))) * 400</f>
        <v>45416.66667</v>
      </c>
      <c r="K941" s="3" t="s">
        <v>1929</v>
      </c>
      <c r="L941" s="1" t="s">
        <v>1930</v>
      </c>
      <c r="M941" s="1" t="n">
        <v>0</v>
      </c>
      <c r="N941" s="1" t="s">
        <v>1705</v>
      </c>
      <c r="O941" s="1" t="n">
        <v>0.7</v>
      </c>
      <c r="P941" s="1"/>
      <c r="Q941" s="5" t="s">
        <v>284</v>
      </c>
      <c r="R941" s="1" t="s">
        <v>677</v>
      </c>
      <c r="S941" s="1" t="s">
        <v>677</v>
      </c>
      <c r="T941" s="1" t="s">
        <v>1785</v>
      </c>
    </row>
    <row r="942" customFormat="false" ht="15" hidden="false" customHeight="true" outlineLevel="0" collapsed="false">
      <c r="A942" s="1" t="s">
        <v>1931</v>
      </c>
      <c r="B942" s="1" t="n">
        <v>1903</v>
      </c>
      <c r="C942" s="1" t="n">
        <v>8</v>
      </c>
      <c r="D942" s="1" t="s">
        <v>38</v>
      </c>
      <c r="E942" s="1" t="s">
        <v>274</v>
      </c>
      <c r="F942" s="1" t="n">
        <v>306</v>
      </c>
      <c r="G942" s="1" t="n">
        <v>105</v>
      </c>
      <c r="H942" s="2" t="n">
        <v>4147200</v>
      </c>
      <c r="I942" s="2" t="n">
        <f aca="false">(((H942 / 800) / IF(ISBLANK(R942), 1000000, IF(ISNA(VLOOKUP(R942, Mileages!$A$2:$C$34, 2, 0)), R942, VLOOKUP(R942, Mileages!$A$2:$C$34, 2, 0)))) + (F942 * IF(ISBLANK(P942), 1, P942) * IF(ISBLANK(T942), 0, IF(ISNA(VLOOKUP(T942, 'Fuel Costs'!$A$2:$C$42, 2, 0)), T942, VLOOKUP(T942, 'Fuel Costs'!$A$2:$C$42, 2, 0))) / IF(ISBLANK(O942), 1, O942))) * 100</f>
        <v>115.2684</v>
      </c>
      <c r="J942" s="2" t="n">
        <f aca="false">((H942 / 800) / (IF(ISBLANK(S942), 100, IF(ISNA(VLOOKUP(S942, Lives!$A$2:$C$35, 2, 0)), S942, VLOOKUP(S942, Lives!$A$2:$C$35, 2, 0))) * 12) + (IF(ISBLANK(Q942), 0, IF(ISNA(VLOOKUP(Q942, Wages!$A$2:$C$17, 2, 0)), Q942, VLOOKUP(Q942, Wages!$A$2:$C$17, 2, 0))) * IF(ISBLANK(N942), 0, IF(ISNA(VLOOKUP(N942, Crews!$A$2:$C$28, 2, 0)), N942, VLOOKUP(N942, Crews!$A$2:$C$28, 2, 0))))) * 400</f>
        <v>43456</v>
      </c>
      <c r="K942" s="3" t="s">
        <v>1932</v>
      </c>
      <c r="L942" s="1" t="s">
        <v>1933</v>
      </c>
      <c r="M942" s="1" t="n">
        <v>0</v>
      </c>
      <c r="N942" s="1" t="s">
        <v>1705</v>
      </c>
      <c r="O942" s="1" t="n">
        <v>0.8</v>
      </c>
      <c r="P942" s="1"/>
      <c r="Q942" s="5" t="s">
        <v>284</v>
      </c>
      <c r="R942" s="1" t="s">
        <v>677</v>
      </c>
      <c r="S942" s="1" t="s">
        <v>677</v>
      </c>
      <c r="T942" s="1" t="s">
        <v>1785</v>
      </c>
    </row>
    <row r="943" customFormat="false" ht="15" hidden="false" customHeight="true" outlineLevel="0" collapsed="false">
      <c r="A943" s="1" t="s">
        <v>1934</v>
      </c>
      <c r="B943" s="1" t="n">
        <v>1903</v>
      </c>
      <c r="C943" s="1" t="n">
        <v>9</v>
      </c>
      <c r="D943" s="1" t="s">
        <v>38</v>
      </c>
      <c r="E943" s="1" t="s">
        <v>1346</v>
      </c>
      <c r="F943" s="1" t="n">
        <v>100</v>
      </c>
      <c r="G943" s="1" t="n">
        <v>50</v>
      </c>
      <c r="H943" s="2" t="n">
        <v>750000</v>
      </c>
      <c r="I943" s="2" t="n">
        <f aca="false">(((H943 / 800) / IF(ISBLANK(R943), 1000000, IF(ISNA(VLOOKUP(R943, Mileages!$A$2:$C$34, 2, 0)), R943, VLOOKUP(R943, Mileages!$A$2:$C$34, 2, 0)))) + (F943 * IF(ISBLANK(P943), 1, P943) * IF(ISBLANK(T943), 0, IF(ISNA(VLOOKUP(T943, 'Fuel Costs'!$A$2:$C$42, 2, 0)), T943, VLOOKUP(T943, 'Fuel Costs'!$A$2:$C$42, 2, 0))) / IF(ISBLANK(O943), 1, O943))) * 100</f>
        <v>60.125</v>
      </c>
      <c r="J943" s="2" t="n">
        <f aca="false">((H943 / 800) / (IF(ISBLANK(S943), 100, IF(ISNA(VLOOKUP(S943, Lives!$A$2:$C$35, 2, 0)), S943, VLOOKUP(S943, Lives!$A$2:$C$35, 2, 0))) * 12) + (IF(ISBLANK(Q943), 0, IF(ISNA(VLOOKUP(Q943, Wages!$A$2:$C$17, 2, 0)), Q943, VLOOKUP(Q943, Wages!$A$2:$C$17, 2, 0))) * IF(ISBLANK(N943), 0, IF(ISNA(VLOOKUP(N943, Crews!$A$2:$C$28, 2, 0)), N943, VLOOKUP(N943, Crews!$A$2:$C$28, 2, 0))))) * 400</f>
        <v>6625</v>
      </c>
      <c r="K943" s="1"/>
      <c r="L943" s="1" t="s">
        <v>1795</v>
      </c>
      <c r="M943" s="1" t="n">
        <v>0</v>
      </c>
      <c r="N943" s="1" t="s">
        <v>1512</v>
      </c>
      <c r="O943" s="1" t="n">
        <v>1</v>
      </c>
      <c r="P943" s="1"/>
      <c r="Q943" s="1" t="str">
        <f aca="false">IF(ISBLANK('Pak128 Britain In'!$N943),,'Pak128 Britain In'!$N943)</f>
        <v>ElectricMultipleUnit</v>
      </c>
      <c r="R943" s="1" t="s">
        <v>1489</v>
      </c>
      <c r="S943" s="1" t="s">
        <v>1350</v>
      </c>
      <c r="T943" s="1" t="s">
        <v>1351</v>
      </c>
    </row>
    <row r="944" customFormat="false" ht="15" hidden="false" customHeight="true" outlineLevel="0" collapsed="false">
      <c r="A944" s="1" t="s">
        <v>1935</v>
      </c>
      <c r="B944" s="1" t="n">
        <v>1903</v>
      </c>
      <c r="C944" s="1" t="n">
        <v>9</v>
      </c>
      <c r="D944" s="1" t="s">
        <v>38</v>
      </c>
      <c r="E944" s="1" t="s">
        <v>1346</v>
      </c>
      <c r="F944" s="1" t="n">
        <v>100</v>
      </c>
      <c r="G944" s="1" t="n">
        <v>50</v>
      </c>
      <c r="H944" s="2" t="n">
        <v>750000</v>
      </c>
      <c r="I944" s="2" t="n">
        <f aca="false">(((H944 / 800) / IF(ISBLANK(R944), 1000000, IF(ISNA(VLOOKUP(R944, Mileages!$A$2:$C$34, 2, 0)), R944, VLOOKUP(R944, Mileages!$A$2:$C$34, 2, 0)))) + (F944 * IF(ISBLANK(P944), 1, P944) * IF(ISBLANK(T944), 0, IF(ISNA(VLOOKUP(T944, 'Fuel Costs'!$A$2:$C$42, 2, 0)), T944, VLOOKUP(T944, 'Fuel Costs'!$A$2:$C$42, 2, 0))) / IF(ISBLANK(O944), 1, O944))) * 100</f>
        <v>60.125</v>
      </c>
      <c r="J944" s="2" t="n">
        <f aca="false">((H944 / 800) / (IF(ISBLANK(S944), 100, IF(ISNA(VLOOKUP(S944, Lives!$A$2:$C$35, 2, 0)), S944, VLOOKUP(S944, Lives!$A$2:$C$35, 2, 0))) * 12) + (IF(ISBLANK(Q944), 0, IF(ISNA(VLOOKUP(Q944, Wages!$A$2:$C$17, 2, 0)), Q944, VLOOKUP(Q944, Wages!$A$2:$C$17, 2, 0))) * IF(ISBLANK(N944), 0, IF(ISNA(VLOOKUP(N944, Crews!$A$2:$C$28, 2, 0)), N944, VLOOKUP(N944, Crews!$A$2:$C$28, 2, 0))))) * 400</f>
        <v>6625</v>
      </c>
      <c r="K944" s="1"/>
      <c r="L944" s="1" t="s">
        <v>1795</v>
      </c>
      <c r="M944" s="1" t="n">
        <v>2</v>
      </c>
      <c r="N944" s="1" t="s">
        <v>1512</v>
      </c>
      <c r="O944" s="1" t="n">
        <v>1</v>
      </c>
      <c r="P944" s="1"/>
      <c r="Q944" s="1" t="str">
        <f aca="false">IF(ISBLANK('Pak128 Britain In'!$N944),,'Pak128 Britain In'!$N944)</f>
        <v>ElectricMultipleUnit</v>
      </c>
      <c r="R944" s="1" t="s">
        <v>1489</v>
      </c>
      <c r="S944" s="1" t="s">
        <v>1350</v>
      </c>
      <c r="T944" s="1" t="s">
        <v>1351</v>
      </c>
    </row>
    <row r="945" customFormat="false" ht="15" hidden="false" customHeight="true" outlineLevel="0" collapsed="false">
      <c r="A945" s="1" t="s">
        <v>1936</v>
      </c>
      <c r="B945" s="1" t="n">
        <v>1903</v>
      </c>
      <c r="C945" s="1" t="n">
        <v>9</v>
      </c>
      <c r="D945" s="1" t="s">
        <v>38</v>
      </c>
      <c r="E945" s="1"/>
      <c r="F945" s="1"/>
      <c r="G945" s="1" t="n">
        <v>160</v>
      </c>
      <c r="H945" s="2" t="n">
        <v>702000</v>
      </c>
      <c r="I945" s="2" t="n">
        <f aca="false">(((H945 / 800) / IF(ISBLANK(R945), 1000000, IF(ISNA(VLOOKUP(R945, Mileages!$A$2:$C$34, 2, 0)), R945, VLOOKUP(R945, Mileages!$A$2:$C$34, 2, 0)))) + (F945 * IF(ISBLANK(P945), 1, P945) * IF(ISBLANK(T945), 0, IF(ISNA(VLOOKUP(T945, 'Fuel Costs'!$A$2:$C$42, 2, 0)), T945, VLOOKUP(T945, 'Fuel Costs'!$A$2:$C$42, 2, 0))) / IF(ISBLANK(O945), 1, O945))) * 100</f>
        <v>0.073125</v>
      </c>
      <c r="J945" s="2" t="n">
        <f aca="false">((H945 / 800) / (IF(ISBLANK(S945), 100, IF(ISNA(VLOOKUP(S945, Lives!$A$2:$C$35, 2, 0)), S945, VLOOKUP(S945, Lives!$A$2:$C$35, 2, 0))) * 12) + (IF(ISBLANK(Q945), 0, IF(ISNA(VLOOKUP(Q945, Wages!$A$2:$C$17, 2, 0)), Q945, VLOOKUP(Q945, Wages!$A$2:$C$17, 2, 0))) * IF(ISBLANK(N945), 0, IF(ISNA(VLOOKUP(N945, Crews!$A$2:$C$28, 2, 0)), N945, VLOOKUP(N945, Crews!$A$2:$C$28, 2, 0))))) * 400</f>
        <v>5635.714286</v>
      </c>
      <c r="K945" s="1"/>
      <c r="L945" s="1" t="s">
        <v>1937</v>
      </c>
      <c r="M945" s="1" t="n">
        <v>1</v>
      </c>
      <c r="N945" s="1" t="s">
        <v>25</v>
      </c>
      <c r="O945" s="1"/>
      <c r="P945" s="1"/>
      <c r="Q945" s="1" t="s">
        <v>378</v>
      </c>
      <c r="R945" s="1" t="s">
        <v>689</v>
      </c>
      <c r="S945" s="1" t="s">
        <v>856</v>
      </c>
      <c r="T945" s="1"/>
    </row>
    <row r="946" customFormat="false" ht="15" hidden="false" customHeight="true" outlineLevel="0" collapsed="false">
      <c r="A946" s="1" t="s">
        <v>1938</v>
      </c>
      <c r="B946" s="1" t="n">
        <v>1903</v>
      </c>
      <c r="C946" s="1" t="n">
        <v>9</v>
      </c>
      <c r="D946" s="1" t="s">
        <v>38</v>
      </c>
      <c r="E946" s="1"/>
      <c r="F946" s="1"/>
      <c r="G946" s="1" t="n">
        <v>160</v>
      </c>
      <c r="H946" s="2" t="n">
        <v>702000</v>
      </c>
      <c r="I946" s="2" t="n">
        <f aca="false">(((H946 / 800) / IF(ISBLANK(R946), 1000000, IF(ISNA(VLOOKUP(R946, Mileages!$A$2:$C$34, 2, 0)), R946, VLOOKUP(R946, Mileages!$A$2:$C$34, 2, 0)))) + (F946 * IF(ISBLANK(P946), 1, P946) * IF(ISBLANK(T946), 0, IF(ISNA(VLOOKUP(T946, 'Fuel Costs'!$A$2:$C$42, 2, 0)), T946, VLOOKUP(T946, 'Fuel Costs'!$A$2:$C$42, 2, 0))) / IF(ISBLANK(O946), 1, O946))) * 100</f>
        <v>0.073125</v>
      </c>
      <c r="J946" s="2" t="n">
        <f aca="false">((H946 / 800) / (IF(ISBLANK(S946), 100, IF(ISNA(VLOOKUP(S946, Lives!$A$2:$C$35, 2, 0)), S946, VLOOKUP(S946, Lives!$A$2:$C$35, 2, 0))) * 12) + (IF(ISBLANK(Q946), 0, IF(ISNA(VLOOKUP(Q946, Wages!$A$2:$C$17, 2, 0)), Q946, VLOOKUP(Q946, Wages!$A$2:$C$17, 2, 0))) * IF(ISBLANK(N946), 0, IF(ISNA(VLOOKUP(N946, Crews!$A$2:$C$28, 2, 0)), N946, VLOOKUP(N946, Crews!$A$2:$C$28, 2, 0))))) * 400</f>
        <v>5635.714286</v>
      </c>
      <c r="K946" s="1"/>
      <c r="L946" s="1" t="s">
        <v>1937</v>
      </c>
      <c r="M946" s="1" t="n">
        <v>2</v>
      </c>
      <c r="N946" s="1" t="s">
        <v>25</v>
      </c>
      <c r="O946" s="1"/>
      <c r="P946" s="1"/>
      <c r="Q946" s="1" t="s">
        <v>378</v>
      </c>
      <c r="R946" s="1" t="s">
        <v>689</v>
      </c>
      <c r="S946" s="1" t="s">
        <v>856</v>
      </c>
      <c r="T946" s="1"/>
    </row>
    <row r="947" customFormat="false" ht="15" hidden="false" customHeight="true" outlineLevel="0" collapsed="false">
      <c r="A947" s="1" t="s">
        <v>1939</v>
      </c>
      <c r="B947" s="1" t="n">
        <v>1903</v>
      </c>
      <c r="C947" s="1" t="n">
        <v>9</v>
      </c>
      <c r="D947" s="1" t="s">
        <v>38</v>
      </c>
      <c r="E947" s="1"/>
      <c r="F947" s="1"/>
      <c r="G947" s="1" t="n">
        <v>160</v>
      </c>
      <c r="H947" s="2" t="n">
        <v>725000</v>
      </c>
      <c r="I947" s="2" t="n">
        <f aca="false">(((H947 / 800) / IF(ISBLANK(R947), 1000000, IF(ISNA(VLOOKUP(R947, Mileages!$A$2:$C$34, 2, 0)), R947, VLOOKUP(R947, Mileages!$A$2:$C$34, 2, 0)))) + (F947 * IF(ISBLANK(P947), 1, P947) * IF(ISBLANK(T947), 0, IF(ISNA(VLOOKUP(T947, 'Fuel Costs'!$A$2:$C$42, 2, 0)), T947, VLOOKUP(T947, 'Fuel Costs'!$A$2:$C$42, 2, 0))) / IF(ISBLANK(O947), 1, O947))) * 100</f>
        <v>0.07552083333</v>
      </c>
      <c r="J947" s="2" t="n">
        <f aca="false">((H947 / 800) / (IF(ISBLANK(S947), 100, IF(ISNA(VLOOKUP(S947, Lives!$A$2:$C$35, 2, 0)), S947, VLOOKUP(S947, Lives!$A$2:$C$35, 2, 0))) * 12) + (IF(ISBLANK(Q947), 0, IF(ISNA(VLOOKUP(Q947, Wages!$A$2:$C$17, 2, 0)), Q947, VLOOKUP(Q947, Wages!$A$2:$C$17, 2, 0))) * IF(ISBLANK(N947), 0, IF(ISNA(VLOOKUP(N947, Crews!$A$2:$C$28, 2, 0)), N947, VLOOKUP(N947, Crews!$A$2:$C$28, 2, 0))))) * 400</f>
        <v>18863.09524</v>
      </c>
      <c r="K947" s="1"/>
      <c r="L947" s="1" t="s">
        <v>1937</v>
      </c>
      <c r="M947" s="1" t="n">
        <v>3</v>
      </c>
      <c r="N947" s="1" t="s">
        <v>1481</v>
      </c>
      <c r="O947" s="1"/>
      <c r="P947" s="1"/>
      <c r="Q947" s="1" t="s">
        <v>1481</v>
      </c>
      <c r="R947" s="1" t="s">
        <v>689</v>
      </c>
      <c r="S947" s="1" t="s">
        <v>856</v>
      </c>
      <c r="T947" s="1"/>
    </row>
    <row r="948" customFormat="false" ht="15" hidden="false" customHeight="true" outlineLevel="0" collapsed="false">
      <c r="A948" s="1" t="s">
        <v>1940</v>
      </c>
      <c r="B948" s="1" t="n">
        <v>1903</v>
      </c>
      <c r="C948" s="1" t="n">
        <v>9</v>
      </c>
      <c r="D948" s="1" t="s">
        <v>38</v>
      </c>
      <c r="E948" s="1"/>
      <c r="F948" s="1"/>
      <c r="G948" s="1" t="n">
        <v>160</v>
      </c>
      <c r="H948" s="2" t="n">
        <v>628000</v>
      </c>
      <c r="I948" s="2" t="n">
        <f aca="false">(((H948 / 800) / IF(ISBLANK(R948), 1000000, IF(ISNA(VLOOKUP(R948, Mileages!$A$2:$C$34, 2, 0)), R948, VLOOKUP(R948, Mileages!$A$2:$C$34, 2, 0)))) + (F948 * IF(ISBLANK(P948), 1, P948) * IF(ISBLANK(T948), 0, IF(ISNA(VLOOKUP(T948, 'Fuel Costs'!$A$2:$C$42, 2, 0)), T948, VLOOKUP(T948, 'Fuel Costs'!$A$2:$C$42, 2, 0))) / IF(ISBLANK(O948), 1, O948))) * 100</f>
        <v>0.06541666667</v>
      </c>
      <c r="J948" s="2" t="n">
        <f aca="false">((H948 / 800) / (IF(ISBLANK(S948), 100, IF(ISNA(VLOOKUP(S948, Lives!$A$2:$C$35, 2, 0)), S948, VLOOKUP(S948, Lives!$A$2:$C$35, 2, 0))) * 12) + (IF(ISBLANK(Q948), 0, IF(ISNA(VLOOKUP(Q948, Wages!$A$2:$C$17, 2, 0)), Q948, VLOOKUP(Q948, Wages!$A$2:$C$17, 2, 0))) * IF(ISBLANK(N948), 0, IF(ISNA(VLOOKUP(N948, Crews!$A$2:$C$28, 2, 0)), N948, VLOOKUP(N948, Crews!$A$2:$C$28, 2, 0))))) * 400</f>
        <v>747.6190476</v>
      </c>
      <c r="K948" s="3" t="s">
        <v>1941</v>
      </c>
      <c r="L948" s="1" t="s">
        <v>1942</v>
      </c>
      <c r="M948" s="1" t="n">
        <v>0</v>
      </c>
      <c r="N948" s="1"/>
      <c r="O948" s="1"/>
      <c r="P948" s="1"/>
      <c r="Q948" s="1"/>
      <c r="R948" s="1" t="s">
        <v>689</v>
      </c>
      <c r="S948" s="1" t="s">
        <v>856</v>
      </c>
      <c r="T948" s="1"/>
    </row>
    <row r="949" customFormat="false" ht="15" hidden="false" customHeight="true" outlineLevel="0" collapsed="false">
      <c r="A949" s="1" t="s">
        <v>1943</v>
      </c>
      <c r="B949" s="1" t="n">
        <v>1903</v>
      </c>
      <c r="C949" s="1" t="n">
        <v>9</v>
      </c>
      <c r="D949" s="1" t="s">
        <v>38</v>
      </c>
      <c r="E949" s="1"/>
      <c r="F949" s="1"/>
      <c r="G949" s="1" t="n">
        <v>160</v>
      </c>
      <c r="H949" s="2" t="n">
        <v>600000</v>
      </c>
      <c r="I949" s="2" t="n">
        <f aca="false">(((H949 / 800) / IF(ISBLANK(R949), 1000000, IF(ISNA(VLOOKUP(R949, Mileages!$A$2:$C$34, 2, 0)), R949, VLOOKUP(R949, Mileages!$A$2:$C$34, 2, 0)))) + (F949 * IF(ISBLANK(P949), 1, P949) * IF(ISBLANK(T949), 0, IF(ISNA(VLOOKUP(T949, 'Fuel Costs'!$A$2:$C$42, 2, 0)), T949, VLOOKUP(T949, 'Fuel Costs'!$A$2:$C$42, 2, 0))) / IF(ISBLANK(O949), 1, O949))) * 100</f>
        <v>0.0625</v>
      </c>
      <c r="J949" s="2" t="n">
        <f aca="false">((H949 / 800) / (IF(ISBLANK(S949), 100, IF(ISNA(VLOOKUP(S949, Lives!$A$2:$C$35, 2, 0)), S949, VLOOKUP(S949, Lives!$A$2:$C$35, 2, 0))) * 12) + (IF(ISBLANK(Q949), 0, IF(ISNA(VLOOKUP(Q949, Wages!$A$2:$C$17, 2, 0)), Q949, VLOOKUP(Q949, Wages!$A$2:$C$17, 2, 0))) * IF(ISBLANK(N949), 0, IF(ISNA(VLOOKUP(N949, Crews!$A$2:$C$28, 2, 0)), N949, VLOOKUP(N949, Crews!$A$2:$C$28, 2, 0))))) * 400</f>
        <v>5514.285714</v>
      </c>
      <c r="K949" s="3" t="s">
        <v>1941</v>
      </c>
      <c r="L949" s="1" t="s">
        <v>1942</v>
      </c>
      <c r="M949" s="1" t="n">
        <v>1</v>
      </c>
      <c r="N949" s="1" t="s">
        <v>25</v>
      </c>
      <c r="O949" s="1"/>
      <c r="P949" s="1"/>
      <c r="Q949" s="1" t="s">
        <v>378</v>
      </c>
      <c r="R949" s="1" t="s">
        <v>689</v>
      </c>
      <c r="S949" s="1" t="s">
        <v>856</v>
      </c>
      <c r="T949" s="1"/>
    </row>
    <row r="950" customFormat="false" ht="15" hidden="false" customHeight="true" outlineLevel="0" collapsed="false">
      <c r="A950" s="1" t="s">
        <v>1944</v>
      </c>
      <c r="B950" s="1" t="n">
        <v>1903</v>
      </c>
      <c r="C950" s="1" t="n">
        <v>9</v>
      </c>
      <c r="D950" s="1" t="s">
        <v>38</v>
      </c>
      <c r="E950" s="1"/>
      <c r="F950" s="1"/>
      <c r="G950" s="1" t="n">
        <v>160</v>
      </c>
      <c r="H950" s="2" t="n">
        <v>600000</v>
      </c>
      <c r="I950" s="2" t="n">
        <f aca="false">(((H950 / 800) / IF(ISBLANK(R950), 1000000, IF(ISNA(VLOOKUP(R950, Mileages!$A$2:$C$34, 2, 0)), R950, VLOOKUP(R950, Mileages!$A$2:$C$34, 2, 0)))) + (F950 * IF(ISBLANK(P950), 1, P950) * IF(ISBLANK(T950), 0, IF(ISNA(VLOOKUP(T950, 'Fuel Costs'!$A$2:$C$42, 2, 0)), T950, VLOOKUP(T950, 'Fuel Costs'!$A$2:$C$42, 2, 0))) / IF(ISBLANK(O950), 1, O950))) * 100</f>
        <v>0.0625</v>
      </c>
      <c r="J950" s="2" t="n">
        <f aca="false">((H950 / 800) / (IF(ISBLANK(S950), 100, IF(ISNA(VLOOKUP(S950, Lives!$A$2:$C$35, 2, 0)), S950, VLOOKUP(S950, Lives!$A$2:$C$35, 2, 0))) * 12) + (IF(ISBLANK(Q950), 0, IF(ISNA(VLOOKUP(Q950, Wages!$A$2:$C$17, 2, 0)), Q950, VLOOKUP(Q950, Wages!$A$2:$C$17, 2, 0))) * IF(ISBLANK(N950), 0, IF(ISNA(VLOOKUP(N950, Crews!$A$2:$C$28, 2, 0)), N950, VLOOKUP(N950, Crews!$A$2:$C$28, 2, 0))))) * 400</f>
        <v>5514.285714</v>
      </c>
      <c r="K950" s="3" t="s">
        <v>1941</v>
      </c>
      <c r="L950" s="1" t="s">
        <v>1942</v>
      </c>
      <c r="M950" s="1" t="n">
        <v>2</v>
      </c>
      <c r="N950" s="1" t="s">
        <v>25</v>
      </c>
      <c r="O950" s="1"/>
      <c r="P950" s="1"/>
      <c r="Q950" s="1" t="s">
        <v>378</v>
      </c>
      <c r="R950" s="1" t="s">
        <v>689</v>
      </c>
      <c r="S950" s="1" t="s">
        <v>856</v>
      </c>
      <c r="T950" s="1"/>
    </row>
    <row r="951" customFormat="false" ht="15" hidden="false" customHeight="true" outlineLevel="0" collapsed="false">
      <c r="A951" s="1" t="s">
        <v>1945</v>
      </c>
      <c r="B951" s="1" t="n">
        <v>1903</v>
      </c>
      <c r="C951" s="1" t="n">
        <v>9</v>
      </c>
      <c r="D951" s="1" t="s">
        <v>876</v>
      </c>
      <c r="E951" s="1" t="s">
        <v>1346</v>
      </c>
      <c r="F951" s="1" t="n">
        <v>45</v>
      </c>
      <c r="G951" s="1" t="n">
        <v>32</v>
      </c>
      <c r="H951" s="2" t="n">
        <v>395000</v>
      </c>
      <c r="I951" s="2" t="n">
        <f aca="false">(((H951 / 800) / IF(ISBLANK(R951), 1000000, IF(ISNA(VLOOKUP(R951, Mileages!$A$2:$C$34, 2, 0)), R951, VLOOKUP(R951, Mileages!$A$2:$C$34, 2, 0)))) + (F951 * IF(ISBLANK(P951), 1, P951) * IF(ISBLANK(T951), 0, IF(ISNA(VLOOKUP(T951, 'Fuel Costs'!$A$2:$C$42, 2, 0)), T951, VLOOKUP(T951, 'Fuel Costs'!$A$2:$C$42, 2, 0))) / IF(ISBLANK(O951), 1, O951))) * 100</f>
        <v>27.049375</v>
      </c>
      <c r="J951" s="2" t="n">
        <f aca="false">((H951 / 800) / (IF(ISBLANK(S951), 100, IF(ISNA(VLOOKUP(S951, Lives!$A$2:$C$35, 2, 0)), S951, VLOOKUP(S951, Lives!$A$2:$C$35, 2, 0))) * 12) + (IF(ISBLANK(Q951), 0, IF(ISNA(VLOOKUP(Q951, Wages!$A$2:$C$17, 2, 0)), Q951, VLOOKUP(Q951, Wages!$A$2:$C$17, 2, 0))) * IF(ISBLANK(N951), 0, IF(ISNA(VLOOKUP(N951, Crews!$A$2:$C$28, 2, 0)), N951, VLOOKUP(N951, Crews!$A$2:$C$28, 2, 0))))) * 400</f>
        <v>6329.166667</v>
      </c>
      <c r="K951" s="3" t="s">
        <v>1946</v>
      </c>
      <c r="L951" s="1" t="s">
        <v>1947</v>
      </c>
      <c r="M951" s="1" t="n">
        <v>0</v>
      </c>
      <c r="N951" s="1" t="s">
        <v>895</v>
      </c>
      <c r="O951" s="1"/>
      <c r="P951" s="1"/>
      <c r="Q951" s="1" t="s">
        <v>895</v>
      </c>
      <c r="R951" s="1" t="s">
        <v>1349</v>
      </c>
      <c r="S951" s="1" t="s">
        <v>1350</v>
      </c>
      <c r="T951" s="1" t="s">
        <v>1351</v>
      </c>
    </row>
    <row r="952" customFormat="false" ht="15" hidden="false" customHeight="true" outlineLevel="0" collapsed="false">
      <c r="A952" s="1" t="s">
        <v>1948</v>
      </c>
      <c r="B952" s="1" t="n">
        <v>1903</v>
      </c>
      <c r="C952" s="1" t="n">
        <v>10</v>
      </c>
      <c r="D952" s="1" t="s">
        <v>876</v>
      </c>
      <c r="E952" s="1" t="s">
        <v>1346</v>
      </c>
      <c r="F952" s="1" t="n">
        <v>45</v>
      </c>
      <c r="G952" s="1" t="n">
        <v>32</v>
      </c>
      <c r="H952" s="2" t="n">
        <v>365000</v>
      </c>
      <c r="I952" s="2" t="n">
        <f aca="false">(((H952 / 800) / IF(ISBLANK(R952), 1000000, IF(ISNA(VLOOKUP(R952, Mileages!$A$2:$C$34, 2, 0)), R952, VLOOKUP(R952, Mileages!$A$2:$C$34, 2, 0)))) + (F952 * IF(ISBLANK(P952), 1, P952) * IF(ISBLANK(T952), 0, IF(ISNA(VLOOKUP(T952, 'Fuel Costs'!$A$2:$C$42, 2, 0)), T952, VLOOKUP(T952, 'Fuel Costs'!$A$2:$C$42, 2, 0))) / IF(ISBLANK(O952), 1, O952))) * 100</f>
        <v>27.045625</v>
      </c>
      <c r="J952" s="2" t="n">
        <f aca="false">((H952 / 800) / (IF(ISBLANK(S952), 100, IF(ISNA(VLOOKUP(S952, Lives!$A$2:$C$35, 2, 0)), S952, VLOOKUP(S952, Lives!$A$2:$C$35, 2, 0))) * 12) + (IF(ISBLANK(Q952), 0, IF(ISNA(VLOOKUP(Q952, Wages!$A$2:$C$17, 2, 0)), Q952, VLOOKUP(Q952, Wages!$A$2:$C$17, 2, 0))) * IF(ISBLANK(N952), 0, IF(ISNA(VLOOKUP(N952, Crews!$A$2:$C$28, 2, 0)), N952, VLOOKUP(N952, Crews!$A$2:$C$28, 2, 0))))) * 400</f>
        <v>6304.166667</v>
      </c>
      <c r="K952" s="3" t="s">
        <v>1949</v>
      </c>
      <c r="L952" s="1" t="s">
        <v>1950</v>
      </c>
      <c r="M952" s="1" t="n">
        <v>0</v>
      </c>
      <c r="N952" s="1" t="s">
        <v>895</v>
      </c>
      <c r="O952" s="1"/>
      <c r="P952" s="1"/>
      <c r="Q952" s="1" t="s">
        <v>895</v>
      </c>
      <c r="R952" s="1" t="s">
        <v>1349</v>
      </c>
      <c r="S952" s="1" t="s">
        <v>1350</v>
      </c>
      <c r="T952" s="1" t="s">
        <v>1351</v>
      </c>
    </row>
    <row r="953" customFormat="false" ht="15" hidden="false" customHeight="true" outlineLevel="0" collapsed="false">
      <c r="A953" s="1" t="s">
        <v>1951</v>
      </c>
      <c r="B953" s="1" t="n">
        <v>1903</v>
      </c>
      <c r="C953" s="1"/>
      <c r="D953" s="1" t="s">
        <v>38</v>
      </c>
      <c r="E953" s="1"/>
      <c r="F953" s="1"/>
      <c r="G953" s="1" t="n">
        <v>160</v>
      </c>
      <c r="H953" s="2" t="n">
        <v>702000</v>
      </c>
      <c r="I953" s="2" t="n">
        <f aca="false">(((H953 / 800) / IF(ISBLANK(R953), 1000000, IF(ISNA(VLOOKUP(R953, Mileages!$A$2:$C$34, 2, 0)), R953, VLOOKUP(R953, Mileages!$A$2:$C$34, 2, 0)))) + (F953 * IF(ISBLANK(P953), 1, P953) * IF(ISBLANK(T953), 0, IF(ISNA(VLOOKUP(T953, 'Fuel Costs'!$A$2:$C$42, 2, 0)), T953, VLOOKUP(T953, 'Fuel Costs'!$A$2:$C$42, 2, 0))) / IF(ISBLANK(O953), 1, O953))) * 100</f>
        <v>0.073125</v>
      </c>
      <c r="J953" s="2" t="n">
        <f aca="false">((H953 / 800) / (IF(ISBLANK(S953), 100, IF(ISNA(VLOOKUP(S953, Lives!$A$2:$C$35, 2, 0)), S953, VLOOKUP(S953, Lives!$A$2:$C$35, 2, 0))) * 12) + (IF(ISBLANK(Q953), 0, IF(ISNA(VLOOKUP(Q953, Wages!$A$2:$C$17, 2, 0)), Q953, VLOOKUP(Q953, Wages!$A$2:$C$17, 2, 0))) * IF(ISBLANK(N953), 0, IF(ISNA(VLOOKUP(N953, Crews!$A$2:$C$28, 2, 0)), N953, VLOOKUP(N953, Crews!$A$2:$C$28, 2, 0))))) * 400</f>
        <v>835.7142857</v>
      </c>
      <c r="K953" s="1"/>
      <c r="L953" s="1" t="s">
        <v>1937</v>
      </c>
      <c r="M953" s="1" t="n">
        <v>0</v>
      </c>
      <c r="N953" s="1"/>
      <c r="O953" s="1"/>
      <c r="P953" s="1"/>
      <c r="Q953" s="1"/>
      <c r="R953" s="1" t="s">
        <v>689</v>
      </c>
      <c r="S953" s="1" t="s">
        <v>856</v>
      </c>
      <c r="T953" s="1"/>
    </row>
    <row r="954" customFormat="false" ht="15" hidden="false" customHeight="true" outlineLevel="0" collapsed="false">
      <c r="A954" s="1" t="s">
        <v>1952</v>
      </c>
      <c r="B954" s="1" t="n">
        <v>1904</v>
      </c>
      <c r="C954" s="1" t="n">
        <v>3</v>
      </c>
      <c r="D954" s="1" t="s">
        <v>876</v>
      </c>
      <c r="E954" s="1" t="s">
        <v>1346</v>
      </c>
      <c r="F954" s="1" t="n">
        <v>60</v>
      </c>
      <c r="G954" s="1" t="n">
        <v>32</v>
      </c>
      <c r="H954" s="2" t="n">
        <v>375000</v>
      </c>
      <c r="I954" s="2" t="n">
        <f aca="false">(((H954 / 800) / IF(ISBLANK(R954), 1000000, IF(ISNA(VLOOKUP(R954, Mileages!$A$2:$C$34, 2, 0)), R954, VLOOKUP(R954, Mileages!$A$2:$C$34, 2, 0)))) + (F954 * IF(ISBLANK(P954), 1, P954) * IF(ISBLANK(T954), 0, IF(ISNA(VLOOKUP(T954, 'Fuel Costs'!$A$2:$C$42, 2, 0)), T954, VLOOKUP(T954, 'Fuel Costs'!$A$2:$C$42, 2, 0))) / IF(ISBLANK(O954), 1, O954))) * 100</f>
        <v>36.046875</v>
      </c>
      <c r="J954" s="2" t="n">
        <f aca="false">((H954 / 800) / (IF(ISBLANK(S954), 100, IF(ISNA(VLOOKUP(S954, Lives!$A$2:$C$35, 2, 0)), S954, VLOOKUP(S954, Lives!$A$2:$C$35, 2, 0))) * 12) + (IF(ISBLANK(Q954), 0, IF(ISNA(VLOOKUP(Q954, Wages!$A$2:$C$17, 2, 0)), Q954, VLOOKUP(Q954, Wages!$A$2:$C$17, 2, 0))) * IF(ISBLANK(N954), 0, IF(ISNA(VLOOKUP(N954, Crews!$A$2:$C$28, 2, 0)), N954, VLOOKUP(N954, Crews!$A$2:$C$28, 2, 0))))) * 400</f>
        <v>6312.5</v>
      </c>
      <c r="K954" s="3" t="s">
        <v>1953</v>
      </c>
      <c r="L954" s="1" t="s">
        <v>1719</v>
      </c>
      <c r="M954" s="1" t="n">
        <v>1</v>
      </c>
      <c r="N954" s="1" t="s">
        <v>895</v>
      </c>
      <c r="O954" s="1"/>
      <c r="P954" s="1"/>
      <c r="Q954" s="1" t="s">
        <v>895</v>
      </c>
      <c r="R954" s="1" t="s">
        <v>1349</v>
      </c>
      <c r="S954" s="1" t="s">
        <v>1350</v>
      </c>
      <c r="T954" s="1" t="s">
        <v>1351</v>
      </c>
    </row>
    <row r="955" customFormat="false" ht="15" hidden="false" customHeight="true" outlineLevel="0" collapsed="false">
      <c r="A955" s="1" t="s">
        <v>1954</v>
      </c>
      <c r="B955" s="1" t="n">
        <v>1904</v>
      </c>
      <c r="C955" s="1" t="n">
        <v>3</v>
      </c>
      <c r="D955" s="1" t="s">
        <v>38</v>
      </c>
      <c r="E955" s="1" t="s">
        <v>274</v>
      </c>
      <c r="F955" s="1" t="n">
        <v>290</v>
      </c>
      <c r="G955" s="1" t="n">
        <v>146</v>
      </c>
      <c r="H955" s="2" t="n">
        <v>7500000</v>
      </c>
      <c r="I955" s="2" t="n">
        <f aca="false">(((H955 / 800) / IF(ISBLANK(R955), 1000000, IF(ISNA(VLOOKUP(R955, Mileages!$A$2:$C$34, 2, 0)), R955, VLOOKUP(R955, Mileages!$A$2:$C$34, 2, 0)))) + (F955 * IF(ISBLANK(P955), 1, P955) * IF(ISBLANK(T955), 0, IF(ISNA(VLOOKUP(T955, 'Fuel Costs'!$A$2:$C$42, 2, 0)), T955, VLOOKUP(T955, 'Fuel Costs'!$A$2:$C$42, 2, 0))) / IF(ISBLANK(O955), 1, O955))) * 100</f>
        <v>125.2232143</v>
      </c>
      <c r="J955" s="2" t="n">
        <f aca="false">((H955 / 800) / (IF(ISBLANK(S955), 100, IF(ISNA(VLOOKUP(S955, Lives!$A$2:$C$35, 2, 0)), S955, VLOOKUP(S955, Lives!$A$2:$C$35, 2, 0))) * 12) + (IF(ISBLANK(Q955), 0, IF(ISNA(VLOOKUP(Q955, Wages!$A$2:$C$17, 2, 0)), Q955, VLOOKUP(Q955, Wages!$A$2:$C$17, 2, 0))) * IF(ISBLANK(N955), 0, IF(ISNA(VLOOKUP(N955, Crews!$A$2:$C$28, 2, 0)), N955, VLOOKUP(N955, Crews!$A$2:$C$28, 2, 0))))) * 400</f>
        <v>30250</v>
      </c>
      <c r="K955" s="3" t="s">
        <v>1955</v>
      </c>
      <c r="L955" s="1" t="s">
        <v>1956</v>
      </c>
      <c r="M955" s="1" t="n">
        <v>0</v>
      </c>
      <c r="N955" s="1" t="s">
        <v>590</v>
      </c>
      <c r="O955" s="1" t="n">
        <v>0.7</v>
      </c>
      <c r="P955" s="1"/>
      <c r="Q955" s="5" t="s">
        <v>284</v>
      </c>
      <c r="R955" s="1" t="s">
        <v>677</v>
      </c>
      <c r="S955" s="1" t="s">
        <v>677</v>
      </c>
      <c r="T955" s="1" t="s">
        <v>1785</v>
      </c>
    </row>
    <row r="956" customFormat="false" ht="15" hidden="false" customHeight="true" outlineLevel="0" collapsed="false">
      <c r="A956" s="1" t="s">
        <v>1957</v>
      </c>
      <c r="B956" s="1" t="n">
        <v>1904</v>
      </c>
      <c r="C956" s="1" t="n">
        <v>3</v>
      </c>
      <c r="D956" s="1" t="s">
        <v>38</v>
      </c>
      <c r="E956" s="1" t="s">
        <v>274</v>
      </c>
      <c r="F956" s="1" t="n">
        <v>338</v>
      </c>
      <c r="G956" s="1" t="n">
        <v>143</v>
      </c>
      <c r="H956" s="2" t="n">
        <v>99000000</v>
      </c>
      <c r="I956" s="2" t="n">
        <f aca="false">(((H956 / 800) / IF(ISBLANK(R956), 1000000, IF(ISNA(VLOOKUP(R956, Mileages!$A$2:$C$34, 2, 0)), R956, VLOOKUP(R956, Mileages!$A$2:$C$34, 2, 0)))) + (F956 * IF(ISBLANK(P956), 1, P956) * IF(ISBLANK(T956), 0, IF(ISNA(VLOOKUP(T956, 'Fuel Costs'!$A$2:$C$42, 2, 0)), T956, VLOOKUP(T956, 'Fuel Costs'!$A$2:$C$42, 2, 0))) / IF(ISBLANK(O956), 1, O956))) * 100</f>
        <v>157.2321429</v>
      </c>
      <c r="J956" s="2" t="n">
        <f aca="false">((H956 / 800) / (IF(ISBLANK(S956), 100, IF(ISNA(VLOOKUP(S956, Lives!$A$2:$C$35, 2, 0)), S956, VLOOKUP(S956, Lives!$A$2:$C$35, 2, 0))) * 12) + (IF(ISBLANK(Q956), 0, IF(ISNA(VLOOKUP(Q956, Wages!$A$2:$C$17, 2, 0)), Q956, VLOOKUP(Q956, Wages!$A$2:$C$17, 2, 0))) * IF(ISBLANK(N956), 0, IF(ISNA(VLOOKUP(N956, Crews!$A$2:$C$28, 2, 0)), N956, VLOOKUP(N956, Crews!$A$2:$C$28, 2, 0))))) * 400</f>
        <v>122500</v>
      </c>
      <c r="K956" s="3" t="s">
        <v>1958</v>
      </c>
      <c r="L956" s="1" t="s">
        <v>1959</v>
      </c>
      <c r="M956" s="1" t="n">
        <v>0</v>
      </c>
      <c r="N956" s="1" t="s">
        <v>1705</v>
      </c>
      <c r="O956" s="1" t="n">
        <v>0.7</v>
      </c>
      <c r="P956" s="1"/>
      <c r="Q956" s="5" t="s">
        <v>284</v>
      </c>
      <c r="R956" s="1" t="s">
        <v>677</v>
      </c>
      <c r="S956" s="1" t="s">
        <v>677</v>
      </c>
      <c r="T956" s="1" t="s">
        <v>1785</v>
      </c>
    </row>
    <row r="957" customFormat="false" ht="15" hidden="false" customHeight="true" outlineLevel="0" collapsed="false">
      <c r="A957" s="1" t="s">
        <v>1960</v>
      </c>
      <c r="B957" s="1" t="n">
        <v>1904</v>
      </c>
      <c r="C957" s="1" t="n">
        <v>4</v>
      </c>
      <c r="D957" s="1" t="s">
        <v>21</v>
      </c>
      <c r="E957" s="1" t="s">
        <v>1839</v>
      </c>
      <c r="F957" s="1" t="n">
        <v>9</v>
      </c>
      <c r="G957" s="1" t="n">
        <v>30</v>
      </c>
      <c r="H957" s="2" t="n">
        <v>84500</v>
      </c>
      <c r="I957" s="2" t="n">
        <f aca="false">(((H957 / 800) / IF(ISBLANK(R957), 1000000, IF(ISNA(VLOOKUP(R957, Mileages!$A$2:$C$34, 2, 0)), R957, VLOOKUP(R957, Mileages!$A$2:$C$34, 2, 0)))) + (F957 * IF(ISBLANK(P957), 1, P957) * IF(ISBLANK(T957), 0, IF(ISNA(VLOOKUP(T957, 'Fuel Costs'!$A$2:$C$42, 2, 0)), T957, VLOOKUP(T957, 'Fuel Costs'!$A$2:$C$42, 2, 0))) / IF(ISBLANK(O957), 1, O957))) * 100</f>
        <v>10.521125</v>
      </c>
      <c r="J957" s="2" t="n">
        <f aca="false">((H957 / 800) / (IF(ISBLANK(S957), 100, IF(ISNA(VLOOKUP(S957, Lives!$A$2:$C$35, 2, 0)), S957, VLOOKUP(S957, Lives!$A$2:$C$35, 2, 0))) * 12) + (IF(ISBLANK(Q957), 0, IF(ISNA(VLOOKUP(Q957, Wages!$A$2:$C$17, 2, 0)), Q957, VLOOKUP(Q957, Wages!$A$2:$C$17, 2, 0))) * IF(ISBLANK(N957), 0, IF(ISNA(VLOOKUP(N957, Crews!$A$2:$C$28, 2, 0)), N957, VLOOKUP(N957, Crews!$A$2:$C$28, 2, 0))))) * 400</f>
        <v>8044.010417</v>
      </c>
      <c r="K957" s="3" t="s">
        <v>1961</v>
      </c>
      <c r="L957" s="1" t="s">
        <v>1962</v>
      </c>
      <c r="M957" s="1" t="n">
        <v>0</v>
      </c>
      <c r="N957" s="1" t="s">
        <v>25</v>
      </c>
      <c r="O957" s="1" t="n">
        <v>0.6</v>
      </c>
      <c r="P957" s="1"/>
      <c r="Q957" s="1" t="s">
        <v>1815</v>
      </c>
      <c r="R957" s="1" t="s">
        <v>1842</v>
      </c>
      <c r="S957" s="1" t="s">
        <v>1843</v>
      </c>
      <c r="T957" s="1" t="s">
        <v>1844</v>
      </c>
    </row>
    <row r="958" customFormat="false" ht="15" hidden="false" customHeight="true" outlineLevel="0" collapsed="false">
      <c r="A958" s="1" t="s">
        <v>1963</v>
      </c>
      <c r="B958" s="1" t="n">
        <v>1904</v>
      </c>
      <c r="C958" s="1" t="n">
        <v>4</v>
      </c>
      <c r="D958" s="1" t="s">
        <v>21</v>
      </c>
      <c r="E958" s="1" t="s">
        <v>1839</v>
      </c>
      <c r="F958" s="1" t="n">
        <v>9</v>
      </c>
      <c r="G958" s="1" t="n">
        <v>30</v>
      </c>
      <c r="H958" s="2" t="n">
        <v>84500</v>
      </c>
      <c r="I958" s="2" t="n">
        <f aca="false">(((H958 / 800) / IF(ISBLANK(R958), 1000000, IF(ISNA(VLOOKUP(R958, Mileages!$A$2:$C$34, 2, 0)), R958, VLOOKUP(R958, Mileages!$A$2:$C$34, 2, 0)))) + (F958 * IF(ISBLANK(P958), 1, P958) * IF(ISBLANK(T958), 0, IF(ISNA(VLOOKUP(T958, 'Fuel Costs'!$A$2:$C$42, 2, 0)), T958, VLOOKUP(T958, 'Fuel Costs'!$A$2:$C$42, 2, 0))) / IF(ISBLANK(O958), 1, O958))) * 100</f>
        <v>10.521125</v>
      </c>
      <c r="J958" s="2" t="n">
        <f aca="false">((H958 / 800) / (IF(ISBLANK(S958), 100, IF(ISNA(VLOOKUP(S958, Lives!$A$2:$C$35, 2, 0)), S958, VLOOKUP(S958, Lives!$A$2:$C$35, 2, 0))) * 12) + (IF(ISBLANK(Q958), 0, IF(ISNA(VLOOKUP(Q958, Wages!$A$2:$C$17, 2, 0)), Q958, VLOOKUP(Q958, Wages!$A$2:$C$17, 2, 0))) * IF(ISBLANK(N958), 0, IF(ISNA(VLOOKUP(N958, Crews!$A$2:$C$28, 2, 0)), N958, VLOOKUP(N958, Crews!$A$2:$C$28, 2, 0))))) * 400</f>
        <v>8044.010417</v>
      </c>
      <c r="K958" s="1" t="s">
        <v>1964</v>
      </c>
      <c r="L958" s="1" t="s">
        <v>1962</v>
      </c>
      <c r="M958" s="1" t="n">
        <v>1</v>
      </c>
      <c r="N958" s="1" t="s">
        <v>25</v>
      </c>
      <c r="O958" s="1" t="n">
        <v>0.6</v>
      </c>
      <c r="P958" s="1"/>
      <c r="Q958" s="1" t="s">
        <v>1815</v>
      </c>
      <c r="R958" s="1" t="s">
        <v>1842</v>
      </c>
      <c r="S958" s="1" t="s">
        <v>1843</v>
      </c>
      <c r="T958" s="1" t="s">
        <v>1844</v>
      </c>
    </row>
    <row r="959" customFormat="false" ht="15" hidden="false" customHeight="true" outlineLevel="0" collapsed="false">
      <c r="A959" s="1" t="s">
        <v>1965</v>
      </c>
      <c r="B959" s="1" t="n">
        <v>1904</v>
      </c>
      <c r="C959" s="1" t="n">
        <v>4</v>
      </c>
      <c r="D959" s="1" t="s">
        <v>21</v>
      </c>
      <c r="E959" s="1" t="s">
        <v>1839</v>
      </c>
      <c r="F959" s="1" t="n">
        <v>9</v>
      </c>
      <c r="G959" s="1" t="n">
        <v>30</v>
      </c>
      <c r="H959" s="2" t="n">
        <v>84500</v>
      </c>
      <c r="I959" s="2" t="n">
        <f aca="false">(((H959 / 800) / IF(ISBLANK(R959), 1000000, IF(ISNA(VLOOKUP(R959, Mileages!$A$2:$C$34, 2, 0)), R959, VLOOKUP(R959, Mileages!$A$2:$C$34, 2, 0)))) + (F959 * IF(ISBLANK(P959), 1, P959) * IF(ISBLANK(T959), 0, IF(ISNA(VLOOKUP(T959, 'Fuel Costs'!$A$2:$C$42, 2, 0)), T959, VLOOKUP(T959, 'Fuel Costs'!$A$2:$C$42, 2, 0))) / IF(ISBLANK(O959), 1, O959))) * 100</f>
        <v>10.521125</v>
      </c>
      <c r="J959" s="2" t="n">
        <f aca="false">((H959 / 800) / (IF(ISBLANK(S959), 100, IF(ISNA(VLOOKUP(S959, Lives!$A$2:$C$35, 2, 0)), S959, VLOOKUP(S959, Lives!$A$2:$C$35, 2, 0))) * 12) + (IF(ISBLANK(Q959), 0, IF(ISNA(VLOOKUP(Q959, Wages!$A$2:$C$17, 2, 0)), Q959, VLOOKUP(Q959, Wages!$A$2:$C$17, 2, 0))) * IF(ISBLANK(N959), 0, IF(ISNA(VLOOKUP(N959, Crews!$A$2:$C$28, 2, 0)), N959, VLOOKUP(N959, Crews!$A$2:$C$28, 2, 0))))) * 400</f>
        <v>8044.010417</v>
      </c>
      <c r="K959" s="1" t="s">
        <v>1964</v>
      </c>
      <c r="L959" s="1" t="s">
        <v>1962</v>
      </c>
      <c r="M959" s="1" t="n">
        <v>2</v>
      </c>
      <c r="N959" s="1" t="s">
        <v>25</v>
      </c>
      <c r="O959" s="1" t="n">
        <v>0.6</v>
      </c>
      <c r="P959" s="1"/>
      <c r="Q959" s="1" t="s">
        <v>1815</v>
      </c>
      <c r="R959" s="1" t="s">
        <v>1842</v>
      </c>
      <c r="S959" s="1" t="s">
        <v>1843</v>
      </c>
      <c r="T959" s="1" t="s">
        <v>1844</v>
      </c>
    </row>
    <row r="960" customFormat="false" ht="15" hidden="false" customHeight="true" outlineLevel="0" collapsed="false">
      <c r="A960" s="1" t="s">
        <v>1966</v>
      </c>
      <c r="B960" s="1" t="n">
        <v>1904</v>
      </c>
      <c r="C960" s="1" t="n">
        <v>5</v>
      </c>
      <c r="D960" s="1" t="s">
        <v>38</v>
      </c>
      <c r="E960" s="1"/>
      <c r="F960" s="1"/>
      <c r="G960" s="1" t="n">
        <v>160</v>
      </c>
      <c r="H960" s="2" t="n">
        <v>540000</v>
      </c>
      <c r="I960" s="2" t="n">
        <f aca="false">(((H960 / 800) / IF(ISBLANK(R960), 1000000, IF(ISNA(VLOOKUP(R960, Mileages!$A$2:$C$34, 2, 0)), R960, VLOOKUP(R960, Mileages!$A$2:$C$34, 2, 0)))) + (F960 * IF(ISBLANK(P960), 1, P960) * IF(ISBLANK(T960), 0, IF(ISNA(VLOOKUP(T960, 'Fuel Costs'!$A$2:$C$42, 2, 0)), T960, VLOOKUP(T960, 'Fuel Costs'!$A$2:$C$42, 2, 0))) / IF(ISBLANK(O960), 1, O960))) * 100</f>
        <v>0.05625</v>
      </c>
      <c r="J960" s="2" t="n">
        <f aca="false">((H960 / 800) / (IF(ISBLANK(S960), 100, IF(ISNA(VLOOKUP(S960, Lives!$A$2:$C$35, 2, 0)), S960, VLOOKUP(S960, Lives!$A$2:$C$35, 2, 0))) * 12) + (IF(ISBLANK(Q960), 0, IF(ISNA(VLOOKUP(Q960, Wages!$A$2:$C$17, 2, 0)), Q960, VLOOKUP(Q960, Wages!$A$2:$C$17, 2, 0))) * IF(ISBLANK(N960), 0, IF(ISNA(VLOOKUP(N960, Crews!$A$2:$C$28, 2, 0)), N960, VLOOKUP(N960, Crews!$A$2:$C$28, 2, 0))))) * 400</f>
        <v>642.8571429</v>
      </c>
      <c r="K960" s="1" t="s">
        <v>1967</v>
      </c>
      <c r="L960" s="1" t="s">
        <v>1968</v>
      </c>
      <c r="M960" s="1" t="n">
        <v>3</v>
      </c>
      <c r="N960" s="1"/>
      <c r="O960" s="1"/>
      <c r="P960" s="1"/>
      <c r="Q960" s="1"/>
      <c r="R960" s="1" t="s">
        <v>689</v>
      </c>
      <c r="S960" s="1" t="s">
        <v>856</v>
      </c>
      <c r="T960" s="1"/>
    </row>
    <row r="961" customFormat="false" ht="15" hidden="false" customHeight="true" outlineLevel="0" collapsed="false">
      <c r="A961" s="1" t="s">
        <v>1969</v>
      </c>
      <c r="B961" s="1" t="n">
        <v>1904</v>
      </c>
      <c r="C961" s="1" t="n">
        <v>5</v>
      </c>
      <c r="D961" s="1" t="s">
        <v>38</v>
      </c>
      <c r="E961" s="1"/>
      <c r="F961" s="1"/>
      <c r="G961" s="1" t="n">
        <v>160</v>
      </c>
      <c r="H961" s="2" t="n">
        <v>540000</v>
      </c>
      <c r="I961" s="2" t="n">
        <f aca="false">(((H961 / 800) / IF(ISBLANK(R961), 1000000, IF(ISNA(VLOOKUP(R961, Mileages!$A$2:$C$34, 2, 0)), R961, VLOOKUP(R961, Mileages!$A$2:$C$34, 2, 0)))) + (F961 * IF(ISBLANK(P961), 1, P961) * IF(ISBLANK(T961), 0, IF(ISNA(VLOOKUP(T961, 'Fuel Costs'!$A$2:$C$42, 2, 0)), T961, VLOOKUP(T961, 'Fuel Costs'!$A$2:$C$42, 2, 0))) / IF(ISBLANK(O961), 1, O961))) * 100</f>
        <v>0.05625</v>
      </c>
      <c r="J961" s="2" t="n">
        <f aca="false">((H961 / 800) / (IF(ISBLANK(S961), 100, IF(ISNA(VLOOKUP(S961, Lives!$A$2:$C$35, 2, 0)), S961, VLOOKUP(S961, Lives!$A$2:$C$35, 2, 0))) * 12) + (IF(ISBLANK(Q961), 0, IF(ISNA(VLOOKUP(Q961, Wages!$A$2:$C$17, 2, 0)), Q961, VLOOKUP(Q961, Wages!$A$2:$C$17, 2, 0))) * IF(ISBLANK(N961), 0, IF(ISNA(VLOOKUP(N961, Crews!$A$2:$C$28, 2, 0)), N961, VLOOKUP(N961, Crews!$A$2:$C$28, 2, 0))))) * 400</f>
        <v>5442.857143</v>
      </c>
      <c r="K961" s="3" t="s">
        <v>1970</v>
      </c>
      <c r="L961" s="1" t="s">
        <v>1968</v>
      </c>
      <c r="M961" s="1" t="n">
        <v>4</v>
      </c>
      <c r="N961" s="1" t="s">
        <v>25</v>
      </c>
      <c r="O961" s="1"/>
      <c r="P961" s="1"/>
      <c r="Q961" s="1" t="s">
        <v>378</v>
      </c>
      <c r="R961" s="1" t="s">
        <v>689</v>
      </c>
      <c r="S961" s="1" t="s">
        <v>856</v>
      </c>
      <c r="T961" s="1"/>
    </row>
    <row r="962" customFormat="false" ht="15" hidden="false" customHeight="true" outlineLevel="0" collapsed="false">
      <c r="A962" s="1" t="s">
        <v>1971</v>
      </c>
      <c r="B962" s="1" t="n">
        <v>1904</v>
      </c>
      <c r="C962" s="1" t="n">
        <v>5</v>
      </c>
      <c r="D962" s="1" t="s">
        <v>38</v>
      </c>
      <c r="E962" s="1"/>
      <c r="F962" s="1"/>
      <c r="G962" s="1" t="n">
        <v>160</v>
      </c>
      <c r="H962" s="2" t="n">
        <v>540000</v>
      </c>
      <c r="I962" s="2" t="n">
        <f aca="false">(((H962 / 800) / IF(ISBLANK(R962), 1000000, IF(ISNA(VLOOKUP(R962, Mileages!$A$2:$C$34, 2, 0)), R962, VLOOKUP(R962, Mileages!$A$2:$C$34, 2, 0)))) + (F962 * IF(ISBLANK(P962), 1, P962) * IF(ISBLANK(T962), 0, IF(ISNA(VLOOKUP(T962, 'Fuel Costs'!$A$2:$C$42, 2, 0)), T962, VLOOKUP(T962, 'Fuel Costs'!$A$2:$C$42, 2, 0))) / IF(ISBLANK(O962), 1, O962))) * 100</f>
        <v>0.05625</v>
      </c>
      <c r="J962" s="2" t="n">
        <f aca="false">((H962 / 800) / (IF(ISBLANK(S962), 100, IF(ISNA(VLOOKUP(S962, Lives!$A$2:$C$35, 2, 0)), S962, VLOOKUP(S962, Lives!$A$2:$C$35, 2, 0))) * 12) + (IF(ISBLANK(Q962), 0, IF(ISNA(VLOOKUP(Q962, Wages!$A$2:$C$17, 2, 0)), Q962, VLOOKUP(Q962, Wages!$A$2:$C$17, 2, 0))) * IF(ISBLANK(N962), 0, IF(ISNA(VLOOKUP(N962, Crews!$A$2:$C$28, 2, 0)), N962, VLOOKUP(N962, Crews!$A$2:$C$28, 2, 0))))) * 400</f>
        <v>5442.857143</v>
      </c>
      <c r="K962" s="3" t="s">
        <v>1970</v>
      </c>
      <c r="L962" s="1" t="s">
        <v>1968</v>
      </c>
      <c r="M962" s="1" t="n">
        <v>5</v>
      </c>
      <c r="N962" s="1" t="s">
        <v>25</v>
      </c>
      <c r="O962" s="1"/>
      <c r="P962" s="1"/>
      <c r="Q962" s="1" t="s">
        <v>378</v>
      </c>
      <c r="R962" s="1" t="s">
        <v>689</v>
      </c>
      <c r="S962" s="1" t="s">
        <v>856</v>
      </c>
      <c r="T962" s="1"/>
    </row>
    <row r="963" customFormat="false" ht="15" hidden="false" customHeight="true" outlineLevel="0" collapsed="false">
      <c r="A963" s="1" t="s">
        <v>1972</v>
      </c>
      <c r="B963" s="1" t="n">
        <v>1904</v>
      </c>
      <c r="C963" s="1" t="n">
        <v>6</v>
      </c>
      <c r="D963" s="1" t="s">
        <v>38</v>
      </c>
      <c r="E963" s="1" t="s">
        <v>274</v>
      </c>
      <c r="F963" s="1" t="n">
        <v>303</v>
      </c>
      <c r="G963" s="1" t="n">
        <v>143</v>
      </c>
      <c r="H963" s="2" t="n">
        <v>6552500</v>
      </c>
      <c r="I963" s="2" t="n">
        <f aca="false">(((H963 / 800) / IF(ISBLANK(R963), 1000000, IF(ISNA(VLOOKUP(R963, Mileages!$A$2:$C$34, 2, 0)), R963, VLOOKUP(R963, Mileages!$A$2:$C$34, 2, 0)))) + (F963 * IF(ISBLANK(P963), 1, P963) * IF(ISBLANK(T963), 0, IF(ISNA(VLOOKUP(T963, 'Fuel Costs'!$A$2:$C$42, 2, 0)), T963, VLOOKUP(T963, 'Fuel Costs'!$A$2:$C$42, 2, 0))) / IF(ISBLANK(O963), 1, O963))) * 100</f>
        <v>130.6762054</v>
      </c>
      <c r="J963" s="2" t="n">
        <f aca="false">((H963 / 800) / (IF(ISBLANK(S963), 100, IF(ISNA(VLOOKUP(S963, Lives!$A$2:$C$35, 2, 0)), S963, VLOOKUP(S963, Lives!$A$2:$C$35, 2, 0))) * 12) + (IF(ISBLANK(Q963), 0, IF(ISNA(VLOOKUP(Q963, Wages!$A$2:$C$17, 2, 0)), Q963, VLOOKUP(Q963, Wages!$A$2:$C$17, 2, 0))) * IF(ISBLANK(N963), 0, IF(ISNA(VLOOKUP(N963, Crews!$A$2:$C$28, 2, 0)), N963, VLOOKUP(N963, Crews!$A$2:$C$28, 2, 0))))) * 400</f>
        <v>29460.41667</v>
      </c>
      <c r="K963" s="1" t="s">
        <v>1692</v>
      </c>
      <c r="L963" s="1" t="s">
        <v>1973</v>
      </c>
      <c r="M963" s="1" t="n">
        <v>0</v>
      </c>
      <c r="N963" s="1" t="s">
        <v>590</v>
      </c>
      <c r="O963" s="1" t="n">
        <v>0.7</v>
      </c>
      <c r="P963" s="1"/>
      <c r="Q963" s="5" t="s">
        <v>284</v>
      </c>
      <c r="R963" s="1" t="s">
        <v>677</v>
      </c>
      <c r="S963" s="1" t="s">
        <v>677</v>
      </c>
      <c r="T963" s="1" t="s">
        <v>1785</v>
      </c>
    </row>
    <row r="964" customFormat="false" ht="15" hidden="false" customHeight="true" outlineLevel="0" collapsed="false">
      <c r="A964" s="1" t="s">
        <v>1974</v>
      </c>
      <c r="B964" s="1" t="n">
        <v>1904</v>
      </c>
      <c r="C964" s="1" t="n">
        <v>7</v>
      </c>
      <c r="D964" s="1" t="s">
        <v>38</v>
      </c>
      <c r="E964" s="1" t="s">
        <v>1346</v>
      </c>
      <c r="F964" s="1" t="n">
        <v>200</v>
      </c>
      <c r="G964" s="1" t="n">
        <v>70</v>
      </c>
      <c r="H964" s="2" t="n">
        <v>1461000</v>
      </c>
      <c r="I964" s="2" t="n">
        <f aca="false">(((H964 / 800) / IF(ISBLANK(R964), 1000000, IF(ISNA(VLOOKUP(R964, Mileages!$A$2:$C$34, 2, 0)), R964, VLOOKUP(R964, Mileages!$A$2:$C$34, 2, 0)))) + (F964 * IF(ISBLANK(P964), 1, P964) * IF(ISBLANK(T964), 0, IF(ISNA(VLOOKUP(T964, 'Fuel Costs'!$A$2:$C$42, 2, 0)), T964, VLOOKUP(T964, 'Fuel Costs'!$A$2:$C$42, 2, 0))) / IF(ISBLANK(O964), 1, O964))) * 100</f>
        <v>120.2435</v>
      </c>
      <c r="J964" s="2" t="n">
        <f aca="false">((H964 / 800) / (IF(ISBLANK(S964), 100, IF(ISNA(VLOOKUP(S964, Lives!$A$2:$C$35, 2, 0)), S964, VLOOKUP(S964, Lives!$A$2:$C$35, 2, 0))) * 12) + (IF(ISBLANK(Q964), 0, IF(ISNA(VLOOKUP(Q964, Wages!$A$2:$C$17, 2, 0)), Q964, VLOOKUP(Q964, Wages!$A$2:$C$17, 2, 0))) * IF(ISBLANK(N964), 0, IF(ISNA(VLOOKUP(N964, Crews!$A$2:$C$28, 2, 0)), N964, VLOOKUP(N964, Crews!$A$2:$C$28, 2, 0))))) * 400</f>
        <v>7217.5</v>
      </c>
      <c r="K964" s="3" t="s">
        <v>1975</v>
      </c>
      <c r="L964" s="1" t="s">
        <v>1976</v>
      </c>
      <c r="M964" s="1" t="n">
        <v>0</v>
      </c>
      <c r="N964" s="1" t="s">
        <v>1512</v>
      </c>
      <c r="O964" s="1" t="n">
        <v>1</v>
      </c>
      <c r="P964" s="1"/>
      <c r="Q964" s="1" t="str">
        <f aca="false">IF(ISBLANK('Pak128 Britain In'!$N964),,'Pak128 Britain In'!$N964)</f>
        <v>ElectricMultipleUnit</v>
      </c>
      <c r="R964" s="1" t="s">
        <v>1489</v>
      </c>
      <c r="S964" s="1" t="s">
        <v>1350</v>
      </c>
      <c r="T964" s="1" t="s">
        <v>1351</v>
      </c>
    </row>
    <row r="965" customFormat="false" ht="15" hidden="false" customHeight="true" outlineLevel="0" collapsed="false">
      <c r="A965" s="1" t="s">
        <v>1977</v>
      </c>
      <c r="B965" s="1" t="n">
        <v>1904</v>
      </c>
      <c r="C965" s="1" t="n">
        <v>7</v>
      </c>
      <c r="D965" s="1" t="s">
        <v>38</v>
      </c>
      <c r="E965" s="1" t="s">
        <v>1346</v>
      </c>
      <c r="F965" s="1"/>
      <c r="G965" s="1" t="n">
        <v>70</v>
      </c>
      <c r="H965" s="2" t="n">
        <v>1461000</v>
      </c>
      <c r="I965" s="2" t="n">
        <f aca="false">(((H965 / 800) / IF(ISBLANK(R965), 1000000, IF(ISNA(VLOOKUP(R965, Mileages!$A$2:$C$34, 2, 0)), R965, VLOOKUP(R965, Mileages!$A$2:$C$34, 2, 0)))) + (F965 * IF(ISBLANK(P965), 1, P965) * IF(ISBLANK(T965), 0, IF(ISNA(VLOOKUP(T965, 'Fuel Costs'!$A$2:$C$42, 2, 0)), T965, VLOOKUP(T965, 'Fuel Costs'!$A$2:$C$42, 2, 0))) / IF(ISBLANK(O965), 1, O965))) * 100</f>
        <v>0.1521875</v>
      </c>
      <c r="J965" s="2" t="n">
        <f aca="false">((H965 / 800) / (IF(ISBLANK(S965), 100, IF(ISNA(VLOOKUP(S965, Lives!$A$2:$C$35, 2, 0)), S965, VLOOKUP(S965, Lives!$A$2:$C$35, 2, 0))) * 12) + (IF(ISBLANK(Q965), 0, IF(ISNA(VLOOKUP(Q965, Wages!$A$2:$C$17, 2, 0)), Q965, VLOOKUP(Q965, Wages!$A$2:$C$17, 2, 0))) * IF(ISBLANK(N965), 0, IF(ISNA(VLOOKUP(N965, Crews!$A$2:$C$28, 2, 0)), N965, VLOOKUP(N965, Crews!$A$2:$C$28, 2, 0))))) * 400</f>
        <v>1739.285714</v>
      </c>
      <c r="K965" s="3" t="s">
        <v>1978</v>
      </c>
      <c r="L965" s="1" t="s">
        <v>1976</v>
      </c>
      <c r="M965" s="1" t="n">
        <v>1</v>
      </c>
      <c r="N965" s="1"/>
      <c r="O965" s="1"/>
      <c r="P965" s="1"/>
      <c r="Q965" s="1"/>
      <c r="R965" s="1" t="s">
        <v>689</v>
      </c>
      <c r="S965" s="1" t="s">
        <v>856</v>
      </c>
      <c r="T965" s="1"/>
    </row>
    <row r="966" customFormat="false" ht="15" hidden="false" customHeight="true" outlineLevel="0" collapsed="false">
      <c r="A966" s="1" t="s">
        <v>1979</v>
      </c>
      <c r="B966" s="1" t="n">
        <v>1904</v>
      </c>
      <c r="C966" s="1" t="n">
        <v>7</v>
      </c>
      <c r="D966" s="1" t="s">
        <v>38</v>
      </c>
      <c r="E966" s="1" t="s">
        <v>1346</v>
      </c>
      <c r="F966" s="1"/>
      <c r="G966" s="1" t="n">
        <v>70</v>
      </c>
      <c r="H966" s="2" t="n">
        <v>716000</v>
      </c>
      <c r="I966" s="2" t="n">
        <f aca="false">(((H966 / 800) / IF(ISBLANK(R966), 1000000, IF(ISNA(VLOOKUP(R966, Mileages!$A$2:$C$34, 2, 0)), R966, VLOOKUP(R966, Mileages!$A$2:$C$34, 2, 0)))) + (F966 * IF(ISBLANK(P966), 1, P966) * IF(ISBLANK(T966), 0, IF(ISNA(VLOOKUP(T966, 'Fuel Costs'!$A$2:$C$42, 2, 0)), T966, VLOOKUP(T966, 'Fuel Costs'!$A$2:$C$42, 2, 0))) / IF(ISBLANK(O966), 1, O966))) * 100</f>
        <v>0.07458333333</v>
      </c>
      <c r="J966" s="2" t="n">
        <f aca="false">((H966 / 800) / (IF(ISBLANK(S966), 100, IF(ISNA(VLOOKUP(S966, Lives!$A$2:$C$35, 2, 0)), S966, VLOOKUP(S966, Lives!$A$2:$C$35, 2, 0))) * 12) + (IF(ISBLANK(Q966), 0, IF(ISNA(VLOOKUP(Q966, Wages!$A$2:$C$17, 2, 0)), Q966, VLOOKUP(Q966, Wages!$A$2:$C$17, 2, 0))) * IF(ISBLANK(N966), 0, IF(ISNA(VLOOKUP(N966, Crews!$A$2:$C$28, 2, 0)), N966, VLOOKUP(N966, Crews!$A$2:$C$28, 2, 0))))) * 400</f>
        <v>852.3809524</v>
      </c>
      <c r="K966" s="1" t="s">
        <v>1980</v>
      </c>
      <c r="L966" s="1" t="s">
        <v>1976</v>
      </c>
      <c r="M966" s="1" t="n">
        <v>2</v>
      </c>
      <c r="N966" s="1"/>
      <c r="O966" s="1"/>
      <c r="P966" s="1"/>
      <c r="Q966" s="1"/>
      <c r="R966" s="1" t="s">
        <v>689</v>
      </c>
      <c r="S966" s="1" t="s">
        <v>856</v>
      </c>
      <c r="T966" s="1"/>
    </row>
    <row r="967" customFormat="false" ht="15" hidden="false" customHeight="true" outlineLevel="0" collapsed="false">
      <c r="A967" s="1" t="s">
        <v>1981</v>
      </c>
      <c r="B967" s="1" t="n">
        <v>1904</v>
      </c>
      <c r="C967" s="1" t="n">
        <v>7</v>
      </c>
      <c r="D967" s="1" t="s">
        <v>38</v>
      </c>
      <c r="E967" s="1" t="s">
        <v>1346</v>
      </c>
      <c r="F967" s="1"/>
      <c r="G967" s="1" t="n">
        <v>70</v>
      </c>
      <c r="H967" s="2" t="n">
        <v>716000</v>
      </c>
      <c r="I967" s="2" t="n">
        <f aca="false">(((H967 / 800) / IF(ISBLANK(R967), 1000000, IF(ISNA(VLOOKUP(R967, Mileages!$A$2:$C$34, 2, 0)), R967, VLOOKUP(R967, Mileages!$A$2:$C$34, 2, 0)))) + (F967 * IF(ISBLANK(P967), 1, P967) * IF(ISBLANK(T967), 0, IF(ISNA(VLOOKUP(T967, 'Fuel Costs'!$A$2:$C$42, 2, 0)), T967, VLOOKUP(T967, 'Fuel Costs'!$A$2:$C$42, 2, 0))) / IF(ISBLANK(O967), 1, O967))) * 100</f>
        <v>0.07458333333</v>
      </c>
      <c r="J967" s="2" t="n">
        <f aca="false">((H967 / 800) / (IF(ISBLANK(S967), 100, IF(ISNA(VLOOKUP(S967, Lives!$A$2:$C$35, 2, 0)), S967, VLOOKUP(S967, Lives!$A$2:$C$35, 2, 0))) * 12) + (IF(ISBLANK(Q967), 0, IF(ISNA(VLOOKUP(Q967, Wages!$A$2:$C$17, 2, 0)), Q967, VLOOKUP(Q967, Wages!$A$2:$C$17, 2, 0))) * IF(ISBLANK(N967), 0, IF(ISNA(VLOOKUP(N967, Crews!$A$2:$C$28, 2, 0)), N967, VLOOKUP(N967, Crews!$A$2:$C$28, 2, 0))))) * 400</f>
        <v>852.3809524</v>
      </c>
      <c r="K967" s="1" t="s">
        <v>1982</v>
      </c>
      <c r="L967" s="1" t="s">
        <v>1976</v>
      </c>
      <c r="M967" s="1" t="n">
        <v>3</v>
      </c>
      <c r="N967" s="1"/>
      <c r="O967" s="1"/>
      <c r="P967" s="1"/>
      <c r="Q967" s="1"/>
      <c r="R967" s="1" t="s">
        <v>689</v>
      </c>
      <c r="S967" s="1" t="s">
        <v>856</v>
      </c>
      <c r="T967" s="1"/>
    </row>
    <row r="968" customFormat="false" ht="15" hidden="false" customHeight="true" outlineLevel="0" collapsed="false">
      <c r="A968" s="1" t="s">
        <v>1983</v>
      </c>
      <c r="B968" s="1" t="n">
        <v>1904</v>
      </c>
      <c r="C968" s="1" t="n">
        <v>7</v>
      </c>
      <c r="D968" s="1" t="s">
        <v>38</v>
      </c>
      <c r="E968" s="1" t="s">
        <v>1346</v>
      </c>
      <c r="F968" s="1" t="n">
        <v>200</v>
      </c>
      <c r="G968" s="1" t="n">
        <v>70</v>
      </c>
      <c r="H968" s="2" t="n">
        <v>1461000</v>
      </c>
      <c r="I968" s="2" t="n">
        <f aca="false">(((H968 / 800) / IF(ISBLANK(R968), 1000000, IF(ISNA(VLOOKUP(R968, Mileages!$A$2:$C$34, 2, 0)), R968, VLOOKUP(R968, Mileages!$A$2:$C$34, 2, 0)))) + (F968 * IF(ISBLANK(P968), 1, P968) * IF(ISBLANK(T968), 0, IF(ISNA(VLOOKUP(T968, 'Fuel Costs'!$A$2:$C$42, 2, 0)), T968, VLOOKUP(T968, 'Fuel Costs'!$A$2:$C$42, 2, 0))) / IF(ISBLANK(O968), 1, O968))) * 100</f>
        <v>120.2435</v>
      </c>
      <c r="J968" s="2" t="n">
        <f aca="false">((H968 / 800) / (IF(ISBLANK(S968), 100, IF(ISNA(VLOOKUP(S968, Lives!$A$2:$C$35, 2, 0)), S968, VLOOKUP(S968, Lives!$A$2:$C$35, 2, 0))) * 12) + (IF(ISBLANK(Q968), 0, IF(ISNA(VLOOKUP(Q968, Wages!$A$2:$C$17, 2, 0)), Q968, VLOOKUP(Q968, Wages!$A$2:$C$17, 2, 0))) * IF(ISBLANK(N968), 0, IF(ISNA(VLOOKUP(N968, Crews!$A$2:$C$28, 2, 0)), N968, VLOOKUP(N968, Crews!$A$2:$C$28, 2, 0))))) * 400</f>
        <v>7217.5</v>
      </c>
      <c r="K968" s="1" t="s">
        <v>1984</v>
      </c>
      <c r="L968" s="1" t="s">
        <v>1976</v>
      </c>
      <c r="M968" s="1" t="n">
        <v>4</v>
      </c>
      <c r="N968" s="1" t="s">
        <v>1512</v>
      </c>
      <c r="O968" s="1" t="n">
        <v>1</v>
      </c>
      <c r="P968" s="1"/>
      <c r="Q968" s="1" t="str">
        <f aca="false">IF(ISBLANK('Pak128 Britain In'!$N968),,'Pak128 Britain In'!$N968)</f>
        <v>ElectricMultipleUnit</v>
      </c>
      <c r="R968" s="1" t="s">
        <v>1489</v>
      </c>
      <c r="S968" s="1" t="s">
        <v>1350</v>
      </c>
      <c r="T968" s="1" t="s">
        <v>1351</v>
      </c>
    </row>
    <row r="969" customFormat="false" ht="15" hidden="false" customHeight="true" outlineLevel="0" collapsed="false">
      <c r="A969" s="1" t="s">
        <v>1985</v>
      </c>
      <c r="B969" s="1" t="n">
        <v>1904</v>
      </c>
      <c r="C969" s="1" t="n">
        <v>7</v>
      </c>
      <c r="D969" s="1" t="s">
        <v>38</v>
      </c>
      <c r="E969" s="1" t="s">
        <v>1346</v>
      </c>
      <c r="F969" s="1" t="n">
        <v>200</v>
      </c>
      <c r="G969" s="1" t="n">
        <v>70</v>
      </c>
      <c r="H969" s="2" t="n">
        <v>716000</v>
      </c>
      <c r="I969" s="2" t="n">
        <f aca="false">(((H969 / 800) / IF(ISBLANK(R969), 1000000, IF(ISNA(VLOOKUP(R969, Mileages!$A$2:$C$34, 2, 0)), R969, VLOOKUP(R969, Mileages!$A$2:$C$34, 2, 0)))) + (F969 * IF(ISBLANK(P969), 1, P969) * IF(ISBLANK(T969), 0, IF(ISNA(VLOOKUP(T969, 'Fuel Costs'!$A$2:$C$42, 2, 0)), T969, VLOOKUP(T969, 'Fuel Costs'!$A$2:$C$42, 2, 0))) / IF(ISBLANK(O969), 1, O969))) * 100</f>
        <v>120.1193333</v>
      </c>
      <c r="J969" s="2" t="n">
        <f aca="false">((H969 / 800) / (IF(ISBLANK(S969), 100, IF(ISNA(VLOOKUP(S969, Lives!$A$2:$C$35, 2, 0)), S969, VLOOKUP(S969, Lives!$A$2:$C$35, 2, 0))) * 12) + (IF(ISBLANK(Q969), 0, IF(ISNA(VLOOKUP(Q969, Wages!$A$2:$C$17, 2, 0)), Q969, VLOOKUP(Q969, Wages!$A$2:$C$17, 2, 0))) * IF(ISBLANK(N969), 0, IF(ISNA(VLOOKUP(N969, Crews!$A$2:$C$28, 2, 0)), N969, VLOOKUP(N969, Crews!$A$2:$C$28, 2, 0))))) * 400</f>
        <v>6596.666667</v>
      </c>
      <c r="K969" s="1" t="s">
        <v>1986</v>
      </c>
      <c r="L969" s="1" t="s">
        <v>1976</v>
      </c>
      <c r="M969" s="1" t="n">
        <v>5</v>
      </c>
      <c r="N969" s="1" t="s">
        <v>1512</v>
      </c>
      <c r="O969" s="1" t="n">
        <v>1</v>
      </c>
      <c r="P969" s="1"/>
      <c r="Q969" s="1" t="str">
        <f aca="false">IF(ISBLANK('Pak128 Britain In'!$N969),,'Pak128 Britain In'!$N969)</f>
        <v>ElectricMultipleUnit</v>
      </c>
      <c r="R969" s="1" t="s">
        <v>1489</v>
      </c>
      <c r="S969" s="1" t="s">
        <v>1350</v>
      </c>
      <c r="T969" s="1" t="s">
        <v>1351</v>
      </c>
    </row>
    <row r="970" customFormat="false" ht="15" hidden="false" customHeight="true" outlineLevel="0" collapsed="false">
      <c r="A970" s="1" t="s">
        <v>1987</v>
      </c>
      <c r="B970" s="1" t="n">
        <v>1904</v>
      </c>
      <c r="C970" s="1" t="n">
        <v>8</v>
      </c>
      <c r="D970" s="1" t="s">
        <v>38</v>
      </c>
      <c r="E970" s="1"/>
      <c r="F970" s="1"/>
      <c r="G970" s="1" t="n">
        <v>160</v>
      </c>
      <c r="H970" s="2" t="n">
        <v>725000</v>
      </c>
      <c r="I970" s="2" t="n">
        <f aca="false">(((H970 / 800) / IF(ISBLANK(R970), 1000000, IF(ISNA(VLOOKUP(R970, Mileages!$A$2:$C$34, 2, 0)), R970, VLOOKUP(R970, Mileages!$A$2:$C$34, 2, 0)))) + (F970 * IF(ISBLANK(P970), 1, P970) * IF(ISBLANK(T970), 0, IF(ISNA(VLOOKUP(T970, 'Fuel Costs'!$A$2:$C$42, 2, 0)), T970, VLOOKUP(T970, 'Fuel Costs'!$A$2:$C$42, 2, 0))) / IF(ISBLANK(O970), 1, O970))) * 100</f>
        <v>0.07552083333</v>
      </c>
      <c r="J970" s="2" t="n">
        <f aca="false">((H970 / 800) / (IF(ISBLANK(S970), 100, IF(ISNA(VLOOKUP(S970, Lives!$A$2:$C$35, 2, 0)), S970, VLOOKUP(S970, Lives!$A$2:$C$35, 2, 0))) * 12) + (IF(ISBLANK(Q970), 0, IF(ISNA(VLOOKUP(Q970, Wages!$A$2:$C$17, 2, 0)), Q970, VLOOKUP(Q970, Wages!$A$2:$C$17, 2, 0))) * IF(ISBLANK(N970), 0, IF(ISNA(VLOOKUP(N970, Crews!$A$2:$C$28, 2, 0)), N970, VLOOKUP(N970, Crews!$A$2:$C$28, 2, 0))))) * 400</f>
        <v>5663.095238</v>
      </c>
      <c r="K970" s="3" t="s">
        <v>1988</v>
      </c>
      <c r="L970" s="1" t="s">
        <v>1989</v>
      </c>
      <c r="M970" s="1" t="n">
        <v>0</v>
      </c>
      <c r="N970" s="1" t="s">
        <v>25</v>
      </c>
      <c r="O970" s="1"/>
      <c r="P970" s="1"/>
      <c r="Q970" s="1" t="s">
        <v>378</v>
      </c>
      <c r="R970" s="1" t="s">
        <v>689</v>
      </c>
      <c r="S970" s="1" t="s">
        <v>856</v>
      </c>
      <c r="T970" s="1"/>
    </row>
    <row r="971" customFormat="false" ht="15" hidden="false" customHeight="true" outlineLevel="0" collapsed="false">
      <c r="A971" s="1" t="s">
        <v>1990</v>
      </c>
      <c r="B971" s="1" t="n">
        <v>1904</v>
      </c>
      <c r="C971" s="1" t="n">
        <v>8</v>
      </c>
      <c r="D971" s="1" t="s">
        <v>38</v>
      </c>
      <c r="E971" s="1"/>
      <c r="F971" s="1"/>
      <c r="G971" s="1" t="n">
        <v>160</v>
      </c>
      <c r="H971" s="2" t="n">
        <v>725000</v>
      </c>
      <c r="I971" s="2" t="n">
        <f aca="false">(((H971 / 800) / IF(ISBLANK(R971), 1000000, IF(ISNA(VLOOKUP(R971, Mileages!$A$2:$C$34, 2, 0)), R971, VLOOKUP(R971, Mileages!$A$2:$C$34, 2, 0)))) + (F971 * IF(ISBLANK(P971), 1, P971) * IF(ISBLANK(T971), 0, IF(ISNA(VLOOKUP(T971, 'Fuel Costs'!$A$2:$C$42, 2, 0)), T971, VLOOKUP(T971, 'Fuel Costs'!$A$2:$C$42, 2, 0))) / IF(ISBLANK(O971), 1, O971))) * 100</f>
        <v>0.07552083333</v>
      </c>
      <c r="J971" s="2" t="n">
        <f aca="false">((H971 / 800) / (IF(ISBLANK(S971), 100, IF(ISNA(VLOOKUP(S971, Lives!$A$2:$C$35, 2, 0)), S971, VLOOKUP(S971, Lives!$A$2:$C$35, 2, 0))) * 12) + (IF(ISBLANK(Q971), 0, IF(ISNA(VLOOKUP(Q971, Wages!$A$2:$C$17, 2, 0)), Q971, VLOOKUP(Q971, Wages!$A$2:$C$17, 2, 0))) * IF(ISBLANK(N971), 0, IF(ISNA(VLOOKUP(N971, Crews!$A$2:$C$28, 2, 0)), N971, VLOOKUP(N971, Crews!$A$2:$C$28, 2, 0))))) * 400</f>
        <v>5663.095238</v>
      </c>
      <c r="K971" s="1" t="s">
        <v>1991</v>
      </c>
      <c r="L971" s="1" t="s">
        <v>1989</v>
      </c>
      <c r="M971" s="1" t="n">
        <v>1</v>
      </c>
      <c r="N971" s="1" t="s">
        <v>25</v>
      </c>
      <c r="O971" s="1"/>
      <c r="P971" s="1"/>
      <c r="Q971" s="1" t="s">
        <v>378</v>
      </c>
      <c r="R971" s="1" t="s">
        <v>689</v>
      </c>
      <c r="S971" s="1" t="s">
        <v>856</v>
      </c>
      <c r="T971" s="1"/>
    </row>
    <row r="972" customFormat="false" ht="15" hidden="false" customHeight="true" outlineLevel="0" collapsed="false">
      <c r="A972" s="1" t="s">
        <v>1992</v>
      </c>
      <c r="B972" s="1" t="n">
        <v>1904</v>
      </c>
      <c r="C972" s="1" t="n">
        <v>8</v>
      </c>
      <c r="D972" s="1" t="s">
        <v>38</v>
      </c>
      <c r="E972" s="1"/>
      <c r="F972" s="1"/>
      <c r="G972" s="1" t="n">
        <v>160</v>
      </c>
      <c r="H972" s="2" t="n">
        <v>728500</v>
      </c>
      <c r="I972" s="2" t="n">
        <f aca="false">(((H972 / 800) / IF(ISBLANK(R972), 1000000, IF(ISNA(VLOOKUP(R972, Mileages!$A$2:$C$34, 2, 0)), R972, VLOOKUP(R972, Mileages!$A$2:$C$34, 2, 0)))) + (F972 * IF(ISBLANK(P972), 1, P972) * IF(ISBLANK(T972), 0, IF(ISNA(VLOOKUP(T972, 'Fuel Costs'!$A$2:$C$42, 2, 0)), T972, VLOOKUP(T972, 'Fuel Costs'!$A$2:$C$42, 2, 0))) / IF(ISBLANK(O972), 1, O972))) * 100</f>
        <v>0.07588541667</v>
      </c>
      <c r="J972" s="2" t="n">
        <f aca="false">((H972 / 800) / (IF(ISBLANK(S972), 100, IF(ISNA(VLOOKUP(S972, Lives!$A$2:$C$35, 2, 0)), S972, VLOOKUP(S972, Lives!$A$2:$C$35, 2, 0))) * 12) + (IF(ISBLANK(Q972), 0, IF(ISNA(VLOOKUP(Q972, Wages!$A$2:$C$17, 2, 0)), Q972, VLOOKUP(Q972, Wages!$A$2:$C$17, 2, 0))) * IF(ISBLANK(N972), 0, IF(ISNA(VLOOKUP(N972, Crews!$A$2:$C$28, 2, 0)), N972, VLOOKUP(N972, Crews!$A$2:$C$28, 2, 0))))) * 400</f>
        <v>867.2619048</v>
      </c>
      <c r="K972" s="1" t="s">
        <v>1224</v>
      </c>
      <c r="L972" s="1" t="s">
        <v>1989</v>
      </c>
      <c r="M972" s="1" t="n">
        <v>2</v>
      </c>
      <c r="N972" s="1"/>
      <c r="O972" s="1"/>
      <c r="P972" s="1"/>
      <c r="Q972" s="1"/>
      <c r="R972" s="1" t="s">
        <v>689</v>
      </c>
      <c r="S972" s="1" t="s">
        <v>856</v>
      </c>
      <c r="T972" s="1"/>
    </row>
    <row r="973" customFormat="false" ht="15" hidden="false" customHeight="true" outlineLevel="0" collapsed="false">
      <c r="A973" s="1" t="s">
        <v>1993</v>
      </c>
      <c r="B973" s="1" t="n">
        <v>1904</v>
      </c>
      <c r="C973" s="1" t="n">
        <v>8</v>
      </c>
      <c r="D973" s="1" t="s">
        <v>38</v>
      </c>
      <c r="E973" s="1"/>
      <c r="F973" s="1"/>
      <c r="G973" s="1" t="n">
        <v>160</v>
      </c>
      <c r="H973" s="2" t="n">
        <v>716000</v>
      </c>
      <c r="I973" s="2" t="n">
        <f aca="false">(((H973 / 800) / IF(ISBLANK(R973), 1000000, IF(ISNA(VLOOKUP(R973, Mileages!$A$2:$C$34, 2, 0)), R973, VLOOKUP(R973, Mileages!$A$2:$C$34, 2, 0)))) + (F973 * IF(ISBLANK(P973), 1, P973) * IF(ISBLANK(T973), 0, IF(ISNA(VLOOKUP(T973, 'Fuel Costs'!$A$2:$C$42, 2, 0)), T973, VLOOKUP(T973, 'Fuel Costs'!$A$2:$C$42, 2, 0))) / IF(ISBLANK(O973), 1, O973))) * 100</f>
        <v>0.07458333333</v>
      </c>
      <c r="J973" s="2" t="n">
        <f aca="false">((H973 / 800) / (IF(ISBLANK(S973), 100, IF(ISNA(VLOOKUP(S973, Lives!$A$2:$C$35, 2, 0)), S973, VLOOKUP(S973, Lives!$A$2:$C$35, 2, 0))) * 12) + (IF(ISBLANK(Q973), 0, IF(ISNA(VLOOKUP(Q973, Wages!$A$2:$C$17, 2, 0)), Q973, VLOOKUP(Q973, Wages!$A$2:$C$17, 2, 0))) * IF(ISBLANK(N973), 0, IF(ISNA(VLOOKUP(N973, Crews!$A$2:$C$28, 2, 0)), N973, VLOOKUP(N973, Crews!$A$2:$C$28, 2, 0))))) * 400</f>
        <v>5652.380952</v>
      </c>
      <c r="K973" s="3" t="s">
        <v>1994</v>
      </c>
      <c r="L973" s="1" t="s">
        <v>1995</v>
      </c>
      <c r="M973" s="1" t="n">
        <v>0</v>
      </c>
      <c r="N973" s="1" t="s">
        <v>25</v>
      </c>
      <c r="O973" s="1"/>
      <c r="P973" s="1"/>
      <c r="Q973" s="1" t="s">
        <v>378</v>
      </c>
      <c r="R973" s="1" t="s">
        <v>689</v>
      </c>
      <c r="S973" s="1" t="s">
        <v>856</v>
      </c>
      <c r="T973" s="1"/>
    </row>
    <row r="974" customFormat="false" ht="15" hidden="false" customHeight="true" outlineLevel="0" collapsed="false">
      <c r="A974" s="1" t="s">
        <v>1996</v>
      </c>
      <c r="B974" s="1" t="n">
        <v>1904</v>
      </c>
      <c r="C974" s="1" t="n">
        <v>8</v>
      </c>
      <c r="D974" s="1" t="s">
        <v>38</v>
      </c>
      <c r="E974" s="1"/>
      <c r="F974" s="1"/>
      <c r="G974" s="1" t="n">
        <v>160</v>
      </c>
      <c r="H974" s="2" t="n">
        <v>716000</v>
      </c>
      <c r="I974" s="2" t="n">
        <f aca="false">(((H974 / 800) / IF(ISBLANK(R974), 1000000, IF(ISNA(VLOOKUP(R974, Mileages!$A$2:$C$34, 2, 0)), R974, VLOOKUP(R974, Mileages!$A$2:$C$34, 2, 0)))) + (F974 * IF(ISBLANK(P974), 1, P974) * IF(ISBLANK(T974), 0, IF(ISNA(VLOOKUP(T974, 'Fuel Costs'!$A$2:$C$42, 2, 0)), T974, VLOOKUP(T974, 'Fuel Costs'!$A$2:$C$42, 2, 0))) / IF(ISBLANK(O974), 1, O974))) * 100</f>
        <v>0.07458333333</v>
      </c>
      <c r="J974" s="2" t="n">
        <f aca="false">((H974 / 800) / (IF(ISBLANK(S974), 100, IF(ISNA(VLOOKUP(S974, Lives!$A$2:$C$35, 2, 0)), S974, VLOOKUP(S974, Lives!$A$2:$C$35, 2, 0))) * 12) + (IF(ISBLANK(Q974), 0, IF(ISNA(VLOOKUP(Q974, Wages!$A$2:$C$17, 2, 0)), Q974, VLOOKUP(Q974, Wages!$A$2:$C$17, 2, 0))) * IF(ISBLANK(N974), 0, IF(ISNA(VLOOKUP(N974, Crews!$A$2:$C$28, 2, 0)), N974, VLOOKUP(N974, Crews!$A$2:$C$28, 2, 0))))) * 400</f>
        <v>5652.380952</v>
      </c>
      <c r="K974" s="3" t="s">
        <v>1997</v>
      </c>
      <c r="L974" s="1" t="s">
        <v>1995</v>
      </c>
      <c r="M974" s="1" t="n">
        <v>1</v>
      </c>
      <c r="N974" s="1" t="s">
        <v>25</v>
      </c>
      <c r="O974" s="1"/>
      <c r="P974" s="1"/>
      <c r="Q974" s="1" t="s">
        <v>378</v>
      </c>
      <c r="R974" s="1" t="s">
        <v>689</v>
      </c>
      <c r="S974" s="1" t="s">
        <v>856</v>
      </c>
      <c r="T974" s="1"/>
    </row>
    <row r="975" customFormat="false" ht="15" hidden="false" customHeight="true" outlineLevel="0" collapsed="false">
      <c r="A975" s="1" t="s">
        <v>1998</v>
      </c>
      <c r="B975" s="1" t="n">
        <v>1904</v>
      </c>
      <c r="C975" s="1" t="n">
        <v>8</v>
      </c>
      <c r="D975" s="1" t="s">
        <v>38</v>
      </c>
      <c r="E975" s="1"/>
      <c r="F975" s="1"/>
      <c r="G975" s="1" t="n">
        <v>160</v>
      </c>
      <c r="H975" s="2" t="n">
        <v>720000</v>
      </c>
      <c r="I975" s="2" t="n">
        <f aca="false">(((H975 / 800) / IF(ISBLANK(R975), 1000000, IF(ISNA(VLOOKUP(R975, Mileages!$A$2:$C$34, 2, 0)), R975, VLOOKUP(R975, Mileages!$A$2:$C$34, 2, 0)))) + (F975 * IF(ISBLANK(P975), 1, P975) * IF(ISBLANK(T975), 0, IF(ISNA(VLOOKUP(T975, 'Fuel Costs'!$A$2:$C$42, 2, 0)), T975, VLOOKUP(T975, 'Fuel Costs'!$A$2:$C$42, 2, 0))) / IF(ISBLANK(O975), 1, O975))) * 100</f>
        <v>0.075</v>
      </c>
      <c r="J975" s="2" t="n">
        <f aca="false">((H975 / 800) / (IF(ISBLANK(S975), 100, IF(ISNA(VLOOKUP(S975, Lives!$A$2:$C$35, 2, 0)), S975, VLOOKUP(S975, Lives!$A$2:$C$35, 2, 0))) * 12) + (IF(ISBLANK(Q975), 0, IF(ISNA(VLOOKUP(Q975, Wages!$A$2:$C$17, 2, 0)), Q975, VLOOKUP(Q975, Wages!$A$2:$C$17, 2, 0))) * IF(ISBLANK(N975), 0, IF(ISNA(VLOOKUP(N975, Crews!$A$2:$C$28, 2, 0)), N975, VLOOKUP(N975, Crews!$A$2:$C$28, 2, 0))))) * 400</f>
        <v>857.1428571</v>
      </c>
      <c r="K975" s="1" t="s">
        <v>1224</v>
      </c>
      <c r="L975" s="1" t="s">
        <v>1995</v>
      </c>
      <c r="M975" s="1" t="n">
        <v>2</v>
      </c>
      <c r="N975" s="1"/>
      <c r="O975" s="1"/>
      <c r="P975" s="1"/>
      <c r="Q975" s="1"/>
      <c r="R975" s="1" t="s">
        <v>689</v>
      </c>
      <c r="S975" s="1" t="s">
        <v>856</v>
      </c>
      <c r="T975" s="1"/>
    </row>
    <row r="976" customFormat="false" ht="15" hidden="false" customHeight="true" outlineLevel="0" collapsed="false">
      <c r="A976" s="1" t="s">
        <v>1999</v>
      </c>
      <c r="B976" s="1" t="n">
        <v>1904</v>
      </c>
      <c r="C976" s="1" t="n">
        <v>9</v>
      </c>
      <c r="D976" s="1" t="s">
        <v>21</v>
      </c>
      <c r="E976" s="1" t="s">
        <v>1839</v>
      </c>
      <c r="F976" s="1" t="n">
        <v>21</v>
      </c>
      <c r="G976" s="1" t="n">
        <v>20</v>
      </c>
      <c r="H976" s="2" t="n">
        <v>95000</v>
      </c>
      <c r="I976" s="2" t="n">
        <f aca="false">(((H976 / 800) / IF(ISBLANK(R976), 1000000, IF(ISNA(VLOOKUP(R976, Mileages!$A$2:$C$34, 2, 0)), R976, VLOOKUP(R976, Mileages!$A$2:$C$34, 2, 0)))) + (F976 * IF(ISBLANK(P976), 1, P976) * IF(ISBLANK(T976), 0, IF(ISNA(VLOOKUP(T976, 'Fuel Costs'!$A$2:$C$42, 2, 0)), T976, VLOOKUP(T976, 'Fuel Costs'!$A$2:$C$42, 2, 0))) / IF(ISBLANK(O976), 1, O976))) * 100</f>
        <v>24.52375</v>
      </c>
      <c r="J976" s="2" t="n">
        <f aca="false">((H976 / 800) / (IF(ISBLANK(S976), 100, IF(ISNA(VLOOKUP(S976, Lives!$A$2:$C$35, 2, 0)), S976, VLOOKUP(S976, Lives!$A$2:$C$35, 2, 0))) * 12) + (IF(ISBLANK(Q976), 0, IF(ISNA(VLOOKUP(Q976, Wages!$A$2:$C$17, 2, 0)), Q976, VLOOKUP(Q976, Wages!$A$2:$C$17, 2, 0))) * IF(ISBLANK(N976), 0, IF(ISNA(VLOOKUP(N976, Crews!$A$2:$C$28, 2, 0)), N976, VLOOKUP(N976, Crews!$A$2:$C$28, 2, 0))))) * 400</f>
        <v>8049.479167</v>
      </c>
      <c r="K976" s="3" t="s">
        <v>2000</v>
      </c>
      <c r="L976" s="1" t="s">
        <v>2001</v>
      </c>
      <c r="M976" s="1" t="n">
        <v>0</v>
      </c>
      <c r="N976" s="1" t="s">
        <v>25</v>
      </c>
      <c r="O976" s="1" t="n">
        <v>0.6</v>
      </c>
      <c r="P976" s="1"/>
      <c r="Q976" s="1" t="s">
        <v>1815</v>
      </c>
      <c r="R976" s="1" t="s">
        <v>1842</v>
      </c>
      <c r="S976" s="1" t="s">
        <v>1843</v>
      </c>
      <c r="T976" s="1" t="s">
        <v>1844</v>
      </c>
    </row>
    <row r="977" customFormat="false" ht="15" hidden="false" customHeight="true" outlineLevel="0" collapsed="false">
      <c r="A977" s="1" t="s">
        <v>2002</v>
      </c>
      <c r="B977" s="1" t="n">
        <v>1904</v>
      </c>
      <c r="C977" s="1" t="n">
        <v>12</v>
      </c>
      <c r="D977" s="1" t="s">
        <v>38</v>
      </c>
      <c r="E977" s="1" t="s">
        <v>274</v>
      </c>
      <c r="F977" s="1" t="n">
        <v>246</v>
      </c>
      <c r="G977" s="1" t="n">
        <v>88</v>
      </c>
      <c r="H977" s="2" t="n">
        <v>4500000</v>
      </c>
      <c r="I977" s="2" t="n">
        <f aca="false">(((H977 / 800) / IF(ISBLANK(R977), 1000000, IF(ISNA(VLOOKUP(R977, Mileages!$A$2:$C$34, 2, 0)), R977, VLOOKUP(R977, Mileages!$A$2:$C$34, 2, 0)))) + (F977 * IF(ISBLANK(P977), 1, P977) * IF(ISBLANK(T977), 0, IF(ISNA(VLOOKUP(T977, 'Fuel Costs'!$A$2:$C$42, 2, 0)), T977, VLOOKUP(T977, 'Fuel Costs'!$A$2:$C$42, 2, 0))) / IF(ISBLANK(O977), 1, O977))) * 100</f>
        <v>105.9910714</v>
      </c>
      <c r="J977" s="2" t="n">
        <f aca="false">((H977 / 800) / (IF(ISBLANK(S977), 100, IF(ISNA(VLOOKUP(S977, Lives!$A$2:$C$35, 2, 0)), S977, VLOOKUP(S977, Lives!$A$2:$C$35, 2, 0))) * 12) + (IF(ISBLANK(Q977), 0, IF(ISNA(VLOOKUP(Q977, Wages!$A$2:$C$17, 2, 0)), Q977, VLOOKUP(Q977, Wages!$A$2:$C$17, 2, 0))) * IF(ISBLANK(N977), 0, IF(ISNA(VLOOKUP(N977, Crews!$A$2:$C$28, 2, 0)), N977, VLOOKUP(N977, Crews!$A$2:$C$28, 2, 0))))) * 400</f>
        <v>27750</v>
      </c>
      <c r="K977" s="3" t="s">
        <v>2003</v>
      </c>
      <c r="L977" s="1" t="s">
        <v>2004</v>
      </c>
      <c r="M977" s="1" t="n">
        <v>0</v>
      </c>
      <c r="N977" s="1" t="s">
        <v>590</v>
      </c>
      <c r="O977" s="1" t="n">
        <v>0.7</v>
      </c>
      <c r="P977" s="1"/>
      <c r="Q977" s="5" t="s">
        <v>284</v>
      </c>
      <c r="R977" s="1" t="s">
        <v>677</v>
      </c>
      <c r="S977" s="1" t="s">
        <v>677</v>
      </c>
      <c r="T977" s="1" t="s">
        <v>1785</v>
      </c>
    </row>
    <row r="978" customFormat="false" ht="15" hidden="false" customHeight="true" outlineLevel="0" collapsed="false">
      <c r="A978" s="1" t="s">
        <v>2005</v>
      </c>
      <c r="B978" s="1" t="n">
        <v>1904</v>
      </c>
      <c r="C978" s="1" t="n">
        <v>12</v>
      </c>
      <c r="D978" s="1" t="s">
        <v>21</v>
      </c>
      <c r="E978" s="1" t="s">
        <v>1839</v>
      </c>
      <c r="F978" s="1" t="n">
        <v>21</v>
      </c>
      <c r="G978" s="1" t="n">
        <v>20</v>
      </c>
      <c r="H978" s="2" t="n">
        <v>82500</v>
      </c>
      <c r="I978" s="2" t="n">
        <f aca="false">(((H978 / 800) / IF(ISBLANK(R978), 1000000, IF(ISNA(VLOOKUP(R978, Mileages!$A$2:$C$34, 2, 0)), R978, VLOOKUP(R978, Mileages!$A$2:$C$34, 2, 0)))) + (F978 * IF(ISBLANK(P978), 1, P978) * IF(ISBLANK(T978), 0, IF(ISNA(VLOOKUP(T978, 'Fuel Costs'!$A$2:$C$42, 2, 0)), T978, VLOOKUP(T978, 'Fuel Costs'!$A$2:$C$42, 2, 0))) / IF(ISBLANK(O978), 1, O978))) * 100</f>
        <v>24.520625</v>
      </c>
      <c r="J978" s="2" t="n">
        <f aca="false">((H978 / 800) / (IF(ISBLANK(S978), 100, IF(ISNA(VLOOKUP(S978, Lives!$A$2:$C$35, 2, 0)), S978, VLOOKUP(S978, Lives!$A$2:$C$35, 2, 0))) * 12) + (IF(ISBLANK(Q978), 0, IF(ISNA(VLOOKUP(Q978, Wages!$A$2:$C$17, 2, 0)), Q978, VLOOKUP(Q978, Wages!$A$2:$C$17, 2, 0))) * IF(ISBLANK(N978), 0, IF(ISNA(VLOOKUP(N978, Crews!$A$2:$C$28, 2, 0)), N978, VLOOKUP(N978, Crews!$A$2:$C$28, 2, 0))))) * 400</f>
        <v>8042.96875</v>
      </c>
      <c r="K978" s="3" t="s">
        <v>2006</v>
      </c>
      <c r="L978" s="1" t="s">
        <v>2007</v>
      </c>
      <c r="M978" s="1" t="n">
        <v>0</v>
      </c>
      <c r="N978" s="1" t="s">
        <v>25</v>
      </c>
      <c r="O978" s="1" t="n">
        <v>0.6</v>
      </c>
      <c r="P978" s="1"/>
      <c r="Q978" s="1" t="s">
        <v>1815</v>
      </c>
      <c r="R978" s="1" t="s">
        <v>1842</v>
      </c>
      <c r="S978" s="1" t="s">
        <v>1843</v>
      </c>
      <c r="T978" s="1" t="s">
        <v>1844</v>
      </c>
    </row>
    <row r="979" customFormat="false" ht="15" hidden="false" customHeight="true" outlineLevel="0" collapsed="false">
      <c r="A979" s="1" t="s">
        <v>2008</v>
      </c>
      <c r="B979" s="1" t="n">
        <v>1905</v>
      </c>
      <c r="C979" s="1" t="n">
        <v>1</v>
      </c>
      <c r="D979" s="1" t="s">
        <v>38</v>
      </c>
      <c r="E979" s="1" t="s">
        <v>1346</v>
      </c>
      <c r="F979" s="1" t="n">
        <v>440</v>
      </c>
      <c r="G979" s="1" t="n">
        <v>65</v>
      </c>
      <c r="H979" s="2" t="n">
        <v>7000000</v>
      </c>
      <c r="I979" s="2" t="n">
        <f aca="false">(((H979 / 800) / IF(ISBLANK(R979), 1000000, IF(ISNA(VLOOKUP(R979, Mileages!$A$2:$C$34, 2, 0)), R979, VLOOKUP(R979, Mileages!$A$2:$C$34, 2, 0)))) + (F979 * IF(ISBLANK(P979), 1, P979) * IF(ISBLANK(T979), 0, IF(ISNA(VLOOKUP(T979, 'Fuel Costs'!$A$2:$C$42, 2, 0)), T979, VLOOKUP(T979, 'Fuel Costs'!$A$2:$C$42, 2, 0))) / IF(ISBLANK(O979), 1, O979))) * 100</f>
        <v>265.1666667</v>
      </c>
      <c r="J979" s="2" t="n">
        <f aca="false">((H979 / 800) / (IF(ISBLANK(S979), 100, IF(ISNA(VLOOKUP(S979, Lives!$A$2:$C$35, 2, 0)), S979, VLOOKUP(S979, Lives!$A$2:$C$35, 2, 0))) * 12) + (IF(ISBLANK(Q979), 0, IF(ISNA(VLOOKUP(Q979, Wages!$A$2:$C$17, 2, 0)), Q979, VLOOKUP(Q979, Wages!$A$2:$C$17, 2, 0))) * IF(ISBLANK(N979), 0, IF(ISNA(VLOOKUP(N979, Crews!$A$2:$C$28, 2, 0)), N979, VLOOKUP(N979, Crews!$A$2:$C$28, 2, 0))))) * 400</f>
        <v>11833.33333</v>
      </c>
      <c r="K979" s="3" t="s">
        <v>2009</v>
      </c>
      <c r="L979" s="1" t="s">
        <v>2010</v>
      </c>
      <c r="M979" s="1" t="n">
        <v>0</v>
      </c>
      <c r="N979" s="1" t="s">
        <v>1512</v>
      </c>
      <c r="O979" s="1" t="n">
        <v>1</v>
      </c>
      <c r="P979" s="1"/>
      <c r="Q979" s="1" t="str">
        <f aca="false">IF(ISBLANK('Pak128 Britain In'!$N979),,'Pak128 Britain In'!$N979)</f>
        <v>ElectricMultipleUnit</v>
      </c>
      <c r="R979" s="1" t="s">
        <v>1489</v>
      </c>
      <c r="S979" s="1" t="s">
        <v>1350</v>
      </c>
      <c r="T979" s="1" t="s">
        <v>1351</v>
      </c>
    </row>
    <row r="980" customFormat="false" ht="15" hidden="false" customHeight="true" outlineLevel="0" collapsed="false">
      <c r="A980" s="1" t="s">
        <v>2011</v>
      </c>
      <c r="B980" s="1" t="n">
        <v>1905</v>
      </c>
      <c r="C980" s="1" t="n">
        <v>1</v>
      </c>
      <c r="D980" s="1" t="s">
        <v>38</v>
      </c>
      <c r="E980" s="1" t="s">
        <v>1346</v>
      </c>
      <c r="F980" s="1"/>
      <c r="G980" s="1" t="n">
        <v>65</v>
      </c>
      <c r="H980" s="2" t="n">
        <v>1400000</v>
      </c>
      <c r="I980" s="2" t="n">
        <f aca="false">(((H980 / 800) / IF(ISBLANK(R980), 1000000, IF(ISNA(VLOOKUP(R980, Mileages!$A$2:$C$34, 2, 0)), R980, VLOOKUP(R980, Mileages!$A$2:$C$34, 2, 0)))) + (F980 * IF(ISBLANK(P980), 1, P980) * IF(ISBLANK(T980), 0, IF(ISNA(VLOOKUP(T980, 'Fuel Costs'!$A$2:$C$42, 2, 0)), T980, VLOOKUP(T980, 'Fuel Costs'!$A$2:$C$42, 2, 0))) / IF(ISBLANK(O980), 1, O980))) * 100</f>
        <v>0.1458333333</v>
      </c>
      <c r="J980" s="2" t="n">
        <f aca="false">((H980 / 800) / (IF(ISBLANK(S980), 100, IF(ISNA(VLOOKUP(S980, Lives!$A$2:$C$35, 2, 0)), S980, VLOOKUP(S980, Lives!$A$2:$C$35, 2, 0))) * 12) + (IF(ISBLANK(Q980), 0, IF(ISNA(VLOOKUP(Q980, Wages!$A$2:$C$17, 2, 0)), Q980, VLOOKUP(Q980, Wages!$A$2:$C$17, 2, 0))) * IF(ISBLANK(N980), 0, IF(ISNA(VLOOKUP(N980, Crews!$A$2:$C$28, 2, 0)), N980, VLOOKUP(N980, Crews!$A$2:$C$28, 2, 0))))) * 400</f>
        <v>1666.666667</v>
      </c>
      <c r="K980" s="1"/>
      <c r="L980" s="1" t="s">
        <v>2010</v>
      </c>
      <c r="M980" s="1" t="n">
        <v>1</v>
      </c>
      <c r="N980" s="1"/>
      <c r="O980" s="1"/>
      <c r="P980" s="1"/>
      <c r="Q980" s="1"/>
      <c r="R980" s="1" t="s">
        <v>689</v>
      </c>
      <c r="S980" s="1" t="s">
        <v>856</v>
      </c>
      <c r="T980" s="1"/>
    </row>
    <row r="981" customFormat="false" ht="15" hidden="false" customHeight="true" outlineLevel="0" collapsed="false">
      <c r="A981" s="1" t="s">
        <v>2012</v>
      </c>
      <c r="B981" s="1" t="n">
        <v>1905</v>
      </c>
      <c r="C981" s="1" t="n">
        <v>1</v>
      </c>
      <c r="D981" s="1" t="s">
        <v>38</v>
      </c>
      <c r="E981" s="1" t="s">
        <v>1346</v>
      </c>
      <c r="F981" s="1" t="n">
        <v>440</v>
      </c>
      <c r="G981" s="1" t="n">
        <v>65</v>
      </c>
      <c r="H981" s="2" t="n">
        <v>7000000</v>
      </c>
      <c r="I981" s="2" t="n">
        <f aca="false">(((H981 / 800) / IF(ISBLANK(R981), 1000000, IF(ISNA(VLOOKUP(R981, Mileages!$A$2:$C$34, 2, 0)), R981, VLOOKUP(R981, Mileages!$A$2:$C$34, 2, 0)))) + (F981 * IF(ISBLANK(P981), 1, P981) * IF(ISBLANK(T981), 0, IF(ISNA(VLOOKUP(T981, 'Fuel Costs'!$A$2:$C$42, 2, 0)), T981, VLOOKUP(T981, 'Fuel Costs'!$A$2:$C$42, 2, 0))) / IF(ISBLANK(O981), 1, O981))) * 100</f>
        <v>265.1666667</v>
      </c>
      <c r="J981" s="2" t="n">
        <f aca="false">((H981 / 800) / (IF(ISBLANK(S981), 100, IF(ISNA(VLOOKUP(S981, Lives!$A$2:$C$35, 2, 0)), S981, VLOOKUP(S981, Lives!$A$2:$C$35, 2, 0))) * 12) + (IF(ISBLANK(Q981), 0, IF(ISNA(VLOOKUP(Q981, Wages!$A$2:$C$17, 2, 0)), Q981, VLOOKUP(Q981, Wages!$A$2:$C$17, 2, 0))) * IF(ISBLANK(N981), 0, IF(ISNA(VLOOKUP(N981, Crews!$A$2:$C$28, 2, 0)), N981, VLOOKUP(N981, Crews!$A$2:$C$28, 2, 0))))) * 400</f>
        <v>11833.33333</v>
      </c>
      <c r="K981" s="1"/>
      <c r="L981" s="1" t="s">
        <v>2010</v>
      </c>
      <c r="M981" s="1" t="n">
        <v>2</v>
      </c>
      <c r="N981" s="1" t="s">
        <v>1512</v>
      </c>
      <c r="O981" s="1" t="n">
        <v>1</v>
      </c>
      <c r="P981" s="1"/>
      <c r="Q981" s="1" t="str">
        <f aca="false">IF(ISBLANK('Pak128 Britain In'!$N981),,'Pak128 Britain In'!$N981)</f>
        <v>ElectricMultipleUnit</v>
      </c>
      <c r="R981" s="1" t="s">
        <v>1489</v>
      </c>
      <c r="S981" s="1" t="s">
        <v>1350</v>
      </c>
      <c r="T981" s="1" t="s">
        <v>1351</v>
      </c>
    </row>
    <row r="982" customFormat="false" ht="15" hidden="false" customHeight="true" outlineLevel="0" collapsed="false">
      <c r="A982" s="1" t="s">
        <v>2013</v>
      </c>
      <c r="B982" s="1" t="n">
        <v>1905</v>
      </c>
      <c r="C982" s="1" t="n">
        <v>1</v>
      </c>
      <c r="D982" s="1" t="s">
        <v>38</v>
      </c>
      <c r="E982" s="1"/>
      <c r="F982" s="1"/>
      <c r="G982" s="1" t="n">
        <v>160</v>
      </c>
      <c r="H982" s="2" t="n">
        <v>713000</v>
      </c>
      <c r="I982" s="2" t="n">
        <f aca="false">(((H982 / 800) / IF(ISBLANK(R982), 1000000, IF(ISNA(VLOOKUP(R982, Mileages!$A$2:$C$34, 2, 0)), R982, VLOOKUP(R982, Mileages!$A$2:$C$34, 2, 0)))) + (F982 * IF(ISBLANK(P982), 1, P982) * IF(ISBLANK(T982), 0, IF(ISNA(VLOOKUP(T982, 'Fuel Costs'!$A$2:$C$42, 2, 0)), T982, VLOOKUP(T982, 'Fuel Costs'!$A$2:$C$42, 2, 0))) / IF(ISBLANK(O982), 1, O982))) * 100</f>
        <v>0.07427083333</v>
      </c>
      <c r="J982" s="2" t="n">
        <f aca="false">((H982 / 800) / (IF(ISBLANK(S982), 100, IF(ISNA(VLOOKUP(S982, Lives!$A$2:$C$35, 2, 0)), S982, VLOOKUP(S982, Lives!$A$2:$C$35, 2, 0))) * 12) + (IF(ISBLANK(Q982), 0, IF(ISNA(VLOOKUP(Q982, Wages!$A$2:$C$17, 2, 0)), Q982, VLOOKUP(Q982, Wages!$A$2:$C$17, 2, 0))) * IF(ISBLANK(N982), 0, IF(ISNA(VLOOKUP(N982, Crews!$A$2:$C$28, 2, 0)), N982, VLOOKUP(N982, Crews!$A$2:$C$28, 2, 0))))) * 400</f>
        <v>848.8095238</v>
      </c>
      <c r="K982" s="3" t="s">
        <v>2014</v>
      </c>
      <c r="L982" s="1" t="s">
        <v>2015</v>
      </c>
      <c r="M982" s="1" t="n">
        <v>0</v>
      </c>
      <c r="N982" s="1"/>
      <c r="O982" s="1"/>
      <c r="P982" s="1"/>
      <c r="Q982" s="1"/>
      <c r="R982" s="1" t="s">
        <v>689</v>
      </c>
      <c r="S982" s="1" t="s">
        <v>856</v>
      </c>
      <c r="T982" s="1"/>
    </row>
    <row r="983" customFormat="false" ht="15" hidden="false" customHeight="true" outlineLevel="0" collapsed="false">
      <c r="A983" s="1" t="s">
        <v>2016</v>
      </c>
      <c r="B983" s="1" t="n">
        <v>1905</v>
      </c>
      <c r="C983" s="1" t="n">
        <v>1</v>
      </c>
      <c r="D983" s="1" t="s">
        <v>38</v>
      </c>
      <c r="E983" s="1"/>
      <c r="F983" s="1"/>
      <c r="G983" s="1" t="n">
        <v>160</v>
      </c>
      <c r="H983" s="2" t="n">
        <v>713000</v>
      </c>
      <c r="I983" s="2" t="n">
        <f aca="false">(((H983 / 800) / IF(ISBLANK(R983), 1000000, IF(ISNA(VLOOKUP(R983, Mileages!$A$2:$C$34, 2, 0)), R983, VLOOKUP(R983, Mileages!$A$2:$C$34, 2, 0)))) + (F983 * IF(ISBLANK(P983), 1, P983) * IF(ISBLANK(T983), 0, IF(ISNA(VLOOKUP(T983, 'Fuel Costs'!$A$2:$C$42, 2, 0)), T983, VLOOKUP(T983, 'Fuel Costs'!$A$2:$C$42, 2, 0))) / IF(ISBLANK(O983), 1, O983))) * 100</f>
        <v>0.07427083333</v>
      </c>
      <c r="J983" s="2" t="n">
        <f aca="false">((H983 / 800) / (IF(ISBLANK(S983), 100, IF(ISNA(VLOOKUP(S983, Lives!$A$2:$C$35, 2, 0)), S983, VLOOKUP(S983, Lives!$A$2:$C$35, 2, 0))) * 12) + (IF(ISBLANK(Q983), 0, IF(ISNA(VLOOKUP(Q983, Wages!$A$2:$C$17, 2, 0)), Q983, VLOOKUP(Q983, Wages!$A$2:$C$17, 2, 0))) * IF(ISBLANK(N983), 0, IF(ISNA(VLOOKUP(N983, Crews!$A$2:$C$28, 2, 0)), N983, VLOOKUP(N983, Crews!$A$2:$C$28, 2, 0))))) * 400</f>
        <v>5648.809524</v>
      </c>
      <c r="K983" s="1" t="s">
        <v>437</v>
      </c>
      <c r="L983" s="1" t="s">
        <v>2015</v>
      </c>
      <c r="M983" s="1" t="n">
        <v>1</v>
      </c>
      <c r="N983" s="1" t="s">
        <v>25</v>
      </c>
      <c r="O983" s="1"/>
      <c r="P983" s="1"/>
      <c r="Q983" s="1" t="s">
        <v>378</v>
      </c>
      <c r="R983" s="1" t="s">
        <v>689</v>
      </c>
      <c r="S983" s="1" t="s">
        <v>856</v>
      </c>
      <c r="T983" s="1"/>
    </row>
    <row r="984" customFormat="false" ht="15" hidden="false" customHeight="true" outlineLevel="0" collapsed="false">
      <c r="A984" s="1" t="s">
        <v>2017</v>
      </c>
      <c r="B984" s="1" t="n">
        <v>1905</v>
      </c>
      <c r="C984" s="1" t="n">
        <v>1</v>
      </c>
      <c r="D984" s="1" t="s">
        <v>38</v>
      </c>
      <c r="E984" s="1"/>
      <c r="F984" s="1"/>
      <c r="G984" s="1" t="n">
        <v>160</v>
      </c>
      <c r="H984" s="2" t="n">
        <v>713000</v>
      </c>
      <c r="I984" s="2" t="n">
        <f aca="false">(((H984 / 800) / IF(ISBLANK(R984), 1000000, IF(ISNA(VLOOKUP(R984, Mileages!$A$2:$C$34, 2, 0)), R984, VLOOKUP(R984, Mileages!$A$2:$C$34, 2, 0)))) + (F984 * IF(ISBLANK(P984), 1, P984) * IF(ISBLANK(T984), 0, IF(ISNA(VLOOKUP(T984, 'Fuel Costs'!$A$2:$C$42, 2, 0)), T984, VLOOKUP(T984, 'Fuel Costs'!$A$2:$C$42, 2, 0))) / IF(ISBLANK(O984), 1, O984))) * 100</f>
        <v>0.07427083333</v>
      </c>
      <c r="J984" s="2" t="n">
        <f aca="false">((H984 / 800) / (IF(ISBLANK(S984), 100, IF(ISNA(VLOOKUP(S984, Lives!$A$2:$C$35, 2, 0)), S984, VLOOKUP(S984, Lives!$A$2:$C$35, 2, 0))) * 12) + (IF(ISBLANK(Q984), 0, IF(ISNA(VLOOKUP(Q984, Wages!$A$2:$C$17, 2, 0)), Q984, VLOOKUP(Q984, Wages!$A$2:$C$17, 2, 0))) * IF(ISBLANK(N984), 0, IF(ISNA(VLOOKUP(N984, Crews!$A$2:$C$28, 2, 0)), N984, VLOOKUP(N984, Crews!$A$2:$C$28, 2, 0))))) * 400</f>
        <v>5648.809524</v>
      </c>
      <c r="K984" s="1" t="s">
        <v>437</v>
      </c>
      <c r="L984" s="1" t="s">
        <v>2015</v>
      </c>
      <c r="M984" s="1" t="n">
        <v>2</v>
      </c>
      <c r="N984" s="1" t="s">
        <v>25</v>
      </c>
      <c r="O984" s="1"/>
      <c r="P984" s="1"/>
      <c r="Q984" s="1" t="s">
        <v>378</v>
      </c>
      <c r="R984" s="1" t="s">
        <v>689</v>
      </c>
      <c r="S984" s="1" t="s">
        <v>856</v>
      </c>
      <c r="T984" s="1"/>
    </row>
    <row r="985" customFormat="false" ht="15" hidden="false" customHeight="true" outlineLevel="0" collapsed="false">
      <c r="A985" s="1" t="s">
        <v>2018</v>
      </c>
      <c r="B985" s="1" t="n">
        <v>1905</v>
      </c>
      <c r="C985" s="1" t="n">
        <v>1</v>
      </c>
      <c r="D985" s="1" t="s">
        <v>38</v>
      </c>
      <c r="E985" s="1" t="s">
        <v>1346</v>
      </c>
      <c r="F985" s="1" t="n">
        <v>298</v>
      </c>
      <c r="G985" s="1" t="n">
        <v>65</v>
      </c>
      <c r="H985" s="2" t="n">
        <v>7000000</v>
      </c>
      <c r="I985" s="2" t="n">
        <f aca="false">(((H985 / 800) / IF(ISBLANK(R985), 1000000, IF(ISNA(VLOOKUP(R985, Mileages!$A$2:$C$34, 2, 0)), R985, VLOOKUP(R985, Mileages!$A$2:$C$34, 2, 0)))) + (F985 * IF(ISBLANK(P985), 1, P985) * IF(ISBLANK(T985), 0, IF(ISNA(VLOOKUP(T985, 'Fuel Costs'!$A$2:$C$42, 2, 0)), T985, VLOOKUP(T985, 'Fuel Costs'!$A$2:$C$42, 2, 0))) / IF(ISBLANK(O985), 1, O985))) * 100</f>
        <v>179.9666667</v>
      </c>
      <c r="J985" s="2" t="n">
        <f aca="false">((H985 / 800) / (IF(ISBLANK(S985), 100, IF(ISNA(VLOOKUP(S985, Lives!$A$2:$C$35, 2, 0)), S985, VLOOKUP(S985, Lives!$A$2:$C$35, 2, 0))) * 12) + (IF(ISBLANK(Q985), 0, IF(ISNA(VLOOKUP(Q985, Wages!$A$2:$C$17, 2, 0)), Q985, VLOOKUP(Q985, Wages!$A$2:$C$17, 2, 0))) * IF(ISBLANK(N985), 0, IF(ISNA(VLOOKUP(N985, Crews!$A$2:$C$28, 2, 0)), N985, VLOOKUP(N985, Crews!$A$2:$C$28, 2, 0))))) * 400</f>
        <v>11833.33333</v>
      </c>
      <c r="K985" s="3" t="s">
        <v>2019</v>
      </c>
      <c r="L985" s="1" t="s">
        <v>2020</v>
      </c>
      <c r="M985" s="1" t="n">
        <v>0</v>
      </c>
      <c r="N985" s="1" t="s">
        <v>1512</v>
      </c>
      <c r="O985" s="1" t="n">
        <v>1</v>
      </c>
      <c r="P985" s="1"/>
      <c r="Q985" s="1" t="str">
        <f aca="false">IF(ISBLANK('Pak128 Britain In'!$N985),,'Pak128 Britain In'!$N985)</f>
        <v>ElectricMultipleUnit</v>
      </c>
      <c r="R985" s="1" t="s">
        <v>1489</v>
      </c>
      <c r="S985" s="1" t="s">
        <v>1350</v>
      </c>
      <c r="T985" s="1" t="s">
        <v>1351</v>
      </c>
    </row>
    <row r="986" customFormat="false" ht="15" hidden="false" customHeight="true" outlineLevel="0" collapsed="false">
      <c r="A986" s="1" t="s">
        <v>2021</v>
      </c>
      <c r="B986" s="1" t="n">
        <v>1905</v>
      </c>
      <c r="C986" s="1" t="n">
        <v>1</v>
      </c>
      <c r="D986" s="1" t="s">
        <v>38</v>
      </c>
      <c r="E986" s="1" t="s">
        <v>1346</v>
      </c>
      <c r="F986" s="1"/>
      <c r="G986" s="1" t="n">
        <v>65</v>
      </c>
      <c r="H986" s="2" t="n">
        <v>1400000</v>
      </c>
      <c r="I986" s="2" t="n">
        <f aca="false">(((H986 / 800) / IF(ISBLANK(R986), 1000000, IF(ISNA(VLOOKUP(R986, Mileages!$A$2:$C$34, 2, 0)), R986, VLOOKUP(R986, Mileages!$A$2:$C$34, 2, 0)))) + (F986 * IF(ISBLANK(P986), 1, P986) * IF(ISBLANK(T986), 0, IF(ISNA(VLOOKUP(T986, 'Fuel Costs'!$A$2:$C$42, 2, 0)), T986, VLOOKUP(T986, 'Fuel Costs'!$A$2:$C$42, 2, 0))) / IF(ISBLANK(O986), 1, O986))) * 100</f>
        <v>0.1458333333</v>
      </c>
      <c r="J986" s="2" t="n">
        <f aca="false">((H986 / 800) / (IF(ISBLANK(S986), 100, IF(ISNA(VLOOKUP(S986, Lives!$A$2:$C$35, 2, 0)), S986, VLOOKUP(S986, Lives!$A$2:$C$35, 2, 0))) * 12) + (IF(ISBLANK(Q986), 0, IF(ISNA(VLOOKUP(Q986, Wages!$A$2:$C$17, 2, 0)), Q986, VLOOKUP(Q986, Wages!$A$2:$C$17, 2, 0))) * IF(ISBLANK(N986), 0, IF(ISNA(VLOOKUP(N986, Crews!$A$2:$C$28, 2, 0)), N986, VLOOKUP(N986, Crews!$A$2:$C$28, 2, 0))))) * 400</f>
        <v>1666.666667</v>
      </c>
      <c r="K986" s="1"/>
      <c r="L986" s="1" t="s">
        <v>2020</v>
      </c>
      <c r="M986" s="1" t="n">
        <v>1</v>
      </c>
      <c r="N986" s="1"/>
      <c r="O986" s="1"/>
      <c r="P986" s="1"/>
      <c r="Q986" s="1"/>
      <c r="R986" s="1" t="s">
        <v>689</v>
      </c>
      <c r="S986" s="1" t="s">
        <v>856</v>
      </c>
      <c r="T986" s="1"/>
    </row>
    <row r="987" customFormat="false" ht="15" hidden="false" customHeight="true" outlineLevel="0" collapsed="false">
      <c r="A987" s="1" t="s">
        <v>2022</v>
      </c>
      <c r="B987" s="1" t="n">
        <v>1905</v>
      </c>
      <c r="C987" s="1" t="n">
        <v>1</v>
      </c>
      <c r="D987" s="1" t="s">
        <v>38</v>
      </c>
      <c r="E987" s="1" t="s">
        <v>1346</v>
      </c>
      <c r="F987" s="1"/>
      <c r="G987" s="1" t="n">
        <v>65</v>
      </c>
      <c r="H987" s="2" t="n">
        <v>1400000</v>
      </c>
      <c r="I987" s="2" t="n">
        <f aca="false">(((H987 / 800) / IF(ISBLANK(R987), 1000000, IF(ISNA(VLOOKUP(R987, Mileages!$A$2:$C$34, 2, 0)), R987, VLOOKUP(R987, Mileages!$A$2:$C$34, 2, 0)))) + (F987 * IF(ISBLANK(P987), 1, P987) * IF(ISBLANK(T987), 0, IF(ISNA(VLOOKUP(T987, 'Fuel Costs'!$A$2:$C$42, 2, 0)), T987, VLOOKUP(T987, 'Fuel Costs'!$A$2:$C$42, 2, 0))) / IF(ISBLANK(O987), 1, O987))) * 100</f>
        <v>0.1458333333</v>
      </c>
      <c r="J987" s="2" t="n">
        <f aca="false">((H987 / 800) / (IF(ISBLANK(S987), 100, IF(ISNA(VLOOKUP(S987, Lives!$A$2:$C$35, 2, 0)), S987, VLOOKUP(S987, Lives!$A$2:$C$35, 2, 0))) * 12) + (IF(ISBLANK(Q987), 0, IF(ISNA(VLOOKUP(Q987, Wages!$A$2:$C$17, 2, 0)), Q987, VLOOKUP(Q987, Wages!$A$2:$C$17, 2, 0))) * IF(ISBLANK(N987), 0, IF(ISNA(VLOOKUP(N987, Crews!$A$2:$C$28, 2, 0)), N987, VLOOKUP(N987, Crews!$A$2:$C$28, 2, 0))))) * 400</f>
        <v>1666.666667</v>
      </c>
      <c r="K987" s="3" t="s">
        <v>1926</v>
      </c>
      <c r="L987" s="1" t="s">
        <v>2020</v>
      </c>
      <c r="M987" s="1" t="n">
        <v>2</v>
      </c>
      <c r="N987" s="1"/>
      <c r="O987" s="1"/>
      <c r="P987" s="1"/>
      <c r="Q987" s="1"/>
      <c r="R987" s="1" t="s">
        <v>689</v>
      </c>
      <c r="S987" s="1" t="s">
        <v>856</v>
      </c>
      <c r="T987" s="1"/>
    </row>
    <row r="988" customFormat="false" ht="15" hidden="false" customHeight="true" outlineLevel="0" collapsed="false">
      <c r="A988" s="1" t="s">
        <v>2023</v>
      </c>
      <c r="B988" s="1" t="n">
        <v>1905</v>
      </c>
      <c r="C988" s="1" t="n">
        <v>1</v>
      </c>
      <c r="D988" s="1" t="s">
        <v>38</v>
      </c>
      <c r="E988" s="1" t="s">
        <v>1346</v>
      </c>
      <c r="F988" s="1" t="n">
        <v>298</v>
      </c>
      <c r="G988" s="1" t="n">
        <v>65</v>
      </c>
      <c r="H988" s="2" t="n">
        <v>7000000</v>
      </c>
      <c r="I988" s="2" t="n">
        <f aca="false">(((H988 / 800) / IF(ISBLANK(R988), 1000000, IF(ISNA(VLOOKUP(R988, Mileages!$A$2:$C$34, 2, 0)), R988, VLOOKUP(R988, Mileages!$A$2:$C$34, 2, 0)))) + (F988 * IF(ISBLANK(P988), 1, P988) * IF(ISBLANK(T988), 0, IF(ISNA(VLOOKUP(T988, 'Fuel Costs'!$A$2:$C$42, 2, 0)), T988, VLOOKUP(T988, 'Fuel Costs'!$A$2:$C$42, 2, 0))) / IF(ISBLANK(O988), 1, O988))) * 100</f>
        <v>179.9666667</v>
      </c>
      <c r="J988" s="2" t="n">
        <f aca="false">((H988 / 800) / (IF(ISBLANK(S988), 100, IF(ISNA(VLOOKUP(S988, Lives!$A$2:$C$35, 2, 0)), S988, VLOOKUP(S988, Lives!$A$2:$C$35, 2, 0))) * 12) + (IF(ISBLANK(Q988), 0, IF(ISNA(VLOOKUP(Q988, Wages!$A$2:$C$17, 2, 0)), Q988, VLOOKUP(Q988, Wages!$A$2:$C$17, 2, 0))) * IF(ISBLANK(N988), 0, IF(ISNA(VLOOKUP(N988, Crews!$A$2:$C$28, 2, 0)), N988, VLOOKUP(N988, Crews!$A$2:$C$28, 2, 0))))) * 400</f>
        <v>11833.33333</v>
      </c>
      <c r="K988" s="1"/>
      <c r="L988" s="1" t="s">
        <v>2020</v>
      </c>
      <c r="M988" s="1" t="n">
        <v>3</v>
      </c>
      <c r="N988" s="1" t="s">
        <v>1512</v>
      </c>
      <c r="O988" s="1" t="n">
        <v>1</v>
      </c>
      <c r="P988" s="1"/>
      <c r="Q988" s="1" t="str">
        <f aca="false">IF(ISBLANK('Pak128 Britain In'!$N988),,'Pak128 Britain In'!$N988)</f>
        <v>ElectricMultipleUnit</v>
      </c>
      <c r="R988" s="1" t="s">
        <v>1489</v>
      </c>
      <c r="S988" s="1" t="s">
        <v>1350</v>
      </c>
      <c r="T988" s="1" t="s">
        <v>1351</v>
      </c>
    </row>
    <row r="989" customFormat="false" ht="15" hidden="false" customHeight="true" outlineLevel="0" collapsed="false">
      <c r="A989" s="1" t="s">
        <v>2024</v>
      </c>
      <c r="B989" s="1" t="n">
        <v>1905</v>
      </c>
      <c r="C989" s="1" t="n">
        <v>2</v>
      </c>
      <c r="D989" s="1" t="s">
        <v>29</v>
      </c>
      <c r="E989" s="1" t="s">
        <v>274</v>
      </c>
      <c r="F989" s="1" t="n">
        <v>500</v>
      </c>
      <c r="G989" s="1" t="n">
        <v>25</v>
      </c>
      <c r="H989" s="2" t="n">
        <f aca="false">23000000*2</f>
        <v>46000000</v>
      </c>
      <c r="I989" s="2" t="n">
        <f aca="false">(((H989 / 800) / IF(ISBLANK(R989), 1000000, IF(ISNA(VLOOKUP(R989, Mileages!$A$2:$C$34, 2, 0)), R989, VLOOKUP(R989, Mileages!$A$2:$C$34, 2, 0)))) + (F989 * IF(ISBLANK(P989), 1, P989) * IF(ISBLANK(T989), 0, IF(ISNA(VLOOKUP(T989, 'Fuel Costs'!$A$2:$C$42, 2, 0)), T989, VLOOKUP(T989, 'Fuel Costs'!$A$2:$C$42, 2, 0))) / IF(ISBLANK(O989), 1, O989))) * 100</f>
        <v>42.875</v>
      </c>
      <c r="J989" s="2" t="n">
        <f aca="false">((H989 / 800) / (IF(ISBLANK(S989), 100, IF(ISNA(VLOOKUP(S989, Lives!$A$2:$C$35, 2, 0)), S989, VLOOKUP(S989, Lives!$A$2:$C$35, 2, 0))) * 12) + (IF(ISBLANK(Q989), 0, IF(ISNA(VLOOKUP(Q989, Wages!$A$2:$C$17, 2, 0)), Q989, VLOOKUP(Q989, Wages!$A$2:$C$17, 2, 0))) * IF(ISBLANK(N989), 0, IF(ISNA(VLOOKUP(N989, Crews!$A$2:$C$28, 2, 0)), N989, VLOOKUP(N989, Crews!$A$2:$C$28, 2, 0))))) * 400</f>
        <v>219166.6667</v>
      </c>
      <c r="K989" s="1"/>
      <c r="L989" s="1" t="s">
        <v>2025</v>
      </c>
      <c r="M989" s="1" t="n">
        <v>0</v>
      </c>
      <c r="N989" s="1" t="s">
        <v>323</v>
      </c>
      <c r="O989" s="1" t="n">
        <v>0.75</v>
      </c>
      <c r="P989" s="1" t="n">
        <v>0.2</v>
      </c>
      <c r="Q989" s="1" t="s">
        <v>34</v>
      </c>
      <c r="R989" s="1" t="s">
        <v>574</v>
      </c>
      <c r="S989" s="1" t="s">
        <v>574</v>
      </c>
      <c r="T989" s="1" t="s">
        <v>1785</v>
      </c>
    </row>
    <row r="990" customFormat="false" ht="15" hidden="false" customHeight="true" outlineLevel="0" collapsed="false">
      <c r="A990" s="1" t="s">
        <v>2026</v>
      </c>
      <c r="B990" s="1" t="n">
        <v>1905</v>
      </c>
      <c r="C990" s="1" t="n">
        <v>2</v>
      </c>
      <c r="D990" s="1" t="s">
        <v>38</v>
      </c>
      <c r="E990" s="1"/>
      <c r="F990" s="1"/>
      <c r="G990" s="1" t="n">
        <v>100</v>
      </c>
      <c r="H990" s="2" t="n">
        <v>800000</v>
      </c>
      <c r="I990" s="2" t="n">
        <f aca="false">(((H990 / 800) / IF(ISBLANK(R990), 1000000, IF(ISNA(VLOOKUP(R990, Mileages!$A$2:$C$34, 2, 0)), R990, VLOOKUP(R990, Mileages!$A$2:$C$34, 2, 0)))) + (F990 * IF(ISBLANK(P990), 1, P990) * IF(ISBLANK(T990), 0, IF(ISNA(VLOOKUP(T990, 'Fuel Costs'!$A$2:$C$42, 2, 0)), T990, VLOOKUP(T990, 'Fuel Costs'!$A$2:$C$42, 2, 0))) / IF(ISBLANK(O990), 1, O990))) * 100</f>
        <v>0.08333333333</v>
      </c>
      <c r="J990" s="2" t="n">
        <f aca="false">((H990 / 800) / (IF(ISBLANK(S990), 100, IF(ISNA(VLOOKUP(S990, Lives!$A$2:$C$35, 2, 0)), S990, VLOOKUP(S990, Lives!$A$2:$C$35, 2, 0))) * 12) + (IF(ISBLANK(Q990), 0, IF(ISNA(VLOOKUP(Q990, Wages!$A$2:$C$17, 2, 0)), Q990, VLOOKUP(Q990, Wages!$A$2:$C$17, 2, 0))) * IF(ISBLANK(N990), 0, IF(ISNA(VLOOKUP(N990, Crews!$A$2:$C$28, 2, 0)), N990, VLOOKUP(N990, Crews!$A$2:$C$28, 2, 0))))) * 400</f>
        <v>952.3809524</v>
      </c>
      <c r="K990" s="3" t="s">
        <v>2027</v>
      </c>
      <c r="L990" s="1" t="s">
        <v>2028</v>
      </c>
      <c r="M990" s="1" t="n">
        <v>0</v>
      </c>
      <c r="N990" s="1"/>
      <c r="O990" s="1"/>
      <c r="P990" s="1"/>
      <c r="Q990" s="1"/>
      <c r="R990" s="1" t="s">
        <v>689</v>
      </c>
      <c r="S990" s="1" t="s">
        <v>856</v>
      </c>
      <c r="T990" s="1"/>
    </row>
    <row r="991" customFormat="false" ht="15" hidden="false" customHeight="true" outlineLevel="0" collapsed="false">
      <c r="A991" s="1" t="s">
        <v>2029</v>
      </c>
      <c r="B991" s="1" t="n">
        <v>1905</v>
      </c>
      <c r="C991" s="1" t="n">
        <v>2</v>
      </c>
      <c r="D991" s="1" t="s">
        <v>38</v>
      </c>
      <c r="E991" s="1" t="s">
        <v>274</v>
      </c>
      <c r="F991" s="1" t="n">
        <v>154</v>
      </c>
      <c r="G991" s="1" t="n">
        <v>85</v>
      </c>
      <c r="H991" s="2" t="n">
        <v>2200000</v>
      </c>
      <c r="I991" s="2" t="n">
        <f aca="false">(((H991 / 800) / IF(ISBLANK(R991), 1000000, IF(ISNA(VLOOKUP(R991, Mileages!$A$2:$C$34, 2, 0)), R991, VLOOKUP(R991, Mileages!$A$2:$C$34, 2, 0)))) + (F991 * IF(ISBLANK(P991), 1, P991) * IF(ISBLANK(T991), 0, IF(ISNA(VLOOKUP(T991, 'Fuel Costs'!$A$2:$C$42, 2, 0)), T991, VLOOKUP(T991, 'Fuel Costs'!$A$2:$C$42, 2, 0))) / IF(ISBLANK(O991), 1, O991))) * 100</f>
        <v>58.025</v>
      </c>
      <c r="J991" s="2" t="n">
        <f aca="false">((H991 / 800) / (IF(ISBLANK(S991), 100, IF(ISNA(VLOOKUP(S991, Lives!$A$2:$C$35, 2, 0)), S991, VLOOKUP(S991, Lives!$A$2:$C$35, 2, 0))) * 12) + (IF(ISBLANK(Q991), 0, IF(ISNA(VLOOKUP(Q991, Wages!$A$2:$C$17, 2, 0)), Q991, VLOOKUP(Q991, Wages!$A$2:$C$17, 2, 0))) * IF(ISBLANK(N991), 0, IF(ISNA(VLOOKUP(N991, Crews!$A$2:$C$28, 2, 0)), N991, VLOOKUP(N991, Crews!$A$2:$C$28, 2, 0))))) * 400</f>
        <v>17833.33333</v>
      </c>
      <c r="K991" s="3" t="s">
        <v>992</v>
      </c>
      <c r="L991" s="1" t="s">
        <v>993</v>
      </c>
      <c r="M991" s="1" t="n">
        <v>1</v>
      </c>
      <c r="N991" s="1" t="s">
        <v>283</v>
      </c>
      <c r="O991" s="1" t="n">
        <v>0.8</v>
      </c>
      <c r="P991" s="1"/>
      <c r="Q991" s="5" t="s">
        <v>284</v>
      </c>
      <c r="R991" s="1" t="s">
        <v>677</v>
      </c>
      <c r="S991" s="1" t="s">
        <v>677</v>
      </c>
      <c r="T991" s="1" t="s">
        <v>1785</v>
      </c>
    </row>
    <row r="992" customFormat="false" ht="15" hidden="false" customHeight="true" outlineLevel="0" collapsed="false">
      <c r="A992" s="1" t="s">
        <v>2030</v>
      </c>
      <c r="B992" s="1" t="n">
        <v>1905</v>
      </c>
      <c r="C992" s="1" t="n">
        <v>3</v>
      </c>
      <c r="D992" s="1" t="s">
        <v>21</v>
      </c>
      <c r="E992" s="1" t="s">
        <v>274</v>
      </c>
      <c r="F992" s="1" t="n">
        <v>25</v>
      </c>
      <c r="G992" s="1" t="n">
        <v>12</v>
      </c>
      <c r="H992" s="2" t="n">
        <v>90000</v>
      </c>
      <c r="I992" s="2" t="n">
        <f aca="false">(((H992 / 800) / IF(ISBLANK(R992), 1000000, IF(ISNA(VLOOKUP(R992, Mileages!$A$2:$C$34, 2, 0)), R992, VLOOKUP(R992, Mileages!$A$2:$C$34, 2, 0)))) + (F992 * IF(ISBLANK(P992), 1, P992) * IF(ISBLANK(T992), 0, IF(ISNA(VLOOKUP(T992, 'Fuel Costs'!$A$2:$C$42, 2, 0)), T992, VLOOKUP(T992, 'Fuel Costs'!$A$2:$C$42, 2, 0))) / IF(ISBLANK(O992), 1, O992))) * 100</f>
        <v>13.65886364</v>
      </c>
      <c r="J992" s="2" t="n">
        <f aca="false">((H992 / 800) / (IF(ISBLANK(S992), 100, IF(ISNA(VLOOKUP(S992, Lives!$A$2:$C$35, 2, 0)), S992, VLOOKUP(S992, Lives!$A$2:$C$35, 2, 0))) * 12) + (IF(ISBLANK(Q992), 0, IF(ISNA(VLOOKUP(Q992, Wages!$A$2:$C$17, 2, 0)), Q992, VLOOKUP(Q992, Wages!$A$2:$C$17, 2, 0))) * IF(ISBLANK(N992), 0, IF(ISNA(VLOOKUP(N992, Crews!$A$2:$C$28, 2, 0)), N992, VLOOKUP(N992, Crews!$A$2:$C$28, 2, 0))))) * 400</f>
        <v>8046.875</v>
      </c>
      <c r="K992" s="3" t="s">
        <v>2031</v>
      </c>
      <c r="L992" s="1" t="s">
        <v>2032</v>
      </c>
      <c r="M992" s="1" t="n">
        <v>0</v>
      </c>
      <c r="N992" s="1" t="s">
        <v>25</v>
      </c>
      <c r="O992" s="1" t="n">
        <v>0.55</v>
      </c>
      <c r="P992" s="1"/>
      <c r="Q992" s="1" t="s">
        <v>1815</v>
      </c>
      <c r="R992" s="1" t="s">
        <v>837</v>
      </c>
      <c r="S992" s="1" t="s">
        <v>837</v>
      </c>
      <c r="T992" s="1" t="s">
        <v>1785</v>
      </c>
    </row>
    <row r="993" customFormat="false" ht="15" hidden="false" customHeight="true" outlineLevel="0" collapsed="false">
      <c r="A993" s="1" t="s">
        <v>2033</v>
      </c>
      <c r="B993" s="1" t="n">
        <v>1905</v>
      </c>
      <c r="C993" s="1" t="n">
        <v>3</v>
      </c>
      <c r="D993" s="1" t="s">
        <v>21</v>
      </c>
      <c r="E993" s="1" t="s">
        <v>274</v>
      </c>
      <c r="F993" s="1" t="n">
        <v>25</v>
      </c>
      <c r="G993" s="1" t="n">
        <v>12</v>
      </c>
      <c r="H993" s="2" t="n">
        <v>90000</v>
      </c>
      <c r="I993" s="2" t="n">
        <f aca="false">(((H993 / 800) / IF(ISBLANK(R993), 1000000, IF(ISNA(VLOOKUP(R993, Mileages!$A$2:$C$34, 2, 0)), R993, VLOOKUP(R993, Mileages!$A$2:$C$34, 2, 0)))) + (F993 * IF(ISBLANK(P993), 1, P993) * IF(ISBLANK(T993), 0, IF(ISNA(VLOOKUP(T993, 'Fuel Costs'!$A$2:$C$42, 2, 0)), T993, VLOOKUP(T993, 'Fuel Costs'!$A$2:$C$42, 2, 0))) / IF(ISBLANK(O993), 1, O993))) * 100</f>
        <v>13.65886364</v>
      </c>
      <c r="J993" s="2" t="n">
        <f aca="false">((H993 / 800) / (IF(ISBLANK(S993), 100, IF(ISNA(VLOOKUP(S993, Lives!$A$2:$C$35, 2, 0)), S993, VLOOKUP(S993, Lives!$A$2:$C$35, 2, 0))) * 12) + (IF(ISBLANK(Q993), 0, IF(ISNA(VLOOKUP(Q993, Wages!$A$2:$C$17, 2, 0)), Q993, VLOOKUP(Q993, Wages!$A$2:$C$17, 2, 0))) * IF(ISBLANK(N993), 0, IF(ISNA(VLOOKUP(N993, Crews!$A$2:$C$28, 2, 0)), N993, VLOOKUP(N993, Crews!$A$2:$C$28, 2, 0))))) * 400</f>
        <v>8046.875</v>
      </c>
      <c r="K993" s="1"/>
      <c r="L993" s="1" t="s">
        <v>2032</v>
      </c>
      <c r="M993" s="1" t="n">
        <v>1</v>
      </c>
      <c r="N993" s="1" t="s">
        <v>25</v>
      </c>
      <c r="O993" s="1" t="n">
        <v>0.55</v>
      </c>
      <c r="P993" s="1"/>
      <c r="Q993" s="1" t="s">
        <v>1815</v>
      </c>
      <c r="R993" s="1" t="s">
        <v>837</v>
      </c>
      <c r="S993" s="1" t="s">
        <v>837</v>
      </c>
      <c r="T993" s="1" t="s">
        <v>1785</v>
      </c>
    </row>
    <row r="994" customFormat="false" ht="15" hidden="false" customHeight="true" outlineLevel="0" collapsed="false">
      <c r="A994" s="1" t="s">
        <v>2034</v>
      </c>
      <c r="B994" s="1" t="n">
        <v>1905</v>
      </c>
      <c r="C994" s="1" t="n">
        <v>3</v>
      </c>
      <c r="D994" s="1" t="s">
        <v>21</v>
      </c>
      <c r="E994" s="1" t="s">
        <v>274</v>
      </c>
      <c r="F994" s="1" t="n">
        <v>25</v>
      </c>
      <c r="G994" s="1" t="n">
        <v>12</v>
      </c>
      <c r="H994" s="2" t="n">
        <v>90000</v>
      </c>
      <c r="I994" s="2" t="n">
        <f aca="false">(((H994 / 800) / IF(ISBLANK(R994), 1000000, IF(ISNA(VLOOKUP(R994, Mileages!$A$2:$C$34, 2, 0)), R994, VLOOKUP(R994, Mileages!$A$2:$C$34, 2, 0)))) + (F994 * IF(ISBLANK(P994), 1, P994) * IF(ISBLANK(T994), 0, IF(ISNA(VLOOKUP(T994, 'Fuel Costs'!$A$2:$C$42, 2, 0)), T994, VLOOKUP(T994, 'Fuel Costs'!$A$2:$C$42, 2, 0))) / IF(ISBLANK(O994), 1, O994))) * 100</f>
        <v>13.65886364</v>
      </c>
      <c r="J994" s="2" t="n">
        <f aca="false">((H994 / 800) / (IF(ISBLANK(S994), 100, IF(ISNA(VLOOKUP(S994, Lives!$A$2:$C$35, 2, 0)), S994, VLOOKUP(S994, Lives!$A$2:$C$35, 2, 0))) * 12) + (IF(ISBLANK(Q994), 0, IF(ISNA(VLOOKUP(Q994, Wages!$A$2:$C$17, 2, 0)), Q994, VLOOKUP(Q994, Wages!$A$2:$C$17, 2, 0))) * IF(ISBLANK(N994), 0, IF(ISNA(VLOOKUP(N994, Crews!$A$2:$C$28, 2, 0)), N994, VLOOKUP(N994, Crews!$A$2:$C$28, 2, 0))))) * 400</f>
        <v>8046.875</v>
      </c>
      <c r="K994" s="1"/>
      <c r="L994" s="1" t="s">
        <v>2032</v>
      </c>
      <c r="M994" s="1" t="n">
        <v>2</v>
      </c>
      <c r="N994" s="1" t="s">
        <v>25</v>
      </c>
      <c r="O994" s="1" t="n">
        <v>0.55</v>
      </c>
      <c r="P994" s="1"/>
      <c r="Q994" s="1" t="s">
        <v>1815</v>
      </c>
      <c r="R994" s="1" t="s">
        <v>837</v>
      </c>
      <c r="S994" s="1" t="s">
        <v>837</v>
      </c>
      <c r="T994" s="1" t="s">
        <v>1785</v>
      </c>
    </row>
    <row r="995" customFormat="false" ht="15" hidden="false" customHeight="true" outlineLevel="0" collapsed="false">
      <c r="A995" s="1" t="s">
        <v>2035</v>
      </c>
      <c r="B995" s="1" t="n">
        <v>1905</v>
      </c>
      <c r="C995" s="1" t="n">
        <v>3</v>
      </c>
      <c r="D995" s="1" t="s">
        <v>21</v>
      </c>
      <c r="E995" s="1" t="s">
        <v>274</v>
      </c>
      <c r="F995" s="1" t="n">
        <v>25</v>
      </c>
      <c r="G995" s="1" t="n">
        <v>12</v>
      </c>
      <c r="H995" s="2" t="n">
        <v>90000</v>
      </c>
      <c r="I995" s="2" t="n">
        <f aca="false">(((H995 / 800) / IF(ISBLANK(R995), 1000000, IF(ISNA(VLOOKUP(R995, Mileages!$A$2:$C$34, 2, 0)), R995, VLOOKUP(R995, Mileages!$A$2:$C$34, 2, 0)))) + (F995 * IF(ISBLANK(P995), 1, P995) * IF(ISBLANK(T995), 0, IF(ISNA(VLOOKUP(T995, 'Fuel Costs'!$A$2:$C$42, 2, 0)), T995, VLOOKUP(T995, 'Fuel Costs'!$A$2:$C$42, 2, 0))) / IF(ISBLANK(O995), 1, O995))) * 100</f>
        <v>13.65886364</v>
      </c>
      <c r="J995" s="2" t="n">
        <f aca="false">((H995 / 800) / (IF(ISBLANK(S995), 100, IF(ISNA(VLOOKUP(S995, Lives!$A$2:$C$35, 2, 0)), S995, VLOOKUP(S995, Lives!$A$2:$C$35, 2, 0))) * 12) + (IF(ISBLANK(Q995), 0, IF(ISNA(VLOOKUP(Q995, Wages!$A$2:$C$17, 2, 0)), Q995, VLOOKUP(Q995, Wages!$A$2:$C$17, 2, 0))) * IF(ISBLANK(N995), 0, IF(ISNA(VLOOKUP(N995, Crews!$A$2:$C$28, 2, 0)), N995, VLOOKUP(N995, Crews!$A$2:$C$28, 2, 0))))) * 400</f>
        <v>8046.875</v>
      </c>
      <c r="K995" s="1"/>
      <c r="L995" s="1" t="s">
        <v>2032</v>
      </c>
      <c r="M995" s="1" t="n">
        <v>3</v>
      </c>
      <c r="N995" s="1" t="s">
        <v>25</v>
      </c>
      <c r="O995" s="1" t="n">
        <v>0.55</v>
      </c>
      <c r="P995" s="1"/>
      <c r="Q995" s="1" t="s">
        <v>1815</v>
      </c>
      <c r="R995" s="1" t="s">
        <v>837</v>
      </c>
      <c r="S995" s="1" t="s">
        <v>837</v>
      </c>
      <c r="T995" s="1" t="s">
        <v>1785</v>
      </c>
    </row>
    <row r="996" customFormat="false" ht="15" hidden="false" customHeight="true" outlineLevel="0" collapsed="false">
      <c r="A996" s="1" t="s">
        <v>2036</v>
      </c>
      <c r="B996" s="1" t="n">
        <v>1905</v>
      </c>
      <c r="C996" s="1" t="n">
        <v>3</v>
      </c>
      <c r="D996" s="1" t="s">
        <v>21</v>
      </c>
      <c r="E996" s="1" t="s">
        <v>274</v>
      </c>
      <c r="F996" s="1" t="n">
        <v>25</v>
      </c>
      <c r="G996" s="1" t="n">
        <v>12</v>
      </c>
      <c r="H996" s="2" t="n">
        <v>90000</v>
      </c>
      <c r="I996" s="2" t="n">
        <f aca="false">(((H996 / 800) / IF(ISBLANK(R996), 1000000, IF(ISNA(VLOOKUP(R996, Mileages!$A$2:$C$34, 2, 0)), R996, VLOOKUP(R996, Mileages!$A$2:$C$34, 2, 0)))) + (F996 * IF(ISBLANK(P996), 1, P996) * IF(ISBLANK(T996), 0, IF(ISNA(VLOOKUP(T996, 'Fuel Costs'!$A$2:$C$42, 2, 0)), T996, VLOOKUP(T996, 'Fuel Costs'!$A$2:$C$42, 2, 0))) / IF(ISBLANK(O996), 1, O996))) * 100</f>
        <v>13.65886364</v>
      </c>
      <c r="J996" s="2" t="n">
        <f aca="false">((H996 / 800) / (IF(ISBLANK(S996), 100, IF(ISNA(VLOOKUP(S996, Lives!$A$2:$C$35, 2, 0)), S996, VLOOKUP(S996, Lives!$A$2:$C$35, 2, 0))) * 12) + (IF(ISBLANK(Q996), 0, IF(ISNA(VLOOKUP(Q996, Wages!$A$2:$C$17, 2, 0)), Q996, VLOOKUP(Q996, Wages!$A$2:$C$17, 2, 0))) * IF(ISBLANK(N996), 0, IF(ISNA(VLOOKUP(N996, Crews!$A$2:$C$28, 2, 0)), N996, VLOOKUP(N996, Crews!$A$2:$C$28, 2, 0))))) * 400</f>
        <v>8046.875</v>
      </c>
      <c r="K996" s="1"/>
      <c r="L996" s="1" t="s">
        <v>2032</v>
      </c>
      <c r="M996" s="1" t="n">
        <v>4</v>
      </c>
      <c r="N996" s="1" t="s">
        <v>25</v>
      </c>
      <c r="O996" s="1" t="n">
        <v>0.55</v>
      </c>
      <c r="P996" s="1"/>
      <c r="Q996" s="1" t="s">
        <v>1815</v>
      </c>
      <c r="R996" s="1" t="s">
        <v>837</v>
      </c>
      <c r="S996" s="1" t="s">
        <v>837</v>
      </c>
      <c r="T996" s="1" t="s">
        <v>1785</v>
      </c>
    </row>
    <row r="997" customFormat="false" ht="15" hidden="false" customHeight="true" outlineLevel="0" collapsed="false">
      <c r="A997" s="1" t="s">
        <v>2037</v>
      </c>
      <c r="B997" s="1" t="n">
        <v>1905</v>
      </c>
      <c r="C997" s="1" t="n">
        <v>3</v>
      </c>
      <c r="D997" s="1" t="s">
        <v>21</v>
      </c>
      <c r="E997" s="1" t="s">
        <v>274</v>
      </c>
      <c r="F997" s="1" t="n">
        <v>25</v>
      </c>
      <c r="G997" s="1" t="n">
        <v>12</v>
      </c>
      <c r="H997" s="2" t="n">
        <v>90000</v>
      </c>
      <c r="I997" s="2" t="n">
        <f aca="false">(((H997 / 800) / IF(ISBLANK(R997), 1000000, IF(ISNA(VLOOKUP(R997, Mileages!$A$2:$C$34, 2, 0)), R997, VLOOKUP(R997, Mileages!$A$2:$C$34, 2, 0)))) + (F997 * IF(ISBLANK(P997), 1, P997) * IF(ISBLANK(T997), 0, IF(ISNA(VLOOKUP(T997, 'Fuel Costs'!$A$2:$C$42, 2, 0)), T997, VLOOKUP(T997, 'Fuel Costs'!$A$2:$C$42, 2, 0))) / IF(ISBLANK(O997), 1, O997))) * 100</f>
        <v>13.65886364</v>
      </c>
      <c r="J997" s="2" t="n">
        <f aca="false">((H997 / 800) / (IF(ISBLANK(S997), 100, IF(ISNA(VLOOKUP(S997, Lives!$A$2:$C$35, 2, 0)), S997, VLOOKUP(S997, Lives!$A$2:$C$35, 2, 0))) * 12) + (IF(ISBLANK(Q997), 0, IF(ISNA(VLOOKUP(Q997, Wages!$A$2:$C$17, 2, 0)), Q997, VLOOKUP(Q997, Wages!$A$2:$C$17, 2, 0))) * IF(ISBLANK(N997), 0, IF(ISNA(VLOOKUP(N997, Crews!$A$2:$C$28, 2, 0)), N997, VLOOKUP(N997, Crews!$A$2:$C$28, 2, 0))))) * 400</f>
        <v>8046.875</v>
      </c>
      <c r="K997" s="1"/>
      <c r="L997" s="1" t="s">
        <v>2032</v>
      </c>
      <c r="M997" s="1" t="n">
        <v>5</v>
      </c>
      <c r="N997" s="1" t="s">
        <v>25</v>
      </c>
      <c r="O997" s="1" t="n">
        <v>0.55</v>
      </c>
      <c r="P997" s="1"/>
      <c r="Q997" s="1" t="s">
        <v>1815</v>
      </c>
      <c r="R997" s="1" t="s">
        <v>837</v>
      </c>
      <c r="S997" s="1" t="s">
        <v>837</v>
      </c>
      <c r="T997" s="1" t="s">
        <v>1785</v>
      </c>
    </row>
    <row r="998" customFormat="false" ht="15" hidden="false" customHeight="true" outlineLevel="0" collapsed="false">
      <c r="A998" s="1" t="s">
        <v>2038</v>
      </c>
      <c r="B998" s="1" t="n">
        <v>1905</v>
      </c>
      <c r="C998" s="1" t="n">
        <v>3</v>
      </c>
      <c r="D998" s="1" t="s">
        <v>29</v>
      </c>
      <c r="E998" s="1" t="s">
        <v>2039</v>
      </c>
      <c r="F998" s="1" t="n">
        <v>30</v>
      </c>
      <c r="G998" s="1" t="n">
        <v>8</v>
      </c>
      <c r="H998" s="2" t="n">
        <v>200000</v>
      </c>
      <c r="I998" s="2" t="n">
        <f aca="false">(((H998 / 800) / IF(ISBLANK(R998), 1000000, IF(ISNA(VLOOKUP(R998, Mileages!$A$2:$C$34, 2, 0)), R998, VLOOKUP(R998, Mileages!$A$2:$C$34, 2, 0)))) + (F998 * IF(ISBLANK(P998), 1, P998) * IF(ISBLANK(T998), 0, IF(ISNA(VLOOKUP(T998, 'Fuel Costs'!$A$2:$C$42, 2, 0)), T998, VLOOKUP(T998, 'Fuel Costs'!$A$2:$C$42, 2, 0))) / IF(ISBLANK(O998), 1, O998))) * 100</f>
        <v>6.03125</v>
      </c>
      <c r="J998" s="2" t="n">
        <f aca="false">((H998 / 800) / (IF(ISBLANK(S998), 100, IF(ISNA(VLOOKUP(S998, Lives!$A$2:$C$35, 2, 0)), S998, VLOOKUP(S998, Lives!$A$2:$C$35, 2, 0))) * 12) + (IF(ISBLANK(Q998), 0, IF(ISNA(VLOOKUP(Q998, Wages!$A$2:$C$17, 2, 0)), Q998, VLOOKUP(Q998, Wages!$A$2:$C$17, 2, 0))) * IF(ISBLANK(N998), 0, IF(ISNA(VLOOKUP(N998, Crews!$A$2:$C$28, 2, 0)), N998, VLOOKUP(N998, Crews!$A$2:$C$28, 2, 0))))) * 400</f>
        <v>16138.88889</v>
      </c>
      <c r="K998" s="3" t="s">
        <v>1439</v>
      </c>
      <c r="L998" s="1" t="s">
        <v>2040</v>
      </c>
      <c r="M998" s="1" t="n">
        <v>0</v>
      </c>
      <c r="N998" s="1" t="s">
        <v>33</v>
      </c>
      <c r="O998" s="1" t="n">
        <v>0.5</v>
      </c>
      <c r="P998" s="1" t="n">
        <v>0.2</v>
      </c>
      <c r="Q998" s="1" t="s">
        <v>34</v>
      </c>
      <c r="R998" s="4" t="s">
        <v>35</v>
      </c>
      <c r="S998" s="1" t="s">
        <v>35</v>
      </c>
      <c r="T998" s="1" t="s">
        <v>2041</v>
      </c>
    </row>
    <row r="999" customFormat="false" ht="15" hidden="false" customHeight="true" outlineLevel="0" collapsed="false">
      <c r="A999" s="1" t="s">
        <v>2042</v>
      </c>
      <c r="B999" s="1" t="n">
        <v>1905</v>
      </c>
      <c r="C999" s="1" t="n">
        <v>3</v>
      </c>
      <c r="D999" s="1" t="s">
        <v>29</v>
      </c>
      <c r="E999" s="1" t="s">
        <v>2039</v>
      </c>
      <c r="F999" s="1" t="n">
        <v>30</v>
      </c>
      <c r="G999" s="1" t="n">
        <v>8</v>
      </c>
      <c r="H999" s="2" t="n">
        <v>200000</v>
      </c>
      <c r="I999" s="2" t="n">
        <f aca="false">(((H999 / 800) / IF(ISBLANK(R999), 1000000, IF(ISNA(VLOOKUP(R999, Mileages!$A$2:$C$34, 2, 0)), R999, VLOOKUP(R999, Mileages!$A$2:$C$34, 2, 0)))) + (F999 * IF(ISBLANK(P999), 1, P999) * IF(ISBLANK(T999), 0, IF(ISNA(VLOOKUP(T999, 'Fuel Costs'!$A$2:$C$42, 2, 0)), T999, VLOOKUP(T999, 'Fuel Costs'!$A$2:$C$42, 2, 0))) / IF(ISBLANK(O999), 1, O999))) * 100</f>
        <v>6.03125</v>
      </c>
      <c r="J999" s="2" t="n">
        <f aca="false">((H999 / 800) / (IF(ISBLANK(S999), 100, IF(ISNA(VLOOKUP(S999, Lives!$A$2:$C$35, 2, 0)), S999, VLOOKUP(S999, Lives!$A$2:$C$35, 2, 0))) * 12) + (IF(ISBLANK(Q999), 0, IF(ISNA(VLOOKUP(Q999, Wages!$A$2:$C$17, 2, 0)), Q999, VLOOKUP(Q999, Wages!$A$2:$C$17, 2, 0))) * IF(ISBLANK(N999), 0, IF(ISNA(VLOOKUP(N999, Crews!$A$2:$C$28, 2, 0)), N999, VLOOKUP(N999, Crews!$A$2:$C$28, 2, 0))))) * 400</f>
        <v>16138.88889</v>
      </c>
      <c r="K999" s="3" t="s">
        <v>1439</v>
      </c>
      <c r="L999" s="1" t="s">
        <v>2040</v>
      </c>
      <c r="M999" s="1" t="n">
        <v>1</v>
      </c>
      <c r="N999" s="1" t="s">
        <v>33</v>
      </c>
      <c r="O999" s="1" t="n">
        <v>0.5</v>
      </c>
      <c r="P999" s="1" t="n">
        <v>0.2</v>
      </c>
      <c r="Q999" s="1" t="s">
        <v>34</v>
      </c>
      <c r="R999" s="4" t="s">
        <v>35</v>
      </c>
      <c r="S999" s="1" t="s">
        <v>35</v>
      </c>
      <c r="T999" s="1" t="s">
        <v>2041</v>
      </c>
    </row>
    <row r="1000" customFormat="false" ht="15" hidden="false" customHeight="true" outlineLevel="0" collapsed="false">
      <c r="A1000" s="1" t="s">
        <v>2043</v>
      </c>
      <c r="B1000" s="1" t="n">
        <v>1905</v>
      </c>
      <c r="C1000" s="1" t="n">
        <v>3</v>
      </c>
      <c r="D1000" s="1" t="s">
        <v>29</v>
      </c>
      <c r="E1000" s="1" t="s">
        <v>2039</v>
      </c>
      <c r="F1000" s="1" t="n">
        <v>30</v>
      </c>
      <c r="G1000" s="1" t="n">
        <v>8</v>
      </c>
      <c r="H1000" s="2" t="n">
        <v>200000</v>
      </c>
      <c r="I1000" s="2" t="n">
        <f aca="false">(((H1000 / 800) / IF(ISBLANK(R1000), 1000000, IF(ISNA(VLOOKUP(R1000, Mileages!$A$2:$C$34, 2, 0)), R1000, VLOOKUP(R1000, Mileages!$A$2:$C$34, 2, 0)))) + (F1000 * IF(ISBLANK(P1000), 1, P1000) * IF(ISBLANK(T1000), 0, IF(ISNA(VLOOKUP(T1000, 'Fuel Costs'!$A$2:$C$42, 2, 0)), T1000, VLOOKUP(T1000, 'Fuel Costs'!$A$2:$C$42, 2, 0))) / IF(ISBLANK(O1000), 1, O1000))) * 100</f>
        <v>6.03125</v>
      </c>
      <c r="J1000" s="2" t="n">
        <f aca="false">((H1000 / 800) / (IF(ISBLANK(S1000), 100, IF(ISNA(VLOOKUP(S1000, Lives!$A$2:$C$35, 2, 0)), S1000, VLOOKUP(S1000, Lives!$A$2:$C$35, 2, 0))) * 12) + (IF(ISBLANK(Q1000), 0, IF(ISNA(VLOOKUP(Q1000, Wages!$A$2:$C$17, 2, 0)), Q1000, VLOOKUP(Q1000, Wages!$A$2:$C$17, 2, 0))) * IF(ISBLANK(N1000), 0, IF(ISNA(VLOOKUP(N1000, Crews!$A$2:$C$28, 2, 0)), N1000, VLOOKUP(N1000, Crews!$A$2:$C$28, 2, 0))))) * 400</f>
        <v>16138.88889</v>
      </c>
      <c r="K1000" s="3" t="s">
        <v>1439</v>
      </c>
      <c r="L1000" s="1" t="s">
        <v>2040</v>
      </c>
      <c r="M1000" s="1" t="n">
        <v>2</v>
      </c>
      <c r="N1000" s="1" t="s">
        <v>33</v>
      </c>
      <c r="O1000" s="1" t="n">
        <v>0.5</v>
      </c>
      <c r="P1000" s="1" t="n">
        <v>0.2</v>
      </c>
      <c r="Q1000" s="1" t="s">
        <v>34</v>
      </c>
      <c r="R1000" s="4" t="s">
        <v>35</v>
      </c>
      <c r="S1000" s="1" t="s">
        <v>35</v>
      </c>
      <c r="T1000" s="1" t="s">
        <v>2041</v>
      </c>
    </row>
    <row r="1001" customFormat="false" ht="15" hidden="false" customHeight="true" outlineLevel="0" collapsed="false">
      <c r="A1001" s="1" t="s">
        <v>2044</v>
      </c>
      <c r="B1001" s="1" t="n">
        <v>1905</v>
      </c>
      <c r="C1001" s="1" t="n">
        <v>3</v>
      </c>
      <c r="D1001" s="1" t="s">
        <v>29</v>
      </c>
      <c r="E1001" s="1" t="s">
        <v>2039</v>
      </c>
      <c r="F1001" s="1" t="n">
        <v>30</v>
      </c>
      <c r="G1001" s="1" t="n">
        <v>8</v>
      </c>
      <c r="H1001" s="2" t="n">
        <v>200000</v>
      </c>
      <c r="I1001" s="2" t="n">
        <f aca="false">(((H1001 / 800) / IF(ISBLANK(R1001), 1000000, IF(ISNA(VLOOKUP(R1001, Mileages!$A$2:$C$34, 2, 0)), R1001, VLOOKUP(R1001, Mileages!$A$2:$C$34, 2, 0)))) + (F1001 * IF(ISBLANK(P1001), 1, P1001) * IF(ISBLANK(T1001), 0, IF(ISNA(VLOOKUP(T1001, 'Fuel Costs'!$A$2:$C$42, 2, 0)), T1001, VLOOKUP(T1001, 'Fuel Costs'!$A$2:$C$42, 2, 0))) / IF(ISBLANK(O1001), 1, O1001))) * 100</f>
        <v>6.03125</v>
      </c>
      <c r="J1001" s="2" t="n">
        <f aca="false">((H1001 / 800) / (IF(ISBLANK(S1001), 100, IF(ISNA(VLOOKUP(S1001, Lives!$A$2:$C$35, 2, 0)), S1001, VLOOKUP(S1001, Lives!$A$2:$C$35, 2, 0))) * 12) + (IF(ISBLANK(Q1001), 0, IF(ISNA(VLOOKUP(Q1001, Wages!$A$2:$C$17, 2, 0)), Q1001, VLOOKUP(Q1001, Wages!$A$2:$C$17, 2, 0))) * IF(ISBLANK(N1001), 0, IF(ISNA(VLOOKUP(N1001, Crews!$A$2:$C$28, 2, 0)), N1001, VLOOKUP(N1001, Crews!$A$2:$C$28, 2, 0))))) * 400</f>
        <v>16138.88889</v>
      </c>
      <c r="K1001" s="3" t="s">
        <v>1439</v>
      </c>
      <c r="L1001" s="1" t="s">
        <v>2040</v>
      </c>
      <c r="M1001" s="1" t="n">
        <v>3</v>
      </c>
      <c r="N1001" s="1" t="s">
        <v>33</v>
      </c>
      <c r="O1001" s="1" t="n">
        <v>0.5</v>
      </c>
      <c r="P1001" s="1" t="n">
        <v>0.2</v>
      </c>
      <c r="Q1001" s="1" t="s">
        <v>34</v>
      </c>
      <c r="R1001" s="4" t="s">
        <v>35</v>
      </c>
      <c r="S1001" s="1" t="s">
        <v>35</v>
      </c>
      <c r="T1001" s="1" t="s">
        <v>2041</v>
      </c>
    </row>
    <row r="1002" customFormat="false" ht="15" hidden="false" customHeight="true" outlineLevel="0" collapsed="false">
      <c r="A1002" s="1" t="s">
        <v>2045</v>
      </c>
      <c r="B1002" s="1" t="n">
        <v>1905</v>
      </c>
      <c r="C1002" s="1" t="n">
        <v>3</v>
      </c>
      <c r="D1002" s="1" t="s">
        <v>29</v>
      </c>
      <c r="E1002" s="1" t="s">
        <v>274</v>
      </c>
      <c r="F1002" s="1" t="n">
        <v>30</v>
      </c>
      <c r="G1002" s="1" t="n">
        <v>8</v>
      </c>
      <c r="H1002" s="2" t="n">
        <v>200000</v>
      </c>
      <c r="I1002" s="2" t="n">
        <f aca="false">(((H1002 / 800) / IF(ISBLANK(R1002), 1000000, IF(ISNA(VLOOKUP(R1002, Mileages!$A$2:$C$34, 2, 0)), R1002, VLOOKUP(R1002, Mileages!$A$2:$C$34, 2, 0)))) + (F1002 * IF(ISBLANK(P1002), 1, P1002) * IF(ISBLANK(T1002), 0, IF(ISNA(VLOOKUP(T1002, 'Fuel Costs'!$A$2:$C$42, 2, 0)), T1002, VLOOKUP(T1002, 'Fuel Costs'!$A$2:$C$42, 2, 0))) / IF(ISBLANK(O1002), 1, O1002))) * 100</f>
        <v>1.4525</v>
      </c>
      <c r="J1002" s="2" t="n">
        <f aca="false">((H1002 / 800) / (IF(ISBLANK(S1002), 100, IF(ISNA(VLOOKUP(S1002, Lives!$A$2:$C$35, 2, 0)), S1002, VLOOKUP(S1002, Lives!$A$2:$C$35, 2, 0))) * 12) + (IF(ISBLANK(Q1002), 0, IF(ISNA(VLOOKUP(Q1002, Wages!$A$2:$C$17, 2, 0)), Q1002, VLOOKUP(Q1002, Wages!$A$2:$C$17, 2, 0))) * IF(ISBLANK(N1002), 0, IF(ISNA(VLOOKUP(N1002, Crews!$A$2:$C$28, 2, 0)), N1002, VLOOKUP(N1002, Crews!$A$2:$C$28, 2, 0))))) * 400</f>
        <v>16083.33333</v>
      </c>
      <c r="K1002" s="3" t="s">
        <v>1439</v>
      </c>
      <c r="L1002" s="1" t="s">
        <v>2040</v>
      </c>
      <c r="M1002" s="1" t="n">
        <v>4</v>
      </c>
      <c r="N1002" s="1" t="s">
        <v>33</v>
      </c>
      <c r="O1002" s="1" t="n">
        <v>1.25</v>
      </c>
      <c r="P1002" s="1" t="n">
        <v>0.2</v>
      </c>
      <c r="Q1002" s="1" t="s">
        <v>34</v>
      </c>
      <c r="R1002" s="1" t="s">
        <v>574</v>
      </c>
      <c r="S1002" s="1" t="s">
        <v>574</v>
      </c>
      <c r="T1002" s="1" t="s">
        <v>1785</v>
      </c>
    </row>
    <row r="1003" customFormat="false" ht="15" hidden="false" customHeight="true" outlineLevel="0" collapsed="false">
      <c r="A1003" s="1" t="s">
        <v>2046</v>
      </c>
      <c r="B1003" s="1" t="n">
        <v>1905</v>
      </c>
      <c r="C1003" s="1" t="n">
        <v>3</v>
      </c>
      <c r="D1003" s="1" t="s">
        <v>29</v>
      </c>
      <c r="E1003" s="1" t="s">
        <v>2039</v>
      </c>
      <c r="F1003" s="1" t="n">
        <v>30</v>
      </c>
      <c r="G1003" s="1" t="n">
        <v>8</v>
      </c>
      <c r="H1003" s="2" t="n">
        <v>200000</v>
      </c>
      <c r="I1003" s="2" t="n">
        <f aca="false">(((H1003 / 800) / IF(ISBLANK(R1003), 1000000, IF(ISNA(VLOOKUP(R1003, Mileages!$A$2:$C$34, 2, 0)), R1003, VLOOKUP(R1003, Mileages!$A$2:$C$34, 2, 0)))) + (F1003 * IF(ISBLANK(P1003), 1, P1003) * IF(ISBLANK(T1003), 0, IF(ISNA(VLOOKUP(T1003, 'Fuel Costs'!$A$2:$C$42, 2, 0)), T1003, VLOOKUP(T1003, 'Fuel Costs'!$A$2:$C$42, 2, 0))) / IF(ISBLANK(O1003), 1, O1003))) * 100</f>
        <v>6.03125</v>
      </c>
      <c r="J1003" s="2" t="n">
        <f aca="false">((H1003 / 800) / (IF(ISBLANK(S1003), 100, IF(ISNA(VLOOKUP(S1003, Lives!$A$2:$C$35, 2, 0)), S1003, VLOOKUP(S1003, Lives!$A$2:$C$35, 2, 0))) * 12) + (IF(ISBLANK(Q1003), 0, IF(ISNA(VLOOKUP(Q1003, Wages!$A$2:$C$17, 2, 0)), Q1003, VLOOKUP(Q1003, Wages!$A$2:$C$17, 2, 0))) * IF(ISBLANK(N1003), 0, IF(ISNA(VLOOKUP(N1003, Crews!$A$2:$C$28, 2, 0)), N1003, VLOOKUP(N1003, Crews!$A$2:$C$28, 2, 0))))) * 400</f>
        <v>16138.88889</v>
      </c>
      <c r="K1003" s="3" t="s">
        <v>1439</v>
      </c>
      <c r="L1003" s="1" t="s">
        <v>2040</v>
      </c>
      <c r="M1003" s="1" t="n">
        <v>5</v>
      </c>
      <c r="N1003" s="1" t="s">
        <v>33</v>
      </c>
      <c r="O1003" s="1" t="n">
        <v>0.5</v>
      </c>
      <c r="P1003" s="1" t="n">
        <v>0.2</v>
      </c>
      <c r="Q1003" s="1" t="s">
        <v>34</v>
      </c>
      <c r="R1003" s="4" t="s">
        <v>35</v>
      </c>
      <c r="S1003" s="1" t="s">
        <v>35</v>
      </c>
      <c r="T1003" s="1" t="s">
        <v>2041</v>
      </c>
    </row>
    <row r="1004" customFormat="false" ht="15" hidden="false" customHeight="true" outlineLevel="0" collapsed="false">
      <c r="A1004" s="1" t="s">
        <v>2047</v>
      </c>
      <c r="B1004" s="1" t="n">
        <v>1905</v>
      </c>
      <c r="C1004" s="1" t="n">
        <v>6</v>
      </c>
      <c r="D1004" s="1" t="s">
        <v>38</v>
      </c>
      <c r="E1004" s="1" t="s">
        <v>1346</v>
      </c>
      <c r="F1004" s="1" t="n">
        <v>480</v>
      </c>
      <c r="G1004" s="1" t="n">
        <v>75</v>
      </c>
      <c r="H1004" s="2" t="n">
        <v>1584000</v>
      </c>
      <c r="I1004" s="2" t="n">
        <f aca="false">(((H1004 / 800) / IF(ISBLANK(R1004), 1000000, IF(ISNA(VLOOKUP(R1004, Mileages!$A$2:$C$34, 2, 0)), R1004, VLOOKUP(R1004, Mileages!$A$2:$C$34, 2, 0)))) + (F1004 * IF(ISBLANK(P1004), 1, P1004) * IF(ISBLANK(T1004), 0, IF(ISNA(VLOOKUP(T1004, 'Fuel Costs'!$A$2:$C$42, 2, 0)), T1004, VLOOKUP(T1004, 'Fuel Costs'!$A$2:$C$42, 2, 0))) / IF(ISBLANK(O1004), 1, O1004))) * 100</f>
        <v>288.264</v>
      </c>
      <c r="J1004" s="2" t="n">
        <f aca="false">((H1004 / 800) / (IF(ISBLANK(S1004), 100, IF(ISNA(VLOOKUP(S1004, Lives!$A$2:$C$35, 2, 0)), S1004, VLOOKUP(S1004, Lives!$A$2:$C$35, 2, 0))) * 12) + (IF(ISBLANK(Q1004), 0, IF(ISNA(VLOOKUP(Q1004, Wages!$A$2:$C$17, 2, 0)), Q1004, VLOOKUP(Q1004, Wages!$A$2:$C$17, 2, 0))) * IF(ISBLANK(N1004), 0, IF(ISNA(VLOOKUP(N1004, Crews!$A$2:$C$28, 2, 0)), N1004, VLOOKUP(N1004, Crews!$A$2:$C$28, 2, 0))))) * 400</f>
        <v>11650</v>
      </c>
      <c r="K1004" s="1" t="s">
        <v>2048</v>
      </c>
      <c r="L1004" s="1" t="s">
        <v>2049</v>
      </c>
      <c r="M1004" s="1" t="n">
        <v>0</v>
      </c>
      <c r="N1004" s="1" t="s">
        <v>1488</v>
      </c>
      <c r="O1004" s="1" t="n">
        <v>1</v>
      </c>
      <c r="P1004" s="1"/>
      <c r="Q1004" s="1" t="str">
        <f aca="false">IF(ISBLANK('Pak128 Britain In'!$N1004),,'Pak128 Britain In'!$N1004)</f>
        <v>ElectricDriverRail</v>
      </c>
      <c r="R1004" s="1" t="s">
        <v>1489</v>
      </c>
      <c r="S1004" s="1" t="s">
        <v>1489</v>
      </c>
      <c r="T1004" s="1" t="s">
        <v>1351</v>
      </c>
    </row>
    <row r="1005" customFormat="false" ht="15" hidden="false" customHeight="true" outlineLevel="0" collapsed="false">
      <c r="A1005" s="1" t="s">
        <v>2050</v>
      </c>
      <c r="B1005" s="1" t="n">
        <v>1905</v>
      </c>
      <c r="C1005" s="1" t="n">
        <v>7</v>
      </c>
      <c r="D1005" s="1" t="s">
        <v>38</v>
      </c>
      <c r="E1005" s="1" t="s">
        <v>1346</v>
      </c>
      <c r="F1005" s="1" t="n">
        <v>596</v>
      </c>
      <c r="G1005" s="1" t="n">
        <v>65</v>
      </c>
      <c r="H1005" s="2" t="n">
        <v>884000</v>
      </c>
      <c r="I1005" s="2" t="n">
        <f aca="false">(((H1005 / 800) / IF(ISBLANK(R1005), 1000000, IF(ISNA(VLOOKUP(R1005, Mileages!$A$2:$C$34, 2, 0)), R1005, VLOOKUP(R1005, Mileages!$A$2:$C$34, 2, 0)))) + (F1005 * IF(ISBLANK(P1005), 1, P1005) * IF(ISBLANK(T1005), 0, IF(ISNA(VLOOKUP(T1005, 'Fuel Costs'!$A$2:$C$42, 2, 0)), T1005, VLOOKUP(T1005, 'Fuel Costs'!$A$2:$C$42, 2, 0))) / IF(ISBLANK(O1005), 1, O1005))) * 100</f>
        <v>357.7473333</v>
      </c>
      <c r="J1005" s="2" t="n">
        <f aca="false">((H1005 / 800) / (IF(ISBLANK(S1005), 100, IF(ISNA(VLOOKUP(S1005, Lives!$A$2:$C$35, 2, 0)), S1005, VLOOKUP(S1005, Lives!$A$2:$C$35, 2, 0))) * 12) + (IF(ISBLANK(Q1005), 0, IF(ISNA(VLOOKUP(Q1005, Wages!$A$2:$C$17, 2, 0)), Q1005, VLOOKUP(Q1005, Wages!$A$2:$C$17, 2, 0))) * IF(ISBLANK(N1005), 0, IF(ISNA(VLOOKUP(N1005, Crews!$A$2:$C$28, 2, 0)), N1005, VLOOKUP(N1005, Crews!$A$2:$C$28, 2, 0))))) * 400</f>
        <v>10920.83333</v>
      </c>
      <c r="K1005" s="1"/>
      <c r="L1005" s="1" t="s">
        <v>2051</v>
      </c>
      <c r="M1005" s="1" t="n">
        <v>0</v>
      </c>
      <c r="N1005" s="1" t="s">
        <v>1488</v>
      </c>
      <c r="O1005" s="1" t="n">
        <v>1</v>
      </c>
      <c r="P1005" s="1"/>
      <c r="Q1005" s="1" t="str">
        <f aca="false">IF(ISBLANK('Pak128 Britain In'!$N1005),,'Pak128 Britain In'!$N1005)</f>
        <v>ElectricDriverRail</v>
      </c>
      <c r="R1005" s="1" t="s">
        <v>1489</v>
      </c>
      <c r="S1005" s="1" t="s">
        <v>1489</v>
      </c>
      <c r="T1005" s="1" t="s">
        <v>1351</v>
      </c>
    </row>
    <row r="1006" customFormat="false" ht="15" hidden="false" customHeight="true" outlineLevel="0" collapsed="false">
      <c r="A1006" s="1" t="s">
        <v>2052</v>
      </c>
      <c r="B1006" s="1" t="n">
        <v>1905</v>
      </c>
      <c r="C1006" s="1" t="n">
        <v>8</v>
      </c>
      <c r="D1006" s="1" t="s">
        <v>38</v>
      </c>
      <c r="E1006" s="1" t="s">
        <v>274</v>
      </c>
      <c r="F1006" s="1" t="n">
        <v>389</v>
      </c>
      <c r="G1006" s="1" t="n">
        <v>145</v>
      </c>
      <c r="H1006" s="2" t="n">
        <v>7654000</v>
      </c>
      <c r="I1006" s="2" t="n">
        <f aca="false">(((H1006 / 800) / IF(ISBLANK(R1006), 1000000, IF(ISNA(VLOOKUP(R1006, Mileages!$A$2:$C$34, 2, 0)), R1006, VLOOKUP(R1006, Mileages!$A$2:$C$34, 2, 0)))) + (F1006 * IF(ISBLANK(P1006), 1, P1006) * IF(ISBLANK(T1006), 0, IF(ISNA(VLOOKUP(T1006, 'Fuel Costs'!$A$2:$C$42, 2, 0)), T1006, VLOOKUP(T1006, 'Fuel Costs'!$A$2:$C$42, 2, 0))) / IF(ISBLANK(O1006), 1, O1006))) * 100</f>
        <v>167.6710357</v>
      </c>
      <c r="J1006" s="2" t="n">
        <f aca="false">((H1006 / 800) / (IF(ISBLANK(S1006), 100, IF(ISNA(VLOOKUP(S1006, Lives!$A$2:$C$35, 2, 0)), S1006, VLOOKUP(S1006, Lives!$A$2:$C$35, 2, 0))) * 12) + (IF(ISBLANK(Q1006), 0, IF(ISNA(VLOOKUP(Q1006, Wages!$A$2:$C$17, 2, 0)), Q1006, VLOOKUP(Q1006, Wages!$A$2:$C$17, 2, 0))) * IF(ISBLANK(N1006), 0, IF(ISNA(VLOOKUP(N1006, Crews!$A$2:$C$28, 2, 0)), N1006, VLOOKUP(N1006, Crews!$A$2:$C$28, 2, 0))))) * 400</f>
        <v>46378.33333</v>
      </c>
      <c r="K1006" s="3" t="s">
        <v>2053</v>
      </c>
      <c r="L1006" s="1" t="s">
        <v>2054</v>
      </c>
      <c r="M1006" s="1" t="n">
        <v>0</v>
      </c>
      <c r="N1006" s="1" t="s">
        <v>1705</v>
      </c>
      <c r="O1006" s="1" t="n">
        <v>0.7</v>
      </c>
      <c r="P1006" s="1"/>
      <c r="Q1006" s="5" t="s">
        <v>284</v>
      </c>
      <c r="R1006" s="1" t="s">
        <v>677</v>
      </c>
      <c r="S1006" s="1" t="s">
        <v>677</v>
      </c>
      <c r="T1006" s="1" t="s">
        <v>1785</v>
      </c>
    </row>
    <row r="1007" customFormat="false" ht="15" hidden="false" customHeight="true" outlineLevel="0" collapsed="false">
      <c r="A1007" s="1" t="s">
        <v>2055</v>
      </c>
      <c r="B1007" s="1" t="n">
        <v>1905</v>
      </c>
      <c r="C1007" s="1" t="n">
        <v>10</v>
      </c>
      <c r="D1007" s="1" t="s">
        <v>38</v>
      </c>
      <c r="E1007" s="1"/>
      <c r="F1007" s="1"/>
      <c r="G1007" s="1" t="n">
        <v>160</v>
      </c>
      <c r="H1007" s="2" t="n">
        <v>777000</v>
      </c>
      <c r="I1007" s="2" t="n">
        <f aca="false">(((H1007 / 800) / IF(ISBLANK(R1007), 1000000, IF(ISNA(VLOOKUP(R1007, Mileages!$A$2:$C$34, 2, 0)), R1007, VLOOKUP(R1007, Mileages!$A$2:$C$34, 2, 0)))) + (F1007 * IF(ISBLANK(P1007), 1, P1007) * IF(ISBLANK(T1007), 0, IF(ISNA(VLOOKUP(T1007, 'Fuel Costs'!$A$2:$C$42, 2, 0)), T1007, VLOOKUP(T1007, 'Fuel Costs'!$A$2:$C$42, 2, 0))) / IF(ISBLANK(O1007), 1, O1007))) * 100</f>
        <v>0.0809375</v>
      </c>
      <c r="J1007" s="2" t="n">
        <f aca="false">((H1007 / 800) / (IF(ISBLANK(S1007), 100, IF(ISNA(VLOOKUP(S1007, Lives!$A$2:$C$35, 2, 0)), S1007, VLOOKUP(S1007, Lives!$A$2:$C$35, 2, 0))) * 12) + (IF(ISBLANK(Q1007), 0, IF(ISNA(VLOOKUP(Q1007, Wages!$A$2:$C$17, 2, 0)), Q1007, VLOOKUP(Q1007, Wages!$A$2:$C$17, 2, 0))) * IF(ISBLANK(N1007), 0, IF(ISNA(VLOOKUP(N1007, Crews!$A$2:$C$28, 2, 0)), N1007, VLOOKUP(N1007, Crews!$A$2:$C$28, 2, 0))))) * 400</f>
        <v>925</v>
      </c>
      <c r="K1007" s="1" t="s">
        <v>2056</v>
      </c>
      <c r="L1007" s="1" t="s">
        <v>2057</v>
      </c>
      <c r="M1007" s="1" t="n">
        <v>0</v>
      </c>
      <c r="N1007" s="1"/>
      <c r="O1007" s="1"/>
      <c r="P1007" s="1"/>
      <c r="Q1007" s="1"/>
      <c r="R1007" s="1" t="s">
        <v>689</v>
      </c>
      <c r="S1007" s="1" t="s">
        <v>856</v>
      </c>
      <c r="T1007" s="1"/>
    </row>
    <row r="1008" customFormat="false" ht="15" hidden="false" customHeight="true" outlineLevel="0" collapsed="false">
      <c r="A1008" s="1" t="s">
        <v>2058</v>
      </c>
      <c r="B1008" s="1" t="n">
        <v>1905</v>
      </c>
      <c r="C1008" s="1" t="n">
        <v>10</v>
      </c>
      <c r="D1008" s="1" t="s">
        <v>38</v>
      </c>
      <c r="E1008" s="1"/>
      <c r="F1008" s="1"/>
      <c r="G1008" s="1" t="n">
        <v>160</v>
      </c>
      <c r="H1008" s="2" t="n">
        <v>777000</v>
      </c>
      <c r="I1008" s="2" t="n">
        <f aca="false">(((H1008 / 800) / IF(ISBLANK(R1008), 1000000, IF(ISNA(VLOOKUP(R1008, Mileages!$A$2:$C$34, 2, 0)), R1008, VLOOKUP(R1008, Mileages!$A$2:$C$34, 2, 0)))) + (F1008 * IF(ISBLANK(P1008), 1, P1008) * IF(ISBLANK(T1008), 0, IF(ISNA(VLOOKUP(T1008, 'Fuel Costs'!$A$2:$C$42, 2, 0)), T1008, VLOOKUP(T1008, 'Fuel Costs'!$A$2:$C$42, 2, 0))) / IF(ISBLANK(O1008), 1, O1008))) * 100</f>
        <v>0.0809375</v>
      </c>
      <c r="J1008" s="2" t="n">
        <f aca="false">((H1008 / 800) / (IF(ISBLANK(S1008), 100, IF(ISNA(VLOOKUP(S1008, Lives!$A$2:$C$35, 2, 0)), S1008, VLOOKUP(S1008, Lives!$A$2:$C$35, 2, 0))) * 12) + (IF(ISBLANK(Q1008), 0, IF(ISNA(VLOOKUP(Q1008, Wages!$A$2:$C$17, 2, 0)), Q1008, VLOOKUP(Q1008, Wages!$A$2:$C$17, 2, 0))) * IF(ISBLANK(N1008), 0, IF(ISNA(VLOOKUP(N1008, Crews!$A$2:$C$28, 2, 0)), N1008, VLOOKUP(N1008, Crews!$A$2:$C$28, 2, 0))))) * 400</f>
        <v>5725</v>
      </c>
      <c r="K1008" s="1"/>
      <c r="L1008" s="1" t="s">
        <v>2057</v>
      </c>
      <c r="M1008" s="1" t="n">
        <v>1</v>
      </c>
      <c r="N1008" s="1" t="s">
        <v>25</v>
      </c>
      <c r="O1008" s="1"/>
      <c r="P1008" s="1"/>
      <c r="Q1008" s="1" t="s">
        <v>378</v>
      </c>
      <c r="R1008" s="1" t="s">
        <v>689</v>
      </c>
      <c r="S1008" s="1" t="s">
        <v>856</v>
      </c>
      <c r="T1008" s="1"/>
    </row>
    <row r="1009" customFormat="false" ht="15" hidden="false" customHeight="true" outlineLevel="0" collapsed="false">
      <c r="A1009" s="1" t="s">
        <v>2059</v>
      </c>
      <c r="B1009" s="1" t="n">
        <v>1905</v>
      </c>
      <c r="C1009" s="1" t="n">
        <v>10</v>
      </c>
      <c r="D1009" s="1" t="s">
        <v>38</v>
      </c>
      <c r="E1009" s="1"/>
      <c r="F1009" s="1"/>
      <c r="G1009" s="1" t="n">
        <v>160</v>
      </c>
      <c r="H1009" s="2" t="n">
        <v>777000</v>
      </c>
      <c r="I1009" s="2" t="n">
        <f aca="false">(((H1009 / 800) / IF(ISBLANK(R1009), 1000000, IF(ISNA(VLOOKUP(R1009, Mileages!$A$2:$C$34, 2, 0)), R1009, VLOOKUP(R1009, Mileages!$A$2:$C$34, 2, 0)))) + (F1009 * IF(ISBLANK(P1009), 1, P1009) * IF(ISBLANK(T1009), 0, IF(ISNA(VLOOKUP(T1009, 'Fuel Costs'!$A$2:$C$42, 2, 0)), T1009, VLOOKUP(T1009, 'Fuel Costs'!$A$2:$C$42, 2, 0))) / IF(ISBLANK(O1009), 1, O1009))) * 100</f>
        <v>0.0809375</v>
      </c>
      <c r="J1009" s="2" t="n">
        <f aca="false">((H1009 / 800) / (IF(ISBLANK(S1009), 100, IF(ISNA(VLOOKUP(S1009, Lives!$A$2:$C$35, 2, 0)), S1009, VLOOKUP(S1009, Lives!$A$2:$C$35, 2, 0))) * 12) + (IF(ISBLANK(Q1009), 0, IF(ISNA(VLOOKUP(Q1009, Wages!$A$2:$C$17, 2, 0)), Q1009, VLOOKUP(Q1009, Wages!$A$2:$C$17, 2, 0))) * IF(ISBLANK(N1009), 0, IF(ISNA(VLOOKUP(N1009, Crews!$A$2:$C$28, 2, 0)), N1009, VLOOKUP(N1009, Crews!$A$2:$C$28, 2, 0))))) * 400</f>
        <v>5725</v>
      </c>
      <c r="K1009" s="1"/>
      <c r="L1009" s="1" t="s">
        <v>2057</v>
      </c>
      <c r="M1009" s="1" t="n">
        <v>2</v>
      </c>
      <c r="N1009" s="1" t="s">
        <v>25</v>
      </c>
      <c r="O1009" s="1"/>
      <c r="P1009" s="1"/>
      <c r="Q1009" s="1" t="s">
        <v>378</v>
      </c>
      <c r="R1009" s="1" t="s">
        <v>689</v>
      </c>
      <c r="S1009" s="1" t="s">
        <v>856</v>
      </c>
      <c r="T1009" s="1"/>
    </row>
    <row r="1010" customFormat="false" ht="15" hidden="false" customHeight="true" outlineLevel="0" collapsed="false">
      <c r="A1010" s="1" t="s">
        <v>2060</v>
      </c>
      <c r="B1010" s="1" t="n">
        <v>1905</v>
      </c>
      <c r="C1010" s="1" t="n">
        <v>10</v>
      </c>
      <c r="D1010" s="1" t="s">
        <v>38</v>
      </c>
      <c r="E1010" s="1"/>
      <c r="F1010" s="1"/>
      <c r="G1010" s="1" t="n">
        <v>160</v>
      </c>
      <c r="H1010" s="2" t="n">
        <v>740000</v>
      </c>
      <c r="I1010" s="2" t="n">
        <f aca="false">(((H1010 / 800) / IF(ISBLANK(R1010), 1000000, IF(ISNA(VLOOKUP(R1010, Mileages!$A$2:$C$34, 2, 0)), R1010, VLOOKUP(R1010, Mileages!$A$2:$C$34, 2, 0)))) + (F1010 * IF(ISBLANK(P1010), 1, P1010) * IF(ISBLANK(T1010), 0, IF(ISNA(VLOOKUP(T1010, 'Fuel Costs'!$A$2:$C$42, 2, 0)), T1010, VLOOKUP(T1010, 'Fuel Costs'!$A$2:$C$42, 2, 0))) / IF(ISBLANK(O1010), 1, O1010))) * 100</f>
        <v>0.07708333333</v>
      </c>
      <c r="J1010" s="2" t="n">
        <f aca="false">((H1010 / 800) / (IF(ISBLANK(S1010), 100, IF(ISNA(VLOOKUP(S1010, Lives!$A$2:$C$35, 2, 0)), S1010, VLOOKUP(S1010, Lives!$A$2:$C$35, 2, 0))) * 12) + (IF(ISBLANK(Q1010), 0, IF(ISNA(VLOOKUP(Q1010, Wages!$A$2:$C$17, 2, 0)), Q1010, VLOOKUP(Q1010, Wages!$A$2:$C$17, 2, 0))) * IF(ISBLANK(N1010), 0, IF(ISNA(VLOOKUP(N1010, Crews!$A$2:$C$28, 2, 0)), N1010, VLOOKUP(N1010, Crews!$A$2:$C$28, 2, 0))))) * 400</f>
        <v>880.952381</v>
      </c>
      <c r="K1010" s="1"/>
      <c r="L1010" s="1" t="s">
        <v>2057</v>
      </c>
      <c r="M1010" s="1" t="n">
        <v>3</v>
      </c>
      <c r="N1010" s="1"/>
      <c r="O1010" s="1"/>
      <c r="P1010" s="1"/>
      <c r="Q1010" s="1"/>
      <c r="R1010" s="1" t="s">
        <v>689</v>
      </c>
      <c r="S1010" s="1" t="s">
        <v>856</v>
      </c>
      <c r="T1010" s="1"/>
    </row>
    <row r="1011" customFormat="false" ht="15" hidden="false" customHeight="true" outlineLevel="0" collapsed="false">
      <c r="A1011" s="1" t="s">
        <v>2061</v>
      </c>
      <c r="B1011" s="1" t="n">
        <v>1905</v>
      </c>
      <c r="C1011" s="1" t="n">
        <v>12</v>
      </c>
      <c r="D1011" s="1" t="s">
        <v>38</v>
      </c>
      <c r="E1011" s="1" t="s">
        <v>274</v>
      </c>
      <c r="F1011" s="1" t="n">
        <v>377</v>
      </c>
      <c r="G1011" s="1" t="n">
        <v>150</v>
      </c>
      <c r="H1011" s="2" t="n">
        <v>8346250</v>
      </c>
      <c r="I1011" s="2" t="n">
        <f aca="false">(((H1011 / 800) / IF(ISBLANK(R1011), 1000000, IF(ISNA(VLOOKUP(R1011, Mileages!$A$2:$C$34, 2, 0)), R1011, VLOOKUP(R1011, Mileages!$A$2:$C$34, 2, 0)))) + (F1011 * IF(ISBLANK(P1011), 1, P1011) * IF(ISBLANK(T1011), 0, IF(ISNA(VLOOKUP(T1011, 'Fuel Costs'!$A$2:$C$42, 2, 0)), T1011, VLOOKUP(T1011, 'Fuel Costs'!$A$2:$C$42, 2, 0))) / IF(ISBLANK(O1011), 1, O1011))) * 100</f>
        <v>162.6147098</v>
      </c>
      <c r="J1011" s="2" t="n">
        <f aca="false">((H1011 / 800) / (IF(ISBLANK(S1011), 100, IF(ISNA(VLOOKUP(S1011, Lives!$A$2:$C$35, 2, 0)), S1011, VLOOKUP(S1011, Lives!$A$2:$C$35, 2, 0))) * 12) + (IF(ISBLANK(Q1011), 0, IF(ISNA(VLOOKUP(Q1011, Wages!$A$2:$C$17, 2, 0)), Q1011, VLOOKUP(Q1011, Wages!$A$2:$C$17, 2, 0))) * IF(ISBLANK(N1011), 0, IF(ISNA(VLOOKUP(N1011, Crews!$A$2:$C$28, 2, 0)), N1011, VLOOKUP(N1011, Crews!$A$2:$C$28, 2, 0))))) * 400</f>
        <v>46955.20833</v>
      </c>
      <c r="K1011" s="3" t="s">
        <v>2062</v>
      </c>
      <c r="L1011" s="1" t="s">
        <v>2063</v>
      </c>
      <c r="M1011" s="1" t="n">
        <v>0</v>
      </c>
      <c r="N1011" s="1" t="s">
        <v>1705</v>
      </c>
      <c r="O1011" s="1" t="n">
        <v>0.7</v>
      </c>
      <c r="P1011" s="1"/>
      <c r="Q1011" s="5" t="s">
        <v>284</v>
      </c>
      <c r="R1011" s="1" t="s">
        <v>677</v>
      </c>
      <c r="S1011" s="1" t="s">
        <v>677</v>
      </c>
      <c r="T1011" s="1" t="s">
        <v>1785</v>
      </c>
    </row>
    <row r="1012" customFormat="false" ht="15" hidden="false" customHeight="true" outlineLevel="0" collapsed="false">
      <c r="A1012" s="1" t="s">
        <v>2064</v>
      </c>
      <c r="B1012" s="1" t="n">
        <v>1905</v>
      </c>
      <c r="C1012" s="1" t="n">
        <v>12</v>
      </c>
      <c r="D1012" s="1" t="s">
        <v>38</v>
      </c>
      <c r="E1012" s="1"/>
      <c r="F1012" s="1" t="n">
        <v>0</v>
      </c>
      <c r="G1012" s="1" t="n">
        <v>150</v>
      </c>
      <c r="H1012" s="2" t="n">
        <v>0</v>
      </c>
      <c r="I1012" s="2" t="n">
        <f aca="false">(((H1012 / 800) / IF(ISBLANK(R1012), 1000000, IF(ISNA(VLOOKUP(R1012, Mileages!$A$2:$C$34, 2, 0)), R1012, VLOOKUP(R1012, Mileages!$A$2:$C$34, 2, 0)))) + (F1012 * IF(ISBLANK(P1012), 1, P1012) * IF(ISBLANK(T1012), 0, IF(ISNA(VLOOKUP(T1012, 'Fuel Costs'!$A$2:$C$42, 2, 0)), T1012, VLOOKUP(T1012, 'Fuel Costs'!$A$2:$C$42, 2, 0))) / IF(ISBLANK(O1012), 1, O1012))) * 100</f>
        <v>0</v>
      </c>
      <c r="J1012" s="2" t="n">
        <f aca="false">((H1012 / 800) / (IF(ISBLANK(S1012), 100, IF(ISNA(VLOOKUP(S1012, Lives!$A$2:$C$35, 2, 0)), S1012, VLOOKUP(S1012, Lives!$A$2:$C$35, 2, 0))) * 12) + (IF(ISBLANK(Q1012), 0, IF(ISNA(VLOOKUP(Q1012, Wages!$A$2:$C$17, 2, 0)), Q1012, VLOOKUP(Q1012, Wages!$A$2:$C$17, 2, 0))) * IF(ISBLANK(N1012), 0, IF(ISNA(VLOOKUP(N1012, Crews!$A$2:$C$28, 2, 0)), N1012, VLOOKUP(N1012, Crews!$A$2:$C$28, 2, 0))))) * 400</f>
        <v>0</v>
      </c>
      <c r="K1012" s="1" t="s">
        <v>2065</v>
      </c>
      <c r="L1012" s="1" t="s">
        <v>2063</v>
      </c>
      <c r="M1012" s="1" t="n">
        <v>1</v>
      </c>
      <c r="N1012" s="1"/>
      <c r="O1012" s="1"/>
      <c r="P1012" s="1"/>
      <c r="Q1012" s="1"/>
      <c r="R1012" s="1"/>
      <c r="S1012" s="1"/>
      <c r="T1012" s="1"/>
    </row>
    <row r="1013" customFormat="false" ht="15" hidden="false" customHeight="true" outlineLevel="0" collapsed="false">
      <c r="A1013" s="1" t="s">
        <v>2066</v>
      </c>
      <c r="B1013" s="1" t="n">
        <v>1906</v>
      </c>
      <c r="C1013" s="1" t="n">
        <v>1</v>
      </c>
      <c r="D1013" s="1" t="s">
        <v>38</v>
      </c>
      <c r="E1013" s="1" t="s">
        <v>1346</v>
      </c>
      <c r="F1013" s="1" t="n">
        <v>120</v>
      </c>
      <c r="G1013" s="1" t="n">
        <v>60</v>
      </c>
      <c r="H1013" s="2" t="n">
        <v>950000</v>
      </c>
      <c r="I1013" s="2" t="n">
        <f aca="false">(((H1013 / 800) / IF(ISBLANK(R1013), 1000000, IF(ISNA(VLOOKUP(R1013, Mileages!$A$2:$C$34, 2, 0)), R1013, VLOOKUP(R1013, Mileages!$A$2:$C$34, 2, 0)))) + (F1013 * IF(ISBLANK(P1013), 1, P1013) * IF(ISBLANK(T1013), 0, IF(ISNA(VLOOKUP(T1013, 'Fuel Costs'!$A$2:$C$42, 2, 0)), T1013, VLOOKUP(T1013, 'Fuel Costs'!$A$2:$C$42, 2, 0))) / IF(ISBLANK(O1013), 1, O1013))) * 100</f>
        <v>72.15833333</v>
      </c>
      <c r="J1013" s="2" t="n">
        <f aca="false">((H1013 / 800) / (IF(ISBLANK(S1013), 100, IF(ISNA(VLOOKUP(S1013, Lives!$A$2:$C$35, 2, 0)), S1013, VLOOKUP(S1013, Lives!$A$2:$C$35, 2, 0))) * 12) + (IF(ISBLANK(Q1013), 0, IF(ISNA(VLOOKUP(Q1013, Wages!$A$2:$C$17, 2, 0)), Q1013, VLOOKUP(Q1013, Wages!$A$2:$C$17, 2, 0))) * IF(ISBLANK(N1013), 0, IF(ISNA(VLOOKUP(N1013, Crews!$A$2:$C$28, 2, 0)), N1013, VLOOKUP(N1013, Crews!$A$2:$C$28, 2, 0))))) * 400</f>
        <v>6791.666667</v>
      </c>
      <c r="K1013" s="1"/>
      <c r="L1013" s="1" t="s">
        <v>2067</v>
      </c>
      <c r="M1013" s="1" t="n">
        <v>0</v>
      </c>
      <c r="N1013" s="1" t="s">
        <v>1512</v>
      </c>
      <c r="O1013" s="1" t="n">
        <v>1</v>
      </c>
      <c r="P1013" s="1"/>
      <c r="Q1013" s="1" t="str">
        <f aca="false">IF(ISBLANK('Pak128 Britain In'!$N1013),,'Pak128 Britain In'!$N1013)</f>
        <v>ElectricMultipleUnit</v>
      </c>
      <c r="R1013" s="1" t="s">
        <v>1489</v>
      </c>
      <c r="S1013" s="1" t="s">
        <v>1350</v>
      </c>
      <c r="T1013" s="1" t="s">
        <v>1351</v>
      </c>
    </row>
    <row r="1014" customFormat="false" ht="15" hidden="false" customHeight="true" outlineLevel="0" collapsed="false">
      <c r="A1014" s="1" t="s">
        <v>2068</v>
      </c>
      <c r="B1014" s="1" t="n">
        <v>1906</v>
      </c>
      <c r="C1014" s="1" t="n">
        <v>1</v>
      </c>
      <c r="D1014" s="1" t="s">
        <v>38</v>
      </c>
      <c r="E1014" s="1" t="s">
        <v>1346</v>
      </c>
      <c r="F1014" s="1"/>
      <c r="G1014" s="1" t="n">
        <v>60</v>
      </c>
      <c r="H1014" s="2" t="n">
        <v>350000</v>
      </c>
      <c r="I1014" s="2" t="n">
        <f aca="false">(((H1014 / 800) / IF(ISBLANK(R1014), 1000000, IF(ISNA(VLOOKUP(R1014, Mileages!$A$2:$C$34, 2, 0)), R1014, VLOOKUP(R1014, Mileages!$A$2:$C$34, 2, 0)))) + (F1014 * IF(ISBLANK(P1014), 1, P1014) * IF(ISBLANK(T1014), 0, IF(ISNA(VLOOKUP(T1014, 'Fuel Costs'!$A$2:$C$42, 2, 0)), T1014, VLOOKUP(T1014, 'Fuel Costs'!$A$2:$C$42, 2, 0))) / IF(ISBLANK(O1014), 1, O1014))) * 100</f>
        <v>0.03645833333</v>
      </c>
      <c r="J1014" s="2" t="n">
        <f aca="false">((H1014 / 800) / (IF(ISBLANK(S1014), 100, IF(ISNA(VLOOKUP(S1014, Lives!$A$2:$C$35, 2, 0)), S1014, VLOOKUP(S1014, Lives!$A$2:$C$35, 2, 0))) * 12) + (IF(ISBLANK(Q1014), 0, IF(ISNA(VLOOKUP(Q1014, Wages!$A$2:$C$17, 2, 0)), Q1014, VLOOKUP(Q1014, Wages!$A$2:$C$17, 2, 0))) * IF(ISBLANK(N1014), 0, IF(ISNA(VLOOKUP(N1014, Crews!$A$2:$C$28, 2, 0)), N1014, VLOOKUP(N1014, Crews!$A$2:$C$28, 2, 0))))) * 400</f>
        <v>416.6666667</v>
      </c>
      <c r="K1014" s="1"/>
      <c r="L1014" s="1" t="s">
        <v>2067</v>
      </c>
      <c r="M1014" s="1" t="n">
        <v>1</v>
      </c>
      <c r="N1014" s="1"/>
      <c r="O1014" s="1"/>
      <c r="P1014" s="1"/>
      <c r="Q1014" s="1"/>
      <c r="R1014" s="1" t="s">
        <v>689</v>
      </c>
      <c r="S1014" s="1" t="s">
        <v>856</v>
      </c>
      <c r="T1014" s="1"/>
    </row>
    <row r="1015" customFormat="false" ht="15" hidden="false" customHeight="true" outlineLevel="0" collapsed="false">
      <c r="A1015" s="1" t="s">
        <v>2069</v>
      </c>
      <c r="B1015" s="1" t="n">
        <v>1906</v>
      </c>
      <c r="C1015" s="1" t="n">
        <v>1</v>
      </c>
      <c r="D1015" s="1" t="s">
        <v>38</v>
      </c>
      <c r="E1015" s="1" t="s">
        <v>1346</v>
      </c>
      <c r="F1015" s="1" t="n">
        <v>120</v>
      </c>
      <c r="G1015" s="1" t="n">
        <v>60</v>
      </c>
      <c r="H1015" s="2" t="n">
        <v>950000</v>
      </c>
      <c r="I1015" s="2" t="n">
        <f aca="false">(((H1015 / 800) / IF(ISBLANK(R1015), 1000000, IF(ISNA(VLOOKUP(R1015, Mileages!$A$2:$C$34, 2, 0)), R1015, VLOOKUP(R1015, Mileages!$A$2:$C$34, 2, 0)))) + (F1015 * IF(ISBLANK(P1015), 1, P1015) * IF(ISBLANK(T1015), 0, IF(ISNA(VLOOKUP(T1015, 'Fuel Costs'!$A$2:$C$42, 2, 0)), T1015, VLOOKUP(T1015, 'Fuel Costs'!$A$2:$C$42, 2, 0))) / IF(ISBLANK(O1015), 1, O1015))) * 100</f>
        <v>72.15833333</v>
      </c>
      <c r="J1015" s="2" t="n">
        <f aca="false">((H1015 / 800) / (IF(ISBLANK(S1015), 100, IF(ISNA(VLOOKUP(S1015, Lives!$A$2:$C$35, 2, 0)), S1015, VLOOKUP(S1015, Lives!$A$2:$C$35, 2, 0))) * 12) + (IF(ISBLANK(Q1015), 0, IF(ISNA(VLOOKUP(Q1015, Wages!$A$2:$C$17, 2, 0)), Q1015, VLOOKUP(Q1015, Wages!$A$2:$C$17, 2, 0))) * IF(ISBLANK(N1015), 0, IF(ISNA(VLOOKUP(N1015, Crews!$A$2:$C$28, 2, 0)), N1015, VLOOKUP(N1015, Crews!$A$2:$C$28, 2, 0))))) * 400</f>
        <v>6791.666667</v>
      </c>
      <c r="K1015" s="1"/>
      <c r="L1015" s="1" t="s">
        <v>2067</v>
      </c>
      <c r="M1015" s="1" t="n">
        <v>2</v>
      </c>
      <c r="N1015" s="1" t="s">
        <v>1512</v>
      </c>
      <c r="O1015" s="1" t="n">
        <v>1</v>
      </c>
      <c r="P1015" s="1"/>
      <c r="Q1015" s="1" t="str">
        <f aca="false">IF(ISBLANK('Pak128 Britain In'!$N1015),,'Pak128 Britain In'!$N1015)</f>
        <v>ElectricMultipleUnit</v>
      </c>
      <c r="R1015" s="1" t="s">
        <v>1489</v>
      </c>
      <c r="S1015" s="1" t="s">
        <v>1350</v>
      </c>
      <c r="T1015" s="1" t="s">
        <v>1351</v>
      </c>
    </row>
    <row r="1016" customFormat="false" ht="15" hidden="false" customHeight="true" outlineLevel="0" collapsed="false">
      <c r="A1016" s="1" t="s">
        <v>2070</v>
      </c>
      <c r="B1016" s="1" t="n">
        <v>1906</v>
      </c>
      <c r="C1016" s="1" t="n">
        <v>1</v>
      </c>
      <c r="D1016" s="1" t="s">
        <v>21</v>
      </c>
      <c r="E1016" s="1" t="s">
        <v>274</v>
      </c>
      <c r="F1016" s="1" t="n">
        <v>30</v>
      </c>
      <c r="G1016" s="1" t="n">
        <v>18</v>
      </c>
      <c r="H1016" s="2" t="n">
        <v>124700</v>
      </c>
      <c r="I1016" s="2" t="n">
        <f aca="false">(((H1016 / 800) / IF(ISBLANK(R1016), 1000000, IF(ISNA(VLOOKUP(R1016, Mileages!$A$2:$C$34, 2, 0)), R1016, VLOOKUP(R1016, Mileages!$A$2:$C$34, 2, 0)))) + (F1016 * IF(ISBLANK(P1016), 1, P1016) * IF(ISBLANK(T1016), 0, IF(ISNA(VLOOKUP(T1016, 'Fuel Costs'!$A$2:$C$42, 2, 0)), T1016, VLOOKUP(T1016, 'Fuel Costs'!$A$2:$C$42, 2, 0))) / IF(ISBLANK(O1016), 1, O1016))) * 100</f>
        <v>16.39481136</v>
      </c>
      <c r="J1016" s="2" t="n">
        <f aca="false">((H1016 / 800) / (IF(ISBLANK(S1016), 100, IF(ISNA(VLOOKUP(S1016, Lives!$A$2:$C$35, 2, 0)), S1016, VLOOKUP(S1016, Lives!$A$2:$C$35, 2, 0))) * 12) + (IF(ISBLANK(Q1016), 0, IF(ISNA(VLOOKUP(Q1016, Wages!$A$2:$C$17, 2, 0)), Q1016, VLOOKUP(Q1016, Wages!$A$2:$C$17, 2, 0))) * IF(ISBLANK(N1016), 0, IF(ISNA(VLOOKUP(N1016, Crews!$A$2:$C$28, 2, 0)), N1016, VLOOKUP(N1016, Crews!$A$2:$C$28, 2, 0))))) * 400</f>
        <v>8064.947917</v>
      </c>
      <c r="K1016" s="3" t="s">
        <v>2071</v>
      </c>
      <c r="L1016" s="1" t="s">
        <v>2072</v>
      </c>
      <c r="M1016" s="1" t="n">
        <v>0</v>
      </c>
      <c r="N1016" s="1" t="s">
        <v>25</v>
      </c>
      <c r="O1016" s="1" t="n">
        <v>0.55</v>
      </c>
      <c r="P1016" s="1"/>
      <c r="Q1016" s="1" t="s">
        <v>1815</v>
      </c>
      <c r="R1016" s="1" t="s">
        <v>837</v>
      </c>
      <c r="S1016" s="1" t="s">
        <v>837</v>
      </c>
      <c r="T1016" s="1" t="s">
        <v>1785</v>
      </c>
    </row>
    <row r="1017" customFormat="false" ht="15" hidden="false" customHeight="true" outlineLevel="0" collapsed="false">
      <c r="A1017" s="1" t="s">
        <v>2073</v>
      </c>
      <c r="B1017" s="1" t="n">
        <v>1906</v>
      </c>
      <c r="C1017" s="1" t="n">
        <v>1</v>
      </c>
      <c r="D1017" s="1" t="s">
        <v>21</v>
      </c>
      <c r="E1017" s="1" t="s">
        <v>274</v>
      </c>
      <c r="F1017" s="1" t="n">
        <v>30</v>
      </c>
      <c r="G1017" s="1" t="n">
        <v>18</v>
      </c>
      <c r="H1017" s="2" t="n">
        <v>124700</v>
      </c>
      <c r="I1017" s="2" t="n">
        <f aca="false">(((H1017 / 800) / IF(ISBLANK(R1017), 1000000, IF(ISNA(VLOOKUP(R1017, Mileages!$A$2:$C$34, 2, 0)), R1017, VLOOKUP(R1017, Mileages!$A$2:$C$34, 2, 0)))) + (F1017 * IF(ISBLANK(P1017), 1, P1017) * IF(ISBLANK(T1017), 0, IF(ISNA(VLOOKUP(T1017, 'Fuel Costs'!$A$2:$C$42, 2, 0)), T1017, VLOOKUP(T1017, 'Fuel Costs'!$A$2:$C$42, 2, 0))) / IF(ISBLANK(O1017), 1, O1017))) * 100</f>
        <v>16.39481136</v>
      </c>
      <c r="J1017" s="2" t="n">
        <f aca="false">((H1017 / 800) / (IF(ISBLANK(S1017), 100, IF(ISNA(VLOOKUP(S1017, Lives!$A$2:$C$35, 2, 0)), S1017, VLOOKUP(S1017, Lives!$A$2:$C$35, 2, 0))) * 12) + (IF(ISBLANK(Q1017), 0, IF(ISNA(VLOOKUP(Q1017, Wages!$A$2:$C$17, 2, 0)), Q1017, VLOOKUP(Q1017, Wages!$A$2:$C$17, 2, 0))) * IF(ISBLANK(N1017), 0, IF(ISNA(VLOOKUP(N1017, Crews!$A$2:$C$28, 2, 0)), N1017, VLOOKUP(N1017, Crews!$A$2:$C$28, 2, 0))))) * 400</f>
        <v>8064.947917</v>
      </c>
      <c r="K1017" s="1"/>
      <c r="L1017" s="1" t="s">
        <v>2072</v>
      </c>
      <c r="M1017" s="1" t="n">
        <v>1</v>
      </c>
      <c r="N1017" s="1" t="s">
        <v>25</v>
      </c>
      <c r="O1017" s="1" t="n">
        <v>0.55</v>
      </c>
      <c r="P1017" s="1"/>
      <c r="Q1017" s="1" t="s">
        <v>1815</v>
      </c>
      <c r="R1017" s="1" t="s">
        <v>837</v>
      </c>
      <c r="S1017" s="1" t="s">
        <v>837</v>
      </c>
      <c r="T1017" s="1" t="s">
        <v>1785</v>
      </c>
    </row>
    <row r="1018" customFormat="false" ht="15" hidden="false" customHeight="true" outlineLevel="0" collapsed="false">
      <c r="A1018" s="1" t="s">
        <v>2074</v>
      </c>
      <c r="B1018" s="1" t="n">
        <v>1906</v>
      </c>
      <c r="C1018" s="1" t="n">
        <v>1</v>
      </c>
      <c r="D1018" s="1" t="s">
        <v>21</v>
      </c>
      <c r="E1018" s="1" t="s">
        <v>274</v>
      </c>
      <c r="F1018" s="1" t="n">
        <v>30</v>
      </c>
      <c r="G1018" s="1" t="n">
        <v>18</v>
      </c>
      <c r="H1018" s="2" t="n">
        <v>124700</v>
      </c>
      <c r="I1018" s="2" t="n">
        <f aca="false">(((H1018 / 800) / IF(ISBLANK(R1018), 1000000, IF(ISNA(VLOOKUP(R1018, Mileages!$A$2:$C$34, 2, 0)), R1018, VLOOKUP(R1018, Mileages!$A$2:$C$34, 2, 0)))) + (F1018 * IF(ISBLANK(P1018), 1, P1018) * IF(ISBLANK(T1018), 0, IF(ISNA(VLOOKUP(T1018, 'Fuel Costs'!$A$2:$C$42, 2, 0)), T1018, VLOOKUP(T1018, 'Fuel Costs'!$A$2:$C$42, 2, 0))) / IF(ISBLANK(O1018), 1, O1018))) * 100</f>
        <v>16.39481136</v>
      </c>
      <c r="J1018" s="2" t="n">
        <f aca="false">((H1018 / 800) / (IF(ISBLANK(S1018), 100, IF(ISNA(VLOOKUP(S1018, Lives!$A$2:$C$35, 2, 0)), S1018, VLOOKUP(S1018, Lives!$A$2:$C$35, 2, 0))) * 12) + (IF(ISBLANK(Q1018), 0, IF(ISNA(VLOOKUP(Q1018, Wages!$A$2:$C$17, 2, 0)), Q1018, VLOOKUP(Q1018, Wages!$A$2:$C$17, 2, 0))) * IF(ISBLANK(N1018), 0, IF(ISNA(VLOOKUP(N1018, Crews!$A$2:$C$28, 2, 0)), N1018, VLOOKUP(N1018, Crews!$A$2:$C$28, 2, 0))))) * 400</f>
        <v>8064.947917</v>
      </c>
      <c r="K1018" s="1"/>
      <c r="L1018" s="1" t="s">
        <v>2072</v>
      </c>
      <c r="M1018" s="1" t="n">
        <v>2</v>
      </c>
      <c r="N1018" s="1" t="s">
        <v>25</v>
      </c>
      <c r="O1018" s="1" t="n">
        <v>0.55</v>
      </c>
      <c r="P1018" s="1"/>
      <c r="Q1018" s="1" t="s">
        <v>1815</v>
      </c>
      <c r="R1018" s="1" t="s">
        <v>837</v>
      </c>
      <c r="S1018" s="1" t="s">
        <v>837</v>
      </c>
      <c r="T1018" s="1" t="s">
        <v>1785</v>
      </c>
    </row>
    <row r="1019" customFormat="false" ht="15" hidden="false" customHeight="true" outlineLevel="0" collapsed="false">
      <c r="A1019" s="1" t="s">
        <v>2075</v>
      </c>
      <c r="B1019" s="1" t="n">
        <v>1906</v>
      </c>
      <c r="C1019" s="1" t="n">
        <v>1</v>
      </c>
      <c r="D1019" s="1" t="s">
        <v>21</v>
      </c>
      <c r="E1019" s="1" t="s">
        <v>274</v>
      </c>
      <c r="F1019" s="1" t="n">
        <v>30</v>
      </c>
      <c r="G1019" s="1" t="n">
        <v>18</v>
      </c>
      <c r="H1019" s="2" t="n">
        <v>124700</v>
      </c>
      <c r="I1019" s="2" t="n">
        <f aca="false">(((H1019 / 800) / IF(ISBLANK(R1019), 1000000, IF(ISNA(VLOOKUP(R1019, Mileages!$A$2:$C$34, 2, 0)), R1019, VLOOKUP(R1019, Mileages!$A$2:$C$34, 2, 0)))) + (F1019 * IF(ISBLANK(P1019), 1, P1019) * IF(ISBLANK(T1019), 0, IF(ISNA(VLOOKUP(T1019, 'Fuel Costs'!$A$2:$C$42, 2, 0)), T1019, VLOOKUP(T1019, 'Fuel Costs'!$A$2:$C$42, 2, 0))) / IF(ISBLANK(O1019), 1, O1019))) * 100</f>
        <v>16.39481136</v>
      </c>
      <c r="J1019" s="2" t="n">
        <f aca="false">((H1019 / 800) / (IF(ISBLANK(S1019), 100, IF(ISNA(VLOOKUP(S1019, Lives!$A$2:$C$35, 2, 0)), S1019, VLOOKUP(S1019, Lives!$A$2:$C$35, 2, 0))) * 12) + (IF(ISBLANK(Q1019), 0, IF(ISNA(VLOOKUP(Q1019, Wages!$A$2:$C$17, 2, 0)), Q1019, VLOOKUP(Q1019, Wages!$A$2:$C$17, 2, 0))) * IF(ISBLANK(N1019), 0, IF(ISNA(VLOOKUP(N1019, Crews!$A$2:$C$28, 2, 0)), N1019, VLOOKUP(N1019, Crews!$A$2:$C$28, 2, 0))))) * 400</f>
        <v>8064.947917</v>
      </c>
      <c r="K1019" s="1"/>
      <c r="L1019" s="1" t="s">
        <v>2072</v>
      </c>
      <c r="M1019" s="1" t="n">
        <v>3</v>
      </c>
      <c r="N1019" s="1" t="s">
        <v>25</v>
      </c>
      <c r="O1019" s="1" t="n">
        <v>0.55</v>
      </c>
      <c r="P1019" s="1"/>
      <c r="Q1019" s="1" t="s">
        <v>1815</v>
      </c>
      <c r="R1019" s="1" t="s">
        <v>837</v>
      </c>
      <c r="S1019" s="1" t="s">
        <v>837</v>
      </c>
      <c r="T1019" s="1" t="s">
        <v>1785</v>
      </c>
    </row>
    <row r="1020" customFormat="false" ht="15" hidden="false" customHeight="true" outlineLevel="0" collapsed="false">
      <c r="A1020" s="1" t="s">
        <v>2076</v>
      </c>
      <c r="B1020" s="1" t="n">
        <v>1906</v>
      </c>
      <c r="C1020" s="1" t="n">
        <v>1</v>
      </c>
      <c r="D1020" s="1" t="s">
        <v>21</v>
      </c>
      <c r="E1020" s="1" t="s">
        <v>274</v>
      </c>
      <c r="F1020" s="1" t="n">
        <v>30</v>
      </c>
      <c r="G1020" s="1" t="n">
        <v>18</v>
      </c>
      <c r="H1020" s="2" t="n">
        <v>124700</v>
      </c>
      <c r="I1020" s="2" t="n">
        <f aca="false">(((H1020 / 800) / IF(ISBLANK(R1020), 1000000, IF(ISNA(VLOOKUP(R1020, Mileages!$A$2:$C$34, 2, 0)), R1020, VLOOKUP(R1020, Mileages!$A$2:$C$34, 2, 0)))) + (F1020 * IF(ISBLANK(P1020), 1, P1020) * IF(ISBLANK(T1020), 0, IF(ISNA(VLOOKUP(T1020, 'Fuel Costs'!$A$2:$C$42, 2, 0)), T1020, VLOOKUP(T1020, 'Fuel Costs'!$A$2:$C$42, 2, 0))) / IF(ISBLANK(O1020), 1, O1020))) * 100</f>
        <v>16.39481136</v>
      </c>
      <c r="J1020" s="2" t="n">
        <f aca="false">((H1020 / 800) / (IF(ISBLANK(S1020), 100, IF(ISNA(VLOOKUP(S1020, Lives!$A$2:$C$35, 2, 0)), S1020, VLOOKUP(S1020, Lives!$A$2:$C$35, 2, 0))) * 12) + (IF(ISBLANK(Q1020), 0, IF(ISNA(VLOOKUP(Q1020, Wages!$A$2:$C$17, 2, 0)), Q1020, VLOOKUP(Q1020, Wages!$A$2:$C$17, 2, 0))) * IF(ISBLANK(N1020), 0, IF(ISNA(VLOOKUP(N1020, Crews!$A$2:$C$28, 2, 0)), N1020, VLOOKUP(N1020, Crews!$A$2:$C$28, 2, 0))))) * 400</f>
        <v>8064.947917</v>
      </c>
      <c r="K1020" s="1"/>
      <c r="L1020" s="1" t="s">
        <v>2072</v>
      </c>
      <c r="M1020" s="1" t="n">
        <v>4</v>
      </c>
      <c r="N1020" s="1" t="s">
        <v>25</v>
      </c>
      <c r="O1020" s="1" t="n">
        <v>0.55</v>
      </c>
      <c r="P1020" s="1"/>
      <c r="Q1020" s="1" t="s">
        <v>1815</v>
      </c>
      <c r="R1020" s="1" t="s">
        <v>837</v>
      </c>
      <c r="S1020" s="1" t="s">
        <v>837</v>
      </c>
      <c r="T1020" s="1" t="s">
        <v>1785</v>
      </c>
    </row>
    <row r="1021" customFormat="false" ht="15" hidden="false" customHeight="true" outlineLevel="0" collapsed="false">
      <c r="A1021" s="1" t="s">
        <v>2077</v>
      </c>
      <c r="B1021" s="1" t="n">
        <v>1906</v>
      </c>
      <c r="C1021" s="1" t="n">
        <v>1</v>
      </c>
      <c r="D1021" s="1" t="s">
        <v>21</v>
      </c>
      <c r="E1021" s="1" t="s">
        <v>274</v>
      </c>
      <c r="F1021" s="1" t="n">
        <v>30</v>
      </c>
      <c r="G1021" s="1" t="n">
        <v>18</v>
      </c>
      <c r="H1021" s="2" t="n">
        <v>124700</v>
      </c>
      <c r="I1021" s="2" t="n">
        <f aca="false">(((H1021 / 800) / IF(ISBLANK(R1021), 1000000, IF(ISNA(VLOOKUP(R1021, Mileages!$A$2:$C$34, 2, 0)), R1021, VLOOKUP(R1021, Mileages!$A$2:$C$34, 2, 0)))) + (F1021 * IF(ISBLANK(P1021), 1, P1021) * IF(ISBLANK(T1021), 0, IF(ISNA(VLOOKUP(T1021, 'Fuel Costs'!$A$2:$C$42, 2, 0)), T1021, VLOOKUP(T1021, 'Fuel Costs'!$A$2:$C$42, 2, 0))) / IF(ISBLANK(O1021), 1, O1021))) * 100</f>
        <v>16.39481136</v>
      </c>
      <c r="J1021" s="2" t="n">
        <f aca="false">((H1021 / 800) / (IF(ISBLANK(S1021), 100, IF(ISNA(VLOOKUP(S1021, Lives!$A$2:$C$35, 2, 0)), S1021, VLOOKUP(S1021, Lives!$A$2:$C$35, 2, 0))) * 12) + (IF(ISBLANK(Q1021), 0, IF(ISNA(VLOOKUP(Q1021, Wages!$A$2:$C$17, 2, 0)), Q1021, VLOOKUP(Q1021, Wages!$A$2:$C$17, 2, 0))) * IF(ISBLANK(N1021), 0, IF(ISNA(VLOOKUP(N1021, Crews!$A$2:$C$28, 2, 0)), N1021, VLOOKUP(N1021, Crews!$A$2:$C$28, 2, 0))))) * 400</f>
        <v>8064.947917</v>
      </c>
      <c r="K1021" s="1"/>
      <c r="L1021" s="1" t="s">
        <v>2072</v>
      </c>
      <c r="M1021" s="1" t="n">
        <v>5</v>
      </c>
      <c r="N1021" s="1" t="s">
        <v>25</v>
      </c>
      <c r="O1021" s="1" t="n">
        <v>0.55</v>
      </c>
      <c r="P1021" s="1"/>
      <c r="Q1021" s="1" t="s">
        <v>1815</v>
      </c>
      <c r="R1021" s="1" t="s">
        <v>837</v>
      </c>
      <c r="S1021" s="1" t="s">
        <v>837</v>
      </c>
      <c r="T1021" s="1" t="s">
        <v>1785</v>
      </c>
    </row>
    <row r="1022" customFormat="false" ht="15" hidden="false" customHeight="true" outlineLevel="0" collapsed="false">
      <c r="A1022" s="1" t="s">
        <v>2078</v>
      </c>
      <c r="B1022" s="1" t="n">
        <v>1906</v>
      </c>
      <c r="C1022" s="1" t="n">
        <v>1</v>
      </c>
      <c r="D1022" s="1" t="s">
        <v>38</v>
      </c>
      <c r="E1022" s="1" t="s">
        <v>274</v>
      </c>
      <c r="F1022" s="1" t="n">
        <v>289</v>
      </c>
      <c r="G1022" s="1" t="n">
        <v>120</v>
      </c>
      <c r="H1022" s="2" t="n">
        <v>3755000</v>
      </c>
      <c r="I1022" s="2" t="n">
        <f aca="false">(((H1022 / 800) / IF(ISBLANK(R1022), 1000000, IF(ISNA(VLOOKUP(R1022, Mileages!$A$2:$C$34, 2, 0)), R1022, VLOOKUP(R1022, Mileages!$A$2:$C$34, 2, 0)))) + (F1022 * IF(ISBLANK(P1022), 1, P1022) * IF(ISBLANK(T1022), 0, IF(ISNA(VLOOKUP(T1022, 'Fuel Costs'!$A$2:$C$42, 2, 0)), T1022, VLOOKUP(T1022, 'Fuel Costs'!$A$2:$C$42, 2, 0))) / IF(ISBLANK(O1022), 1, O1022))) * 100</f>
        <v>108.844375</v>
      </c>
      <c r="J1022" s="2" t="n">
        <f aca="false">((H1022 / 800) / (IF(ISBLANK(S1022), 100, IF(ISNA(VLOOKUP(S1022, Lives!$A$2:$C$35, 2, 0)), S1022, VLOOKUP(S1022, Lives!$A$2:$C$35, 2, 0))) * 12) + (IF(ISBLANK(Q1022), 0, IF(ISNA(VLOOKUP(Q1022, Wages!$A$2:$C$17, 2, 0)), Q1022, VLOOKUP(Q1022, Wages!$A$2:$C$17, 2, 0))) * IF(ISBLANK(N1022), 0, IF(ISNA(VLOOKUP(N1022, Crews!$A$2:$C$28, 2, 0)), N1022, VLOOKUP(N1022, Crews!$A$2:$C$28, 2, 0))))) * 400</f>
        <v>27129.16667</v>
      </c>
      <c r="K1022" s="3" t="s">
        <v>2079</v>
      </c>
      <c r="L1022" s="1" t="s">
        <v>2080</v>
      </c>
      <c r="M1022" s="1" t="n">
        <v>0</v>
      </c>
      <c r="N1022" s="1" t="s">
        <v>590</v>
      </c>
      <c r="O1022" s="1" t="n">
        <v>0.8</v>
      </c>
      <c r="P1022" s="1"/>
      <c r="Q1022" s="5" t="s">
        <v>284</v>
      </c>
      <c r="R1022" s="1" t="s">
        <v>677</v>
      </c>
      <c r="S1022" s="1" t="s">
        <v>677</v>
      </c>
      <c r="T1022" s="1" t="s">
        <v>1785</v>
      </c>
    </row>
    <row r="1023" customFormat="false" ht="15" hidden="false" customHeight="true" outlineLevel="0" collapsed="false">
      <c r="A1023" s="1" t="s">
        <v>2081</v>
      </c>
      <c r="B1023" s="1" t="n">
        <v>1906</v>
      </c>
      <c r="C1023" s="1" t="n">
        <v>1</v>
      </c>
      <c r="D1023" s="1" t="s">
        <v>38</v>
      </c>
      <c r="E1023" s="1" t="s">
        <v>274</v>
      </c>
      <c r="F1023" s="1" t="n">
        <v>325</v>
      </c>
      <c r="G1023" s="1" t="n">
        <v>100</v>
      </c>
      <c r="H1023" s="2" t="n">
        <v>99000000</v>
      </c>
      <c r="I1023" s="2" t="n">
        <f aca="false">(((H1023 / 800) / IF(ISBLANK(R1023), 1000000, IF(ISNA(VLOOKUP(R1023, Mileages!$A$2:$C$34, 2, 0)), R1023, VLOOKUP(R1023, Mileages!$A$2:$C$34, 2, 0)))) + (F1023 * IF(ISBLANK(P1023), 1, P1023) * IF(ISBLANK(T1023), 0, IF(ISNA(VLOOKUP(T1023, 'Fuel Costs'!$A$2:$C$42, 2, 0)), T1023, VLOOKUP(T1023, 'Fuel Costs'!$A$2:$C$42, 2, 0))) / IF(ISBLANK(O1023), 1, O1023))) * 100</f>
        <v>151.6607143</v>
      </c>
      <c r="J1023" s="2" t="n">
        <f aca="false">((H1023 / 800) / (IF(ISBLANK(S1023), 100, IF(ISNA(VLOOKUP(S1023, Lives!$A$2:$C$35, 2, 0)), S1023, VLOOKUP(S1023, Lives!$A$2:$C$35, 2, 0))) * 12) + (IF(ISBLANK(Q1023), 0, IF(ISNA(VLOOKUP(Q1023, Wages!$A$2:$C$17, 2, 0)), Q1023, VLOOKUP(Q1023, Wages!$A$2:$C$17, 2, 0))) * IF(ISBLANK(N1023), 0, IF(ISNA(VLOOKUP(N1023, Crews!$A$2:$C$28, 2, 0)), N1023, VLOOKUP(N1023, Crews!$A$2:$C$28, 2, 0))))) * 400</f>
        <v>122500</v>
      </c>
      <c r="K1023" s="3" t="s">
        <v>2082</v>
      </c>
      <c r="L1023" s="1" t="s">
        <v>2083</v>
      </c>
      <c r="M1023" s="1" t="n">
        <v>0</v>
      </c>
      <c r="N1023" s="1" t="s">
        <v>1705</v>
      </c>
      <c r="O1023" s="1" t="n">
        <v>0.7</v>
      </c>
      <c r="P1023" s="1"/>
      <c r="Q1023" s="5" t="s">
        <v>284</v>
      </c>
      <c r="R1023" s="1" t="s">
        <v>677</v>
      </c>
      <c r="S1023" s="1" t="s">
        <v>677</v>
      </c>
      <c r="T1023" s="1" t="s">
        <v>1785</v>
      </c>
    </row>
    <row r="1024" customFormat="false" ht="15" hidden="false" customHeight="true" outlineLevel="0" collapsed="false">
      <c r="A1024" s="1" t="s">
        <v>2084</v>
      </c>
      <c r="B1024" s="1" t="n">
        <v>1906</v>
      </c>
      <c r="C1024" s="1" t="n">
        <v>1</v>
      </c>
      <c r="D1024" s="1" t="s">
        <v>38</v>
      </c>
      <c r="E1024" s="1" t="s">
        <v>1346</v>
      </c>
      <c r="F1024" s="1" t="n">
        <v>640</v>
      </c>
      <c r="G1024" s="1" t="n">
        <v>80</v>
      </c>
      <c r="H1024" s="2" t="n">
        <v>884000</v>
      </c>
      <c r="I1024" s="2" t="n">
        <f aca="false">(((H1024 / 800) / IF(ISBLANK(R1024), 1000000, IF(ISNA(VLOOKUP(R1024, Mileages!$A$2:$C$34, 2, 0)), R1024, VLOOKUP(R1024, Mileages!$A$2:$C$34, 2, 0)))) + (F1024 * IF(ISBLANK(P1024), 1, P1024) * IF(ISBLANK(T1024), 0, IF(ISNA(VLOOKUP(T1024, 'Fuel Costs'!$A$2:$C$42, 2, 0)), T1024, VLOOKUP(T1024, 'Fuel Costs'!$A$2:$C$42, 2, 0))) / IF(ISBLANK(O1024), 1, O1024))) * 100</f>
        <v>384.1473333</v>
      </c>
      <c r="J1024" s="2" t="n">
        <f aca="false">((H1024 / 800) / (IF(ISBLANK(S1024), 100, IF(ISNA(VLOOKUP(S1024, Lives!$A$2:$C$35, 2, 0)), S1024, VLOOKUP(S1024, Lives!$A$2:$C$35, 2, 0))) * 12) + (IF(ISBLANK(Q1024), 0, IF(ISNA(VLOOKUP(Q1024, Wages!$A$2:$C$17, 2, 0)), Q1024, VLOOKUP(Q1024, Wages!$A$2:$C$17, 2, 0))) * IF(ISBLANK(N1024), 0, IF(ISNA(VLOOKUP(N1024, Crews!$A$2:$C$28, 2, 0)), N1024, VLOOKUP(N1024, Crews!$A$2:$C$28, 2, 0))))) * 400</f>
        <v>10920.83333</v>
      </c>
      <c r="K1024" s="1" t="s">
        <v>2085</v>
      </c>
      <c r="L1024" s="1" t="s">
        <v>2086</v>
      </c>
      <c r="M1024" s="1" t="n">
        <v>0</v>
      </c>
      <c r="N1024" s="1" t="s">
        <v>1488</v>
      </c>
      <c r="O1024" s="1" t="n">
        <v>1</v>
      </c>
      <c r="P1024" s="1"/>
      <c r="Q1024" s="1" t="str">
        <f aca="false">IF(ISBLANK('Pak128 Britain In'!$N1024),,'Pak128 Britain In'!$N1024)</f>
        <v>ElectricDriverRail</v>
      </c>
      <c r="R1024" s="1" t="s">
        <v>1489</v>
      </c>
      <c r="S1024" s="1" t="s">
        <v>1489</v>
      </c>
      <c r="T1024" s="1" t="s">
        <v>1351</v>
      </c>
    </row>
    <row r="1025" customFormat="false" ht="15" hidden="false" customHeight="true" outlineLevel="0" collapsed="false">
      <c r="A1025" s="1" t="s">
        <v>2087</v>
      </c>
      <c r="B1025" s="1" t="n">
        <v>1906</v>
      </c>
      <c r="C1025" s="1" t="n">
        <v>1</v>
      </c>
      <c r="D1025" s="1" t="s">
        <v>876</v>
      </c>
      <c r="E1025" s="1" t="s">
        <v>1346</v>
      </c>
      <c r="F1025" s="1" t="n">
        <v>45</v>
      </c>
      <c r="G1025" s="1" t="n">
        <v>32</v>
      </c>
      <c r="H1025" s="2" t="n">
        <v>411000</v>
      </c>
      <c r="I1025" s="2" t="n">
        <f aca="false">(((H1025 / 800) / IF(ISBLANK(R1025), 1000000, IF(ISNA(VLOOKUP(R1025, Mileages!$A$2:$C$34, 2, 0)), R1025, VLOOKUP(R1025, Mileages!$A$2:$C$34, 2, 0)))) + (F1025 * IF(ISBLANK(P1025), 1, P1025) * IF(ISBLANK(T1025), 0, IF(ISNA(VLOOKUP(T1025, 'Fuel Costs'!$A$2:$C$42, 2, 0)), T1025, VLOOKUP(T1025, 'Fuel Costs'!$A$2:$C$42, 2, 0))) / IF(ISBLANK(O1025), 1, O1025))) * 100</f>
        <v>27.051375</v>
      </c>
      <c r="J1025" s="2" t="n">
        <f aca="false">((H1025 / 800) / (IF(ISBLANK(S1025), 100, IF(ISNA(VLOOKUP(S1025, Lives!$A$2:$C$35, 2, 0)), S1025, VLOOKUP(S1025, Lives!$A$2:$C$35, 2, 0))) * 12) + (IF(ISBLANK(Q1025), 0, IF(ISNA(VLOOKUP(Q1025, Wages!$A$2:$C$17, 2, 0)), Q1025, VLOOKUP(Q1025, Wages!$A$2:$C$17, 2, 0))) * IF(ISBLANK(N1025), 0, IF(ISNA(VLOOKUP(N1025, Crews!$A$2:$C$28, 2, 0)), N1025, VLOOKUP(N1025, Crews!$A$2:$C$28, 2, 0))))) * 400</f>
        <v>6342.5</v>
      </c>
      <c r="K1025" s="3" t="s">
        <v>2088</v>
      </c>
      <c r="L1025" s="1" t="s">
        <v>2089</v>
      </c>
      <c r="M1025" s="1" t="n">
        <v>0</v>
      </c>
      <c r="N1025" s="1" t="s">
        <v>895</v>
      </c>
      <c r="O1025" s="1"/>
      <c r="P1025" s="1"/>
      <c r="Q1025" s="1" t="s">
        <v>895</v>
      </c>
      <c r="R1025" s="1" t="s">
        <v>1349</v>
      </c>
      <c r="S1025" s="1" t="s">
        <v>1350</v>
      </c>
      <c r="T1025" s="1" t="s">
        <v>1351</v>
      </c>
    </row>
    <row r="1026" customFormat="false" ht="15" hidden="false" customHeight="true" outlineLevel="0" collapsed="false">
      <c r="A1026" s="1" t="s">
        <v>2090</v>
      </c>
      <c r="B1026" s="1" t="n">
        <v>1906</v>
      </c>
      <c r="C1026" s="1" t="n">
        <v>1</v>
      </c>
      <c r="D1026" s="1" t="s">
        <v>21</v>
      </c>
      <c r="E1026" s="1" t="s">
        <v>274</v>
      </c>
      <c r="F1026" s="1" t="n">
        <v>30</v>
      </c>
      <c r="G1026" s="1" t="n">
        <v>18</v>
      </c>
      <c r="H1026" s="2" t="n">
        <v>117500</v>
      </c>
      <c r="I1026" s="2" t="n">
        <f aca="false">(((H1026 / 800) / IF(ISBLANK(R1026), 1000000, IF(ISNA(VLOOKUP(R1026, Mileages!$A$2:$C$34, 2, 0)), R1026, VLOOKUP(R1026, Mileages!$A$2:$C$34, 2, 0)))) + (F1026 * IF(ISBLANK(P1026), 1, P1026) * IF(ISBLANK(T1026), 0, IF(ISNA(VLOOKUP(T1026, 'Fuel Costs'!$A$2:$C$42, 2, 0)), T1026, VLOOKUP(T1026, 'Fuel Costs'!$A$2:$C$42, 2, 0))) / IF(ISBLANK(O1026), 1, O1026))) * 100</f>
        <v>16.39301136</v>
      </c>
      <c r="J1026" s="2" t="n">
        <f aca="false">((H1026 / 800) / (IF(ISBLANK(S1026), 100, IF(ISNA(VLOOKUP(S1026, Lives!$A$2:$C$35, 2, 0)), S1026, VLOOKUP(S1026, Lives!$A$2:$C$35, 2, 0))) * 12) + (IF(ISBLANK(Q1026), 0, IF(ISNA(VLOOKUP(Q1026, Wages!$A$2:$C$17, 2, 0)), Q1026, VLOOKUP(Q1026, Wages!$A$2:$C$17, 2, 0))) * IF(ISBLANK(N1026), 0, IF(ISNA(VLOOKUP(N1026, Crews!$A$2:$C$28, 2, 0)), N1026, VLOOKUP(N1026, Crews!$A$2:$C$28, 2, 0))))) * 400</f>
        <v>8061.197917</v>
      </c>
      <c r="K1026" s="3" t="s">
        <v>2091</v>
      </c>
      <c r="L1026" s="1" t="s">
        <v>2092</v>
      </c>
      <c r="M1026" s="1" t="n">
        <v>0</v>
      </c>
      <c r="N1026" s="1" t="s">
        <v>25</v>
      </c>
      <c r="O1026" s="1" t="n">
        <v>0.55</v>
      </c>
      <c r="P1026" s="1"/>
      <c r="Q1026" s="1" t="s">
        <v>1815</v>
      </c>
      <c r="R1026" s="1" t="s">
        <v>837</v>
      </c>
      <c r="S1026" s="1" t="s">
        <v>837</v>
      </c>
      <c r="T1026" s="1" t="s">
        <v>1785</v>
      </c>
    </row>
    <row r="1027" customFormat="false" ht="15" hidden="false" customHeight="true" outlineLevel="0" collapsed="false">
      <c r="A1027" s="1" t="s">
        <v>2093</v>
      </c>
      <c r="B1027" s="1" t="n">
        <v>1906</v>
      </c>
      <c r="C1027" s="1" t="n">
        <v>1</v>
      </c>
      <c r="D1027" s="1" t="s">
        <v>21</v>
      </c>
      <c r="E1027" s="1" t="s">
        <v>274</v>
      </c>
      <c r="F1027" s="1" t="n">
        <v>30</v>
      </c>
      <c r="G1027" s="1" t="n">
        <v>18</v>
      </c>
      <c r="H1027" s="2" t="n">
        <v>117500</v>
      </c>
      <c r="I1027" s="2" t="n">
        <f aca="false">(((H1027 / 800) / IF(ISBLANK(R1027), 1000000, IF(ISNA(VLOOKUP(R1027, Mileages!$A$2:$C$34, 2, 0)), R1027, VLOOKUP(R1027, Mileages!$A$2:$C$34, 2, 0)))) + (F1027 * IF(ISBLANK(P1027), 1, P1027) * IF(ISBLANK(T1027), 0, IF(ISNA(VLOOKUP(T1027, 'Fuel Costs'!$A$2:$C$42, 2, 0)), T1027, VLOOKUP(T1027, 'Fuel Costs'!$A$2:$C$42, 2, 0))) / IF(ISBLANK(O1027), 1, O1027))) * 100</f>
        <v>16.39301136</v>
      </c>
      <c r="J1027" s="2" t="n">
        <f aca="false">((H1027 / 800) / (IF(ISBLANK(S1027), 100, IF(ISNA(VLOOKUP(S1027, Lives!$A$2:$C$35, 2, 0)), S1027, VLOOKUP(S1027, Lives!$A$2:$C$35, 2, 0))) * 12) + (IF(ISBLANK(Q1027), 0, IF(ISNA(VLOOKUP(Q1027, Wages!$A$2:$C$17, 2, 0)), Q1027, VLOOKUP(Q1027, Wages!$A$2:$C$17, 2, 0))) * IF(ISBLANK(N1027), 0, IF(ISNA(VLOOKUP(N1027, Crews!$A$2:$C$28, 2, 0)), N1027, VLOOKUP(N1027, Crews!$A$2:$C$28, 2, 0))))) * 400</f>
        <v>8061.197917</v>
      </c>
      <c r="K1027" s="1"/>
      <c r="L1027" s="1" t="s">
        <v>2092</v>
      </c>
      <c r="M1027" s="1" t="n">
        <v>1</v>
      </c>
      <c r="N1027" s="1" t="s">
        <v>25</v>
      </c>
      <c r="O1027" s="1" t="n">
        <v>0.55</v>
      </c>
      <c r="P1027" s="1"/>
      <c r="Q1027" s="1" t="s">
        <v>1815</v>
      </c>
      <c r="R1027" s="1" t="s">
        <v>837</v>
      </c>
      <c r="S1027" s="1" t="s">
        <v>837</v>
      </c>
      <c r="T1027" s="1" t="s">
        <v>1785</v>
      </c>
    </row>
    <row r="1028" customFormat="false" ht="15" hidden="false" customHeight="true" outlineLevel="0" collapsed="false">
      <c r="A1028" s="1" t="s">
        <v>2094</v>
      </c>
      <c r="B1028" s="1" t="n">
        <v>1906</v>
      </c>
      <c r="C1028" s="1" t="n">
        <v>1</v>
      </c>
      <c r="D1028" s="1" t="s">
        <v>21</v>
      </c>
      <c r="E1028" s="1" t="s">
        <v>274</v>
      </c>
      <c r="F1028" s="1" t="n">
        <v>30</v>
      </c>
      <c r="G1028" s="1" t="n">
        <v>18</v>
      </c>
      <c r="H1028" s="2" t="n">
        <v>117500</v>
      </c>
      <c r="I1028" s="2" t="n">
        <f aca="false">(((H1028 / 800) / IF(ISBLANK(R1028), 1000000, IF(ISNA(VLOOKUP(R1028, Mileages!$A$2:$C$34, 2, 0)), R1028, VLOOKUP(R1028, Mileages!$A$2:$C$34, 2, 0)))) + (F1028 * IF(ISBLANK(P1028), 1, P1028) * IF(ISBLANK(T1028), 0, IF(ISNA(VLOOKUP(T1028, 'Fuel Costs'!$A$2:$C$42, 2, 0)), T1028, VLOOKUP(T1028, 'Fuel Costs'!$A$2:$C$42, 2, 0))) / IF(ISBLANK(O1028), 1, O1028))) * 100</f>
        <v>16.39301136</v>
      </c>
      <c r="J1028" s="2" t="n">
        <f aca="false">((H1028 / 800) / (IF(ISBLANK(S1028), 100, IF(ISNA(VLOOKUP(S1028, Lives!$A$2:$C$35, 2, 0)), S1028, VLOOKUP(S1028, Lives!$A$2:$C$35, 2, 0))) * 12) + (IF(ISBLANK(Q1028), 0, IF(ISNA(VLOOKUP(Q1028, Wages!$A$2:$C$17, 2, 0)), Q1028, VLOOKUP(Q1028, Wages!$A$2:$C$17, 2, 0))) * IF(ISBLANK(N1028), 0, IF(ISNA(VLOOKUP(N1028, Crews!$A$2:$C$28, 2, 0)), N1028, VLOOKUP(N1028, Crews!$A$2:$C$28, 2, 0))))) * 400</f>
        <v>8061.197917</v>
      </c>
      <c r="K1028" s="1"/>
      <c r="L1028" s="1" t="s">
        <v>2092</v>
      </c>
      <c r="M1028" s="1" t="n">
        <v>2</v>
      </c>
      <c r="N1028" s="1" t="s">
        <v>25</v>
      </c>
      <c r="O1028" s="1" t="n">
        <v>0.55</v>
      </c>
      <c r="P1028" s="1"/>
      <c r="Q1028" s="1" t="s">
        <v>1815</v>
      </c>
      <c r="R1028" s="1" t="s">
        <v>837</v>
      </c>
      <c r="S1028" s="1" t="s">
        <v>837</v>
      </c>
      <c r="T1028" s="1" t="s">
        <v>1785</v>
      </c>
    </row>
    <row r="1029" customFormat="false" ht="15" hidden="false" customHeight="true" outlineLevel="0" collapsed="false">
      <c r="A1029" s="1" t="s">
        <v>2095</v>
      </c>
      <c r="B1029" s="1" t="n">
        <v>1906</v>
      </c>
      <c r="C1029" s="1" t="n">
        <v>1</v>
      </c>
      <c r="D1029" s="1" t="s">
        <v>21</v>
      </c>
      <c r="E1029" s="1" t="s">
        <v>274</v>
      </c>
      <c r="F1029" s="1" t="n">
        <v>30</v>
      </c>
      <c r="G1029" s="1" t="n">
        <v>18</v>
      </c>
      <c r="H1029" s="2" t="n">
        <v>117500</v>
      </c>
      <c r="I1029" s="2" t="n">
        <f aca="false">(((H1029 / 800) / IF(ISBLANK(R1029), 1000000, IF(ISNA(VLOOKUP(R1029, Mileages!$A$2:$C$34, 2, 0)), R1029, VLOOKUP(R1029, Mileages!$A$2:$C$34, 2, 0)))) + (F1029 * IF(ISBLANK(P1029), 1, P1029) * IF(ISBLANK(T1029), 0, IF(ISNA(VLOOKUP(T1029, 'Fuel Costs'!$A$2:$C$42, 2, 0)), T1029, VLOOKUP(T1029, 'Fuel Costs'!$A$2:$C$42, 2, 0))) / IF(ISBLANK(O1029), 1, O1029))) * 100</f>
        <v>16.39301136</v>
      </c>
      <c r="J1029" s="2" t="n">
        <f aca="false">((H1029 / 800) / (IF(ISBLANK(S1029), 100, IF(ISNA(VLOOKUP(S1029, Lives!$A$2:$C$35, 2, 0)), S1029, VLOOKUP(S1029, Lives!$A$2:$C$35, 2, 0))) * 12) + (IF(ISBLANK(Q1029), 0, IF(ISNA(VLOOKUP(Q1029, Wages!$A$2:$C$17, 2, 0)), Q1029, VLOOKUP(Q1029, Wages!$A$2:$C$17, 2, 0))) * IF(ISBLANK(N1029), 0, IF(ISNA(VLOOKUP(N1029, Crews!$A$2:$C$28, 2, 0)), N1029, VLOOKUP(N1029, Crews!$A$2:$C$28, 2, 0))))) * 400</f>
        <v>8061.197917</v>
      </c>
      <c r="K1029" s="1"/>
      <c r="L1029" s="1" t="s">
        <v>2092</v>
      </c>
      <c r="M1029" s="1" t="n">
        <v>3</v>
      </c>
      <c r="N1029" s="1" t="s">
        <v>25</v>
      </c>
      <c r="O1029" s="1" t="n">
        <v>0.55</v>
      </c>
      <c r="P1029" s="1"/>
      <c r="Q1029" s="1" t="s">
        <v>1815</v>
      </c>
      <c r="R1029" s="1" t="s">
        <v>837</v>
      </c>
      <c r="S1029" s="1" t="s">
        <v>837</v>
      </c>
      <c r="T1029" s="1" t="s">
        <v>1785</v>
      </c>
    </row>
    <row r="1030" customFormat="false" ht="15" hidden="false" customHeight="true" outlineLevel="0" collapsed="false">
      <c r="A1030" s="1" t="s">
        <v>2096</v>
      </c>
      <c r="B1030" s="1" t="n">
        <v>1906</v>
      </c>
      <c r="C1030" s="1" t="n">
        <v>1</v>
      </c>
      <c r="D1030" s="1" t="s">
        <v>21</v>
      </c>
      <c r="E1030" s="1" t="s">
        <v>274</v>
      </c>
      <c r="F1030" s="1" t="n">
        <v>30</v>
      </c>
      <c r="G1030" s="1" t="n">
        <v>18</v>
      </c>
      <c r="H1030" s="2" t="n">
        <v>117500</v>
      </c>
      <c r="I1030" s="2" t="n">
        <f aca="false">(((H1030 / 800) / IF(ISBLANK(R1030), 1000000, IF(ISNA(VLOOKUP(R1030, Mileages!$A$2:$C$34, 2, 0)), R1030, VLOOKUP(R1030, Mileages!$A$2:$C$34, 2, 0)))) + (F1030 * IF(ISBLANK(P1030), 1, P1030) * IF(ISBLANK(T1030), 0, IF(ISNA(VLOOKUP(T1030, 'Fuel Costs'!$A$2:$C$42, 2, 0)), T1030, VLOOKUP(T1030, 'Fuel Costs'!$A$2:$C$42, 2, 0))) / IF(ISBLANK(O1030), 1, O1030))) * 100</f>
        <v>16.39301136</v>
      </c>
      <c r="J1030" s="2" t="n">
        <f aca="false">((H1030 / 800) / (IF(ISBLANK(S1030), 100, IF(ISNA(VLOOKUP(S1030, Lives!$A$2:$C$35, 2, 0)), S1030, VLOOKUP(S1030, Lives!$A$2:$C$35, 2, 0))) * 12) + (IF(ISBLANK(Q1030), 0, IF(ISNA(VLOOKUP(Q1030, Wages!$A$2:$C$17, 2, 0)), Q1030, VLOOKUP(Q1030, Wages!$A$2:$C$17, 2, 0))) * IF(ISBLANK(N1030), 0, IF(ISNA(VLOOKUP(N1030, Crews!$A$2:$C$28, 2, 0)), N1030, VLOOKUP(N1030, Crews!$A$2:$C$28, 2, 0))))) * 400</f>
        <v>8061.197917</v>
      </c>
      <c r="K1030" s="1"/>
      <c r="L1030" s="1" t="s">
        <v>2092</v>
      </c>
      <c r="M1030" s="1" t="n">
        <v>4</v>
      </c>
      <c r="N1030" s="1" t="s">
        <v>25</v>
      </c>
      <c r="O1030" s="1" t="n">
        <v>0.55</v>
      </c>
      <c r="P1030" s="1"/>
      <c r="Q1030" s="1" t="s">
        <v>1815</v>
      </c>
      <c r="R1030" s="1" t="s">
        <v>837</v>
      </c>
      <c r="S1030" s="1" t="s">
        <v>837</v>
      </c>
      <c r="T1030" s="1" t="s">
        <v>1785</v>
      </c>
    </row>
    <row r="1031" customFormat="false" ht="15" hidden="false" customHeight="true" outlineLevel="0" collapsed="false">
      <c r="A1031" s="1" t="s">
        <v>2097</v>
      </c>
      <c r="B1031" s="1" t="n">
        <v>1906</v>
      </c>
      <c r="C1031" s="1" t="n">
        <v>1</v>
      </c>
      <c r="D1031" s="1" t="s">
        <v>21</v>
      </c>
      <c r="E1031" s="1" t="s">
        <v>274</v>
      </c>
      <c r="F1031" s="1" t="n">
        <v>30</v>
      </c>
      <c r="G1031" s="1" t="n">
        <v>18</v>
      </c>
      <c r="H1031" s="2" t="n">
        <v>117500</v>
      </c>
      <c r="I1031" s="2" t="n">
        <f aca="false">(((H1031 / 800) / IF(ISBLANK(R1031), 1000000, IF(ISNA(VLOOKUP(R1031, Mileages!$A$2:$C$34, 2, 0)), R1031, VLOOKUP(R1031, Mileages!$A$2:$C$34, 2, 0)))) + (F1031 * IF(ISBLANK(P1031), 1, P1031) * IF(ISBLANK(T1031), 0, IF(ISNA(VLOOKUP(T1031, 'Fuel Costs'!$A$2:$C$42, 2, 0)), T1031, VLOOKUP(T1031, 'Fuel Costs'!$A$2:$C$42, 2, 0))) / IF(ISBLANK(O1031), 1, O1031))) * 100</f>
        <v>16.39301136</v>
      </c>
      <c r="J1031" s="2" t="n">
        <f aca="false">((H1031 / 800) / (IF(ISBLANK(S1031), 100, IF(ISNA(VLOOKUP(S1031, Lives!$A$2:$C$35, 2, 0)), S1031, VLOOKUP(S1031, Lives!$A$2:$C$35, 2, 0))) * 12) + (IF(ISBLANK(Q1031), 0, IF(ISNA(VLOOKUP(Q1031, Wages!$A$2:$C$17, 2, 0)), Q1031, VLOOKUP(Q1031, Wages!$A$2:$C$17, 2, 0))) * IF(ISBLANK(N1031), 0, IF(ISNA(VLOOKUP(N1031, Crews!$A$2:$C$28, 2, 0)), N1031, VLOOKUP(N1031, Crews!$A$2:$C$28, 2, 0))))) * 400</f>
        <v>8061.197917</v>
      </c>
      <c r="K1031" s="1"/>
      <c r="L1031" s="1" t="s">
        <v>2092</v>
      </c>
      <c r="M1031" s="1" t="n">
        <v>5</v>
      </c>
      <c r="N1031" s="1" t="s">
        <v>25</v>
      </c>
      <c r="O1031" s="1" t="n">
        <v>0.55</v>
      </c>
      <c r="P1031" s="1"/>
      <c r="Q1031" s="1" t="s">
        <v>1815</v>
      </c>
      <c r="R1031" s="1" t="s">
        <v>837</v>
      </c>
      <c r="S1031" s="1" t="s">
        <v>837</v>
      </c>
      <c r="T1031" s="1" t="s">
        <v>1785</v>
      </c>
    </row>
    <row r="1032" customFormat="false" ht="15" hidden="false" customHeight="true" outlineLevel="0" collapsed="false">
      <c r="A1032" s="1" t="s">
        <v>2098</v>
      </c>
      <c r="B1032" s="1" t="n">
        <v>1906</v>
      </c>
      <c r="C1032" s="1" t="n">
        <v>3</v>
      </c>
      <c r="D1032" s="1" t="s">
        <v>876</v>
      </c>
      <c r="E1032" s="1" t="s">
        <v>1346</v>
      </c>
      <c r="F1032" s="1" t="n">
        <v>45</v>
      </c>
      <c r="G1032" s="1" t="n">
        <v>32</v>
      </c>
      <c r="H1032" s="2" t="n">
        <v>457500</v>
      </c>
      <c r="I1032" s="2" t="n">
        <f aca="false">(((H1032 / 800) / IF(ISBLANK(R1032), 1000000, IF(ISNA(VLOOKUP(R1032, Mileages!$A$2:$C$34, 2, 0)), R1032, VLOOKUP(R1032, Mileages!$A$2:$C$34, 2, 0)))) + (F1032 * IF(ISBLANK(P1032), 1, P1032) * IF(ISBLANK(T1032), 0, IF(ISNA(VLOOKUP(T1032, 'Fuel Costs'!$A$2:$C$42, 2, 0)), T1032, VLOOKUP(T1032, 'Fuel Costs'!$A$2:$C$42, 2, 0))) / IF(ISBLANK(O1032), 1, O1032))) * 100</f>
        <v>27.0571875</v>
      </c>
      <c r="J1032" s="2" t="n">
        <f aca="false">((H1032 / 800) / (IF(ISBLANK(S1032), 100, IF(ISNA(VLOOKUP(S1032, Lives!$A$2:$C$35, 2, 0)), S1032, VLOOKUP(S1032, Lives!$A$2:$C$35, 2, 0))) * 12) + (IF(ISBLANK(Q1032), 0, IF(ISNA(VLOOKUP(Q1032, Wages!$A$2:$C$17, 2, 0)), Q1032, VLOOKUP(Q1032, Wages!$A$2:$C$17, 2, 0))) * IF(ISBLANK(N1032), 0, IF(ISNA(VLOOKUP(N1032, Crews!$A$2:$C$28, 2, 0)), N1032, VLOOKUP(N1032, Crews!$A$2:$C$28, 2, 0))))) * 400</f>
        <v>6381.25</v>
      </c>
      <c r="K1032" s="3" t="s">
        <v>2099</v>
      </c>
      <c r="L1032" s="1" t="s">
        <v>2100</v>
      </c>
      <c r="M1032" s="1" t="n">
        <v>0</v>
      </c>
      <c r="N1032" s="1" t="s">
        <v>895</v>
      </c>
      <c r="O1032" s="1"/>
      <c r="P1032" s="1"/>
      <c r="Q1032" s="1" t="s">
        <v>895</v>
      </c>
      <c r="R1032" s="1" t="s">
        <v>1349</v>
      </c>
      <c r="S1032" s="1" t="s">
        <v>1350</v>
      </c>
      <c r="T1032" s="1" t="s">
        <v>1351</v>
      </c>
    </row>
    <row r="1033" customFormat="false" ht="15" hidden="false" customHeight="true" outlineLevel="0" collapsed="false">
      <c r="A1033" s="1" t="s">
        <v>2101</v>
      </c>
      <c r="B1033" s="1" t="n">
        <v>1906</v>
      </c>
      <c r="C1033" s="1" t="n">
        <v>4</v>
      </c>
      <c r="D1033" s="1" t="s">
        <v>38</v>
      </c>
      <c r="E1033" s="1" t="s">
        <v>1346</v>
      </c>
      <c r="F1033" s="1" t="n">
        <v>400</v>
      </c>
      <c r="G1033" s="1" t="n">
        <v>65</v>
      </c>
      <c r="H1033" s="2" t="n">
        <v>4000000</v>
      </c>
      <c r="I1033" s="2" t="n">
        <f aca="false">(((H1033 / 800) / IF(ISBLANK(R1033), 1000000, IF(ISNA(VLOOKUP(R1033, Mileages!$A$2:$C$34, 2, 0)), R1033, VLOOKUP(R1033, Mileages!$A$2:$C$34, 2, 0)))) + (F1033 * IF(ISBLANK(P1033), 1, P1033) * IF(ISBLANK(T1033), 0, IF(ISNA(VLOOKUP(T1033, 'Fuel Costs'!$A$2:$C$42, 2, 0)), T1033, VLOOKUP(T1033, 'Fuel Costs'!$A$2:$C$42, 2, 0))) / IF(ISBLANK(O1033), 1, O1033))) * 100</f>
        <v>240.6666667</v>
      </c>
      <c r="J1033" s="2" t="n">
        <f aca="false">((H1033 / 800) / (IF(ISBLANK(S1033), 100, IF(ISNA(VLOOKUP(S1033, Lives!$A$2:$C$35, 2, 0)), S1033, VLOOKUP(S1033, Lives!$A$2:$C$35, 2, 0))) * 12) + (IF(ISBLANK(Q1033), 0, IF(ISNA(VLOOKUP(Q1033, Wages!$A$2:$C$17, 2, 0)), Q1033, VLOOKUP(Q1033, Wages!$A$2:$C$17, 2, 0))) * IF(ISBLANK(N1033), 0, IF(ISNA(VLOOKUP(N1033, Crews!$A$2:$C$28, 2, 0)), N1033, VLOOKUP(N1033, Crews!$A$2:$C$28, 2, 0))))) * 400</f>
        <v>9333.333333</v>
      </c>
      <c r="K1033" s="3" t="s">
        <v>2102</v>
      </c>
      <c r="L1033" s="1" t="s">
        <v>2103</v>
      </c>
      <c r="M1033" s="1" t="n">
        <v>0</v>
      </c>
      <c r="N1033" s="1" t="s">
        <v>1512</v>
      </c>
      <c r="O1033" s="1" t="n">
        <v>1</v>
      </c>
      <c r="P1033" s="1"/>
      <c r="Q1033" s="1" t="str">
        <f aca="false">IF(ISBLANK('Pak128 Britain In'!$N1033),,'Pak128 Britain In'!$N1033)</f>
        <v>ElectricMultipleUnit</v>
      </c>
      <c r="R1033" s="1" t="s">
        <v>1489</v>
      </c>
      <c r="S1033" s="1" t="s">
        <v>1350</v>
      </c>
      <c r="T1033" s="1" t="s">
        <v>1351</v>
      </c>
    </row>
    <row r="1034" customFormat="false" ht="15" hidden="false" customHeight="true" outlineLevel="0" collapsed="false">
      <c r="A1034" s="1" t="s">
        <v>2104</v>
      </c>
      <c r="B1034" s="1" t="n">
        <v>1906</v>
      </c>
      <c r="C1034" s="1" t="n">
        <v>4</v>
      </c>
      <c r="D1034" s="1" t="s">
        <v>38</v>
      </c>
      <c r="E1034" s="1" t="s">
        <v>1346</v>
      </c>
      <c r="F1034" s="1" t="n">
        <v>0</v>
      </c>
      <c r="G1034" s="1" t="n">
        <v>65</v>
      </c>
      <c r="H1034" s="2" t="n">
        <v>755000</v>
      </c>
      <c r="I1034" s="2" t="n">
        <f aca="false">(((H1034 / 800) / IF(ISBLANK(R1034), 1000000, IF(ISNA(VLOOKUP(R1034, Mileages!$A$2:$C$34, 2, 0)), R1034, VLOOKUP(R1034, Mileages!$A$2:$C$34, 2, 0)))) + (F1034 * IF(ISBLANK(P1034), 1, P1034) * IF(ISBLANK(T1034), 0, IF(ISNA(VLOOKUP(T1034, 'Fuel Costs'!$A$2:$C$42, 2, 0)), T1034, VLOOKUP(T1034, 'Fuel Costs'!$A$2:$C$42, 2, 0))) / IF(ISBLANK(O1034), 1, O1034))) * 100</f>
        <v>0.07864583333</v>
      </c>
      <c r="J1034" s="2" t="n">
        <f aca="false">((H1034 / 800) / (IF(ISBLANK(S1034), 100, IF(ISNA(VLOOKUP(S1034, Lives!$A$2:$C$35, 2, 0)), S1034, VLOOKUP(S1034, Lives!$A$2:$C$35, 2, 0))) * 12) + (IF(ISBLANK(Q1034), 0, IF(ISNA(VLOOKUP(Q1034, Wages!$A$2:$C$17, 2, 0)), Q1034, VLOOKUP(Q1034, Wages!$A$2:$C$17, 2, 0))) * IF(ISBLANK(N1034), 0, IF(ISNA(VLOOKUP(N1034, Crews!$A$2:$C$28, 2, 0)), N1034, VLOOKUP(N1034, Crews!$A$2:$C$28, 2, 0))))) * 400</f>
        <v>898.8095238</v>
      </c>
      <c r="K1034" s="1"/>
      <c r="L1034" s="1" t="s">
        <v>2103</v>
      </c>
      <c r="M1034" s="1" t="n">
        <v>1</v>
      </c>
      <c r="N1034" s="1"/>
      <c r="O1034" s="1"/>
      <c r="P1034" s="1"/>
      <c r="Q1034" s="1"/>
      <c r="R1034" s="1" t="s">
        <v>689</v>
      </c>
      <c r="S1034" s="1" t="s">
        <v>856</v>
      </c>
      <c r="T1034" s="1"/>
    </row>
    <row r="1035" customFormat="false" ht="15" hidden="false" customHeight="true" outlineLevel="0" collapsed="false">
      <c r="A1035" s="1" t="s">
        <v>2105</v>
      </c>
      <c r="B1035" s="1" t="n">
        <v>1906</v>
      </c>
      <c r="C1035" s="1" t="n">
        <v>4</v>
      </c>
      <c r="D1035" s="1" t="s">
        <v>38</v>
      </c>
      <c r="E1035" s="1" t="s">
        <v>1346</v>
      </c>
      <c r="F1035" s="1" t="n">
        <v>400</v>
      </c>
      <c r="G1035" s="1" t="n">
        <v>65</v>
      </c>
      <c r="H1035" s="2" t="n">
        <v>4000000</v>
      </c>
      <c r="I1035" s="2" t="n">
        <f aca="false">(((H1035 / 800) / IF(ISBLANK(R1035), 1000000, IF(ISNA(VLOOKUP(R1035, Mileages!$A$2:$C$34, 2, 0)), R1035, VLOOKUP(R1035, Mileages!$A$2:$C$34, 2, 0)))) + (F1035 * IF(ISBLANK(P1035), 1, P1035) * IF(ISBLANK(T1035), 0, IF(ISNA(VLOOKUP(T1035, 'Fuel Costs'!$A$2:$C$42, 2, 0)), T1035, VLOOKUP(T1035, 'Fuel Costs'!$A$2:$C$42, 2, 0))) / IF(ISBLANK(O1035), 1, O1035))) * 100</f>
        <v>240.6666667</v>
      </c>
      <c r="J1035" s="2" t="n">
        <f aca="false">((H1035 / 800) / (IF(ISBLANK(S1035), 100, IF(ISNA(VLOOKUP(S1035, Lives!$A$2:$C$35, 2, 0)), S1035, VLOOKUP(S1035, Lives!$A$2:$C$35, 2, 0))) * 12) + (IF(ISBLANK(Q1035), 0, IF(ISNA(VLOOKUP(Q1035, Wages!$A$2:$C$17, 2, 0)), Q1035, VLOOKUP(Q1035, Wages!$A$2:$C$17, 2, 0))) * IF(ISBLANK(N1035), 0, IF(ISNA(VLOOKUP(N1035, Crews!$A$2:$C$28, 2, 0)), N1035, VLOOKUP(N1035, Crews!$A$2:$C$28, 2, 0))))) * 400</f>
        <v>9333.333333</v>
      </c>
      <c r="K1035" s="1"/>
      <c r="L1035" s="1" t="s">
        <v>2103</v>
      </c>
      <c r="M1035" s="1" t="n">
        <v>2</v>
      </c>
      <c r="N1035" s="1" t="s">
        <v>1512</v>
      </c>
      <c r="O1035" s="1" t="n">
        <v>1</v>
      </c>
      <c r="P1035" s="1"/>
      <c r="Q1035" s="1" t="str">
        <f aca="false">IF(ISBLANK('Pak128 Britain In'!$N1035),,'Pak128 Britain In'!$N1035)</f>
        <v>ElectricMultipleUnit</v>
      </c>
      <c r="R1035" s="1" t="s">
        <v>1489</v>
      </c>
      <c r="S1035" s="1" t="s">
        <v>1350</v>
      </c>
      <c r="T1035" s="1" t="s">
        <v>1351</v>
      </c>
    </row>
    <row r="1036" customFormat="false" ht="15" hidden="false" customHeight="true" outlineLevel="0" collapsed="false">
      <c r="A1036" s="1" t="s">
        <v>2106</v>
      </c>
      <c r="B1036" s="1" t="n">
        <v>1906</v>
      </c>
      <c r="C1036" s="1" t="n">
        <v>5</v>
      </c>
      <c r="D1036" s="1" t="s">
        <v>876</v>
      </c>
      <c r="E1036" s="1" t="s">
        <v>1346</v>
      </c>
      <c r="F1036" s="1" t="n">
        <v>45</v>
      </c>
      <c r="G1036" s="1" t="n">
        <v>32</v>
      </c>
      <c r="H1036" s="2" t="n">
        <v>317500</v>
      </c>
      <c r="I1036" s="2" t="n">
        <f aca="false">(((H1036 / 800) / IF(ISBLANK(R1036), 1000000, IF(ISNA(VLOOKUP(R1036, Mileages!$A$2:$C$34, 2, 0)), R1036, VLOOKUP(R1036, Mileages!$A$2:$C$34, 2, 0)))) + (F1036 * IF(ISBLANK(P1036), 1, P1036) * IF(ISBLANK(T1036), 0, IF(ISNA(VLOOKUP(T1036, 'Fuel Costs'!$A$2:$C$42, 2, 0)), T1036, VLOOKUP(T1036, 'Fuel Costs'!$A$2:$C$42, 2, 0))) / IF(ISBLANK(O1036), 1, O1036))) * 100</f>
        <v>27.0396875</v>
      </c>
      <c r="J1036" s="2" t="n">
        <f aca="false">((H1036 / 800) / (IF(ISBLANK(S1036), 100, IF(ISNA(VLOOKUP(S1036, Lives!$A$2:$C$35, 2, 0)), S1036, VLOOKUP(S1036, Lives!$A$2:$C$35, 2, 0))) * 12) + (IF(ISBLANK(Q1036), 0, IF(ISNA(VLOOKUP(Q1036, Wages!$A$2:$C$17, 2, 0)), Q1036, VLOOKUP(Q1036, Wages!$A$2:$C$17, 2, 0))) * IF(ISBLANK(N1036), 0, IF(ISNA(VLOOKUP(N1036, Crews!$A$2:$C$28, 2, 0)), N1036, VLOOKUP(N1036, Crews!$A$2:$C$28, 2, 0))))) * 400</f>
        <v>6264.583333</v>
      </c>
      <c r="K1036" s="3" t="s">
        <v>2107</v>
      </c>
      <c r="L1036" s="1" t="s">
        <v>2108</v>
      </c>
      <c r="M1036" s="1" t="n">
        <v>0</v>
      </c>
      <c r="N1036" s="1" t="s">
        <v>895</v>
      </c>
      <c r="O1036" s="1"/>
      <c r="P1036" s="1"/>
      <c r="Q1036" s="1" t="s">
        <v>895</v>
      </c>
      <c r="R1036" s="1" t="s">
        <v>1349</v>
      </c>
      <c r="S1036" s="1" t="s">
        <v>1350</v>
      </c>
      <c r="T1036" s="1" t="s">
        <v>1351</v>
      </c>
    </row>
    <row r="1037" customFormat="false" ht="15" hidden="false" customHeight="true" outlineLevel="0" collapsed="false">
      <c r="A1037" s="1" t="s">
        <v>2109</v>
      </c>
      <c r="B1037" s="1" t="n">
        <v>1906</v>
      </c>
      <c r="C1037" s="1" t="n">
        <v>8</v>
      </c>
      <c r="D1037" s="1" t="s">
        <v>38</v>
      </c>
      <c r="E1037" s="1"/>
      <c r="F1037" s="1"/>
      <c r="G1037" s="1" t="n">
        <v>160</v>
      </c>
      <c r="H1037" s="2" t="n">
        <v>520000</v>
      </c>
      <c r="I1037" s="2" t="n">
        <f aca="false">(((H1037 / 800) / IF(ISBLANK(R1037), 1000000, IF(ISNA(VLOOKUP(R1037, Mileages!$A$2:$C$34, 2, 0)), R1037, VLOOKUP(R1037, Mileages!$A$2:$C$34, 2, 0)))) + (F1037 * IF(ISBLANK(P1037), 1, P1037) * IF(ISBLANK(T1037), 0, IF(ISNA(VLOOKUP(T1037, 'Fuel Costs'!$A$2:$C$42, 2, 0)), T1037, VLOOKUP(T1037, 'Fuel Costs'!$A$2:$C$42, 2, 0))) / IF(ISBLANK(O1037), 1, O1037))) * 100</f>
        <v>0.05416666667</v>
      </c>
      <c r="J1037" s="2" t="n">
        <f aca="false">((H1037 / 800) / (IF(ISBLANK(S1037), 100, IF(ISNA(VLOOKUP(S1037, Lives!$A$2:$C$35, 2, 0)), S1037, VLOOKUP(S1037, Lives!$A$2:$C$35, 2, 0))) * 12) + (IF(ISBLANK(Q1037), 0, IF(ISNA(VLOOKUP(Q1037, Wages!$A$2:$C$17, 2, 0)), Q1037, VLOOKUP(Q1037, Wages!$A$2:$C$17, 2, 0))) * IF(ISBLANK(N1037), 0, IF(ISNA(VLOOKUP(N1037, Crews!$A$2:$C$28, 2, 0)), N1037, VLOOKUP(N1037, Crews!$A$2:$C$28, 2, 0))))) * 400</f>
        <v>619.047619</v>
      </c>
      <c r="K1037" s="1"/>
      <c r="L1037" s="1" t="s">
        <v>1874</v>
      </c>
      <c r="M1037" s="1" t="n">
        <v>1</v>
      </c>
      <c r="N1037" s="1"/>
      <c r="O1037" s="1"/>
      <c r="P1037" s="1"/>
      <c r="Q1037" s="1"/>
      <c r="R1037" s="1" t="s">
        <v>689</v>
      </c>
      <c r="S1037" s="1" t="s">
        <v>856</v>
      </c>
      <c r="T1037" s="1"/>
    </row>
    <row r="1038" customFormat="false" ht="15" hidden="false" customHeight="true" outlineLevel="0" collapsed="false">
      <c r="A1038" s="1" t="s">
        <v>2110</v>
      </c>
      <c r="B1038" s="1" t="n">
        <v>1907</v>
      </c>
      <c r="C1038" s="1" t="n">
        <v>1</v>
      </c>
      <c r="D1038" s="1" t="s">
        <v>38</v>
      </c>
      <c r="E1038" s="1"/>
      <c r="F1038" s="1"/>
      <c r="G1038" s="1" t="n">
        <v>160</v>
      </c>
      <c r="H1038" s="2" t="n">
        <v>800000</v>
      </c>
      <c r="I1038" s="2" t="n">
        <f aca="false">(((H1038 / 800) / IF(ISBLANK(R1038), 1000000, IF(ISNA(VLOOKUP(R1038, Mileages!$A$2:$C$34, 2, 0)), R1038, VLOOKUP(R1038, Mileages!$A$2:$C$34, 2, 0)))) + (F1038 * IF(ISBLANK(P1038), 1, P1038) * IF(ISBLANK(T1038), 0, IF(ISNA(VLOOKUP(T1038, 'Fuel Costs'!$A$2:$C$42, 2, 0)), T1038, VLOOKUP(T1038, 'Fuel Costs'!$A$2:$C$42, 2, 0))) / IF(ISBLANK(O1038), 1, O1038))) * 100</f>
        <v>0.08333333333</v>
      </c>
      <c r="J1038" s="2" t="n">
        <f aca="false">((H1038 / 800) / (IF(ISBLANK(S1038), 100, IF(ISNA(VLOOKUP(S1038, Lives!$A$2:$C$35, 2, 0)), S1038, VLOOKUP(S1038, Lives!$A$2:$C$35, 2, 0))) * 12) + (IF(ISBLANK(Q1038), 0, IF(ISNA(VLOOKUP(Q1038, Wages!$A$2:$C$17, 2, 0)), Q1038, VLOOKUP(Q1038, Wages!$A$2:$C$17, 2, 0))) * IF(ISBLANK(N1038), 0, IF(ISNA(VLOOKUP(N1038, Crews!$A$2:$C$28, 2, 0)), N1038, VLOOKUP(N1038, Crews!$A$2:$C$28, 2, 0))))) * 400</f>
        <v>952.3809524</v>
      </c>
      <c r="K1038" s="1"/>
      <c r="L1038" s="1" t="s">
        <v>2111</v>
      </c>
      <c r="M1038" s="1" t="n">
        <v>0</v>
      </c>
      <c r="N1038" s="1"/>
      <c r="O1038" s="1"/>
      <c r="P1038" s="1"/>
      <c r="Q1038" s="1"/>
      <c r="R1038" s="1" t="s">
        <v>689</v>
      </c>
      <c r="S1038" s="1" t="s">
        <v>856</v>
      </c>
      <c r="T1038" s="1"/>
    </row>
    <row r="1039" customFormat="false" ht="15" hidden="false" customHeight="true" outlineLevel="0" collapsed="false">
      <c r="A1039" s="1" t="s">
        <v>2112</v>
      </c>
      <c r="B1039" s="1" t="n">
        <v>1907</v>
      </c>
      <c r="C1039" s="1" t="n">
        <v>2</v>
      </c>
      <c r="D1039" s="1" t="s">
        <v>21</v>
      </c>
      <c r="E1039" s="1"/>
      <c r="F1039" s="1"/>
      <c r="G1039" s="1" t="n">
        <v>12</v>
      </c>
      <c r="H1039" s="2" t="n">
        <v>19000</v>
      </c>
      <c r="I1039" s="2" t="n">
        <f aca="false">(((H1039 / 800) / IF(ISBLANK(R1039), 1000000, IF(ISNA(VLOOKUP(R1039, Mileages!$A$2:$C$34, 2, 0)), R1039, VLOOKUP(R1039, Mileages!$A$2:$C$34, 2, 0)))) + (F1039 * IF(ISBLANK(P1039), 1, P1039) * IF(ISBLANK(T1039), 0, IF(ISNA(VLOOKUP(T1039, 'Fuel Costs'!$A$2:$C$42, 2, 0)), T1039, VLOOKUP(T1039, 'Fuel Costs'!$A$2:$C$42, 2, 0))) / IF(ISBLANK(O1039), 1, O1039))) * 100</f>
        <v>0.00296875</v>
      </c>
      <c r="J1039" s="2" t="n">
        <f aca="false">((H1039 / 800) / (IF(ISBLANK(S1039), 100, IF(ISNA(VLOOKUP(S1039, Lives!$A$2:$C$35, 2, 0)), S1039, VLOOKUP(S1039, Lives!$A$2:$C$35, 2, 0))) * 12) + (IF(ISBLANK(Q1039), 0, IF(ISNA(VLOOKUP(Q1039, Wages!$A$2:$C$17, 2, 0)), Q1039, VLOOKUP(Q1039, Wages!$A$2:$C$17, 2, 0))) * IF(ISBLANK(N1039), 0, IF(ISNA(VLOOKUP(N1039, Crews!$A$2:$C$28, 2, 0)), N1039, VLOOKUP(N1039, Crews!$A$2:$C$28, 2, 0))))) * 400</f>
        <v>9.895833333</v>
      </c>
      <c r="K1039" s="1"/>
      <c r="L1039" s="1" t="s">
        <v>2113</v>
      </c>
      <c r="M1039" s="1" t="n">
        <v>0</v>
      </c>
      <c r="N1039" s="1"/>
      <c r="O1039" s="1"/>
      <c r="P1039" s="1"/>
      <c r="Q1039" s="1"/>
      <c r="R1039" s="1" t="s">
        <v>828</v>
      </c>
      <c r="S1039" s="1" t="s">
        <v>829</v>
      </c>
      <c r="T1039" s="1"/>
    </row>
    <row r="1040" customFormat="false" ht="15" hidden="false" customHeight="true" outlineLevel="0" collapsed="false">
      <c r="A1040" s="1" t="s">
        <v>2114</v>
      </c>
      <c r="B1040" s="1" t="n">
        <v>1907</v>
      </c>
      <c r="C1040" s="1" t="n">
        <v>2</v>
      </c>
      <c r="D1040" s="1" t="s">
        <v>21</v>
      </c>
      <c r="E1040" s="1"/>
      <c r="F1040" s="1"/>
      <c r="G1040" s="1" t="n">
        <v>12</v>
      </c>
      <c r="H1040" s="2" t="n">
        <v>19000</v>
      </c>
      <c r="I1040" s="2" t="n">
        <f aca="false">(((H1040 / 800) / IF(ISBLANK(R1040), 1000000, IF(ISNA(VLOOKUP(R1040, Mileages!$A$2:$C$34, 2, 0)), R1040, VLOOKUP(R1040, Mileages!$A$2:$C$34, 2, 0)))) + (F1040 * IF(ISBLANK(P1040), 1, P1040) * IF(ISBLANK(T1040), 0, IF(ISNA(VLOOKUP(T1040, 'Fuel Costs'!$A$2:$C$42, 2, 0)), T1040, VLOOKUP(T1040, 'Fuel Costs'!$A$2:$C$42, 2, 0))) / IF(ISBLANK(O1040), 1, O1040))) * 100</f>
        <v>0.00296875</v>
      </c>
      <c r="J1040" s="2" t="n">
        <f aca="false">((H1040 / 800) / (IF(ISBLANK(S1040), 100, IF(ISNA(VLOOKUP(S1040, Lives!$A$2:$C$35, 2, 0)), S1040, VLOOKUP(S1040, Lives!$A$2:$C$35, 2, 0))) * 12) + (IF(ISBLANK(Q1040), 0, IF(ISNA(VLOOKUP(Q1040, Wages!$A$2:$C$17, 2, 0)), Q1040, VLOOKUP(Q1040, Wages!$A$2:$C$17, 2, 0))) * IF(ISBLANK(N1040), 0, IF(ISNA(VLOOKUP(N1040, Crews!$A$2:$C$28, 2, 0)), N1040, VLOOKUP(N1040, Crews!$A$2:$C$28, 2, 0))))) * 400</f>
        <v>9.895833333</v>
      </c>
      <c r="K1040" s="1"/>
      <c r="L1040" s="1" t="s">
        <v>2113</v>
      </c>
      <c r="M1040" s="1" t="n">
        <v>1</v>
      </c>
      <c r="N1040" s="1"/>
      <c r="O1040" s="1"/>
      <c r="P1040" s="1"/>
      <c r="Q1040" s="1"/>
      <c r="R1040" s="1" t="s">
        <v>828</v>
      </c>
      <c r="S1040" s="1" t="s">
        <v>829</v>
      </c>
      <c r="T1040" s="1"/>
    </row>
    <row r="1041" customFormat="false" ht="15" hidden="false" customHeight="true" outlineLevel="0" collapsed="false">
      <c r="A1041" s="1" t="s">
        <v>2115</v>
      </c>
      <c r="B1041" s="1" t="n">
        <v>1907</v>
      </c>
      <c r="C1041" s="1" t="n">
        <v>2</v>
      </c>
      <c r="D1041" s="1" t="s">
        <v>21</v>
      </c>
      <c r="E1041" s="1"/>
      <c r="F1041" s="1"/>
      <c r="G1041" s="1" t="n">
        <v>12</v>
      </c>
      <c r="H1041" s="2" t="n">
        <v>19000</v>
      </c>
      <c r="I1041" s="2" t="n">
        <f aca="false">(((H1041 / 800) / IF(ISBLANK(R1041), 1000000, IF(ISNA(VLOOKUP(R1041, Mileages!$A$2:$C$34, 2, 0)), R1041, VLOOKUP(R1041, Mileages!$A$2:$C$34, 2, 0)))) + (F1041 * IF(ISBLANK(P1041), 1, P1041) * IF(ISBLANK(T1041), 0, IF(ISNA(VLOOKUP(T1041, 'Fuel Costs'!$A$2:$C$42, 2, 0)), T1041, VLOOKUP(T1041, 'Fuel Costs'!$A$2:$C$42, 2, 0))) / IF(ISBLANK(O1041), 1, O1041))) * 100</f>
        <v>0.00296875</v>
      </c>
      <c r="J1041" s="2" t="n">
        <f aca="false">((H1041 / 800) / (IF(ISBLANK(S1041), 100, IF(ISNA(VLOOKUP(S1041, Lives!$A$2:$C$35, 2, 0)), S1041, VLOOKUP(S1041, Lives!$A$2:$C$35, 2, 0))) * 12) + (IF(ISBLANK(Q1041), 0, IF(ISNA(VLOOKUP(Q1041, Wages!$A$2:$C$17, 2, 0)), Q1041, VLOOKUP(Q1041, Wages!$A$2:$C$17, 2, 0))) * IF(ISBLANK(N1041), 0, IF(ISNA(VLOOKUP(N1041, Crews!$A$2:$C$28, 2, 0)), N1041, VLOOKUP(N1041, Crews!$A$2:$C$28, 2, 0))))) * 400</f>
        <v>9.895833333</v>
      </c>
      <c r="K1041" s="1"/>
      <c r="L1041" s="1" t="s">
        <v>2113</v>
      </c>
      <c r="M1041" s="1" t="n">
        <v>2</v>
      </c>
      <c r="N1041" s="1"/>
      <c r="O1041" s="1"/>
      <c r="P1041" s="1"/>
      <c r="Q1041" s="1"/>
      <c r="R1041" s="1" t="s">
        <v>828</v>
      </c>
      <c r="S1041" s="1" t="s">
        <v>829</v>
      </c>
      <c r="T1041" s="1"/>
    </row>
    <row r="1042" customFormat="false" ht="15" hidden="false" customHeight="true" outlineLevel="0" collapsed="false">
      <c r="A1042" s="1" t="s">
        <v>2116</v>
      </c>
      <c r="B1042" s="1" t="n">
        <v>1907</v>
      </c>
      <c r="C1042" s="1" t="n">
        <v>2</v>
      </c>
      <c r="D1042" s="1" t="s">
        <v>21</v>
      </c>
      <c r="E1042" s="1"/>
      <c r="F1042" s="1"/>
      <c r="G1042" s="1" t="n">
        <v>12</v>
      </c>
      <c r="H1042" s="2" t="n">
        <v>19000</v>
      </c>
      <c r="I1042" s="2" t="n">
        <f aca="false">(((H1042 / 800) / IF(ISBLANK(R1042), 1000000, IF(ISNA(VLOOKUP(R1042, Mileages!$A$2:$C$34, 2, 0)), R1042, VLOOKUP(R1042, Mileages!$A$2:$C$34, 2, 0)))) + (F1042 * IF(ISBLANK(P1042), 1, P1042) * IF(ISBLANK(T1042), 0, IF(ISNA(VLOOKUP(T1042, 'Fuel Costs'!$A$2:$C$42, 2, 0)), T1042, VLOOKUP(T1042, 'Fuel Costs'!$A$2:$C$42, 2, 0))) / IF(ISBLANK(O1042), 1, O1042))) * 100</f>
        <v>0.00296875</v>
      </c>
      <c r="J1042" s="2" t="n">
        <f aca="false">((H1042 / 800) / (IF(ISBLANK(S1042), 100, IF(ISNA(VLOOKUP(S1042, Lives!$A$2:$C$35, 2, 0)), S1042, VLOOKUP(S1042, Lives!$A$2:$C$35, 2, 0))) * 12) + (IF(ISBLANK(Q1042), 0, IF(ISNA(VLOOKUP(Q1042, Wages!$A$2:$C$17, 2, 0)), Q1042, VLOOKUP(Q1042, Wages!$A$2:$C$17, 2, 0))) * IF(ISBLANK(N1042), 0, IF(ISNA(VLOOKUP(N1042, Crews!$A$2:$C$28, 2, 0)), N1042, VLOOKUP(N1042, Crews!$A$2:$C$28, 2, 0))))) * 400</f>
        <v>9.895833333</v>
      </c>
      <c r="K1042" s="1"/>
      <c r="L1042" s="1" t="s">
        <v>2113</v>
      </c>
      <c r="M1042" s="1" t="n">
        <v>3</v>
      </c>
      <c r="N1042" s="1"/>
      <c r="O1042" s="1"/>
      <c r="P1042" s="1"/>
      <c r="Q1042" s="1"/>
      <c r="R1042" s="1" t="s">
        <v>828</v>
      </c>
      <c r="S1042" s="1" t="s">
        <v>829</v>
      </c>
      <c r="T1042" s="1"/>
    </row>
    <row r="1043" customFormat="false" ht="15" hidden="false" customHeight="true" outlineLevel="0" collapsed="false">
      <c r="A1043" s="1" t="s">
        <v>2117</v>
      </c>
      <c r="B1043" s="1" t="n">
        <v>1907</v>
      </c>
      <c r="C1043" s="1" t="n">
        <v>2</v>
      </c>
      <c r="D1043" s="1" t="s">
        <v>21</v>
      </c>
      <c r="E1043" s="1"/>
      <c r="F1043" s="1"/>
      <c r="G1043" s="1" t="n">
        <v>12</v>
      </c>
      <c r="H1043" s="2" t="n">
        <v>19000</v>
      </c>
      <c r="I1043" s="2" t="n">
        <f aca="false">(((H1043 / 800) / IF(ISBLANK(R1043), 1000000, IF(ISNA(VLOOKUP(R1043, Mileages!$A$2:$C$34, 2, 0)), R1043, VLOOKUP(R1043, Mileages!$A$2:$C$34, 2, 0)))) + (F1043 * IF(ISBLANK(P1043), 1, P1043) * IF(ISBLANK(T1043), 0, IF(ISNA(VLOOKUP(T1043, 'Fuel Costs'!$A$2:$C$42, 2, 0)), T1043, VLOOKUP(T1043, 'Fuel Costs'!$A$2:$C$42, 2, 0))) / IF(ISBLANK(O1043), 1, O1043))) * 100</f>
        <v>0.00296875</v>
      </c>
      <c r="J1043" s="2" t="n">
        <f aca="false">((H1043 / 800) / (IF(ISBLANK(S1043), 100, IF(ISNA(VLOOKUP(S1043, Lives!$A$2:$C$35, 2, 0)), S1043, VLOOKUP(S1043, Lives!$A$2:$C$35, 2, 0))) * 12) + (IF(ISBLANK(Q1043), 0, IF(ISNA(VLOOKUP(Q1043, Wages!$A$2:$C$17, 2, 0)), Q1043, VLOOKUP(Q1043, Wages!$A$2:$C$17, 2, 0))) * IF(ISBLANK(N1043), 0, IF(ISNA(VLOOKUP(N1043, Crews!$A$2:$C$28, 2, 0)), N1043, VLOOKUP(N1043, Crews!$A$2:$C$28, 2, 0))))) * 400</f>
        <v>9.895833333</v>
      </c>
      <c r="K1043" s="1"/>
      <c r="L1043" s="1" t="s">
        <v>2113</v>
      </c>
      <c r="M1043" s="1" t="n">
        <v>4</v>
      </c>
      <c r="N1043" s="1"/>
      <c r="O1043" s="1"/>
      <c r="P1043" s="1"/>
      <c r="Q1043" s="1"/>
      <c r="R1043" s="1" t="s">
        <v>828</v>
      </c>
      <c r="S1043" s="1" t="s">
        <v>829</v>
      </c>
      <c r="T1043" s="1"/>
    </row>
    <row r="1044" customFormat="false" ht="15" hidden="false" customHeight="true" outlineLevel="0" collapsed="false">
      <c r="A1044" s="1" t="s">
        <v>2118</v>
      </c>
      <c r="B1044" s="1" t="n">
        <v>1907</v>
      </c>
      <c r="C1044" s="1" t="n">
        <v>4</v>
      </c>
      <c r="D1044" s="1" t="s">
        <v>38</v>
      </c>
      <c r="E1044" s="1"/>
      <c r="F1044" s="1"/>
      <c r="G1044" s="1" t="n">
        <v>160</v>
      </c>
      <c r="H1044" s="2" t="n">
        <v>880000</v>
      </c>
      <c r="I1044" s="2" t="n">
        <f aca="false">(((H1044 / 800) / IF(ISBLANK(R1044), 1000000, IF(ISNA(VLOOKUP(R1044, Mileages!$A$2:$C$34, 2, 0)), R1044, VLOOKUP(R1044, Mileages!$A$2:$C$34, 2, 0)))) + (F1044 * IF(ISBLANK(P1044), 1, P1044) * IF(ISBLANK(T1044), 0, IF(ISNA(VLOOKUP(T1044, 'Fuel Costs'!$A$2:$C$42, 2, 0)), T1044, VLOOKUP(T1044, 'Fuel Costs'!$A$2:$C$42, 2, 0))) / IF(ISBLANK(O1044), 1, O1044))) * 100</f>
        <v>0.09166666667</v>
      </c>
      <c r="J1044" s="2" t="n">
        <f aca="false">((H1044 / 800) / (IF(ISBLANK(S1044), 100, IF(ISNA(VLOOKUP(S1044, Lives!$A$2:$C$35, 2, 0)), S1044, VLOOKUP(S1044, Lives!$A$2:$C$35, 2, 0))) * 12) + (IF(ISBLANK(Q1044), 0, IF(ISNA(VLOOKUP(Q1044, Wages!$A$2:$C$17, 2, 0)), Q1044, VLOOKUP(Q1044, Wages!$A$2:$C$17, 2, 0))) * IF(ISBLANK(N1044), 0, IF(ISNA(VLOOKUP(N1044, Crews!$A$2:$C$28, 2, 0)), N1044, VLOOKUP(N1044, Crews!$A$2:$C$28, 2, 0))))) * 400</f>
        <v>1047.619048</v>
      </c>
      <c r="K1044" s="3" t="s">
        <v>2119</v>
      </c>
      <c r="L1044" s="1" t="s">
        <v>2120</v>
      </c>
      <c r="M1044" s="1" t="n">
        <v>0</v>
      </c>
      <c r="N1044" s="1"/>
      <c r="O1044" s="1"/>
      <c r="P1044" s="1"/>
      <c r="Q1044" s="1"/>
      <c r="R1044" s="1" t="s">
        <v>689</v>
      </c>
      <c r="S1044" s="1" t="s">
        <v>856</v>
      </c>
      <c r="T1044" s="1"/>
    </row>
    <row r="1045" customFormat="false" ht="15" hidden="false" customHeight="true" outlineLevel="0" collapsed="false">
      <c r="A1045" s="1" t="s">
        <v>2121</v>
      </c>
      <c r="B1045" s="1" t="n">
        <v>1907</v>
      </c>
      <c r="C1045" s="1" t="n">
        <v>4</v>
      </c>
      <c r="D1045" s="1" t="s">
        <v>38</v>
      </c>
      <c r="E1045" s="1"/>
      <c r="F1045" s="1"/>
      <c r="G1045" s="1" t="n">
        <v>160</v>
      </c>
      <c r="H1045" s="2" t="n">
        <v>650000</v>
      </c>
      <c r="I1045" s="2" t="n">
        <f aca="false">(((H1045 / 800) / IF(ISBLANK(R1045), 1000000, IF(ISNA(VLOOKUP(R1045, Mileages!$A$2:$C$34, 2, 0)), R1045, VLOOKUP(R1045, Mileages!$A$2:$C$34, 2, 0)))) + (F1045 * IF(ISBLANK(P1045), 1, P1045) * IF(ISBLANK(T1045), 0, IF(ISNA(VLOOKUP(T1045, 'Fuel Costs'!$A$2:$C$42, 2, 0)), T1045, VLOOKUP(T1045, 'Fuel Costs'!$A$2:$C$42, 2, 0))) / IF(ISBLANK(O1045), 1, O1045))) * 100</f>
        <v>0.06770833333</v>
      </c>
      <c r="J1045" s="2" t="n">
        <f aca="false">((H1045 / 800) / (IF(ISBLANK(S1045), 100, IF(ISNA(VLOOKUP(S1045, Lives!$A$2:$C$35, 2, 0)), S1045, VLOOKUP(S1045, Lives!$A$2:$C$35, 2, 0))) * 12) + (IF(ISBLANK(Q1045), 0, IF(ISNA(VLOOKUP(Q1045, Wages!$A$2:$C$17, 2, 0)), Q1045, VLOOKUP(Q1045, Wages!$A$2:$C$17, 2, 0))) * IF(ISBLANK(N1045), 0, IF(ISNA(VLOOKUP(N1045, Crews!$A$2:$C$28, 2, 0)), N1045, VLOOKUP(N1045, Crews!$A$2:$C$28, 2, 0))))) * 400</f>
        <v>773.8095238</v>
      </c>
      <c r="K1045" s="3" t="s">
        <v>2122</v>
      </c>
      <c r="L1045" s="1" t="s">
        <v>2123</v>
      </c>
      <c r="M1045" s="1" t="n">
        <v>0</v>
      </c>
      <c r="N1045" s="1"/>
      <c r="O1045" s="1"/>
      <c r="P1045" s="1"/>
      <c r="Q1045" s="1"/>
      <c r="R1045" s="1" t="s">
        <v>689</v>
      </c>
      <c r="S1045" s="1" t="s">
        <v>856</v>
      </c>
      <c r="T1045" s="1"/>
    </row>
    <row r="1046" customFormat="false" ht="15" hidden="false" customHeight="true" outlineLevel="0" collapsed="false">
      <c r="A1046" s="1" t="s">
        <v>2124</v>
      </c>
      <c r="B1046" s="1" t="n">
        <v>1907</v>
      </c>
      <c r="C1046" s="1" t="n">
        <v>4</v>
      </c>
      <c r="D1046" s="1" t="s">
        <v>38</v>
      </c>
      <c r="E1046" s="1"/>
      <c r="F1046" s="1"/>
      <c r="G1046" s="1" t="n">
        <v>160</v>
      </c>
      <c r="H1046" s="2" t="n">
        <v>650000</v>
      </c>
      <c r="I1046" s="2" t="n">
        <f aca="false">(((H1046 / 800) / IF(ISBLANK(R1046), 1000000, IF(ISNA(VLOOKUP(R1046, Mileages!$A$2:$C$34, 2, 0)), R1046, VLOOKUP(R1046, Mileages!$A$2:$C$34, 2, 0)))) + (F1046 * IF(ISBLANK(P1046), 1, P1046) * IF(ISBLANK(T1046), 0, IF(ISNA(VLOOKUP(T1046, 'Fuel Costs'!$A$2:$C$42, 2, 0)), T1046, VLOOKUP(T1046, 'Fuel Costs'!$A$2:$C$42, 2, 0))) / IF(ISBLANK(O1046), 1, O1046))) * 100</f>
        <v>0.06770833333</v>
      </c>
      <c r="J1046" s="2" t="n">
        <f aca="false">((H1046 / 800) / (IF(ISBLANK(S1046), 100, IF(ISNA(VLOOKUP(S1046, Lives!$A$2:$C$35, 2, 0)), S1046, VLOOKUP(S1046, Lives!$A$2:$C$35, 2, 0))) * 12) + (IF(ISBLANK(Q1046), 0, IF(ISNA(VLOOKUP(Q1046, Wages!$A$2:$C$17, 2, 0)), Q1046, VLOOKUP(Q1046, Wages!$A$2:$C$17, 2, 0))) * IF(ISBLANK(N1046), 0, IF(ISNA(VLOOKUP(N1046, Crews!$A$2:$C$28, 2, 0)), N1046, VLOOKUP(N1046, Crews!$A$2:$C$28, 2, 0))))) * 400</f>
        <v>5573.809524</v>
      </c>
      <c r="K1046" s="3" t="s">
        <v>2125</v>
      </c>
      <c r="L1046" s="1" t="s">
        <v>2123</v>
      </c>
      <c r="M1046" s="1" t="n">
        <v>1</v>
      </c>
      <c r="N1046" s="1" t="s">
        <v>25</v>
      </c>
      <c r="O1046" s="1"/>
      <c r="P1046" s="1"/>
      <c r="Q1046" s="1" t="s">
        <v>378</v>
      </c>
      <c r="R1046" s="1" t="s">
        <v>689</v>
      </c>
      <c r="S1046" s="1" t="s">
        <v>856</v>
      </c>
      <c r="T1046" s="1"/>
    </row>
    <row r="1047" customFormat="false" ht="15" hidden="false" customHeight="true" outlineLevel="0" collapsed="false">
      <c r="A1047" s="1" t="s">
        <v>2126</v>
      </c>
      <c r="B1047" s="1" t="n">
        <v>1907</v>
      </c>
      <c r="C1047" s="1" t="n">
        <v>4</v>
      </c>
      <c r="D1047" s="1" t="s">
        <v>38</v>
      </c>
      <c r="E1047" s="1"/>
      <c r="F1047" s="1"/>
      <c r="G1047" s="1" t="n">
        <v>160</v>
      </c>
      <c r="H1047" s="2" t="n">
        <v>650000</v>
      </c>
      <c r="I1047" s="2" t="n">
        <f aca="false">(((H1047 / 800) / IF(ISBLANK(R1047), 1000000, IF(ISNA(VLOOKUP(R1047, Mileages!$A$2:$C$34, 2, 0)), R1047, VLOOKUP(R1047, Mileages!$A$2:$C$34, 2, 0)))) + (F1047 * IF(ISBLANK(P1047), 1, P1047) * IF(ISBLANK(T1047), 0, IF(ISNA(VLOOKUP(T1047, 'Fuel Costs'!$A$2:$C$42, 2, 0)), T1047, VLOOKUP(T1047, 'Fuel Costs'!$A$2:$C$42, 2, 0))) / IF(ISBLANK(O1047), 1, O1047))) * 100</f>
        <v>0.06770833333</v>
      </c>
      <c r="J1047" s="2" t="n">
        <f aca="false">((H1047 / 800) / (IF(ISBLANK(S1047), 100, IF(ISNA(VLOOKUP(S1047, Lives!$A$2:$C$35, 2, 0)), S1047, VLOOKUP(S1047, Lives!$A$2:$C$35, 2, 0))) * 12) + (IF(ISBLANK(Q1047), 0, IF(ISNA(VLOOKUP(Q1047, Wages!$A$2:$C$17, 2, 0)), Q1047, VLOOKUP(Q1047, Wages!$A$2:$C$17, 2, 0))) * IF(ISBLANK(N1047), 0, IF(ISNA(VLOOKUP(N1047, Crews!$A$2:$C$28, 2, 0)), N1047, VLOOKUP(N1047, Crews!$A$2:$C$28, 2, 0))))) * 400</f>
        <v>5573.809524</v>
      </c>
      <c r="K1047" s="3" t="s">
        <v>2125</v>
      </c>
      <c r="L1047" s="1" t="s">
        <v>2123</v>
      </c>
      <c r="M1047" s="1" t="n">
        <v>2</v>
      </c>
      <c r="N1047" s="1" t="s">
        <v>25</v>
      </c>
      <c r="O1047" s="1"/>
      <c r="P1047" s="1"/>
      <c r="Q1047" s="1" t="s">
        <v>378</v>
      </c>
      <c r="R1047" s="1" t="s">
        <v>689</v>
      </c>
      <c r="S1047" s="1" t="s">
        <v>856</v>
      </c>
      <c r="T1047" s="1"/>
    </row>
    <row r="1048" customFormat="false" ht="15" hidden="false" customHeight="true" outlineLevel="0" collapsed="false">
      <c r="A1048" s="1" t="s">
        <v>2127</v>
      </c>
      <c r="B1048" s="1" t="n">
        <v>1907</v>
      </c>
      <c r="C1048" s="1" t="n">
        <v>4</v>
      </c>
      <c r="D1048" s="1" t="s">
        <v>38</v>
      </c>
      <c r="E1048" s="1"/>
      <c r="F1048" s="1"/>
      <c r="G1048" s="1" t="n">
        <v>160</v>
      </c>
      <c r="H1048" s="2" t="n">
        <v>657500</v>
      </c>
      <c r="I1048" s="2" t="n">
        <f aca="false">(((H1048 / 800) / IF(ISBLANK(R1048), 1000000, IF(ISNA(VLOOKUP(R1048, Mileages!$A$2:$C$34, 2, 0)), R1048, VLOOKUP(R1048, Mileages!$A$2:$C$34, 2, 0)))) + (F1048 * IF(ISBLANK(P1048), 1, P1048) * IF(ISBLANK(T1048), 0, IF(ISNA(VLOOKUP(T1048, 'Fuel Costs'!$A$2:$C$42, 2, 0)), T1048, VLOOKUP(T1048, 'Fuel Costs'!$A$2:$C$42, 2, 0))) / IF(ISBLANK(O1048), 1, O1048))) * 100</f>
        <v>0.06848958333</v>
      </c>
      <c r="J1048" s="2" t="n">
        <f aca="false">((H1048 / 800) / (IF(ISBLANK(S1048), 100, IF(ISNA(VLOOKUP(S1048, Lives!$A$2:$C$35, 2, 0)), S1048, VLOOKUP(S1048, Lives!$A$2:$C$35, 2, 0))) * 12) + (IF(ISBLANK(Q1048), 0, IF(ISNA(VLOOKUP(Q1048, Wages!$A$2:$C$17, 2, 0)), Q1048, VLOOKUP(Q1048, Wages!$A$2:$C$17, 2, 0))) * IF(ISBLANK(N1048), 0, IF(ISNA(VLOOKUP(N1048, Crews!$A$2:$C$28, 2, 0)), N1048, VLOOKUP(N1048, Crews!$A$2:$C$28, 2, 0))))) * 400</f>
        <v>24273.95833</v>
      </c>
      <c r="K1048" s="1" t="s">
        <v>2128</v>
      </c>
      <c r="L1048" s="1" t="s">
        <v>2123</v>
      </c>
      <c r="M1048" s="1" t="n">
        <v>3</v>
      </c>
      <c r="N1048" s="1" t="s">
        <v>551</v>
      </c>
      <c r="O1048" s="1"/>
      <c r="P1048" s="1"/>
      <c r="Q1048" s="1" t="s">
        <v>551</v>
      </c>
      <c r="R1048" s="1" t="s">
        <v>689</v>
      </c>
      <c r="S1048" s="1" t="s">
        <v>389</v>
      </c>
      <c r="T1048" s="1"/>
    </row>
    <row r="1049" customFormat="false" ht="15" hidden="false" customHeight="true" outlineLevel="0" collapsed="false">
      <c r="A1049" s="1" t="s">
        <v>2129</v>
      </c>
      <c r="B1049" s="1" t="n">
        <v>1907</v>
      </c>
      <c r="C1049" s="1" t="n">
        <v>4</v>
      </c>
      <c r="D1049" s="1" t="s">
        <v>38</v>
      </c>
      <c r="E1049" s="1"/>
      <c r="F1049" s="1"/>
      <c r="G1049" s="1" t="n">
        <v>160</v>
      </c>
      <c r="H1049" s="2" t="n">
        <v>675000</v>
      </c>
      <c r="I1049" s="2" t="n">
        <f aca="false">(((H1049 / 800) / IF(ISBLANK(R1049), 1000000, IF(ISNA(VLOOKUP(R1049, Mileages!$A$2:$C$34, 2, 0)), R1049, VLOOKUP(R1049, Mileages!$A$2:$C$34, 2, 0)))) + (F1049 * IF(ISBLANK(P1049), 1, P1049) * IF(ISBLANK(T1049), 0, IF(ISNA(VLOOKUP(T1049, 'Fuel Costs'!$A$2:$C$42, 2, 0)), T1049, VLOOKUP(T1049, 'Fuel Costs'!$A$2:$C$42, 2, 0))) / IF(ISBLANK(O1049), 1, O1049))) * 100</f>
        <v>0.0703125</v>
      </c>
      <c r="J1049" s="2" t="n">
        <f aca="false">((H1049 / 800) / (IF(ISBLANK(S1049), 100, IF(ISNA(VLOOKUP(S1049, Lives!$A$2:$C$35, 2, 0)), S1049, VLOOKUP(S1049, Lives!$A$2:$C$35, 2, 0))) * 12) + (IF(ISBLANK(Q1049), 0, IF(ISNA(VLOOKUP(Q1049, Wages!$A$2:$C$17, 2, 0)), Q1049, VLOOKUP(Q1049, Wages!$A$2:$C$17, 2, 0))) * IF(ISBLANK(N1049), 0, IF(ISNA(VLOOKUP(N1049, Crews!$A$2:$C$28, 2, 0)), N1049, VLOOKUP(N1049, Crews!$A$2:$C$28, 2, 0))))) * 400</f>
        <v>6803.571429</v>
      </c>
      <c r="K1049" s="1" t="s">
        <v>2130</v>
      </c>
      <c r="L1049" s="1" t="s">
        <v>2123</v>
      </c>
      <c r="M1049" s="1" t="n">
        <v>4</v>
      </c>
      <c r="N1049" s="1" t="s">
        <v>2131</v>
      </c>
      <c r="O1049" s="1"/>
      <c r="P1049" s="1"/>
      <c r="Q1049" s="1" t="s">
        <v>1481</v>
      </c>
      <c r="R1049" s="1" t="s">
        <v>689</v>
      </c>
      <c r="S1049" s="1" t="s">
        <v>856</v>
      </c>
      <c r="T1049" s="1"/>
    </row>
    <row r="1050" customFormat="false" ht="15" hidden="false" customHeight="true" outlineLevel="0" collapsed="false">
      <c r="A1050" s="1" t="s">
        <v>2132</v>
      </c>
      <c r="B1050" s="1" t="n">
        <v>1907</v>
      </c>
      <c r="C1050" s="1" t="n">
        <v>4</v>
      </c>
      <c r="D1050" s="1" t="s">
        <v>38</v>
      </c>
      <c r="E1050" s="1"/>
      <c r="F1050" s="1"/>
      <c r="G1050" s="1" t="n">
        <v>160</v>
      </c>
      <c r="H1050" s="2" t="n">
        <v>630000</v>
      </c>
      <c r="I1050" s="2" t="n">
        <f aca="false">(((H1050 / 800) / IF(ISBLANK(R1050), 1000000, IF(ISNA(VLOOKUP(R1050, Mileages!$A$2:$C$34, 2, 0)), R1050, VLOOKUP(R1050, Mileages!$A$2:$C$34, 2, 0)))) + (F1050 * IF(ISBLANK(P1050), 1, P1050) * IF(ISBLANK(T1050), 0, IF(ISNA(VLOOKUP(T1050, 'Fuel Costs'!$A$2:$C$42, 2, 0)), T1050, VLOOKUP(T1050, 'Fuel Costs'!$A$2:$C$42, 2, 0))) / IF(ISBLANK(O1050), 1, O1050))) * 100</f>
        <v>0.065625</v>
      </c>
      <c r="J1050" s="2" t="n">
        <f aca="false">((H1050 / 800) / (IF(ISBLANK(S1050), 100, IF(ISNA(VLOOKUP(S1050, Lives!$A$2:$C$35, 2, 0)), S1050, VLOOKUP(S1050, Lives!$A$2:$C$35, 2, 0))) * 12) + (IF(ISBLANK(Q1050), 0, IF(ISNA(VLOOKUP(Q1050, Wages!$A$2:$C$17, 2, 0)), Q1050, VLOOKUP(Q1050, Wages!$A$2:$C$17, 2, 0))) * IF(ISBLANK(N1050), 0, IF(ISNA(VLOOKUP(N1050, Crews!$A$2:$C$28, 2, 0)), N1050, VLOOKUP(N1050, Crews!$A$2:$C$28, 2, 0))))) * 400</f>
        <v>750</v>
      </c>
      <c r="K1050" s="1" t="s">
        <v>2133</v>
      </c>
      <c r="L1050" s="1" t="s">
        <v>2134</v>
      </c>
      <c r="M1050" s="1" t="n">
        <v>0</v>
      </c>
      <c r="N1050" s="1"/>
      <c r="O1050" s="1"/>
      <c r="P1050" s="1"/>
      <c r="Q1050" s="1"/>
      <c r="R1050" s="1" t="s">
        <v>689</v>
      </c>
      <c r="S1050" s="1" t="s">
        <v>856</v>
      </c>
      <c r="T1050" s="1"/>
    </row>
    <row r="1051" customFormat="false" ht="15" hidden="false" customHeight="true" outlineLevel="0" collapsed="false">
      <c r="A1051" s="1" t="s">
        <v>2135</v>
      </c>
      <c r="B1051" s="1" t="n">
        <v>1907</v>
      </c>
      <c r="C1051" s="1" t="n">
        <v>4</v>
      </c>
      <c r="D1051" s="1" t="s">
        <v>38</v>
      </c>
      <c r="E1051" s="1"/>
      <c r="F1051" s="1"/>
      <c r="G1051" s="1" t="n">
        <v>160</v>
      </c>
      <c r="H1051" s="2" t="n">
        <v>630000</v>
      </c>
      <c r="I1051" s="2" t="n">
        <f aca="false">(((H1051 / 800) / IF(ISBLANK(R1051), 1000000, IF(ISNA(VLOOKUP(R1051, Mileages!$A$2:$C$34, 2, 0)), R1051, VLOOKUP(R1051, Mileages!$A$2:$C$34, 2, 0)))) + (F1051 * IF(ISBLANK(P1051), 1, P1051) * IF(ISBLANK(T1051), 0, IF(ISNA(VLOOKUP(T1051, 'Fuel Costs'!$A$2:$C$42, 2, 0)), T1051, VLOOKUP(T1051, 'Fuel Costs'!$A$2:$C$42, 2, 0))) / IF(ISBLANK(O1051), 1, O1051))) * 100</f>
        <v>0.065625</v>
      </c>
      <c r="J1051" s="2" t="n">
        <f aca="false">((H1051 / 800) / (IF(ISBLANK(S1051), 100, IF(ISNA(VLOOKUP(S1051, Lives!$A$2:$C$35, 2, 0)), S1051, VLOOKUP(S1051, Lives!$A$2:$C$35, 2, 0))) * 12) + (IF(ISBLANK(Q1051), 0, IF(ISNA(VLOOKUP(Q1051, Wages!$A$2:$C$17, 2, 0)), Q1051, VLOOKUP(Q1051, Wages!$A$2:$C$17, 2, 0))) * IF(ISBLANK(N1051), 0, IF(ISNA(VLOOKUP(N1051, Crews!$A$2:$C$28, 2, 0)), N1051, VLOOKUP(N1051, Crews!$A$2:$C$28, 2, 0))))) * 400</f>
        <v>262.5</v>
      </c>
      <c r="K1051" s="1" t="s">
        <v>2136</v>
      </c>
      <c r="L1051" s="1" t="s">
        <v>2134</v>
      </c>
      <c r="M1051" s="1" t="n">
        <v>1</v>
      </c>
      <c r="N1051" s="1"/>
      <c r="O1051" s="1"/>
      <c r="P1051" s="1"/>
      <c r="Q1051" s="1"/>
      <c r="R1051" s="1" t="s">
        <v>689</v>
      </c>
      <c r="S1051" s="5" t="s">
        <v>389</v>
      </c>
      <c r="T1051" s="1"/>
    </row>
    <row r="1052" customFormat="false" ht="15" hidden="false" customHeight="true" outlineLevel="0" collapsed="false">
      <c r="A1052" s="1" t="s">
        <v>2137</v>
      </c>
      <c r="B1052" s="1" t="n">
        <v>1907</v>
      </c>
      <c r="C1052" s="1" t="n">
        <v>5</v>
      </c>
      <c r="D1052" s="1" t="s">
        <v>38</v>
      </c>
      <c r="E1052" s="1" t="s">
        <v>274</v>
      </c>
      <c r="F1052" s="1" t="n">
        <v>397</v>
      </c>
      <c r="G1052" s="1" t="n">
        <v>150</v>
      </c>
      <c r="H1052" s="2" t="n">
        <v>10752000</v>
      </c>
      <c r="I1052" s="2" t="n">
        <f aca="false">(((H1052 / 800) / IF(ISBLANK(R1052), 1000000, IF(ISNA(VLOOKUP(R1052, Mileages!$A$2:$C$34, 2, 0)), R1052, VLOOKUP(R1052, Mileages!$A$2:$C$34, 2, 0)))) + (F1052 * IF(ISBLANK(P1052), 1, P1052) * IF(ISBLANK(T1052), 0, IF(ISNA(VLOOKUP(T1052, 'Fuel Costs'!$A$2:$C$42, 2, 0)), T1052, VLOOKUP(T1052, 'Fuel Costs'!$A$2:$C$42, 2, 0))) / IF(ISBLANK(O1052), 1, O1052))) * 100</f>
        <v>171.4868571</v>
      </c>
      <c r="J1052" s="2" t="n">
        <f aca="false">((H1052 / 800) / (IF(ISBLANK(S1052), 100, IF(ISNA(VLOOKUP(S1052, Lives!$A$2:$C$35, 2, 0)), S1052, VLOOKUP(S1052, Lives!$A$2:$C$35, 2, 0))) * 12) + (IF(ISBLANK(Q1052), 0, IF(ISNA(VLOOKUP(Q1052, Wages!$A$2:$C$17, 2, 0)), Q1052, VLOOKUP(Q1052, Wages!$A$2:$C$17, 2, 0))) * IF(ISBLANK(N1052), 0, IF(ISNA(VLOOKUP(N1052, Crews!$A$2:$C$28, 2, 0)), N1052, VLOOKUP(N1052, Crews!$A$2:$C$28, 2, 0))))) * 400</f>
        <v>48960</v>
      </c>
      <c r="K1052" s="3" t="s">
        <v>2138</v>
      </c>
      <c r="L1052" s="1" t="s">
        <v>2139</v>
      </c>
      <c r="M1052" s="1" t="n">
        <v>0</v>
      </c>
      <c r="N1052" s="1" t="s">
        <v>1705</v>
      </c>
      <c r="O1052" s="1" t="n">
        <v>0.7</v>
      </c>
      <c r="P1052" s="1"/>
      <c r="Q1052" s="5" t="s">
        <v>284</v>
      </c>
      <c r="R1052" s="1" t="s">
        <v>677</v>
      </c>
      <c r="S1052" s="1" t="s">
        <v>677</v>
      </c>
      <c r="T1052" s="1" t="s">
        <v>1785</v>
      </c>
    </row>
    <row r="1053" customFormat="false" ht="15" hidden="false" customHeight="true" outlineLevel="0" collapsed="false">
      <c r="A1053" s="1" t="s">
        <v>2140</v>
      </c>
      <c r="B1053" s="1" t="n">
        <v>1907</v>
      </c>
      <c r="C1053" s="1" t="n">
        <v>5</v>
      </c>
      <c r="D1053" s="1" t="s">
        <v>38</v>
      </c>
      <c r="E1053" s="1"/>
      <c r="F1053" s="1" t="n">
        <v>0</v>
      </c>
      <c r="G1053" s="1" t="n">
        <v>150</v>
      </c>
      <c r="H1053" s="2" t="n">
        <v>0</v>
      </c>
      <c r="I1053" s="2" t="n">
        <f aca="false">(((H1053 / 800) / IF(ISBLANK(R1053), 1000000, IF(ISNA(VLOOKUP(R1053, Mileages!$A$2:$C$34, 2, 0)), R1053, VLOOKUP(R1053, Mileages!$A$2:$C$34, 2, 0)))) + (F1053 * IF(ISBLANK(P1053), 1, P1053) * IF(ISBLANK(T1053), 0, IF(ISNA(VLOOKUP(T1053, 'Fuel Costs'!$A$2:$C$42, 2, 0)), T1053, VLOOKUP(T1053, 'Fuel Costs'!$A$2:$C$42, 2, 0))) / IF(ISBLANK(O1053), 1, O1053))) * 100</f>
        <v>0</v>
      </c>
      <c r="J1053" s="2" t="n">
        <f aca="false">((H1053 / 800) / (IF(ISBLANK(S1053), 100, IF(ISNA(VLOOKUP(S1053, Lives!$A$2:$C$35, 2, 0)), S1053, VLOOKUP(S1053, Lives!$A$2:$C$35, 2, 0))) * 12) + (IF(ISBLANK(Q1053), 0, IF(ISNA(VLOOKUP(Q1053, Wages!$A$2:$C$17, 2, 0)), Q1053, VLOOKUP(Q1053, Wages!$A$2:$C$17, 2, 0))) * IF(ISBLANK(N1053), 0, IF(ISNA(VLOOKUP(N1053, Crews!$A$2:$C$28, 2, 0)), N1053, VLOOKUP(N1053, Crews!$A$2:$C$28, 2, 0))))) * 400</f>
        <v>0</v>
      </c>
      <c r="K1053" s="1"/>
      <c r="L1053" s="1" t="s">
        <v>2141</v>
      </c>
      <c r="M1053" s="1" t="n">
        <v>0</v>
      </c>
      <c r="N1053" s="1"/>
      <c r="O1053" s="1"/>
      <c r="P1053" s="1"/>
      <c r="Q1053" s="1"/>
      <c r="R1053" s="1"/>
      <c r="S1053" s="1"/>
      <c r="T1053" s="1"/>
    </row>
    <row r="1054" customFormat="false" ht="15" hidden="false" customHeight="true" outlineLevel="0" collapsed="false">
      <c r="A1054" s="1" t="s">
        <v>2142</v>
      </c>
      <c r="B1054" s="1" t="n">
        <v>1907</v>
      </c>
      <c r="C1054" s="1" t="n">
        <v>5</v>
      </c>
      <c r="D1054" s="1" t="s">
        <v>38</v>
      </c>
      <c r="E1054" s="1"/>
      <c r="F1054" s="1"/>
      <c r="G1054" s="1" t="n">
        <v>160</v>
      </c>
      <c r="H1054" s="2" t="n">
        <v>750000</v>
      </c>
      <c r="I1054" s="2" t="n">
        <f aca="false">(((H1054 / 800) / IF(ISBLANK(R1054), 1000000, IF(ISNA(VLOOKUP(R1054, Mileages!$A$2:$C$34, 2, 0)), R1054, VLOOKUP(R1054, Mileages!$A$2:$C$34, 2, 0)))) + (F1054 * IF(ISBLANK(P1054), 1, P1054) * IF(ISBLANK(T1054), 0, IF(ISNA(VLOOKUP(T1054, 'Fuel Costs'!$A$2:$C$42, 2, 0)), T1054, VLOOKUP(T1054, 'Fuel Costs'!$A$2:$C$42, 2, 0))) / IF(ISBLANK(O1054), 1, O1054))) * 100</f>
        <v>0.078125</v>
      </c>
      <c r="J1054" s="2" t="n">
        <f aca="false">((H1054 / 800) / (IF(ISBLANK(S1054), 100, IF(ISNA(VLOOKUP(S1054, Lives!$A$2:$C$35, 2, 0)), S1054, VLOOKUP(S1054, Lives!$A$2:$C$35, 2, 0))) * 12) + (IF(ISBLANK(Q1054), 0, IF(ISNA(VLOOKUP(Q1054, Wages!$A$2:$C$17, 2, 0)), Q1054, VLOOKUP(Q1054, Wages!$A$2:$C$17, 2, 0))) * IF(ISBLANK(N1054), 0, IF(ISNA(VLOOKUP(N1054, Crews!$A$2:$C$28, 2, 0)), N1054, VLOOKUP(N1054, Crews!$A$2:$C$28, 2, 0))))) * 400</f>
        <v>18892.85714</v>
      </c>
      <c r="K1054" s="1" t="s">
        <v>2143</v>
      </c>
      <c r="L1054" s="1" t="s">
        <v>1942</v>
      </c>
      <c r="M1054" s="1" t="n">
        <v>3</v>
      </c>
      <c r="N1054" s="1" t="s">
        <v>1481</v>
      </c>
      <c r="O1054" s="1"/>
      <c r="P1054" s="1"/>
      <c r="Q1054" s="1" t="s">
        <v>1481</v>
      </c>
      <c r="R1054" s="1" t="s">
        <v>689</v>
      </c>
      <c r="S1054" s="1" t="s">
        <v>856</v>
      </c>
      <c r="T1054" s="1"/>
    </row>
    <row r="1055" customFormat="false" ht="15" hidden="false" customHeight="true" outlineLevel="0" collapsed="false">
      <c r="A1055" s="1" t="s">
        <v>2144</v>
      </c>
      <c r="B1055" s="1" t="n">
        <v>1907</v>
      </c>
      <c r="C1055" s="1" t="n">
        <v>5</v>
      </c>
      <c r="D1055" s="1" t="s">
        <v>38</v>
      </c>
      <c r="E1055" s="1"/>
      <c r="F1055" s="1"/>
      <c r="G1055" s="1" t="n">
        <v>160</v>
      </c>
      <c r="H1055" s="2" t="n">
        <v>750000</v>
      </c>
      <c r="I1055" s="2" t="n">
        <f aca="false">(((H1055 / 800) / IF(ISBLANK(R1055), 1000000, IF(ISNA(VLOOKUP(R1055, Mileages!$A$2:$C$34, 2, 0)), R1055, VLOOKUP(R1055, Mileages!$A$2:$C$34, 2, 0)))) + (F1055 * IF(ISBLANK(P1055), 1, P1055) * IF(ISBLANK(T1055), 0, IF(ISNA(VLOOKUP(T1055, 'Fuel Costs'!$A$2:$C$42, 2, 0)), T1055, VLOOKUP(T1055, 'Fuel Costs'!$A$2:$C$42, 2, 0))) / IF(ISBLANK(O1055), 1, O1055))) * 100</f>
        <v>0.078125</v>
      </c>
      <c r="J1055" s="2" t="n">
        <f aca="false">((H1055 / 800) / (IF(ISBLANK(S1055), 100, IF(ISNA(VLOOKUP(S1055, Lives!$A$2:$C$35, 2, 0)), S1055, VLOOKUP(S1055, Lives!$A$2:$C$35, 2, 0))) * 12) + (IF(ISBLANK(Q1055), 0, IF(ISNA(VLOOKUP(Q1055, Wages!$A$2:$C$17, 2, 0)), Q1055, VLOOKUP(Q1055, Wages!$A$2:$C$17, 2, 0))) * IF(ISBLANK(N1055), 0, IF(ISNA(VLOOKUP(N1055, Crews!$A$2:$C$28, 2, 0)), N1055, VLOOKUP(N1055, Crews!$A$2:$C$28, 2, 0))))) * 400</f>
        <v>18892.85714</v>
      </c>
      <c r="K1055" s="1" t="s">
        <v>2143</v>
      </c>
      <c r="L1055" s="1" t="s">
        <v>1942</v>
      </c>
      <c r="M1055" s="1" t="n">
        <v>4</v>
      </c>
      <c r="N1055" s="1" t="s">
        <v>1481</v>
      </c>
      <c r="O1055" s="1"/>
      <c r="P1055" s="1"/>
      <c r="Q1055" s="1" t="s">
        <v>1481</v>
      </c>
      <c r="R1055" s="1" t="s">
        <v>689</v>
      </c>
      <c r="S1055" s="1" t="s">
        <v>856</v>
      </c>
      <c r="T1055" s="1"/>
    </row>
    <row r="1056" customFormat="false" ht="15" hidden="false" customHeight="true" outlineLevel="0" collapsed="false">
      <c r="A1056" s="1" t="s">
        <v>2145</v>
      </c>
      <c r="B1056" s="1" t="n">
        <v>1907</v>
      </c>
      <c r="C1056" s="1" t="n">
        <v>6</v>
      </c>
      <c r="D1056" s="1" t="s">
        <v>38</v>
      </c>
      <c r="E1056" s="1"/>
      <c r="F1056" s="1"/>
      <c r="G1056" s="1" t="n">
        <v>160</v>
      </c>
      <c r="H1056" s="2" t="n">
        <v>740000</v>
      </c>
      <c r="I1056" s="2" t="n">
        <f aca="false">(((H1056 / 800) / IF(ISBLANK(R1056), 1000000, IF(ISNA(VLOOKUP(R1056, Mileages!$A$2:$C$34, 2, 0)), R1056, VLOOKUP(R1056, Mileages!$A$2:$C$34, 2, 0)))) + (F1056 * IF(ISBLANK(P1056), 1, P1056) * IF(ISBLANK(T1056), 0, IF(ISNA(VLOOKUP(T1056, 'Fuel Costs'!$A$2:$C$42, 2, 0)), T1056, VLOOKUP(T1056, 'Fuel Costs'!$A$2:$C$42, 2, 0))) / IF(ISBLANK(O1056), 1, O1056))) * 100</f>
        <v>0.07708333333</v>
      </c>
      <c r="J1056" s="2" t="n">
        <f aca="false">((H1056 / 800) / (IF(ISBLANK(S1056), 100, IF(ISNA(VLOOKUP(S1056, Lives!$A$2:$C$35, 2, 0)), S1056, VLOOKUP(S1056, Lives!$A$2:$C$35, 2, 0))) * 12) + (IF(ISBLANK(Q1056), 0, IF(ISNA(VLOOKUP(Q1056, Wages!$A$2:$C$17, 2, 0)), Q1056, VLOOKUP(Q1056, Wages!$A$2:$C$17, 2, 0))) * IF(ISBLANK(N1056), 0, IF(ISNA(VLOOKUP(N1056, Crews!$A$2:$C$28, 2, 0)), N1056, VLOOKUP(N1056, Crews!$A$2:$C$28, 2, 0))))) * 400</f>
        <v>880.952381</v>
      </c>
      <c r="K1056" s="1" t="s">
        <v>437</v>
      </c>
      <c r="L1056" s="1" t="s">
        <v>2146</v>
      </c>
      <c r="M1056" s="1" t="n">
        <v>0</v>
      </c>
      <c r="N1056" s="1"/>
      <c r="O1056" s="1"/>
      <c r="P1056" s="1"/>
      <c r="Q1056" s="1"/>
      <c r="R1056" s="1" t="s">
        <v>689</v>
      </c>
      <c r="S1056" s="1" t="s">
        <v>856</v>
      </c>
      <c r="T1056" s="1"/>
    </row>
    <row r="1057" customFormat="false" ht="15" hidden="false" customHeight="true" outlineLevel="0" collapsed="false">
      <c r="A1057" s="1" t="s">
        <v>2147</v>
      </c>
      <c r="B1057" s="1" t="n">
        <v>1907</v>
      </c>
      <c r="C1057" s="1" t="n">
        <v>6</v>
      </c>
      <c r="D1057" s="1" t="s">
        <v>38</v>
      </c>
      <c r="E1057" s="1"/>
      <c r="F1057" s="1"/>
      <c r="G1057" s="1" t="n">
        <v>160</v>
      </c>
      <c r="H1057" s="2" t="n">
        <v>735000</v>
      </c>
      <c r="I1057" s="2" t="n">
        <f aca="false">(((H1057 / 800) / IF(ISBLANK(R1057), 1000000, IF(ISNA(VLOOKUP(R1057, Mileages!$A$2:$C$34, 2, 0)), R1057, VLOOKUP(R1057, Mileages!$A$2:$C$34, 2, 0)))) + (F1057 * IF(ISBLANK(P1057), 1, P1057) * IF(ISBLANK(T1057), 0, IF(ISNA(VLOOKUP(T1057, 'Fuel Costs'!$A$2:$C$42, 2, 0)), T1057, VLOOKUP(T1057, 'Fuel Costs'!$A$2:$C$42, 2, 0))) / IF(ISBLANK(O1057), 1, O1057))) * 100</f>
        <v>0.0765625</v>
      </c>
      <c r="J1057" s="2" t="n">
        <f aca="false">((H1057 / 800) / (IF(ISBLANK(S1057), 100, IF(ISNA(VLOOKUP(S1057, Lives!$A$2:$C$35, 2, 0)), S1057, VLOOKUP(S1057, Lives!$A$2:$C$35, 2, 0))) * 12) + (IF(ISBLANK(Q1057), 0, IF(ISNA(VLOOKUP(Q1057, Wages!$A$2:$C$17, 2, 0)), Q1057, VLOOKUP(Q1057, Wages!$A$2:$C$17, 2, 0))) * IF(ISBLANK(N1057), 0, IF(ISNA(VLOOKUP(N1057, Crews!$A$2:$C$28, 2, 0)), N1057, VLOOKUP(N1057, Crews!$A$2:$C$28, 2, 0))))) * 400</f>
        <v>5675</v>
      </c>
      <c r="K1057" s="1" t="s">
        <v>437</v>
      </c>
      <c r="L1057" s="1" t="s">
        <v>2146</v>
      </c>
      <c r="M1057" s="1" t="n">
        <v>1</v>
      </c>
      <c r="N1057" s="1" t="s">
        <v>25</v>
      </c>
      <c r="O1057" s="1"/>
      <c r="P1057" s="1"/>
      <c r="Q1057" s="1" t="s">
        <v>378</v>
      </c>
      <c r="R1057" s="1" t="s">
        <v>689</v>
      </c>
      <c r="S1057" s="1" t="s">
        <v>856</v>
      </c>
      <c r="T1057" s="1"/>
    </row>
    <row r="1058" customFormat="false" ht="15" hidden="false" customHeight="true" outlineLevel="0" collapsed="false">
      <c r="A1058" s="1" t="s">
        <v>2148</v>
      </c>
      <c r="B1058" s="1" t="n">
        <v>1907</v>
      </c>
      <c r="C1058" s="1" t="n">
        <v>6</v>
      </c>
      <c r="D1058" s="1" t="s">
        <v>38</v>
      </c>
      <c r="E1058" s="1"/>
      <c r="F1058" s="1"/>
      <c r="G1058" s="1" t="n">
        <v>160</v>
      </c>
      <c r="H1058" s="2" t="n">
        <v>735000</v>
      </c>
      <c r="I1058" s="2" t="n">
        <f aca="false">(((H1058 / 800) / IF(ISBLANK(R1058), 1000000, IF(ISNA(VLOOKUP(R1058, Mileages!$A$2:$C$34, 2, 0)), R1058, VLOOKUP(R1058, Mileages!$A$2:$C$34, 2, 0)))) + (F1058 * IF(ISBLANK(P1058), 1, P1058) * IF(ISBLANK(T1058), 0, IF(ISNA(VLOOKUP(T1058, 'Fuel Costs'!$A$2:$C$42, 2, 0)), T1058, VLOOKUP(T1058, 'Fuel Costs'!$A$2:$C$42, 2, 0))) / IF(ISBLANK(O1058), 1, O1058))) * 100</f>
        <v>0.0765625</v>
      </c>
      <c r="J1058" s="2" t="n">
        <f aca="false">((H1058 / 800) / (IF(ISBLANK(S1058), 100, IF(ISNA(VLOOKUP(S1058, Lives!$A$2:$C$35, 2, 0)), S1058, VLOOKUP(S1058, Lives!$A$2:$C$35, 2, 0))) * 12) + (IF(ISBLANK(Q1058), 0, IF(ISNA(VLOOKUP(Q1058, Wages!$A$2:$C$17, 2, 0)), Q1058, VLOOKUP(Q1058, Wages!$A$2:$C$17, 2, 0))) * IF(ISBLANK(N1058), 0, IF(ISNA(VLOOKUP(N1058, Crews!$A$2:$C$28, 2, 0)), N1058, VLOOKUP(N1058, Crews!$A$2:$C$28, 2, 0))))) * 400</f>
        <v>5675</v>
      </c>
      <c r="K1058" s="1" t="s">
        <v>437</v>
      </c>
      <c r="L1058" s="1" t="s">
        <v>2146</v>
      </c>
      <c r="M1058" s="1" t="n">
        <v>2</v>
      </c>
      <c r="N1058" s="1" t="s">
        <v>25</v>
      </c>
      <c r="O1058" s="1"/>
      <c r="P1058" s="1"/>
      <c r="Q1058" s="1" t="s">
        <v>378</v>
      </c>
      <c r="R1058" s="1" t="s">
        <v>689</v>
      </c>
      <c r="S1058" s="1" t="s">
        <v>856</v>
      </c>
      <c r="T1058" s="1"/>
    </row>
    <row r="1059" customFormat="false" ht="15" hidden="false" customHeight="true" outlineLevel="0" collapsed="false">
      <c r="A1059" s="1" t="s">
        <v>2149</v>
      </c>
      <c r="B1059" s="1" t="n">
        <v>1907</v>
      </c>
      <c r="C1059" s="1" t="n">
        <v>6</v>
      </c>
      <c r="D1059" s="1" t="s">
        <v>38</v>
      </c>
      <c r="E1059" s="1"/>
      <c r="F1059" s="1"/>
      <c r="G1059" s="1" t="n">
        <v>160</v>
      </c>
      <c r="H1059" s="2" t="n">
        <v>825000</v>
      </c>
      <c r="I1059" s="2" t="n">
        <f aca="false">(((H1059 / 800) / IF(ISBLANK(R1059), 1000000, IF(ISNA(VLOOKUP(R1059, Mileages!$A$2:$C$34, 2, 0)), R1059, VLOOKUP(R1059, Mileages!$A$2:$C$34, 2, 0)))) + (F1059 * IF(ISBLANK(P1059), 1, P1059) * IF(ISBLANK(T1059), 0, IF(ISNA(VLOOKUP(T1059, 'Fuel Costs'!$A$2:$C$42, 2, 0)), T1059, VLOOKUP(T1059, 'Fuel Costs'!$A$2:$C$42, 2, 0))) / IF(ISBLANK(O1059), 1, O1059))) * 100</f>
        <v>0.0859375</v>
      </c>
      <c r="J1059" s="2" t="n">
        <f aca="false">((H1059 / 800) / (IF(ISBLANK(S1059), 100, IF(ISNA(VLOOKUP(S1059, Lives!$A$2:$C$35, 2, 0)), S1059, VLOOKUP(S1059, Lives!$A$2:$C$35, 2, 0))) * 12) + (IF(ISBLANK(Q1059), 0, IF(ISNA(VLOOKUP(Q1059, Wages!$A$2:$C$17, 2, 0)), Q1059, VLOOKUP(Q1059, Wages!$A$2:$C$17, 2, 0))) * IF(ISBLANK(N1059), 0, IF(ISNA(VLOOKUP(N1059, Crews!$A$2:$C$28, 2, 0)), N1059, VLOOKUP(N1059, Crews!$A$2:$C$28, 2, 0))))) * 400</f>
        <v>18982.14286</v>
      </c>
      <c r="K1059" s="1" t="s">
        <v>437</v>
      </c>
      <c r="L1059" s="1" t="s">
        <v>2146</v>
      </c>
      <c r="M1059" s="1" t="n">
        <v>3</v>
      </c>
      <c r="N1059" s="1" t="s">
        <v>1481</v>
      </c>
      <c r="O1059" s="1"/>
      <c r="P1059" s="1"/>
      <c r="Q1059" s="1" t="s">
        <v>1481</v>
      </c>
      <c r="R1059" s="1" t="s">
        <v>689</v>
      </c>
      <c r="S1059" s="1" t="s">
        <v>856</v>
      </c>
      <c r="T1059" s="1"/>
    </row>
    <row r="1060" customFormat="false" ht="15" hidden="false" customHeight="true" outlineLevel="0" collapsed="false">
      <c r="A1060" s="1" t="s">
        <v>2150</v>
      </c>
      <c r="B1060" s="1" t="n">
        <v>1907</v>
      </c>
      <c r="C1060" s="1" t="n">
        <v>6</v>
      </c>
      <c r="D1060" s="1" t="s">
        <v>38</v>
      </c>
      <c r="E1060" s="1"/>
      <c r="F1060" s="1"/>
      <c r="G1060" s="1" t="n">
        <v>160</v>
      </c>
      <c r="H1060" s="2" t="n">
        <v>730000</v>
      </c>
      <c r="I1060" s="2" t="n">
        <f aca="false">(((H1060 / 800) / IF(ISBLANK(R1060), 1000000, IF(ISNA(VLOOKUP(R1060, Mileages!$A$2:$C$34, 2, 0)), R1060, VLOOKUP(R1060, Mileages!$A$2:$C$34, 2, 0)))) + (F1060 * IF(ISBLANK(P1060), 1, P1060) * IF(ISBLANK(T1060), 0, IF(ISNA(VLOOKUP(T1060, 'Fuel Costs'!$A$2:$C$42, 2, 0)), T1060, VLOOKUP(T1060, 'Fuel Costs'!$A$2:$C$42, 2, 0))) / IF(ISBLANK(O1060), 1, O1060))) * 100</f>
        <v>0.07604166667</v>
      </c>
      <c r="J1060" s="2" t="n">
        <f aca="false">((H1060 / 800) / (IF(ISBLANK(S1060), 100, IF(ISNA(VLOOKUP(S1060, Lives!$A$2:$C$35, 2, 0)), S1060, VLOOKUP(S1060, Lives!$A$2:$C$35, 2, 0))) * 12) + (IF(ISBLANK(Q1060), 0, IF(ISNA(VLOOKUP(Q1060, Wages!$A$2:$C$17, 2, 0)), Q1060, VLOOKUP(Q1060, Wages!$A$2:$C$17, 2, 0))) * IF(ISBLANK(N1060), 0, IF(ISNA(VLOOKUP(N1060, Crews!$A$2:$C$28, 2, 0)), N1060, VLOOKUP(N1060, Crews!$A$2:$C$28, 2, 0))))) * 400</f>
        <v>5669.047619</v>
      </c>
      <c r="K1060" s="1" t="s">
        <v>437</v>
      </c>
      <c r="L1060" s="1" t="s">
        <v>2146</v>
      </c>
      <c r="M1060" s="1" t="n">
        <v>4</v>
      </c>
      <c r="N1060" s="1" t="s">
        <v>25</v>
      </c>
      <c r="O1060" s="1"/>
      <c r="P1060" s="1"/>
      <c r="Q1060" s="1" t="s">
        <v>378</v>
      </c>
      <c r="R1060" s="1" t="s">
        <v>689</v>
      </c>
      <c r="S1060" s="1" t="s">
        <v>856</v>
      </c>
      <c r="T1060" s="1"/>
    </row>
    <row r="1061" customFormat="false" ht="15" hidden="false" customHeight="true" outlineLevel="0" collapsed="false">
      <c r="A1061" s="1" t="s">
        <v>2151</v>
      </c>
      <c r="B1061" s="1" t="n">
        <v>1907</v>
      </c>
      <c r="C1061" s="1" t="n">
        <v>6</v>
      </c>
      <c r="D1061" s="1" t="s">
        <v>38</v>
      </c>
      <c r="E1061" s="1"/>
      <c r="F1061" s="1"/>
      <c r="G1061" s="1" t="n">
        <v>160</v>
      </c>
      <c r="H1061" s="2" t="n">
        <v>730000</v>
      </c>
      <c r="I1061" s="2" t="n">
        <f aca="false">(((H1061 / 800) / IF(ISBLANK(R1061), 1000000, IF(ISNA(VLOOKUP(R1061, Mileages!$A$2:$C$34, 2, 0)), R1061, VLOOKUP(R1061, Mileages!$A$2:$C$34, 2, 0)))) + (F1061 * IF(ISBLANK(P1061), 1, P1061) * IF(ISBLANK(T1061), 0, IF(ISNA(VLOOKUP(T1061, 'Fuel Costs'!$A$2:$C$42, 2, 0)), T1061, VLOOKUP(T1061, 'Fuel Costs'!$A$2:$C$42, 2, 0))) / IF(ISBLANK(O1061), 1, O1061))) * 100</f>
        <v>0.07604166667</v>
      </c>
      <c r="J1061" s="2" t="n">
        <f aca="false">((H1061 / 800) / (IF(ISBLANK(S1061), 100, IF(ISNA(VLOOKUP(S1061, Lives!$A$2:$C$35, 2, 0)), S1061, VLOOKUP(S1061, Lives!$A$2:$C$35, 2, 0))) * 12) + (IF(ISBLANK(Q1061), 0, IF(ISNA(VLOOKUP(Q1061, Wages!$A$2:$C$17, 2, 0)), Q1061, VLOOKUP(Q1061, Wages!$A$2:$C$17, 2, 0))) * IF(ISBLANK(N1061), 0, IF(ISNA(VLOOKUP(N1061, Crews!$A$2:$C$28, 2, 0)), N1061, VLOOKUP(N1061, Crews!$A$2:$C$28, 2, 0))))) * 400</f>
        <v>304.1666667</v>
      </c>
      <c r="K1061" s="1" t="s">
        <v>437</v>
      </c>
      <c r="L1061" s="1" t="s">
        <v>2146</v>
      </c>
      <c r="M1061" s="1" t="n">
        <v>5</v>
      </c>
      <c r="N1061" s="1"/>
      <c r="O1061" s="1"/>
      <c r="P1061" s="1"/>
      <c r="Q1061" s="1"/>
      <c r="R1061" s="1" t="s">
        <v>689</v>
      </c>
      <c r="S1061" s="5" t="s">
        <v>389</v>
      </c>
      <c r="T1061" s="1"/>
    </row>
    <row r="1062" customFormat="false" ht="15" hidden="false" customHeight="true" outlineLevel="0" collapsed="false">
      <c r="A1062" s="1" t="s">
        <v>2152</v>
      </c>
      <c r="B1062" s="1" t="n">
        <v>1907</v>
      </c>
      <c r="C1062" s="1" t="n">
        <v>6</v>
      </c>
      <c r="D1062" s="1" t="s">
        <v>38</v>
      </c>
      <c r="E1062" s="1"/>
      <c r="F1062" s="1"/>
      <c r="G1062" s="1" t="n">
        <v>160</v>
      </c>
      <c r="H1062" s="2" t="n">
        <v>730000</v>
      </c>
      <c r="I1062" s="2" t="n">
        <f aca="false">(((H1062 / 800) / IF(ISBLANK(R1062), 1000000, IF(ISNA(VLOOKUP(R1062, Mileages!$A$2:$C$34, 2, 0)), R1062, VLOOKUP(R1062, Mileages!$A$2:$C$34, 2, 0)))) + (F1062 * IF(ISBLANK(P1062), 1, P1062) * IF(ISBLANK(T1062), 0, IF(ISNA(VLOOKUP(T1062, 'Fuel Costs'!$A$2:$C$42, 2, 0)), T1062, VLOOKUP(T1062, 'Fuel Costs'!$A$2:$C$42, 2, 0))) / IF(ISBLANK(O1062), 1, O1062))) * 100</f>
        <v>0.07604166667</v>
      </c>
      <c r="J1062" s="2" t="n">
        <f aca="false">((H1062 / 800) / (IF(ISBLANK(S1062), 100, IF(ISNA(VLOOKUP(S1062, Lives!$A$2:$C$35, 2, 0)), S1062, VLOOKUP(S1062, Lives!$A$2:$C$35, 2, 0))) * 12) + (IF(ISBLANK(Q1062), 0, IF(ISNA(VLOOKUP(Q1062, Wages!$A$2:$C$17, 2, 0)), Q1062, VLOOKUP(Q1062, Wages!$A$2:$C$17, 2, 0))) * IF(ISBLANK(N1062), 0, IF(ISNA(VLOOKUP(N1062, Crews!$A$2:$C$28, 2, 0)), N1062, VLOOKUP(N1062, Crews!$A$2:$C$28, 2, 0))))) * 400</f>
        <v>24304.16667</v>
      </c>
      <c r="K1062" s="1" t="s">
        <v>437</v>
      </c>
      <c r="L1062" s="1" t="s">
        <v>2146</v>
      </c>
      <c r="M1062" s="1" t="n">
        <v>6</v>
      </c>
      <c r="N1062" s="1" t="s">
        <v>551</v>
      </c>
      <c r="O1062" s="1"/>
      <c r="P1062" s="1"/>
      <c r="Q1062" s="1" t="s">
        <v>551</v>
      </c>
      <c r="R1062" s="1" t="s">
        <v>689</v>
      </c>
      <c r="S1062" s="1" t="s">
        <v>389</v>
      </c>
      <c r="T1062" s="1"/>
    </row>
    <row r="1063" customFormat="false" ht="15" hidden="false" customHeight="true" outlineLevel="0" collapsed="false">
      <c r="A1063" s="1" t="s">
        <v>2153</v>
      </c>
      <c r="B1063" s="1" t="n">
        <v>1907</v>
      </c>
      <c r="C1063" s="1" t="n">
        <v>6</v>
      </c>
      <c r="D1063" s="1" t="s">
        <v>38</v>
      </c>
      <c r="E1063" s="1" t="s">
        <v>274</v>
      </c>
      <c r="F1063" s="1" t="n">
        <v>271</v>
      </c>
      <c r="G1063" s="1" t="n">
        <v>85</v>
      </c>
      <c r="H1063" s="2" t="n">
        <v>3520000</v>
      </c>
      <c r="I1063" s="2" t="n">
        <f aca="false">(((H1063 / 800) / IF(ISBLANK(R1063), 1000000, IF(ISNA(VLOOKUP(R1063, Mileages!$A$2:$C$34, 2, 0)), R1063, VLOOKUP(R1063, Mileages!$A$2:$C$34, 2, 0)))) + (F1063 * IF(ISBLANK(P1063), 1, P1063) * IF(ISBLANK(T1063), 0, IF(ISNA(VLOOKUP(T1063, 'Fuel Costs'!$A$2:$C$42, 2, 0)), T1063, VLOOKUP(T1063, 'Fuel Costs'!$A$2:$C$42, 2, 0))) / IF(ISBLANK(O1063), 1, O1063))) * 100</f>
        <v>116.5828571</v>
      </c>
      <c r="J1063" s="2" t="n">
        <f aca="false">((H1063 / 800) / (IF(ISBLANK(S1063), 100, IF(ISNA(VLOOKUP(S1063, Lives!$A$2:$C$35, 2, 0)), S1063, VLOOKUP(S1063, Lives!$A$2:$C$35, 2, 0))) * 12) + (IF(ISBLANK(Q1063), 0, IF(ISNA(VLOOKUP(Q1063, Wages!$A$2:$C$17, 2, 0)), Q1063, VLOOKUP(Q1063, Wages!$A$2:$C$17, 2, 0))) * IF(ISBLANK(N1063), 0, IF(ISNA(VLOOKUP(N1063, Crews!$A$2:$C$28, 2, 0)), N1063, VLOOKUP(N1063, Crews!$A$2:$C$28, 2, 0))))) * 400</f>
        <v>26933.33333</v>
      </c>
      <c r="K1063" s="3" t="s">
        <v>2154</v>
      </c>
      <c r="L1063" s="1" t="s">
        <v>2155</v>
      </c>
      <c r="M1063" s="1" t="n">
        <v>0</v>
      </c>
      <c r="N1063" s="1" t="s">
        <v>590</v>
      </c>
      <c r="O1063" s="1" t="n">
        <v>0.7</v>
      </c>
      <c r="P1063" s="1"/>
      <c r="Q1063" s="5" t="s">
        <v>284</v>
      </c>
      <c r="R1063" s="1" t="s">
        <v>677</v>
      </c>
      <c r="S1063" s="1" t="s">
        <v>677</v>
      </c>
      <c r="T1063" s="1" t="s">
        <v>1785</v>
      </c>
    </row>
    <row r="1064" customFormat="false" ht="15" hidden="false" customHeight="true" outlineLevel="0" collapsed="false">
      <c r="A1064" s="1" t="s">
        <v>2156</v>
      </c>
      <c r="B1064" s="1" t="n">
        <v>1907</v>
      </c>
      <c r="C1064" s="1" t="n">
        <v>8</v>
      </c>
      <c r="D1064" s="1" t="s">
        <v>876</v>
      </c>
      <c r="E1064" s="1" t="s">
        <v>1346</v>
      </c>
      <c r="F1064" s="1" t="n">
        <v>63</v>
      </c>
      <c r="G1064" s="1" t="n">
        <v>32</v>
      </c>
      <c r="H1064" s="2" t="n">
        <v>420000</v>
      </c>
      <c r="I1064" s="2" t="n">
        <f aca="false">(((H1064 / 800) / IF(ISBLANK(R1064), 1000000, IF(ISNA(VLOOKUP(R1064, Mileages!$A$2:$C$34, 2, 0)), R1064, VLOOKUP(R1064, Mileages!$A$2:$C$34, 2, 0)))) + (F1064 * IF(ISBLANK(P1064), 1, P1064) * IF(ISBLANK(T1064), 0, IF(ISNA(VLOOKUP(T1064, 'Fuel Costs'!$A$2:$C$42, 2, 0)), T1064, VLOOKUP(T1064, 'Fuel Costs'!$A$2:$C$42, 2, 0))) / IF(ISBLANK(O1064), 1, O1064))) * 100</f>
        <v>37.8525</v>
      </c>
      <c r="J1064" s="2" t="n">
        <f aca="false">((H1064 / 800) / (IF(ISBLANK(S1064), 100, IF(ISNA(VLOOKUP(S1064, Lives!$A$2:$C$35, 2, 0)), S1064, VLOOKUP(S1064, Lives!$A$2:$C$35, 2, 0))) * 12) + (IF(ISBLANK(Q1064), 0, IF(ISNA(VLOOKUP(Q1064, Wages!$A$2:$C$17, 2, 0)), Q1064, VLOOKUP(Q1064, Wages!$A$2:$C$17, 2, 0))) * IF(ISBLANK(N1064), 0, IF(ISNA(VLOOKUP(N1064, Crews!$A$2:$C$28, 2, 0)), N1064, VLOOKUP(N1064, Crews!$A$2:$C$28, 2, 0))))) * 400</f>
        <v>6350</v>
      </c>
      <c r="K1064" s="3" t="s">
        <v>2157</v>
      </c>
      <c r="L1064" s="1" t="s">
        <v>2158</v>
      </c>
      <c r="M1064" s="1" t="n">
        <v>0</v>
      </c>
      <c r="N1064" s="1" t="s">
        <v>895</v>
      </c>
      <c r="O1064" s="1"/>
      <c r="P1064" s="1"/>
      <c r="Q1064" s="1" t="s">
        <v>895</v>
      </c>
      <c r="R1064" s="1" t="s">
        <v>1349</v>
      </c>
      <c r="S1064" s="1" t="s">
        <v>1350</v>
      </c>
      <c r="T1064" s="1" t="s">
        <v>1351</v>
      </c>
    </row>
    <row r="1065" customFormat="false" ht="15" hidden="false" customHeight="true" outlineLevel="0" collapsed="false">
      <c r="A1065" s="1" t="s">
        <v>2159</v>
      </c>
      <c r="B1065" s="1" t="n">
        <v>1907</v>
      </c>
      <c r="C1065" s="1" t="n">
        <v>8</v>
      </c>
      <c r="D1065" s="1" t="s">
        <v>38</v>
      </c>
      <c r="E1065" s="1"/>
      <c r="F1065" s="1"/>
      <c r="G1065" s="1" t="n">
        <v>140</v>
      </c>
      <c r="H1065" s="2" t="n">
        <v>432000</v>
      </c>
      <c r="I1065" s="2" t="n">
        <f aca="false">(((H1065 / 800) / IF(ISBLANK(R1065), 1000000, IF(ISNA(VLOOKUP(R1065, Mileages!$A$2:$C$34, 2, 0)), R1065, VLOOKUP(R1065, Mileages!$A$2:$C$34, 2, 0)))) + (F1065 * IF(ISBLANK(P1065), 1, P1065) * IF(ISBLANK(T1065), 0, IF(ISNA(VLOOKUP(T1065, 'Fuel Costs'!$A$2:$C$42, 2, 0)), T1065, VLOOKUP(T1065, 'Fuel Costs'!$A$2:$C$42, 2, 0))) / IF(ISBLANK(O1065), 1, O1065))) * 100</f>
        <v>0.045</v>
      </c>
      <c r="J1065" s="2" t="n">
        <f aca="false">((H1065 / 800) / (IF(ISBLANK(S1065), 100, IF(ISNA(VLOOKUP(S1065, Lives!$A$2:$C$35, 2, 0)), S1065, VLOOKUP(S1065, Lives!$A$2:$C$35, 2, 0))) * 12) + (IF(ISBLANK(Q1065), 0, IF(ISNA(VLOOKUP(Q1065, Wages!$A$2:$C$17, 2, 0)), Q1065, VLOOKUP(Q1065, Wages!$A$2:$C$17, 2, 0))) * IF(ISBLANK(N1065), 0, IF(ISNA(VLOOKUP(N1065, Crews!$A$2:$C$28, 2, 0)), N1065, VLOOKUP(N1065, Crews!$A$2:$C$28, 2, 0))))) * 400</f>
        <v>514.2857143</v>
      </c>
      <c r="K1065" s="1" t="s">
        <v>2160</v>
      </c>
      <c r="L1065" s="1" t="s">
        <v>1877</v>
      </c>
      <c r="M1065" s="1" t="n">
        <v>3</v>
      </c>
      <c r="N1065" s="1"/>
      <c r="O1065" s="1"/>
      <c r="P1065" s="1"/>
      <c r="Q1065" s="1"/>
      <c r="R1065" s="1" t="s">
        <v>689</v>
      </c>
      <c r="S1065" s="1" t="s">
        <v>856</v>
      </c>
      <c r="T1065" s="1"/>
    </row>
    <row r="1066" customFormat="false" ht="15" hidden="false" customHeight="true" outlineLevel="0" collapsed="false">
      <c r="A1066" s="1" t="s">
        <v>2161</v>
      </c>
      <c r="B1066" s="1" t="n">
        <v>1907</v>
      </c>
      <c r="C1066" s="1" t="n">
        <v>8</v>
      </c>
      <c r="D1066" s="1" t="s">
        <v>38</v>
      </c>
      <c r="E1066" s="1"/>
      <c r="F1066" s="1"/>
      <c r="G1066" s="1" t="n">
        <v>140</v>
      </c>
      <c r="H1066" s="2" t="n">
        <v>432000</v>
      </c>
      <c r="I1066" s="2" t="n">
        <f aca="false">(((H1066 / 800) / IF(ISBLANK(R1066), 1000000, IF(ISNA(VLOOKUP(R1066, Mileages!$A$2:$C$34, 2, 0)), R1066, VLOOKUP(R1066, Mileages!$A$2:$C$34, 2, 0)))) + (F1066 * IF(ISBLANK(P1066), 1, P1066) * IF(ISBLANK(T1066), 0, IF(ISNA(VLOOKUP(T1066, 'Fuel Costs'!$A$2:$C$42, 2, 0)), T1066, VLOOKUP(T1066, 'Fuel Costs'!$A$2:$C$42, 2, 0))) / IF(ISBLANK(O1066), 1, O1066))) * 100</f>
        <v>0.045</v>
      </c>
      <c r="J1066" s="2" t="n">
        <f aca="false">((H1066 / 800) / (IF(ISBLANK(S1066), 100, IF(ISNA(VLOOKUP(S1066, Lives!$A$2:$C$35, 2, 0)), S1066, VLOOKUP(S1066, Lives!$A$2:$C$35, 2, 0))) * 12) + (IF(ISBLANK(Q1066), 0, IF(ISNA(VLOOKUP(Q1066, Wages!$A$2:$C$17, 2, 0)), Q1066, VLOOKUP(Q1066, Wages!$A$2:$C$17, 2, 0))) * IF(ISBLANK(N1066), 0, IF(ISNA(VLOOKUP(N1066, Crews!$A$2:$C$28, 2, 0)), N1066, VLOOKUP(N1066, Crews!$A$2:$C$28, 2, 0))))) * 400</f>
        <v>514.2857143</v>
      </c>
      <c r="K1066" s="1"/>
      <c r="L1066" s="1" t="s">
        <v>1877</v>
      </c>
      <c r="M1066" s="1" t="n">
        <v>4</v>
      </c>
      <c r="N1066" s="1"/>
      <c r="O1066" s="1"/>
      <c r="P1066" s="1"/>
      <c r="Q1066" s="1"/>
      <c r="R1066" s="1" t="s">
        <v>689</v>
      </c>
      <c r="S1066" s="1" t="s">
        <v>856</v>
      </c>
      <c r="T1066" s="1"/>
    </row>
    <row r="1067" customFormat="false" ht="15" hidden="false" customHeight="true" outlineLevel="0" collapsed="false">
      <c r="A1067" s="1" t="s">
        <v>2162</v>
      </c>
      <c r="B1067" s="1" t="n">
        <v>1907</v>
      </c>
      <c r="C1067" s="1" t="n">
        <v>8</v>
      </c>
      <c r="D1067" s="1" t="s">
        <v>38</v>
      </c>
      <c r="E1067" s="1"/>
      <c r="F1067" s="1"/>
      <c r="G1067" s="1" t="n">
        <v>160</v>
      </c>
      <c r="H1067" s="2" t="n">
        <v>560000</v>
      </c>
      <c r="I1067" s="2" t="n">
        <f aca="false">(((H1067 / 800) / IF(ISBLANK(R1067), 1000000, IF(ISNA(VLOOKUP(R1067, Mileages!$A$2:$C$34, 2, 0)), R1067, VLOOKUP(R1067, Mileages!$A$2:$C$34, 2, 0)))) + (F1067 * IF(ISBLANK(P1067), 1, P1067) * IF(ISBLANK(T1067), 0, IF(ISNA(VLOOKUP(T1067, 'Fuel Costs'!$A$2:$C$42, 2, 0)), T1067, VLOOKUP(T1067, 'Fuel Costs'!$A$2:$C$42, 2, 0))) / IF(ISBLANK(O1067), 1, O1067))) * 100</f>
        <v>0.05833333333</v>
      </c>
      <c r="J1067" s="2" t="n">
        <f aca="false">((H1067 / 800) / (IF(ISBLANK(S1067), 100, IF(ISNA(VLOOKUP(S1067, Lives!$A$2:$C$35, 2, 0)), S1067, VLOOKUP(S1067, Lives!$A$2:$C$35, 2, 0))) * 12) + (IF(ISBLANK(Q1067), 0, IF(ISNA(VLOOKUP(Q1067, Wages!$A$2:$C$17, 2, 0)), Q1067, VLOOKUP(Q1067, Wages!$A$2:$C$17, 2, 0))) * IF(ISBLANK(N1067), 0, IF(ISNA(VLOOKUP(N1067, Crews!$A$2:$C$28, 2, 0)), N1067, VLOOKUP(N1067, Crews!$A$2:$C$28, 2, 0))))) * 400</f>
        <v>5466.666667</v>
      </c>
      <c r="K1067" s="3" t="s">
        <v>2163</v>
      </c>
      <c r="L1067" s="1" t="s">
        <v>2164</v>
      </c>
      <c r="M1067" s="1" t="n">
        <v>0</v>
      </c>
      <c r="N1067" s="1" t="s">
        <v>25</v>
      </c>
      <c r="O1067" s="1"/>
      <c r="P1067" s="1"/>
      <c r="Q1067" s="1" t="s">
        <v>378</v>
      </c>
      <c r="R1067" s="1" t="s">
        <v>689</v>
      </c>
      <c r="S1067" s="1" t="s">
        <v>856</v>
      </c>
      <c r="T1067" s="1"/>
    </row>
    <row r="1068" customFormat="false" ht="15" hidden="false" customHeight="true" outlineLevel="0" collapsed="false">
      <c r="A1068" s="1" t="s">
        <v>2165</v>
      </c>
      <c r="B1068" s="1" t="n">
        <v>1907</v>
      </c>
      <c r="C1068" s="1" t="n">
        <v>8</v>
      </c>
      <c r="D1068" s="1" t="s">
        <v>38</v>
      </c>
      <c r="E1068" s="1"/>
      <c r="F1068" s="1"/>
      <c r="G1068" s="1" t="n">
        <v>160</v>
      </c>
      <c r="H1068" s="2" t="n">
        <v>560000</v>
      </c>
      <c r="I1068" s="2" t="n">
        <f aca="false">(((H1068 / 800) / IF(ISBLANK(R1068), 1000000, IF(ISNA(VLOOKUP(R1068, Mileages!$A$2:$C$34, 2, 0)), R1068, VLOOKUP(R1068, Mileages!$A$2:$C$34, 2, 0)))) + (F1068 * IF(ISBLANK(P1068), 1, P1068) * IF(ISBLANK(T1068), 0, IF(ISNA(VLOOKUP(T1068, 'Fuel Costs'!$A$2:$C$42, 2, 0)), T1068, VLOOKUP(T1068, 'Fuel Costs'!$A$2:$C$42, 2, 0))) / IF(ISBLANK(O1068), 1, O1068))) * 100</f>
        <v>0.05833333333</v>
      </c>
      <c r="J1068" s="2" t="n">
        <f aca="false">((H1068 / 800) / (IF(ISBLANK(S1068), 100, IF(ISNA(VLOOKUP(S1068, Lives!$A$2:$C$35, 2, 0)), S1068, VLOOKUP(S1068, Lives!$A$2:$C$35, 2, 0))) * 12) + (IF(ISBLANK(Q1068), 0, IF(ISNA(VLOOKUP(Q1068, Wages!$A$2:$C$17, 2, 0)), Q1068, VLOOKUP(Q1068, Wages!$A$2:$C$17, 2, 0))) * IF(ISBLANK(N1068), 0, IF(ISNA(VLOOKUP(N1068, Crews!$A$2:$C$28, 2, 0)), N1068, VLOOKUP(N1068, Crews!$A$2:$C$28, 2, 0))))) * 400</f>
        <v>5466.666667</v>
      </c>
      <c r="K1068" s="1"/>
      <c r="L1068" s="1" t="s">
        <v>2164</v>
      </c>
      <c r="M1068" s="1" t="n">
        <v>1</v>
      </c>
      <c r="N1068" s="1" t="s">
        <v>25</v>
      </c>
      <c r="O1068" s="1"/>
      <c r="P1068" s="1"/>
      <c r="Q1068" s="1" t="s">
        <v>378</v>
      </c>
      <c r="R1068" s="1" t="s">
        <v>689</v>
      </c>
      <c r="S1068" s="1" t="s">
        <v>856</v>
      </c>
      <c r="T1068" s="1"/>
    </row>
    <row r="1069" customFormat="false" ht="15" hidden="false" customHeight="true" outlineLevel="0" collapsed="false">
      <c r="A1069" s="1" t="s">
        <v>2166</v>
      </c>
      <c r="B1069" s="1" t="n">
        <v>1907</v>
      </c>
      <c r="C1069" s="1" t="n">
        <v>8</v>
      </c>
      <c r="D1069" s="1" t="s">
        <v>38</v>
      </c>
      <c r="E1069" s="1"/>
      <c r="F1069" s="1"/>
      <c r="G1069" s="1" t="n">
        <v>160</v>
      </c>
      <c r="H1069" s="2" t="n">
        <v>560000</v>
      </c>
      <c r="I1069" s="2" t="n">
        <f aca="false">(((H1069 / 800) / IF(ISBLANK(R1069), 1000000, IF(ISNA(VLOOKUP(R1069, Mileages!$A$2:$C$34, 2, 0)), R1069, VLOOKUP(R1069, Mileages!$A$2:$C$34, 2, 0)))) + (F1069 * IF(ISBLANK(P1069), 1, P1069) * IF(ISBLANK(T1069), 0, IF(ISNA(VLOOKUP(T1069, 'Fuel Costs'!$A$2:$C$42, 2, 0)), T1069, VLOOKUP(T1069, 'Fuel Costs'!$A$2:$C$42, 2, 0))) / IF(ISBLANK(O1069), 1, O1069))) * 100</f>
        <v>0.05833333333</v>
      </c>
      <c r="J1069" s="2" t="n">
        <f aca="false">((H1069 / 800) / (IF(ISBLANK(S1069), 100, IF(ISNA(VLOOKUP(S1069, Lives!$A$2:$C$35, 2, 0)), S1069, VLOOKUP(S1069, Lives!$A$2:$C$35, 2, 0))) * 12) + (IF(ISBLANK(Q1069), 0, IF(ISNA(VLOOKUP(Q1069, Wages!$A$2:$C$17, 2, 0)), Q1069, VLOOKUP(Q1069, Wages!$A$2:$C$17, 2, 0))) * IF(ISBLANK(N1069), 0, IF(ISNA(VLOOKUP(N1069, Crews!$A$2:$C$28, 2, 0)), N1069, VLOOKUP(N1069, Crews!$A$2:$C$28, 2, 0))))) * 400</f>
        <v>666.6666667</v>
      </c>
      <c r="K1069" s="1" t="s">
        <v>2167</v>
      </c>
      <c r="L1069" s="1" t="s">
        <v>2164</v>
      </c>
      <c r="M1069" s="1" t="n">
        <v>2</v>
      </c>
      <c r="N1069" s="1"/>
      <c r="O1069" s="1"/>
      <c r="P1069" s="1"/>
      <c r="Q1069" s="1"/>
      <c r="R1069" s="1" t="s">
        <v>689</v>
      </c>
      <c r="S1069" s="1" t="s">
        <v>856</v>
      </c>
      <c r="T1069" s="1"/>
    </row>
    <row r="1070" customFormat="false" ht="15" hidden="false" customHeight="true" outlineLevel="0" collapsed="false">
      <c r="A1070" s="1" t="s">
        <v>2168</v>
      </c>
      <c r="B1070" s="1" t="n">
        <v>1907</v>
      </c>
      <c r="C1070" s="1" t="n">
        <v>8</v>
      </c>
      <c r="D1070" s="1" t="s">
        <v>876</v>
      </c>
      <c r="E1070" s="1" t="s">
        <v>1346</v>
      </c>
      <c r="F1070" s="1" t="n">
        <v>52</v>
      </c>
      <c r="G1070" s="1" t="n">
        <v>32</v>
      </c>
      <c r="H1070" s="2" t="n">
        <v>375000</v>
      </c>
      <c r="I1070" s="2" t="n">
        <f aca="false">(((H1070 / 800) / IF(ISBLANK(R1070), 1000000, IF(ISNA(VLOOKUP(R1070, Mileages!$A$2:$C$34, 2, 0)), R1070, VLOOKUP(R1070, Mileages!$A$2:$C$34, 2, 0)))) + (F1070 * IF(ISBLANK(P1070), 1, P1070) * IF(ISBLANK(T1070), 0, IF(ISNA(VLOOKUP(T1070, 'Fuel Costs'!$A$2:$C$42, 2, 0)), T1070, VLOOKUP(T1070, 'Fuel Costs'!$A$2:$C$42, 2, 0))) / IF(ISBLANK(O1070), 1, O1070))) * 100</f>
        <v>31.246875</v>
      </c>
      <c r="J1070" s="2" t="n">
        <f aca="false">((H1070 / 800) / (IF(ISBLANK(S1070), 100, IF(ISNA(VLOOKUP(S1070, Lives!$A$2:$C$35, 2, 0)), S1070, VLOOKUP(S1070, Lives!$A$2:$C$35, 2, 0))) * 12) + (IF(ISBLANK(Q1070), 0, IF(ISNA(VLOOKUP(Q1070, Wages!$A$2:$C$17, 2, 0)), Q1070, VLOOKUP(Q1070, Wages!$A$2:$C$17, 2, 0))) * IF(ISBLANK(N1070), 0, IF(ISNA(VLOOKUP(N1070, Crews!$A$2:$C$28, 2, 0)), N1070, VLOOKUP(N1070, Crews!$A$2:$C$28, 2, 0))))) * 400</f>
        <v>6312.5</v>
      </c>
      <c r="K1070" s="3" t="s">
        <v>2169</v>
      </c>
      <c r="L1070" s="1" t="s">
        <v>2170</v>
      </c>
      <c r="M1070" s="1" t="n">
        <v>0</v>
      </c>
      <c r="N1070" s="1" t="s">
        <v>895</v>
      </c>
      <c r="O1070" s="1"/>
      <c r="P1070" s="1"/>
      <c r="Q1070" s="1" t="s">
        <v>895</v>
      </c>
      <c r="R1070" s="1" t="s">
        <v>1349</v>
      </c>
      <c r="S1070" s="1" t="s">
        <v>1350</v>
      </c>
      <c r="T1070" s="1" t="s">
        <v>1351</v>
      </c>
    </row>
    <row r="1071" customFormat="false" ht="15" hidden="false" customHeight="true" outlineLevel="0" collapsed="false">
      <c r="A1071" s="1" t="s">
        <v>2171</v>
      </c>
      <c r="B1071" s="1" t="n">
        <v>1907</v>
      </c>
      <c r="C1071" s="1" t="n">
        <v>9</v>
      </c>
      <c r="D1071" s="1" t="s">
        <v>38</v>
      </c>
      <c r="E1071" s="1" t="s">
        <v>1346</v>
      </c>
      <c r="F1071" s="1" t="n">
        <v>640</v>
      </c>
      <c r="G1071" s="1" t="n">
        <v>80</v>
      </c>
      <c r="H1071" s="2" t="n">
        <v>897500</v>
      </c>
      <c r="I1071" s="2" t="n">
        <f aca="false">(((H1071 / 800) / IF(ISBLANK(R1071), 1000000, IF(ISNA(VLOOKUP(R1071, Mileages!$A$2:$C$34, 2, 0)), R1071, VLOOKUP(R1071, Mileages!$A$2:$C$34, 2, 0)))) + (F1071 * IF(ISBLANK(P1071), 1, P1071) * IF(ISBLANK(T1071), 0, IF(ISNA(VLOOKUP(T1071, 'Fuel Costs'!$A$2:$C$42, 2, 0)), T1071, VLOOKUP(T1071, 'Fuel Costs'!$A$2:$C$42, 2, 0))) / IF(ISBLANK(O1071), 1, O1071))) * 100</f>
        <v>384.1495833</v>
      </c>
      <c r="J1071" s="2" t="n">
        <f aca="false">((H1071 / 800) / (IF(ISBLANK(S1071), 100, IF(ISNA(VLOOKUP(S1071, Lives!$A$2:$C$35, 2, 0)), S1071, VLOOKUP(S1071, Lives!$A$2:$C$35, 2, 0))) * 12) + (IF(ISBLANK(Q1071), 0, IF(ISNA(VLOOKUP(Q1071, Wages!$A$2:$C$17, 2, 0)), Q1071, VLOOKUP(Q1071, Wages!$A$2:$C$17, 2, 0))) * IF(ISBLANK(N1071), 0, IF(ISNA(VLOOKUP(N1071, Crews!$A$2:$C$28, 2, 0)), N1071, VLOOKUP(N1071, Crews!$A$2:$C$28, 2, 0))))) * 400</f>
        <v>10934.89583</v>
      </c>
      <c r="K1071" s="1" t="s">
        <v>2172</v>
      </c>
      <c r="L1071" s="1" t="s">
        <v>2173</v>
      </c>
      <c r="M1071" s="1" t="n">
        <v>0</v>
      </c>
      <c r="N1071" s="1" t="s">
        <v>1488</v>
      </c>
      <c r="O1071" s="1" t="n">
        <v>1</v>
      </c>
      <c r="P1071" s="1"/>
      <c r="Q1071" s="1" t="str">
        <f aca="false">IF(ISBLANK('Pak128 Britain In'!$N1071),,'Pak128 Britain In'!$N1071)</f>
        <v>ElectricDriverRail</v>
      </c>
      <c r="R1071" s="1" t="s">
        <v>1489</v>
      </c>
      <c r="S1071" s="1" t="s">
        <v>1489</v>
      </c>
      <c r="T1071" s="1" t="s">
        <v>1351</v>
      </c>
    </row>
    <row r="1072" customFormat="false" ht="15" hidden="false" customHeight="true" outlineLevel="0" collapsed="false">
      <c r="A1072" s="1" t="s">
        <v>2174</v>
      </c>
      <c r="B1072" s="1" t="n">
        <v>1907</v>
      </c>
      <c r="C1072" s="1" t="n">
        <v>10</v>
      </c>
      <c r="D1072" s="1" t="s">
        <v>38</v>
      </c>
      <c r="E1072" s="1" t="s">
        <v>274</v>
      </c>
      <c r="F1072" s="1" t="n">
        <v>243</v>
      </c>
      <c r="G1072" s="1" t="n">
        <v>132</v>
      </c>
      <c r="H1072" s="2" t="n">
        <v>5900000</v>
      </c>
      <c r="I1072" s="2" t="n">
        <f aca="false">(((H1072 / 800) / IF(ISBLANK(R1072), 1000000, IF(ISNA(VLOOKUP(R1072, Mileages!$A$2:$C$34, 2, 0)), R1072, VLOOKUP(R1072, Mileages!$A$2:$C$34, 2, 0)))) + (F1072 * IF(ISBLANK(P1072), 1, P1072) * IF(ISBLANK(T1072), 0, IF(ISNA(VLOOKUP(T1072, 'Fuel Costs'!$A$2:$C$42, 2, 0)), T1072, VLOOKUP(T1072, 'Fuel Costs'!$A$2:$C$42, 2, 0))) / IF(ISBLANK(O1072), 1, O1072))) * 100</f>
        <v>104.8803571</v>
      </c>
      <c r="J1072" s="2" t="n">
        <f aca="false">((H1072 / 800) / (IF(ISBLANK(S1072), 100, IF(ISNA(VLOOKUP(S1072, Lives!$A$2:$C$35, 2, 0)), S1072, VLOOKUP(S1072, Lives!$A$2:$C$35, 2, 0))) * 12) + (IF(ISBLANK(Q1072), 0, IF(ISNA(VLOOKUP(Q1072, Wages!$A$2:$C$17, 2, 0)), Q1072, VLOOKUP(Q1072, Wages!$A$2:$C$17, 2, 0))) * IF(ISBLANK(N1072), 0, IF(ISNA(VLOOKUP(N1072, Crews!$A$2:$C$28, 2, 0)), N1072, VLOOKUP(N1072, Crews!$A$2:$C$28, 2, 0))))) * 400</f>
        <v>28916.66667</v>
      </c>
      <c r="K1072" s="3" t="s">
        <v>1586</v>
      </c>
      <c r="L1072" s="1" t="s">
        <v>2175</v>
      </c>
      <c r="M1072" s="1" t="n">
        <v>0</v>
      </c>
      <c r="N1072" s="1" t="s">
        <v>590</v>
      </c>
      <c r="O1072" s="1" t="n">
        <v>0.7</v>
      </c>
      <c r="P1072" s="1"/>
      <c r="Q1072" s="5" t="s">
        <v>284</v>
      </c>
      <c r="R1072" s="1" t="s">
        <v>677</v>
      </c>
      <c r="S1072" s="1" t="s">
        <v>677</v>
      </c>
      <c r="T1072" s="1" t="s">
        <v>1785</v>
      </c>
    </row>
    <row r="1073" customFormat="false" ht="15" hidden="false" customHeight="true" outlineLevel="0" collapsed="false">
      <c r="A1073" s="1" t="s">
        <v>2176</v>
      </c>
      <c r="B1073" s="1" t="n">
        <v>1907</v>
      </c>
      <c r="C1073" s="1" t="n">
        <v>12</v>
      </c>
      <c r="D1073" s="1" t="s">
        <v>21</v>
      </c>
      <c r="E1073" s="1" t="s">
        <v>1839</v>
      </c>
      <c r="F1073" s="1" t="n">
        <v>15</v>
      </c>
      <c r="G1073" s="1" t="n">
        <v>30</v>
      </c>
      <c r="H1073" s="2" t="n">
        <v>92000</v>
      </c>
      <c r="I1073" s="2" t="n">
        <f aca="false">(((H1073 / 800) / IF(ISBLANK(R1073), 1000000, IF(ISNA(VLOOKUP(R1073, Mileages!$A$2:$C$34, 2, 0)), R1073, VLOOKUP(R1073, Mileages!$A$2:$C$34, 2, 0)))) + (F1073 * IF(ISBLANK(P1073), 1, P1073) * IF(ISBLANK(T1073), 0, IF(ISNA(VLOOKUP(T1073, 'Fuel Costs'!$A$2:$C$42, 2, 0)), T1073, VLOOKUP(T1073, 'Fuel Costs'!$A$2:$C$42, 2, 0))) / IF(ISBLANK(O1073), 1, O1073))) * 100</f>
        <v>17.523</v>
      </c>
      <c r="J1073" s="2" t="n">
        <f aca="false">((H1073 / 800) / (IF(ISBLANK(S1073), 100, IF(ISNA(VLOOKUP(S1073, Lives!$A$2:$C$35, 2, 0)), S1073, VLOOKUP(S1073, Lives!$A$2:$C$35, 2, 0))) * 12) + (IF(ISBLANK(Q1073), 0, IF(ISNA(VLOOKUP(Q1073, Wages!$A$2:$C$17, 2, 0)), Q1073, VLOOKUP(Q1073, Wages!$A$2:$C$17, 2, 0))) * IF(ISBLANK(N1073), 0, IF(ISNA(VLOOKUP(N1073, Crews!$A$2:$C$28, 2, 0)), N1073, VLOOKUP(N1073, Crews!$A$2:$C$28, 2, 0))))) * 400</f>
        <v>8047.916667</v>
      </c>
      <c r="K1073" s="1"/>
      <c r="L1073" s="1" t="s">
        <v>2177</v>
      </c>
      <c r="M1073" s="1" t="n">
        <v>0</v>
      </c>
      <c r="N1073" s="1" t="s">
        <v>25</v>
      </c>
      <c r="O1073" s="1" t="n">
        <v>0.6</v>
      </c>
      <c r="P1073" s="1"/>
      <c r="Q1073" s="1" t="s">
        <v>1815</v>
      </c>
      <c r="R1073" s="1" t="s">
        <v>1842</v>
      </c>
      <c r="S1073" s="1" t="s">
        <v>1843</v>
      </c>
      <c r="T1073" s="1" t="s">
        <v>1844</v>
      </c>
    </row>
    <row r="1074" customFormat="false" ht="15" hidden="false" customHeight="true" outlineLevel="0" collapsed="false">
      <c r="A1074" s="1" t="s">
        <v>2178</v>
      </c>
      <c r="B1074" s="1" t="n">
        <v>1907</v>
      </c>
      <c r="C1074" s="1" t="n">
        <v>12</v>
      </c>
      <c r="D1074" s="1" t="s">
        <v>21</v>
      </c>
      <c r="E1074" s="1" t="s">
        <v>1839</v>
      </c>
      <c r="F1074" s="1" t="n">
        <v>15</v>
      </c>
      <c r="G1074" s="1" t="n">
        <v>30</v>
      </c>
      <c r="H1074" s="2" t="n">
        <v>92000</v>
      </c>
      <c r="I1074" s="2" t="n">
        <f aca="false">(((H1074 / 800) / IF(ISBLANK(R1074), 1000000, IF(ISNA(VLOOKUP(R1074, Mileages!$A$2:$C$34, 2, 0)), R1074, VLOOKUP(R1074, Mileages!$A$2:$C$34, 2, 0)))) + (F1074 * IF(ISBLANK(P1074), 1, P1074) * IF(ISBLANK(T1074), 0, IF(ISNA(VLOOKUP(T1074, 'Fuel Costs'!$A$2:$C$42, 2, 0)), T1074, VLOOKUP(T1074, 'Fuel Costs'!$A$2:$C$42, 2, 0))) / IF(ISBLANK(O1074), 1, O1074))) * 100</f>
        <v>17.523</v>
      </c>
      <c r="J1074" s="2" t="n">
        <f aca="false">((H1074 / 800) / (IF(ISBLANK(S1074), 100, IF(ISNA(VLOOKUP(S1074, Lives!$A$2:$C$35, 2, 0)), S1074, VLOOKUP(S1074, Lives!$A$2:$C$35, 2, 0))) * 12) + (IF(ISBLANK(Q1074), 0, IF(ISNA(VLOOKUP(Q1074, Wages!$A$2:$C$17, 2, 0)), Q1074, VLOOKUP(Q1074, Wages!$A$2:$C$17, 2, 0))) * IF(ISBLANK(N1074), 0, IF(ISNA(VLOOKUP(N1074, Crews!$A$2:$C$28, 2, 0)), N1074, VLOOKUP(N1074, Crews!$A$2:$C$28, 2, 0))))) * 400</f>
        <v>8047.916667</v>
      </c>
      <c r="K1074" s="1"/>
      <c r="L1074" s="1" t="s">
        <v>2177</v>
      </c>
      <c r="M1074" s="1" t="n">
        <v>1</v>
      </c>
      <c r="N1074" s="1" t="s">
        <v>25</v>
      </c>
      <c r="O1074" s="1" t="n">
        <v>0.6</v>
      </c>
      <c r="P1074" s="1"/>
      <c r="Q1074" s="1" t="s">
        <v>1815</v>
      </c>
      <c r="R1074" s="1" t="s">
        <v>1842</v>
      </c>
      <c r="S1074" s="1" t="s">
        <v>1843</v>
      </c>
      <c r="T1074" s="1" t="s">
        <v>1844</v>
      </c>
    </row>
    <row r="1075" customFormat="false" ht="15" hidden="false" customHeight="true" outlineLevel="0" collapsed="false">
      <c r="A1075" s="1" t="s">
        <v>2179</v>
      </c>
      <c r="B1075" s="1" t="n">
        <v>1907</v>
      </c>
      <c r="C1075" s="1" t="n">
        <v>12</v>
      </c>
      <c r="D1075" s="1" t="s">
        <v>21</v>
      </c>
      <c r="E1075" s="1" t="s">
        <v>1839</v>
      </c>
      <c r="F1075" s="1" t="n">
        <v>15</v>
      </c>
      <c r="G1075" s="1" t="n">
        <v>30</v>
      </c>
      <c r="H1075" s="2" t="n">
        <v>92000</v>
      </c>
      <c r="I1075" s="2" t="n">
        <f aca="false">(((H1075 / 800) / IF(ISBLANK(R1075), 1000000, IF(ISNA(VLOOKUP(R1075, Mileages!$A$2:$C$34, 2, 0)), R1075, VLOOKUP(R1075, Mileages!$A$2:$C$34, 2, 0)))) + (F1075 * IF(ISBLANK(P1075), 1, P1075) * IF(ISBLANK(T1075), 0, IF(ISNA(VLOOKUP(T1075, 'Fuel Costs'!$A$2:$C$42, 2, 0)), T1075, VLOOKUP(T1075, 'Fuel Costs'!$A$2:$C$42, 2, 0))) / IF(ISBLANK(O1075), 1, O1075))) * 100</f>
        <v>17.523</v>
      </c>
      <c r="J1075" s="2" t="n">
        <f aca="false">((H1075 / 800) / (IF(ISBLANK(S1075), 100, IF(ISNA(VLOOKUP(S1075, Lives!$A$2:$C$35, 2, 0)), S1075, VLOOKUP(S1075, Lives!$A$2:$C$35, 2, 0))) * 12) + (IF(ISBLANK(Q1075), 0, IF(ISNA(VLOOKUP(Q1075, Wages!$A$2:$C$17, 2, 0)), Q1075, VLOOKUP(Q1075, Wages!$A$2:$C$17, 2, 0))) * IF(ISBLANK(N1075), 0, IF(ISNA(VLOOKUP(N1075, Crews!$A$2:$C$28, 2, 0)), N1075, VLOOKUP(N1075, Crews!$A$2:$C$28, 2, 0))))) * 400</f>
        <v>8047.916667</v>
      </c>
      <c r="K1075" s="1"/>
      <c r="L1075" s="1" t="s">
        <v>2177</v>
      </c>
      <c r="M1075" s="1" t="n">
        <v>2</v>
      </c>
      <c r="N1075" s="1" t="s">
        <v>25</v>
      </c>
      <c r="O1075" s="1" t="n">
        <v>0.6</v>
      </c>
      <c r="P1075" s="1"/>
      <c r="Q1075" s="1" t="s">
        <v>1815</v>
      </c>
      <c r="R1075" s="1" t="s">
        <v>1842</v>
      </c>
      <c r="S1075" s="1" t="s">
        <v>1843</v>
      </c>
      <c r="T1075" s="1" t="s">
        <v>1844</v>
      </c>
    </row>
    <row r="1076" customFormat="false" ht="15" hidden="false" customHeight="true" outlineLevel="0" collapsed="false">
      <c r="A1076" s="1" t="s">
        <v>2180</v>
      </c>
      <c r="B1076" s="1" t="n">
        <v>1907</v>
      </c>
      <c r="C1076" s="1" t="n">
        <v>12</v>
      </c>
      <c r="D1076" s="1" t="s">
        <v>21</v>
      </c>
      <c r="E1076" s="1" t="s">
        <v>1839</v>
      </c>
      <c r="F1076" s="1" t="n">
        <v>15</v>
      </c>
      <c r="G1076" s="1" t="n">
        <v>30</v>
      </c>
      <c r="H1076" s="2" t="n">
        <v>92000</v>
      </c>
      <c r="I1076" s="2" t="n">
        <f aca="false">(((H1076 / 800) / IF(ISBLANK(R1076), 1000000, IF(ISNA(VLOOKUP(R1076, Mileages!$A$2:$C$34, 2, 0)), R1076, VLOOKUP(R1076, Mileages!$A$2:$C$34, 2, 0)))) + (F1076 * IF(ISBLANK(P1076), 1, P1076) * IF(ISBLANK(T1076), 0, IF(ISNA(VLOOKUP(T1076, 'Fuel Costs'!$A$2:$C$42, 2, 0)), T1076, VLOOKUP(T1076, 'Fuel Costs'!$A$2:$C$42, 2, 0))) / IF(ISBLANK(O1076), 1, O1076))) * 100</f>
        <v>17.523</v>
      </c>
      <c r="J1076" s="2" t="n">
        <f aca="false">((H1076 / 800) / (IF(ISBLANK(S1076), 100, IF(ISNA(VLOOKUP(S1076, Lives!$A$2:$C$35, 2, 0)), S1076, VLOOKUP(S1076, Lives!$A$2:$C$35, 2, 0))) * 12) + (IF(ISBLANK(Q1076), 0, IF(ISNA(VLOOKUP(Q1076, Wages!$A$2:$C$17, 2, 0)), Q1076, VLOOKUP(Q1076, Wages!$A$2:$C$17, 2, 0))) * IF(ISBLANK(N1076), 0, IF(ISNA(VLOOKUP(N1076, Crews!$A$2:$C$28, 2, 0)), N1076, VLOOKUP(N1076, Crews!$A$2:$C$28, 2, 0))))) * 400</f>
        <v>8047.916667</v>
      </c>
      <c r="K1076" s="1"/>
      <c r="L1076" s="1" t="s">
        <v>2177</v>
      </c>
      <c r="M1076" s="1" t="n">
        <v>3</v>
      </c>
      <c r="N1076" s="1" t="s">
        <v>25</v>
      </c>
      <c r="O1076" s="1" t="n">
        <v>0.6</v>
      </c>
      <c r="P1076" s="1"/>
      <c r="Q1076" s="1" t="s">
        <v>1815</v>
      </c>
      <c r="R1076" s="1" t="s">
        <v>1842</v>
      </c>
      <c r="S1076" s="1" t="s">
        <v>1843</v>
      </c>
      <c r="T1076" s="1" t="s">
        <v>1844</v>
      </c>
    </row>
    <row r="1077" customFormat="false" ht="15" hidden="false" customHeight="true" outlineLevel="0" collapsed="false">
      <c r="A1077" s="1" t="s">
        <v>2181</v>
      </c>
      <c r="B1077" s="1" t="n">
        <v>1907</v>
      </c>
      <c r="C1077" s="1" t="n">
        <v>12</v>
      </c>
      <c r="D1077" s="1" t="s">
        <v>21</v>
      </c>
      <c r="E1077" s="1" t="s">
        <v>1839</v>
      </c>
      <c r="F1077" s="1" t="n">
        <v>15</v>
      </c>
      <c r="G1077" s="1" t="n">
        <v>30</v>
      </c>
      <c r="H1077" s="2" t="n">
        <v>92000</v>
      </c>
      <c r="I1077" s="2" t="n">
        <f aca="false">(((H1077 / 800) / IF(ISBLANK(R1077), 1000000, IF(ISNA(VLOOKUP(R1077, Mileages!$A$2:$C$34, 2, 0)), R1077, VLOOKUP(R1077, Mileages!$A$2:$C$34, 2, 0)))) + (F1077 * IF(ISBLANK(P1077), 1, P1077) * IF(ISBLANK(T1077), 0, IF(ISNA(VLOOKUP(T1077, 'Fuel Costs'!$A$2:$C$42, 2, 0)), T1077, VLOOKUP(T1077, 'Fuel Costs'!$A$2:$C$42, 2, 0))) / IF(ISBLANK(O1077), 1, O1077))) * 100</f>
        <v>17.523</v>
      </c>
      <c r="J1077" s="2" t="n">
        <f aca="false">((H1077 / 800) / (IF(ISBLANK(S1077), 100, IF(ISNA(VLOOKUP(S1077, Lives!$A$2:$C$35, 2, 0)), S1077, VLOOKUP(S1077, Lives!$A$2:$C$35, 2, 0))) * 12) + (IF(ISBLANK(Q1077), 0, IF(ISNA(VLOOKUP(Q1077, Wages!$A$2:$C$17, 2, 0)), Q1077, VLOOKUP(Q1077, Wages!$A$2:$C$17, 2, 0))) * IF(ISBLANK(N1077), 0, IF(ISNA(VLOOKUP(N1077, Crews!$A$2:$C$28, 2, 0)), N1077, VLOOKUP(N1077, Crews!$A$2:$C$28, 2, 0))))) * 400</f>
        <v>8047.916667</v>
      </c>
      <c r="K1077" s="1"/>
      <c r="L1077" s="1" t="s">
        <v>2177</v>
      </c>
      <c r="M1077" s="1" t="n">
        <v>4</v>
      </c>
      <c r="N1077" s="1" t="s">
        <v>25</v>
      </c>
      <c r="O1077" s="1" t="n">
        <v>0.6</v>
      </c>
      <c r="P1077" s="1"/>
      <c r="Q1077" s="1" t="s">
        <v>1815</v>
      </c>
      <c r="R1077" s="1" t="s">
        <v>1842</v>
      </c>
      <c r="S1077" s="1" t="s">
        <v>1843</v>
      </c>
      <c r="T1077" s="1" t="s">
        <v>1844</v>
      </c>
    </row>
    <row r="1078" customFormat="false" ht="15" hidden="false" customHeight="true" outlineLevel="0" collapsed="false">
      <c r="A1078" s="1" t="s">
        <v>2182</v>
      </c>
      <c r="B1078" s="1" t="n">
        <v>1908</v>
      </c>
      <c r="C1078" s="1" t="n">
        <v>2</v>
      </c>
      <c r="D1078" s="1" t="s">
        <v>38</v>
      </c>
      <c r="E1078" s="1"/>
      <c r="F1078" s="1"/>
      <c r="G1078" s="1" t="n">
        <v>130</v>
      </c>
      <c r="H1078" s="2" t="n">
        <v>716000</v>
      </c>
      <c r="I1078" s="2" t="n">
        <f aca="false">(((H1078 / 800) / IF(ISBLANK(R1078), 1000000, IF(ISNA(VLOOKUP(R1078, Mileages!$A$2:$C$34, 2, 0)), R1078, VLOOKUP(R1078, Mileages!$A$2:$C$34, 2, 0)))) + (F1078 * IF(ISBLANK(P1078), 1, P1078) * IF(ISBLANK(T1078), 0, IF(ISNA(VLOOKUP(T1078, 'Fuel Costs'!$A$2:$C$42, 2, 0)), T1078, VLOOKUP(T1078, 'Fuel Costs'!$A$2:$C$42, 2, 0))) / IF(ISBLANK(O1078), 1, O1078))) * 100</f>
        <v>0.07458333333</v>
      </c>
      <c r="J1078" s="2" t="n">
        <f aca="false">((H1078 / 800) / (IF(ISBLANK(S1078), 100, IF(ISNA(VLOOKUP(S1078, Lives!$A$2:$C$35, 2, 0)), S1078, VLOOKUP(S1078, Lives!$A$2:$C$35, 2, 0))) * 12) + (IF(ISBLANK(Q1078), 0, IF(ISNA(VLOOKUP(Q1078, Wages!$A$2:$C$17, 2, 0)), Q1078, VLOOKUP(Q1078, Wages!$A$2:$C$17, 2, 0))) * IF(ISBLANK(N1078), 0, IF(ISNA(VLOOKUP(N1078, Crews!$A$2:$C$28, 2, 0)), N1078, VLOOKUP(N1078, Crews!$A$2:$C$28, 2, 0))))) * 400</f>
        <v>852.3809524</v>
      </c>
      <c r="K1078" s="1" t="s">
        <v>2183</v>
      </c>
      <c r="L1078" s="1" t="s">
        <v>2184</v>
      </c>
      <c r="M1078" s="1" t="n">
        <v>0</v>
      </c>
      <c r="N1078" s="1"/>
      <c r="O1078" s="1"/>
      <c r="P1078" s="1"/>
      <c r="Q1078" s="1"/>
      <c r="R1078" s="1" t="s">
        <v>689</v>
      </c>
      <c r="S1078" s="1" t="s">
        <v>856</v>
      </c>
      <c r="T1078" s="1"/>
    </row>
    <row r="1079" customFormat="false" ht="15" hidden="false" customHeight="true" outlineLevel="0" collapsed="false">
      <c r="A1079" s="1" t="s">
        <v>2185</v>
      </c>
      <c r="B1079" s="1" t="n">
        <v>1908</v>
      </c>
      <c r="C1079" s="1" t="n">
        <v>2</v>
      </c>
      <c r="D1079" s="1" t="s">
        <v>38</v>
      </c>
      <c r="E1079" s="1"/>
      <c r="F1079" s="1"/>
      <c r="G1079" s="1" t="n">
        <v>130</v>
      </c>
      <c r="H1079" s="2" t="n">
        <v>745000</v>
      </c>
      <c r="I1079" s="2" t="n">
        <f aca="false">(((H1079 / 800) / IF(ISBLANK(R1079), 1000000, IF(ISNA(VLOOKUP(R1079, Mileages!$A$2:$C$34, 2, 0)), R1079, VLOOKUP(R1079, Mileages!$A$2:$C$34, 2, 0)))) + (F1079 * IF(ISBLANK(P1079), 1, P1079) * IF(ISBLANK(T1079), 0, IF(ISNA(VLOOKUP(T1079, 'Fuel Costs'!$A$2:$C$42, 2, 0)), T1079, VLOOKUP(T1079, 'Fuel Costs'!$A$2:$C$42, 2, 0))) / IF(ISBLANK(O1079), 1, O1079))) * 100</f>
        <v>0.07760416667</v>
      </c>
      <c r="J1079" s="2" t="n">
        <f aca="false">((H1079 / 800) / (IF(ISBLANK(S1079), 100, IF(ISNA(VLOOKUP(S1079, Lives!$A$2:$C$35, 2, 0)), S1079, VLOOKUP(S1079, Lives!$A$2:$C$35, 2, 0))) * 12) + (IF(ISBLANK(Q1079), 0, IF(ISNA(VLOOKUP(Q1079, Wages!$A$2:$C$17, 2, 0)), Q1079, VLOOKUP(Q1079, Wages!$A$2:$C$17, 2, 0))) * IF(ISBLANK(N1079), 0, IF(ISNA(VLOOKUP(N1079, Crews!$A$2:$C$28, 2, 0)), N1079, VLOOKUP(N1079, Crews!$A$2:$C$28, 2, 0))))) * 400</f>
        <v>18886.90476</v>
      </c>
      <c r="K1079" s="1"/>
      <c r="L1079" s="1" t="s">
        <v>2184</v>
      </c>
      <c r="M1079" s="1" t="n">
        <v>1</v>
      </c>
      <c r="N1079" s="1" t="s">
        <v>1481</v>
      </c>
      <c r="O1079" s="1"/>
      <c r="P1079" s="1"/>
      <c r="Q1079" s="1" t="s">
        <v>1481</v>
      </c>
      <c r="R1079" s="1" t="s">
        <v>689</v>
      </c>
      <c r="S1079" s="1" t="s">
        <v>856</v>
      </c>
      <c r="T1079" s="1"/>
    </row>
    <row r="1080" customFormat="false" ht="15" hidden="false" customHeight="true" outlineLevel="0" collapsed="false">
      <c r="A1080" s="1" t="s">
        <v>2186</v>
      </c>
      <c r="B1080" s="1" t="n">
        <v>1908</v>
      </c>
      <c r="C1080" s="1" t="n">
        <v>2</v>
      </c>
      <c r="D1080" s="1" t="s">
        <v>38</v>
      </c>
      <c r="E1080" s="1"/>
      <c r="F1080" s="1"/>
      <c r="G1080" s="1" t="n">
        <v>130</v>
      </c>
      <c r="H1080" s="2" t="n">
        <v>716000</v>
      </c>
      <c r="I1080" s="2" t="n">
        <f aca="false">(((H1080 / 800) / IF(ISBLANK(R1080), 1000000, IF(ISNA(VLOOKUP(R1080, Mileages!$A$2:$C$34, 2, 0)), R1080, VLOOKUP(R1080, Mileages!$A$2:$C$34, 2, 0)))) + (F1080 * IF(ISBLANK(P1080), 1, P1080) * IF(ISBLANK(T1080), 0, IF(ISNA(VLOOKUP(T1080, 'Fuel Costs'!$A$2:$C$42, 2, 0)), T1080, VLOOKUP(T1080, 'Fuel Costs'!$A$2:$C$42, 2, 0))) / IF(ISBLANK(O1080), 1, O1080))) * 100</f>
        <v>0.07458333333</v>
      </c>
      <c r="J1080" s="2" t="n">
        <f aca="false">((H1080 / 800) / (IF(ISBLANK(S1080), 100, IF(ISNA(VLOOKUP(S1080, Lives!$A$2:$C$35, 2, 0)), S1080, VLOOKUP(S1080, Lives!$A$2:$C$35, 2, 0))) * 12) + (IF(ISBLANK(Q1080), 0, IF(ISNA(VLOOKUP(Q1080, Wages!$A$2:$C$17, 2, 0)), Q1080, VLOOKUP(Q1080, Wages!$A$2:$C$17, 2, 0))) * IF(ISBLANK(N1080), 0, IF(ISNA(VLOOKUP(N1080, Crews!$A$2:$C$28, 2, 0)), N1080, VLOOKUP(N1080, Crews!$A$2:$C$28, 2, 0))))) * 400</f>
        <v>5652.380952</v>
      </c>
      <c r="K1080" s="1" t="s">
        <v>2183</v>
      </c>
      <c r="L1080" s="1" t="s">
        <v>2187</v>
      </c>
      <c r="M1080" s="1" t="n">
        <v>0</v>
      </c>
      <c r="N1080" s="1" t="s">
        <v>25</v>
      </c>
      <c r="O1080" s="1"/>
      <c r="P1080" s="1"/>
      <c r="Q1080" s="1" t="s">
        <v>378</v>
      </c>
      <c r="R1080" s="1" t="s">
        <v>689</v>
      </c>
      <c r="S1080" s="1" t="s">
        <v>856</v>
      </c>
      <c r="T1080" s="1"/>
    </row>
    <row r="1081" customFormat="false" ht="15" hidden="false" customHeight="true" outlineLevel="0" collapsed="false">
      <c r="A1081" s="1" t="s">
        <v>2188</v>
      </c>
      <c r="B1081" s="1" t="n">
        <v>1908</v>
      </c>
      <c r="C1081" s="1" t="n">
        <v>2</v>
      </c>
      <c r="D1081" s="1" t="s">
        <v>38</v>
      </c>
      <c r="E1081" s="1"/>
      <c r="F1081" s="1"/>
      <c r="G1081" s="1" t="n">
        <v>56</v>
      </c>
      <c r="H1081" s="2" t="n">
        <v>120000</v>
      </c>
      <c r="I1081" s="2" t="n">
        <f aca="false">(((H1081 / 800) / IF(ISBLANK(R1081), 1000000, IF(ISNA(VLOOKUP(R1081, Mileages!$A$2:$C$34, 2, 0)), R1081, VLOOKUP(R1081, Mileages!$A$2:$C$34, 2, 0)))) + (F1081 * IF(ISBLANK(P1081), 1, P1081) * IF(ISBLANK(T1081), 0, IF(ISNA(VLOOKUP(T1081, 'Fuel Costs'!$A$2:$C$42, 2, 0)), T1081, VLOOKUP(T1081, 'Fuel Costs'!$A$2:$C$42, 2, 0))) / IF(ISBLANK(O1081), 1, O1081))) * 100</f>
        <v>0.0125</v>
      </c>
      <c r="J1081" s="2" t="n">
        <f aca="false">((H1081 / 800) / (IF(ISBLANK(S1081), 100, IF(ISNA(VLOOKUP(S1081, Lives!$A$2:$C$35, 2, 0)), S1081, VLOOKUP(S1081, Lives!$A$2:$C$35, 2, 0))) * 12) + (IF(ISBLANK(Q1081), 0, IF(ISNA(VLOOKUP(Q1081, Wages!$A$2:$C$17, 2, 0)), Q1081, VLOOKUP(Q1081, Wages!$A$2:$C$17, 2, 0))) * IF(ISBLANK(N1081), 0, IF(ISNA(VLOOKUP(N1081, Crews!$A$2:$C$28, 2, 0)), N1081, VLOOKUP(N1081, Crews!$A$2:$C$28, 2, 0))))) * 400</f>
        <v>50</v>
      </c>
      <c r="K1081" s="3" t="s">
        <v>1766</v>
      </c>
      <c r="L1081" s="1" t="s">
        <v>2189</v>
      </c>
      <c r="M1081" s="1" t="n">
        <v>0</v>
      </c>
      <c r="N1081" s="1"/>
      <c r="O1081" s="1"/>
      <c r="P1081" s="1"/>
      <c r="Q1081" s="1"/>
      <c r="R1081" s="1" t="s">
        <v>689</v>
      </c>
      <c r="S1081" s="1" t="s">
        <v>389</v>
      </c>
      <c r="T1081" s="1"/>
    </row>
    <row r="1082" customFormat="false" ht="15" hidden="false" customHeight="true" outlineLevel="0" collapsed="false">
      <c r="A1082" s="1" t="s">
        <v>2190</v>
      </c>
      <c r="B1082" s="1" t="n">
        <v>1908</v>
      </c>
      <c r="C1082" s="1" t="n">
        <v>2</v>
      </c>
      <c r="D1082" s="1" t="s">
        <v>38</v>
      </c>
      <c r="E1082" s="1" t="s">
        <v>274</v>
      </c>
      <c r="F1082" s="1" t="n">
        <v>104</v>
      </c>
      <c r="G1082" s="1" t="n">
        <v>85</v>
      </c>
      <c r="H1082" s="2" t="n">
        <v>1755000</v>
      </c>
      <c r="I1082" s="2" t="n">
        <f aca="false">(((H1082 / 800) / IF(ISBLANK(R1082), 1000000, IF(ISNA(VLOOKUP(R1082, Mileages!$A$2:$C$34, 2, 0)), R1082, VLOOKUP(R1082, Mileages!$A$2:$C$34, 2, 0)))) + (F1082 * IF(ISBLANK(P1082), 1, P1082) * IF(ISBLANK(T1082), 0, IF(ISNA(VLOOKUP(T1082, 'Fuel Costs'!$A$2:$C$42, 2, 0)), T1082, VLOOKUP(T1082, 'Fuel Costs'!$A$2:$C$42, 2, 0))) / IF(ISBLANK(O1082), 1, O1082))) * 100</f>
        <v>44.79080357</v>
      </c>
      <c r="J1082" s="2" t="n">
        <f aca="false">((H1082 / 800) / (IF(ISBLANK(S1082), 100, IF(ISNA(VLOOKUP(S1082, Lives!$A$2:$C$35, 2, 0)), S1082, VLOOKUP(S1082, Lives!$A$2:$C$35, 2, 0))) * 12) + (IF(ISBLANK(Q1082), 0, IF(ISNA(VLOOKUP(Q1082, Wages!$A$2:$C$17, 2, 0)), Q1082, VLOOKUP(Q1082, Wages!$A$2:$C$17, 2, 0))) * IF(ISBLANK(N1082), 0, IF(ISNA(VLOOKUP(N1082, Crews!$A$2:$C$28, 2, 0)), N1082, VLOOKUP(N1082, Crews!$A$2:$C$28, 2, 0))))) * 400</f>
        <v>17462.5</v>
      </c>
      <c r="K1082" s="3" t="s">
        <v>2191</v>
      </c>
      <c r="L1082" s="1" t="s">
        <v>2192</v>
      </c>
      <c r="M1082" s="1" t="n">
        <v>0</v>
      </c>
      <c r="N1082" s="1" t="s">
        <v>283</v>
      </c>
      <c r="O1082" s="1" t="n">
        <v>0.7</v>
      </c>
      <c r="P1082" s="1"/>
      <c r="Q1082" s="5" t="s">
        <v>284</v>
      </c>
      <c r="R1082" s="1" t="s">
        <v>677</v>
      </c>
      <c r="S1082" s="1" t="s">
        <v>677</v>
      </c>
      <c r="T1082" s="1" t="s">
        <v>1785</v>
      </c>
    </row>
    <row r="1083" customFormat="false" ht="15" hidden="false" customHeight="true" outlineLevel="0" collapsed="false">
      <c r="A1083" s="1" t="s">
        <v>2193</v>
      </c>
      <c r="B1083" s="1" t="n">
        <v>1908</v>
      </c>
      <c r="C1083" s="1" t="n">
        <v>3</v>
      </c>
      <c r="D1083" s="1" t="s">
        <v>38</v>
      </c>
      <c r="E1083" s="1" t="s">
        <v>274</v>
      </c>
      <c r="F1083" s="1" t="n">
        <v>276</v>
      </c>
      <c r="G1083" s="1" t="n">
        <v>135</v>
      </c>
      <c r="H1083" s="2"/>
      <c r="I1083" s="2" t="n">
        <f aca="false">(((H1083 / 800) / IF(ISBLANK(R1083), 1000000, IF(ISNA(VLOOKUP(R1083, Mileages!$A$2:$C$34, 2, 0)), R1083, VLOOKUP(R1083, Mileages!$A$2:$C$34, 2, 0)))) + (F1083 * IF(ISBLANK(P1083), 1, P1083) * IF(ISBLANK(T1083), 0, IF(ISNA(VLOOKUP(T1083, 'Fuel Costs'!$A$2:$C$42, 2, 0)), T1083, VLOOKUP(T1083, 'Fuel Costs'!$A$2:$C$42, 2, 0))) / IF(ISBLANK(O1083), 1, O1083))) * 100</f>
        <v>118.2857143</v>
      </c>
      <c r="J1083" s="2" t="n">
        <f aca="false">((H1083 / 800) / (IF(ISBLANK(S1083), 100, IF(ISNA(VLOOKUP(S1083, Lives!$A$2:$C$35, 2, 0)), S1083, VLOOKUP(S1083, Lives!$A$2:$C$35, 2, 0))) * 12) + (IF(ISBLANK(Q1083), 0, IF(ISNA(VLOOKUP(Q1083, Wages!$A$2:$C$17, 2, 0)), Q1083, VLOOKUP(Q1083, Wages!$A$2:$C$17, 2, 0))) * IF(ISBLANK(N1083), 0, IF(ISNA(VLOOKUP(N1083, Crews!$A$2:$C$28, 2, 0)), N1083, VLOOKUP(N1083, Crews!$A$2:$C$28, 2, 0))))) * 400</f>
        <v>24000</v>
      </c>
      <c r="K1083" s="3" t="s">
        <v>2194</v>
      </c>
      <c r="L1083" s="1" t="s">
        <v>2195</v>
      </c>
      <c r="M1083" s="1" t="n">
        <v>0</v>
      </c>
      <c r="N1083" s="1" t="s">
        <v>590</v>
      </c>
      <c r="O1083" s="1" t="n">
        <v>0.7</v>
      </c>
      <c r="P1083" s="1"/>
      <c r="Q1083" s="5" t="s">
        <v>284</v>
      </c>
      <c r="R1083" s="1" t="s">
        <v>677</v>
      </c>
      <c r="S1083" s="1" t="s">
        <v>677</v>
      </c>
      <c r="T1083" s="1" t="s">
        <v>1785</v>
      </c>
    </row>
    <row r="1084" customFormat="false" ht="15" hidden="false" customHeight="true" outlineLevel="0" collapsed="false">
      <c r="A1084" s="1" t="s">
        <v>2196</v>
      </c>
      <c r="B1084" s="1" t="n">
        <v>1908</v>
      </c>
      <c r="C1084" s="1" t="n">
        <v>3</v>
      </c>
      <c r="D1084" s="1" t="s">
        <v>38</v>
      </c>
      <c r="E1084" s="1" t="s">
        <v>274</v>
      </c>
      <c r="F1084" s="1" t="n">
        <v>292</v>
      </c>
      <c r="G1084" s="1" t="n">
        <v>130</v>
      </c>
      <c r="H1084" s="2" t="n">
        <v>6041100</v>
      </c>
      <c r="I1084" s="2" t="n">
        <f aca="false">(((H1084 / 800) / IF(ISBLANK(R1084), 1000000, IF(ISNA(VLOOKUP(R1084, Mileages!$A$2:$C$34, 2, 0)), R1084, VLOOKUP(R1084, Mileages!$A$2:$C$34, 2, 0)))) + (F1084 * IF(ISBLANK(P1084), 1, P1084) * IF(ISBLANK(T1084), 0, IF(ISNA(VLOOKUP(T1084, 'Fuel Costs'!$A$2:$C$42, 2, 0)), T1084, VLOOKUP(T1084, 'Fuel Costs'!$A$2:$C$42, 2, 0))) / IF(ISBLANK(O1084), 1, O1084))) * 100</f>
        <v>125.8979946</v>
      </c>
      <c r="J1084" s="2" t="n">
        <f aca="false">((H1084 / 800) / (IF(ISBLANK(S1084), 100, IF(ISNA(VLOOKUP(S1084, Lives!$A$2:$C$35, 2, 0)), S1084, VLOOKUP(S1084, Lives!$A$2:$C$35, 2, 0))) * 12) + (IF(ISBLANK(Q1084), 0, IF(ISNA(VLOOKUP(Q1084, Wages!$A$2:$C$17, 2, 0)), Q1084, VLOOKUP(Q1084, Wages!$A$2:$C$17, 2, 0))) * IF(ISBLANK(N1084), 0, IF(ISNA(VLOOKUP(N1084, Crews!$A$2:$C$28, 2, 0)), N1084, VLOOKUP(N1084, Crews!$A$2:$C$28, 2, 0))))) * 400</f>
        <v>29034.25</v>
      </c>
      <c r="K1084" s="3" t="s">
        <v>2197</v>
      </c>
      <c r="L1084" s="1" t="s">
        <v>2198</v>
      </c>
      <c r="M1084" s="1" t="n">
        <v>0</v>
      </c>
      <c r="N1084" s="1" t="s">
        <v>590</v>
      </c>
      <c r="O1084" s="1" t="n">
        <v>0.7</v>
      </c>
      <c r="P1084" s="1"/>
      <c r="Q1084" s="5" t="s">
        <v>284</v>
      </c>
      <c r="R1084" s="1" t="s">
        <v>677</v>
      </c>
      <c r="S1084" s="1" t="s">
        <v>677</v>
      </c>
      <c r="T1084" s="1" t="s">
        <v>1785</v>
      </c>
    </row>
    <row r="1085" customFormat="false" ht="15" hidden="false" customHeight="true" outlineLevel="0" collapsed="false">
      <c r="A1085" s="1" t="s">
        <v>2199</v>
      </c>
      <c r="B1085" s="1" t="n">
        <v>1908</v>
      </c>
      <c r="C1085" s="1" t="n">
        <v>3</v>
      </c>
      <c r="D1085" s="1" t="s">
        <v>38</v>
      </c>
      <c r="E1085" s="1"/>
      <c r="F1085" s="1"/>
      <c r="G1085" s="1" t="n">
        <v>160</v>
      </c>
      <c r="H1085" s="2" t="n">
        <v>530000</v>
      </c>
      <c r="I1085" s="2" t="n">
        <f aca="false">(((H1085 / 800) / IF(ISBLANK(R1085), 1000000, IF(ISNA(VLOOKUP(R1085, Mileages!$A$2:$C$34, 2, 0)), R1085, VLOOKUP(R1085, Mileages!$A$2:$C$34, 2, 0)))) + (F1085 * IF(ISBLANK(P1085), 1, P1085) * IF(ISBLANK(T1085), 0, IF(ISNA(VLOOKUP(T1085, 'Fuel Costs'!$A$2:$C$42, 2, 0)), T1085, VLOOKUP(T1085, 'Fuel Costs'!$A$2:$C$42, 2, 0))) / IF(ISBLANK(O1085), 1, O1085))) * 100</f>
        <v>0.05520833333</v>
      </c>
      <c r="J1085" s="2" t="n">
        <f aca="false">((H1085 / 800) / (IF(ISBLANK(S1085), 100, IF(ISNA(VLOOKUP(S1085, Lives!$A$2:$C$35, 2, 0)), S1085, VLOOKUP(S1085, Lives!$A$2:$C$35, 2, 0))) * 12) + (IF(ISBLANK(Q1085), 0, IF(ISNA(VLOOKUP(Q1085, Wages!$A$2:$C$17, 2, 0)), Q1085, VLOOKUP(Q1085, Wages!$A$2:$C$17, 2, 0))) * IF(ISBLANK(N1085), 0, IF(ISNA(VLOOKUP(N1085, Crews!$A$2:$C$28, 2, 0)), N1085, VLOOKUP(N1085, Crews!$A$2:$C$28, 2, 0))))) * 400</f>
        <v>220.8333333</v>
      </c>
      <c r="K1085" s="1" t="s">
        <v>2200</v>
      </c>
      <c r="L1085" s="1" t="s">
        <v>1968</v>
      </c>
      <c r="M1085" s="1" t="n">
        <v>6</v>
      </c>
      <c r="N1085" s="1"/>
      <c r="O1085" s="1"/>
      <c r="P1085" s="1"/>
      <c r="Q1085" s="1"/>
      <c r="R1085" s="1" t="s">
        <v>689</v>
      </c>
      <c r="S1085" s="5" t="s">
        <v>389</v>
      </c>
      <c r="T1085" s="1"/>
    </row>
    <row r="1086" customFormat="false" ht="15" hidden="false" customHeight="true" outlineLevel="0" collapsed="false">
      <c r="A1086" s="1" t="s">
        <v>2201</v>
      </c>
      <c r="B1086" s="1" t="n">
        <v>1908</v>
      </c>
      <c r="C1086" s="1" t="n">
        <v>3</v>
      </c>
      <c r="D1086" s="1" t="s">
        <v>38</v>
      </c>
      <c r="E1086" s="1"/>
      <c r="F1086" s="1"/>
      <c r="G1086" s="1" t="n">
        <v>160</v>
      </c>
      <c r="H1086" s="2" t="n">
        <v>550000</v>
      </c>
      <c r="I1086" s="2" t="n">
        <f aca="false">(((H1086 / 800) / IF(ISBLANK(R1086), 1000000, IF(ISNA(VLOOKUP(R1086, Mileages!$A$2:$C$34, 2, 0)), R1086, VLOOKUP(R1086, Mileages!$A$2:$C$34, 2, 0)))) + (F1086 * IF(ISBLANK(P1086), 1, P1086) * IF(ISBLANK(T1086), 0, IF(ISNA(VLOOKUP(T1086, 'Fuel Costs'!$A$2:$C$42, 2, 0)), T1086, VLOOKUP(T1086, 'Fuel Costs'!$A$2:$C$42, 2, 0))) / IF(ISBLANK(O1086), 1, O1086))) * 100</f>
        <v>0.05729166667</v>
      </c>
      <c r="J1086" s="2" t="n">
        <f aca="false">((H1086 / 800) / (IF(ISBLANK(S1086), 100, IF(ISNA(VLOOKUP(S1086, Lives!$A$2:$C$35, 2, 0)), S1086, VLOOKUP(S1086, Lives!$A$2:$C$35, 2, 0))) * 12) + (IF(ISBLANK(Q1086), 0, IF(ISNA(VLOOKUP(Q1086, Wages!$A$2:$C$17, 2, 0)), Q1086, VLOOKUP(Q1086, Wages!$A$2:$C$17, 2, 0))) * IF(ISBLANK(N1086), 0, IF(ISNA(VLOOKUP(N1086, Crews!$A$2:$C$28, 2, 0)), N1086, VLOOKUP(N1086, Crews!$A$2:$C$28, 2, 0))))) * 400</f>
        <v>24229.16667</v>
      </c>
      <c r="K1086" s="3" t="s">
        <v>2202</v>
      </c>
      <c r="L1086" s="1" t="s">
        <v>1968</v>
      </c>
      <c r="M1086" s="1" t="n">
        <v>7</v>
      </c>
      <c r="N1086" s="1" t="s">
        <v>551</v>
      </c>
      <c r="O1086" s="1"/>
      <c r="P1086" s="1"/>
      <c r="Q1086" s="1" t="s">
        <v>551</v>
      </c>
      <c r="R1086" s="1" t="s">
        <v>689</v>
      </c>
      <c r="S1086" s="1" t="s">
        <v>389</v>
      </c>
      <c r="T1086" s="1"/>
    </row>
    <row r="1087" customFormat="false" ht="15" hidden="false" customHeight="true" outlineLevel="0" collapsed="false">
      <c r="A1087" s="1" t="s">
        <v>2203</v>
      </c>
      <c r="B1087" s="1" t="n">
        <v>1908</v>
      </c>
      <c r="C1087" s="1" t="n">
        <v>4</v>
      </c>
      <c r="D1087" s="1" t="s">
        <v>38</v>
      </c>
      <c r="E1087" s="1"/>
      <c r="F1087" s="1"/>
      <c r="G1087" s="1" t="n">
        <v>160</v>
      </c>
      <c r="H1087" s="2" t="n">
        <v>580000</v>
      </c>
      <c r="I1087" s="2" t="n">
        <f aca="false">(((H1087 / 800) / IF(ISBLANK(R1087), 1000000, IF(ISNA(VLOOKUP(R1087, Mileages!$A$2:$C$34, 2, 0)), R1087, VLOOKUP(R1087, Mileages!$A$2:$C$34, 2, 0)))) + (F1087 * IF(ISBLANK(P1087), 1, P1087) * IF(ISBLANK(T1087), 0, IF(ISNA(VLOOKUP(T1087, 'Fuel Costs'!$A$2:$C$42, 2, 0)), T1087, VLOOKUP(T1087, 'Fuel Costs'!$A$2:$C$42, 2, 0))) / IF(ISBLANK(O1087), 1, O1087))) * 100</f>
        <v>0.06041666667</v>
      </c>
      <c r="J1087" s="2" t="n">
        <f aca="false">((H1087 / 800) / (IF(ISBLANK(S1087), 100, IF(ISNA(VLOOKUP(S1087, Lives!$A$2:$C$35, 2, 0)), S1087, VLOOKUP(S1087, Lives!$A$2:$C$35, 2, 0))) * 12) + (IF(ISBLANK(Q1087), 0, IF(ISNA(VLOOKUP(Q1087, Wages!$A$2:$C$17, 2, 0)), Q1087, VLOOKUP(Q1087, Wages!$A$2:$C$17, 2, 0))) * IF(ISBLANK(N1087), 0, IF(ISNA(VLOOKUP(N1087, Crews!$A$2:$C$28, 2, 0)), N1087, VLOOKUP(N1087, Crews!$A$2:$C$28, 2, 0))))) * 400</f>
        <v>690.4761905</v>
      </c>
      <c r="K1087" s="3" t="s">
        <v>2204</v>
      </c>
      <c r="L1087" s="1" t="s">
        <v>2205</v>
      </c>
      <c r="M1087" s="1" t="n">
        <v>0</v>
      </c>
      <c r="N1087" s="1"/>
      <c r="O1087" s="1"/>
      <c r="P1087" s="1"/>
      <c r="Q1087" s="1"/>
      <c r="R1087" s="1" t="s">
        <v>689</v>
      </c>
      <c r="S1087" s="1" t="s">
        <v>856</v>
      </c>
      <c r="T1087" s="1"/>
    </row>
    <row r="1088" customFormat="false" ht="15" hidden="false" customHeight="true" outlineLevel="0" collapsed="false">
      <c r="A1088" s="1" t="s">
        <v>2206</v>
      </c>
      <c r="B1088" s="1" t="n">
        <v>1908</v>
      </c>
      <c r="C1088" s="1" t="n">
        <v>4</v>
      </c>
      <c r="D1088" s="1" t="s">
        <v>38</v>
      </c>
      <c r="E1088" s="1"/>
      <c r="F1088" s="1"/>
      <c r="G1088" s="1" t="n">
        <v>160</v>
      </c>
      <c r="H1088" s="2" t="n">
        <v>580000</v>
      </c>
      <c r="I1088" s="2" t="n">
        <f aca="false">(((H1088 / 800) / IF(ISBLANK(R1088), 1000000, IF(ISNA(VLOOKUP(R1088, Mileages!$A$2:$C$34, 2, 0)), R1088, VLOOKUP(R1088, Mileages!$A$2:$C$34, 2, 0)))) + (F1088 * IF(ISBLANK(P1088), 1, P1088) * IF(ISBLANK(T1088), 0, IF(ISNA(VLOOKUP(T1088, 'Fuel Costs'!$A$2:$C$42, 2, 0)), T1088, VLOOKUP(T1088, 'Fuel Costs'!$A$2:$C$42, 2, 0))) / IF(ISBLANK(O1088), 1, O1088))) * 100</f>
        <v>0.06041666667</v>
      </c>
      <c r="J1088" s="2" t="n">
        <f aca="false">((H1088 / 800) / (IF(ISBLANK(S1088), 100, IF(ISNA(VLOOKUP(S1088, Lives!$A$2:$C$35, 2, 0)), S1088, VLOOKUP(S1088, Lives!$A$2:$C$35, 2, 0))) * 12) + (IF(ISBLANK(Q1088), 0, IF(ISNA(VLOOKUP(Q1088, Wages!$A$2:$C$17, 2, 0)), Q1088, VLOOKUP(Q1088, Wages!$A$2:$C$17, 2, 0))) * IF(ISBLANK(N1088), 0, IF(ISNA(VLOOKUP(N1088, Crews!$A$2:$C$28, 2, 0)), N1088, VLOOKUP(N1088, Crews!$A$2:$C$28, 2, 0))))) * 400</f>
        <v>5490.47619</v>
      </c>
      <c r="K1088" s="3" t="s">
        <v>2204</v>
      </c>
      <c r="L1088" s="1" t="s">
        <v>2205</v>
      </c>
      <c r="M1088" s="1" t="n">
        <v>1</v>
      </c>
      <c r="N1088" s="1" t="s">
        <v>25</v>
      </c>
      <c r="O1088" s="1"/>
      <c r="P1088" s="1"/>
      <c r="Q1088" s="1" t="s">
        <v>378</v>
      </c>
      <c r="R1088" s="1" t="s">
        <v>689</v>
      </c>
      <c r="S1088" s="1" t="s">
        <v>856</v>
      </c>
      <c r="T1088" s="1"/>
    </row>
    <row r="1089" customFormat="false" ht="15" hidden="false" customHeight="true" outlineLevel="0" collapsed="false">
      <c r="A1089" s="1" t="s">
        <v>2207</v>
      </c>
      <c r="B1089" s="1" t="n">
        <v>1908</v>
      </c>
      <c r="C1089" s="1" t="n">
        <v>4</v>
      </c>
      <c r="D1089" s="1" t="s">
        <v>38</v>
      </c>
      <c r="E1089" s="1"/>
      <c r="F1089" s="1"/>
      <c r="G1089" s="1" t="n">
        <v>160</v>
      </c>
      <c r="H1089" s="2" t="n">
        <v>580000</v>
      </c>
      <c r="I1089" s="2" t="n">
        <f aca="false">(((H1089 / 800) / IF(ISBLANK(R1089), 1000000, IF(ISNA(VLOOKUP(R1089, Mileages!$A$2:$C$34, 2, 0)), R1089, VLOOKUP(R1089, Mileages!$A$2:$C$34, 2, 0)))) + (F1089 * IF(ISBLANK(P1089), 1, P1089) * IF(ISBLANK(T1089), 0, IF(ISNA(VLOOKUP(T1089, 'Fuel Costs'!$A$2:$C$42, 2, 0)), T1089, VLOOKUP(T1089, 'Fuel Costs'!$A$2:$C$42, 2, 0))) / IF(ISBLANK(O1089), 1, O1089))) * 100</f>
        <v>0.06041666667</v>
      </c>
      <c r="J1089" s="2" t="n">
        <f aca="false">((H1089 / 800) / (IF(ISBLANK(S1089), 100, IF(ISNA(VLOOKUP(S1089, Lives!$A$2:$C$35, 2, 0)), S1089, VLOOKUP(S1089, Lives!$A$2:$C$35, 2, 0))) * 12) + (IF(ISBLANK(Q1089), 0, IF(ISNA(VLOOKUP(Q1089, Wages!$A$2:$C$17, 2, 0)), Q1089, VLOOKUP(Q1089, Wages!$A$2:$C$17, 2, 0))) * IF(ISBLANK(N1089), 0, IF(ISNA(VLOOKUP(N1089, Crews!$A$2:$C$28, 2, 0)), N1089, VLOOKUP(N1089, Crews!$A$2:$C$28, 2, 0))))) * 400</f>
        <v>5490.47619</v>
      </c>
      <c r="K1089" s="3" t="s">
        <v>2208</v>
      </c>
      <c r="L1089" s="1" t="s">
        <v>2205</v>
      </c>
      <c r="M1089" s="1" t="n">
        <v>2</v>
      </c>
      <c r="N1089" s="1" t="s">
        <v>25</v>
      </c>
      <c r="O1089" s="1"/>
      <c r="P1089" s="1"/>
      <c r="Q1089" s="1" t="s">
        <v>378</v>
      </c>
      <c r="R1089" s="1" t="s">
        <v>689</v>
      </c>
      <c r="S1089" s="1" t="s">
        <v>856</v>
      </c>
      <c r="T1089" s="1"/>
    </row>
    <row r="1090" customFormat="false" ht="15" hidden="false" customHeight="true" outlineLevel="0" collapsed="false">
      <c r="A1090" s="1" t="s">
        <v>2209</v>
      </c>
      <c r="B1090" s="1" t="n">
        <v>1908</v>
      </c>
      <c r="C1090" s="1" t="n">
        <v>4</v>
      </c>
      <c r="D1090" s="1" t="s">
        <v>38</v>
      </c>
      <c r="E1090" s="1"/>
      <c r="F1090" s="1"/>
      <c r="G1090" s="1" t="n">
        <v>160</v>
      </c>
      <c r="H1090" s="2" t="n">
        <v>580000</v>
      </c>
      <c r="I1090" s="2" t="n">
        <f aca="false">(((H1090 / 800) / IF(ISBLANK(R1090), 1000000, IF(ISNA(VLOOKUP(R1090, Mileages!$A$2:$C$34, 2, 0)), R1090, VLOOKUP(R1090, Mileages!$A$2:$C$34, 2, 0)))) + (F1090 * IF(ISBLANK(P1090), 1, P1090) * IF(ISBLANK(T1090), 0, IF(ISNA(VLOOKUP(T1090, 'Fuel Costs'!$A$2:$C$42, 2, 0)), T1090, VLOOKUP(T1090, 'Fuel Costs'!$A$2:$C$42, 2, 0))) / IF(ISBLANK(O1090), 1, O1090))) * 100</f>
        <v>0.06041666667</v>
      </c>
      <c r="J1090" s="2" t="n">
        <f aca="false">((H1090 / 800) / (IF(ISBLANK(S1090), 100, IF(ISNA(VLOOKUP(S1090, Lives!$A$2:$C$35, 2, 0)), S1090, VLOOKUP(S1090, Lives!$A$2:$C$35, 2, 0))) * 12) + (IF(ISBLANK(Q1090), 0, IF(ISNA(VLOOKUP(Q1090, Wages!$A$2:$C$17, 2, 0)), Q1090, VLOOKUP(Q1090, Wages!$A$2:$C$17, 2, 0))) * IF(ISBLANK(N1090), 0, IF(ISNA(VLOOKUP(N1090, Crews!$A$2:$C$28, 2, 0)), N1090, VLOOKUP(N1090, Crews!$A$2:$C$28, 2, 0))))) * 400</f>
        <v>690.4761905</v>
      </c>
      <c r="K1090" s="3" t="s">
        <v>2204</v>
      </c>
      <c r="L1090" s="1" t="s">
        <v>2205</v>
      </c>
      <c r="M1090" s="1" t="n">
        <v>3</v>
      </c>
      <c r="N1090" s="1"/>
      <c r="O1090" s="1"/>
      <c r="P1090" s="1"/>
      <c r="Q1090" s="1"/>
      <c r="R1090" s="1" t="s">
        <v>689</v>
      </c>
      <c r="S1090" s="1" t="s">
        <v>856</v>
      </c>
      <c r="T1090" s="1"/>
    </row>
    <row r="1091" customFormat="false" ht="15" hidden="false" customHeight="true" outlineLevel="0" collapsed="false">
      <c r="A1091" s="1" t="s">
        <v>2210</v>
      </c>
      <c r="B1091" s="1" t="n">
        <v>1908</v>
      </c>
      <c r="C1091" s="1" t="n">
        <v>4</v>
      </c>
      <c r="D1091" s="1" t="s">
        <v>38</v>
      </c>
      <c r="E1091" s="1"/>
      <c r="F1091" s="1"/>
      <c r="G1091" s="1" t="n">
        <v>160</v>
      </c>
      <c r="H1091" s="2" t="n">
        <v>580000</v>
      </c>
      <c r="I1091" s="2" t="n">
        <f aca="false">(((H1091 / 800) / IF(ISBLANK(R1091), 1000000, IF(ISNA(VLOOKUP(R1091, Mileages!$A$2:$C$34, 2, 0)), R1091, VLOOKUP(R1091, Mileages!$A$2:$C$34, 2, 0)))) + (F1091 * IF(ISBLANK(P1091), 1, P1091) * IF(ISBLANK(T1091), 0, IF(ISNA(VLOOKUP(T1091, 'Fuel Costs'!$A$2:$C$42, 2, 0)), T1091, VLOOKUP(T1091, 'Fuel Costs'!$A$2:$C$42, 2, 0))) / IF(ISBLANK(O1091), 1, O1091))) * 100</f>
        <v>0.06041666667</v>
      </c>
      <c r="J1091" s="2" t="n">
        <f aca="false">((H1091 / 800) / (IF(ISBLANK(S1091), 100, IF(ISNA(VLOOKUP(S1091, Lives!$A$2:$C$35, 2, 0)), S1091, VLOOKUP(S1091, Lives!$A$2:$C$35, 2, 0))) * 12) + (IF(ISBLANK(Q1091), 0, IF(ISNA(VLOOKUP(Q1091, Wages!$A$2:$C$17, 2, 0)), Q1091, VLOOKUP(Q1091, Wages!$A$2:$C$17, 2, 0))) * IF(ISBLANK(N1091), 0, IF(ISNA(VLOOKUP(N1091, Crews!$A$2:$C$28, 2, 0)), N1091, VLOOKUP(N1091, Crews!$A$2:$C$28, 2, 0))))) * 400</f>
        <v>241.6666667</v>
      </c>
      <c r="K1091" s="3" t="s">
        <v>2204</v>
      </c>
      <c r="L1091" s="1" t="s">
        <v>2205</v>
      </c>
      <c r="M1091" s="1" t="n">
        <v>4</v>
      </c>
      <c r="N1091" s="1"/>
      <c r="O1091" s="1"/>
      <c r="P1091" s="1"/>
      <c r="Q1091" s="1"/>
      <c r="R1091" s="1" t="s">
        <v>689</v>
      </c>
      <c r="S1091" s="5" t="s">
        <v>389</v>
      </c>
      <c r="T1091" s="1"/>
    </row>
    <row r="1092" customFormat="false" ht="15" hidden="false" customHeight="true" outlineLevel="0" collapsed="false">
      <c r="A1092" s="1" t="s">
        <v>2211</v>
      </c>
      <c r="B1092" s="1" t="n">
        <v>1908</v>
      </c>
      <c r="C1092" s="1" t="n">
        <v>9</v>
      </c>
      <c r="D1092" s="1" t="s">
        <v>38</v>
      </c>
      <c r="E1092" s="1" t="s">
        <v>274</v>
      </c>
      <c r="F1092" s="1" t="n">
        <v>247</v>
      </c>
      <c r="G1092" s="1" t="n">
        <v>100</v>
      </c>
      <c r="H1092" s="2" t="n">
        <v>3020000</v>
      </c>
      <c r="I1092" s="2" t="n">
        <f aca="false">(((H1092 / 800) / IF(ISBLANK(R1092), 1000000, IF(ISNA(VLOOKUP(R1092, Mileages!$A$2:$C$34, 2, 0)), R1092, VLOOKUP(R1092, Mileages!$A$2:$C$34, 2, 0)))) + (F1092 * IF(ISBLANK(P1092), 1, P1092) * IF(ISBLANK(T1092), 0, IF(ISNA(VLOOKUP(T1092, 'Fuel Costs'!$A$2:$C$42, 2, 0)), T1092, VLOOKUP(T1092, 'Fuel Costs'!$A$2:$C$42, 2, 0))) / IF(ISBLANK(O1092), 1, O1092))) * 100</f>
        <v>106.2346429</v>
      </c>
      <c r="J1092" s="2" t="n">
        <f aca="false">((H1092 / 800) / (IF(ISBLANK(S1092), 100, IF(ISNA(VLOOKUP(S1092, Lives!$A$2:$C$35, 2, 0)), S1092, VLOOKUP(S1092, Lives!$A$2:$C$35, 2, 0))) * 12) + (IF(ISBLANK(Q1092), 0, IF(ISNA(VLOOKUP(Q1092, Wages!$A$2:$C$17, 2, 0)), Q1092, VLOOKUP(Q1092, Wages!$A$2:$C$17, 2, 0))) * IF(ISBLANK(N1092), 0, IF(ISNA(VLOOKUP(N1092, Crews!$A$2:$C$28, 2, 0)), N1092, VLOOKUP(N1092, Crews!$A$2:$C$28, 2, 0))))) * 400</f>
        <v>26516.66667</v>
      </c>
      <c r="K1092" s="3" t="s">
        <v>2212</v>
      </c>
      <c r="L1092" s="1" t="s">
        <v>2213</v>
      </c>
      <c r="M1092" s="1" t="n">
        <v>0</v>
      </c>
      <c r="N1092" s="1" t="s">
        <v>590</v>
      </c>
      <c r="O1092" s="1" t="n">
        <v>0.7</v>
      </c>
      <c r="P1092" s="1"/>
      <c r="Q1092" s="5" t="s">
        <v>284</v>
      </c>
      <c r="R1092" s="1" t="s">
        <v>677</v>
      </c>
      <c r="S1092" s="1" t="s">
        <v>677</v>
      </c>
      <c r="T1092" s="1" t="s">
        <v>1785</v>
      </c>
    </row>
    <row r="1093" customFormat="false" ht="15" hidden="false" customHeight="true" outlineLevel="0" collapsed="false">
      <c r="A1093" s="1" t="s">
        <v>2214</v>
      </c>
      <c r="B1093" s="1" t="n">
        <v>1909</v>
      </c>
      <c r="C1093" s="1" t="n">
        <v>2</v>
      </c>
      <c r="D1093" s="1" t="s">
        <v>38</v>
      </c>
      <c r="E1093" s="1" t="s">
        <v>274</v>
      </c>
      <c r="F1093" s="1" t="n">
        <v>293</v>
      </c>
      <c r="G1093" s="1" t="n">
        <v>130</v>
      </c>
      <c r="H1093" s="2" t="n">
        <v>8440000</v>
      </c>
      <c r="I1093" s="2" t="n">
        <f aca="false">(((H1093 / 800) / IF(ISBLANK(R1093), 1000000, IF(ISNA(VLOOKUP(R1093, Mileages!$A$2:$C$34, 2, 0)), R1093, VLOOKUP(R1093, Mileages!$A$2:$C$34, 2, 0)))) + (F1093 * IF(ISBLANK(P1093), 1, P1093) * IF(ISBLANK(T1093), 0, IF(ISNA(VLOOKUP(T1093, 'Fuel Costs'!$A$2:$C$42, 2, 0)), T1093, VLOOKUP(T1093, 'Fuel Costs'!$A$2:$C$42, 2, 0))) / IF(ISBLANK(O1093), 1, O1093))) * 100</f>
        <v>126.6264286</v>
      </c>
      <c r="J1093" s="2" t="n">
        <f aca="false">((H1093 / 800) / (IF(ISBLANK(S1093), 100, IF(ISNA(VLOOKUP(S1093, Lives!$A$2:$C$35, 2, 0)), S1093, VLOOKUP(S1093, Lives!$A$2:$C$35, 2, 0))) * 12) + (IF(ISBLANK(Q1093), 0, IF(ISNA(VLOOKUP(Q1093, Wages!$A$2:$C$17, 2, 0)), Q1093, VLOOKUP(Q1093, Wages!$A$2:$C$17, 2, 0))) * IF(ISBLANK(N1093), 0, IF(ISNA(VLOOKUP(N1093, Crews!$A$2:$C$28, 2, 0)), N1093, VLOOKUP(N1093, Crews!$A$2:$C$28, 2, 0))))) * 400</f>
        <v>31033.33333</v>
      </c>
      <c r="K1093" s="3" t="s">
        <v>2215</v>
      </c>
      <c r="L1093" s="1" t="s">
        <v>2216</v>
      </c>
      <c r="M1093" s="1" t="n">
        <v>0</v>
      </c>
      <c r="N1093" s="1" t="s">
        <v>590</v>
      </c>
      <c r="O1093" s="1" t="n">
        <v>0.7</v>
      </c>
      <c r="P1093" s="1"/>
      <c r="Q1093" s="5" t="s">
        <v>284</v>
      </c>
      <c r="R1093" s="1" t="s">
        <v>677</v>
      </c>
      <c r="S1093" s="1" t="s">
        <v>677</v>
      </c>
      <c r="T1093" s="1" t="s">
        <v>1785</v>
      </c>
    </row>
    <row r="1094" customFormat="false" ht="15" hidden="false" customHeight="true" outlineLevel="0" collapsed="false">
      <c r="A1094" s="1" t="s">
        <v>2217</v>
      </c>
      <c r="B1094" s="1" t="n">
        <v>1909</v>
      </c>
      <c r="C1094" s="1" t="n">
        <v>2</v>
      </c>
      <c r="D1094" s="1" t="s">
        <v>38</v>
      </c>
      <c r="E1094" s="1"/>
      <c r="F1094" s="1"/>
      <c r="G1094" s="1" t="n">
        <v>160</v>
      </c>
      <c r="H1094" s="2" t="n">
        <v>902000</v>
      </c>
      <c r="I1094" s="2" t="n">
        <f aca="false">(((H1094 / 800) / IF(ISBLANK(R1094), 1000000, IF(ISNA(VLOOKUP(R1094, Mileages!$A$2:$C$34, 2, 0)), R1094, VLOOKUP(R1094, Mileages!$A$2:$C$34, 2, 0)))) + (F1094 * IF(ISBLANK(P1094), 1, P1094) * IF(ISBLANK(T1094), 0, IF(ISNA(VLOOKUP(T1094, 'Fuel Costs'!$A$2:$C$42, 2, 0)), T1094, VLOOKUP(T1094, 'Fuel Costs'!$A$2:$C$42, 2, 0))) / IF(ISBLANK(O1094), 1, O1094))) * 100</f>
        <v>0.09395833333</v>
      </c>
      <c r="J1094" s="2" t="n">
        <f aca="false">((H1094 / 800) / (IF(ISBLANK(S1094), 100, IF(ISNA(VLOOKUP(S1094, Lives!$A$2:$C$35, 2, 0)), S1094, VLOOKUP(S1094, Lives!$A$2:$C$35, 2, 0))) * 12) + (IF(ISBLANK(Q1094), 0, IF(ISNA(VLOOKUP(Q1094, Wages!$A$2:$C$17, 2, 0)), Q1094, VLOOKUP(Q1094, Wages!$A$2:$C$17, 2, 0))) * IF(ISBLANK(N1094), 0, IF(ISNA(VLOOKUP(N1094, Crews!$A$2:$C$28, 2, 0)), N1094, VLOOKUP(N1094, Crews!$A$2:$C$28, 2, 0))))) * 400</f>
        <v>19073.80952</v>
      </c>
      <c r="K1094" s="3" t="s">
        <v>2218</v>
      </c>
      <c r="L1094" s="1" t="s">
        <v>2219</v>
      </c>
      <c r="M1094" s="1" t="n">
        <v>0</v>
      </c>
      <c r="N1094" s="1" t="s">
        <v>1481</v>
      </c>
      <c r="O1094" s="1"/>
      <c r="P1094" s="1"/>
      <c r="Q1094" s="1" t="s">
        <v>1481</v>
      </c>
      <c r="R1094" s="1" t="s">
        <v>689</v>
      </c>
      <c r="S1094" s="1" t="s">
        <v>856</v>
      </c>
      <c r="T1094" s="1"/>
    </row>
    <row r="1095" customFormat="false" ht="15" hidden="false" customHeight="true" outlineLevel="0" collapsed="false">
      <c r="A1095" s="1" t="s">
        <v>2220</v>
      </c>
      <c r="B1095" s="1" t="n">
        <v>1909</v>
      </c>
      <c r="C1095" s="1" t="n">
        <v>4</v>
      </c>
      <c r="D1095" s="1" t="s">
        <v>38</v>
      </c>
      <c r="E1095" s="1"/>
      <c r="F1095" s="1"/>
      <c r="G1095" s="1" t="n">
        <v>160</v>
      </c>
      <c r="H1095" s="2" t="n">
        <v>550000</v>
      </c>
      <c r="I1095" s="2" t="n">
        <f aca="false">(((H1095 / 800) / IF(ISBLANK(R1095), 1000000, IF(ISNA(VLOOKUP(R1095, Mileages!$A$2:$C$34, 2, 0)), R1095, VLOOKUP(R1095, Mileages!$A$2:$C$34, 2, 0)))) + (F1095 * IF(ISBLANK(P1095), 1, P1095) * IF(ISBLANK(T1095), 0, IF(ISNA(VLOOKUP(T1095, 'Fuel Costs'!$A$2:$C$42, 2, 0)), T1095, VLOOKUP(T1095, 'Fuel Costs'!$A$2:$C$42, 2, 0))) / IF(ISBLANK(O1095), 1, O1095))) * 100</f>
        <v>0.05729166667</v>
      </c>
      <c r="J1095" s="2" t="n">
        <f aca="false">((H1095 / 800) / (IF(ISBLANK(S1095), 100, IF(ISNA(VLOOKUP(S1095, Lives!$A$2:$C$35, 2, 0)), S1095, VLOOKUP(S1095, Lives!$A$2:$C$35, 2, 0))) * 12) + (IF(ISBLANK(Q1095), 0, IF(ISNA(VLOOKUP(Q1095, Wages!$A$2:$C$17, 2, 0)), Q1095, VLOOKUP(Q1095, Wages!$A$2:$C$17, 2, 0))) * IF(ISBLANK(N1095), 0, IF(ISNA(VLOOKUP(N1095, Crews!$A$2:$C$28, 2, 0)), N1095, VLOOKUP(N1095, Crews!$A$2:$C$28, 2, 0))))) * 400</f>
        <v>654.7619048</v>
      </c>
      <c r="K1095" s="1" t="s">
        <v>2221</v>
      </c>
      <c r="L1095" s="1" t="s">
        <v>1968</v>
      </c>
      <c r="M1095" s="1" t="n">
        <v>0</v>
      </c>
      <c r="N1095" s="1"/>
      <c r="O1095" s="1"/>
      <c r="P1095" s="1"/>
      <c r="Q1095" s="1"/>
      <c r="R1095" s="1" t="s">
        <v>689</v>
      </c>
      <c r="S1095" s="1" t="s">
        <v>856</v>
      </c>
      <c r="T1095" s="1"/>
    </row>
    <row r="1096" customFormat="false" ht="15" hidden="false" customHeight="true" outlineLevel="0" collapsed="false">
      <c r="A1096" s="1" t="s">
        <v>2222</v>
      </c>
      <c r="B1096" s="1" t="n">
        <v>1909</v>
      </c>
      <c r="C1096" s="1" t="n">
        <v>4</v>
      </c>
      <c r="D1096" s="1" t="s">
        <v>38</v>
      </c>
      <c r="E1096" s="1"/>
      <c r="F1096" s="1"/>
      <c r="G1096" s="1" t="n">
        <v>160</v>
      </c>
      <c r="H1096" s="2" t="n">
        <v>550000</v>
      </c>
      <c r="I1096" s="2" t="n">
        <f aca="false">(((H1096 / 800) / IF(ISBLANK(R1096), 1000000, IF(ISNA(VLOOKUP(R1096, Mileages!$A$2:$C$34, 2, 0)), R1096, VLOOKUP(R1096, Mileages!$A$2:$C$34, 2, 0)))) + (F1096 * IF(ISBLANK(P1096), 1, P1096) * IF(ISBLANK(T1096), 0, IF(ISNA(VLOOKUP(T1096, 'Fuel Costs'!$A$2:$C$42, 2, 0)), T1096, VLOOKUP(T1096, 'Fuel Costs'!$A$2:$C$42, 2, 0))) / IF(ISBLANK(O1096), 1, O1096))) * 100</f>
        <v>0.05729166667</v>
      </c>
      <c r="J1096" s="2" t="n">
        <f aca="false">((H1096 / 800) / (IF(ISBLANK(S1096), 100, IF(ISNA(VLOOKUP(S1096, Lives!$A$2:$C$35, 2, 0)), S1096, VLOOKUP(S1096, Lives!$A$2:$C$35, 2, 0))) * 12) + (IF(ISBLANK(Q1096), 0, IF(ISNA(VLOOKUP(Q1096, Wages!$A$2:$C$17, 2, 0)), Q1096, VLOOKUP(Q1096, Wages!$A$2:$C$17, 2, 0))) * IF(ISBLANK(N1096), 0, IF(ISNA(VLOOKUP(N1096, Crews!$A$2:$C$28, 2, 0)), N1096, VLOOKUP(N1096, Crews!$A$2:$C$28, 2, 0))))) * 400</f>
        <v>5454.761905</v>
      </c>
      <c r="K1096" s="1" t="s">
        <v>2221</v>
      </c>
      <c r="L1096" s="1" t="s">
        <v>1968</v>
      </c>
      <c r="M1096" s="1" t="n">
        <v>1</v>
      </c>
      <c r="N1096" s="1" t="s">
        <v>25</v>
      </c>
      <c r="O1096" s="1"/>
      <c r="P1096" s="1"/>
      <c r="Q1096" s="1" t="s">
        <v>378</v>
      </c>
      <c r="R1096" s="1" t="s">
        <v>689</v>
      </c>
      <c r="S1096" s="1" t="s">
        <v>856</v>
      </c>
      <c r="T1096" s="1"/>
    </row>
    <row r="1097" customFormat="false" ht="15" hidden="false" customHeight="true" outlineLevel="0" collapsed="false">
      <c r="A1097" s="1" t="s">
        <v>2223</v>
      </c>
      <c r="B1097" s="1" t="n">
        <v>1909</v>
      </c>
      <c r="C1097" s="1" t="n">
        <v>4</v>
      </c>
      <c r="D1097" s="1" t="s">
        <v>38</v>
      </c>
      <c r="E1097" s="1"/>
      <c r="F1097" s="1"/>
      <c r="G1097" s="1" t="n">
        <v>160</v>
      </c>
      <c r="H1097" s="2" t="n">
        <v>550000</v>
      </c>
      <c r="I1097" s="2" t="n">
        <f aca="false">(((H1097 / 800) / IF(ISBLANK(R1097), 1000000, IF(ISNA(VLOOKUP(R1097, Mileages!$A$2:$C$34, 2, 0)), R1097, VLOOKUP(R1097, Mileages!$A$2:$C$34, 2, 0)))) + (F1097 * IF(ISBLANK(P1097), 1, P1097) * IF(ISBLANK(T1097), 0, IF(ISNA(VLOOKUP(T1097, 'Fuel Costs'!$A$2:$C$42, 2, 0)), T1097, VLOOKUP(T1097, 'Fuel Costs'!$A$2:$C$42, 2, 0))) / IF(ISBLANK(O1097), 1, O1097))) * 100</f>
        <v>0.05729166667</v>
      </c>
      <c r="J1097" s="2" t="n">
        <f aca="false">((H1097 / 800) / (IF(ISBLANK(S1097), 100, IF(ISNA(VLOOKUP(S1097, Lives!$A$2:$C$35, 2, 0)), S1097, VLOOKUP(S1097, Lives!$A$2:$C$35, 2, 0))) * 12) + (IF(ISBLANK(Q1097), 0, IF(ISNA(VLOOKUP(Q1097, Wages!$A$2:$C$17, 2, 0)), Q1097, VLOOKUP(Q1097, Wages!$A$2:$C$17, 2, 0))) * IF(ISBLANK(N1097), 0, IF(ISNA(VLOOKUP(N1097, Crews!$A$2:$C$28, 2, 0)), N1097, VLOOKUP(N1097, Crews!$A$2:$C$28, 2, 0))))) * 400</f>
        <v>5454.761905</v>
      </c>
      <c r="K1097" s="1" t="s">
        <v>2221</v>
      </c>
      <c r="L1097" s="1" t="s">
        <v>1968</v>
      </c>
      <c r="M1097" s="1" t="n">
        <v>2</v>
      </c>
      <c r="N1097" s="1" t="s">
        <v>25</v>
      </c>
      <c r="O1097" s="1"/>
      <c r="P1097" s="1"/>
      <c r="Q1097" s="1" t="s">
        <v>378</v>
      </c>
      <c r="R1097" s="1" t="s">
        <v>689</v>
      </c>
      <c r="S1097" s="1" t="s">
        <v>856</v>
      </c>
      <c r="T1097" s="1"/>
    </row>
    <row r="1098" customFormat="false" ht="15" hidden="false" customHeight="true" outlineLevel="0" collapsed="false">
      <c r="A1098" s="1" t="s">
        <v>2224</v>
      </c>
      <c r="B1098" s="1" t="n">
        <v>1909</v>
      </c>
      <c r="C1098" s="1" t="n">
        <v>8</v>
      </c>
      <c r="D1098" s="1" t="s">
        <v>2225</v>
      </c>
      <c r="E1098" s="1" t="s">
        <v>1839</v>
      </c>
      <c r="F1098" s="1" t="n">
        <v>182</v>
      </c>
      <c r="G1098" s="1" t="n">
        <v>70</v>
      </c>
      <c r="H1098" s="2" t="n">
        <v>13000000</v>
      </c>
      <c r="I1098" s="2" t="n">
        <f aca="false">(((H1098 / 800) / IF(ISBLANK(R1098), 1000000, IF(ISNA(VLOOKUP(R1098, Mileages!$A$2:$C$34, 2, 0)), R1098, VLOOKUP(R1098, Mileages!$A$2:$C$34, 2, 0)))) + (F1098 * IF(ISBLANK(P1098), 1, P1098) * IF(ISBLANK(T1098), 0, IF(ISNA(VLOOKUP(T1098, 'Fuel Costs'!$A$2:$C$42, 2, 0)), T1098, VLOOKUP(T1098, 'Fuel Costs'!$A$2:$C$42, 2, 0))) / IF(ISBLANK(O1098), 1, O1098))) * 100</f>
        <v>9.425</v>
      </c>
      <c r="J1098" s="2" t="n">
        <f aca="false">((H1098 / 800) / (IF(ISBLANK(S1098), 100, IF(ISNA(VLOOKUP(S1098, Lives!$A$2:$C$35, 2, 0)), S1098, VLOOKUP(S1098, Lives!$A$2:$C$35, 2, 0))) * 12) + (IF(ISBLANK(Q1098), 0, IF(ISNA(VLOOKUP(Q1098, Wages!$A$2:$C$17, 2, 0)), Q1098, VLOOKUP(Q1098, Wages!$A$2:$C$17, 2, 0))) * IF(ISBLANK(N1098), 0, IF(ISNA(VLOOKUP(N1098, Crews!$A$2:$C$28, 2, 0)), N1098, VLOOKUP(N1098, Crews!$A$2:$C$28, 2, 0))))) * 400</f>
        <v>186770.8333</v>
      </c>
      <c r="K1098" s="3" t="s">
        <v>2226</v>
      </c>
      <c r="L1098" s="1" t="s">
        <v>2227</v>
      </c>
      <c r="M1098" s="1" t="n">
        <v>0</v>
      </c>
      <c r="N1098" s="1" t="s">
        <v>2228</v>
      </c>
      <c r="O1098" s="1"/>
      <c r="P1098" s="1" t="n">
        <v>0.1</v>
      </c>
      <c r="Q1098" s="1" t="s">
        <v>2228</v>
      </c>
      <c r="R1098" s="1" t="s">
        <v>2229</v>
      </c>
      <c r="S1098" s="1" t="s">
        <v>2228</v>
      </c>
      <c r="T1098" s="1" t="s">
        <v>2228</v>
      </c>
    </row>
    <row r="1099" customFormat="false" ht="15" hidden="false" customHeight="true" outlineLevel="0" collapsed="false">
      <c r="A1099" s="1" t="s">
        <v>2230</v>
      </c>
      <c r="B1099" s="1" t="n">
        <v>1909</v>
      </c>
      <c r="C1099" s="1" t="n">
        <v>8</v>
      </c>
      <c r="D1099" s="1" t="s">
        <v>21</v>
      </c>
      <c r="E1099" s="1" t="s">
        <v>1839</v>
      </c>
      <c r="F1099" s="1" t="n">
        <v>19</v>
      </c>
      <c r="G1099" s="1" t="n">
        <v>20</v>
      </c>
      <c r="H1099" s="2" t="n">
        <v>95000</v>
      </c>
      <c r="I1099" s="2" t="n">
        <f aca="false">(((H1099 / 800) / IF(ISBLANK(R1099), 1000000, IF(ISNA(VLOOKUP(R1099, Mileages!$A$2:$C$34, 2, 0)), R1099, VLOOKUP(R1099, Mileages!$A$2:$C$34, 2, 0)))) + (F1099 * IF(ISBLANK(P1099), 1, P1099) * IF(ISBLANK(T1099), 0, IF(ISNA(VLOOKUP(T1099, 'Fuel Costs'!$A$2:$C$42, 2, 0)), T1099, VLOOKUP(T1099, 'Fuel Costs'!$A$2:$C$42, 2, 0))) / IF(ISBLANK(O1099), 1, O1099))) * 100</f>
        <v>22.19041667</v>
      </c>
      <c r="J1099" s="2" t="n">
        <f aca="false">((H1099 / 800) / (IF(ISBLANK(S1099), 100, IF(ISNA(VLOOKUP(S1099, Lives!$A$2:$C$35, 2, 0)), S1099, VLOOKUP(S1099, Lives!$A$2:$C$35, 2, 0))) * 12) + (IF(ISBLANK(Q1099), 0, IF(ISNA(VLOOKUP(Q1099, Wages!$A$2:$C$17, 2, 0)), Q1099, VLOOKUP(Q1099, Wages!$A$2:$C$17, 2, 0))) * IF(ISBLANK(N1099), 0, IF(ISNA(VLOOKUP(N1099, Crews!$A$2:$C$28, 2, 0)), N1099, VLOOKUP(N1099, Crews!$A$2:$C$28, 2, 0))))) * 400</f>
        <v>8049.479167</v>
      </c>
      <c r="K1099" s="3" t="s">
        <v>2231</v>
      </c>
      <c r="L1099" s="1" t="s">
        <v>2232</v>
      </c>
      <c r="M1099" s="1" t="n">
        <v>0</v>
      </c>
      <c r="N1099" s="1" t="s">
        <v>25</v>
      </c>
      <c r="O1099" s="1" t="n">
        <v>0.6</v>
      </c>
      <c r="P1099" s="1"/>
      <c r="Q1099" s="1" t="s">
        <v>1815</v>
      </c>
      <c r="R1099" s="1" t="s">
        <v>1842</v>
      </c>
      <c r="S1099" s="1" t="s">
        <v>1843</v>
      </c>
      <c r="T1099" s="1" t="s">
        <v>1844</v>
      </c>
    </row>
    <row r="1100" customFormat="false" ht="15" hidden="false" customHeight="true" outlineLevel="0" collapsed="false">
      <c r="A1100" s="1" t="s">
        <v>2233</v>
      </c>
      <c r="B1100" s="1" t="n">
        <v>1909</v>
      </c>
      <c r="C1100" s="1" t="n">
        <v>11</v>
      </c>
      <c r="D1100" s="1" t="s">
        <v>38</v>
      </c>
      <c r="E1100" s="1"/>
      <c r="F1100" s="1"/>
      <c r="G1100" s="1" t="n">
        <v>160</v>
      </c>
      <c r="H1100" s="2" t="n">
        <v>597000</v>
      </c>
      <c r="I1100" s="2" t="n">
        <f aca="false">(((H1100 / 800) / IF(ISBLANK(R1100), 1000000, IF(ISNA(VLOOKUP(R1100, Mileages!$A$2:$C$34, 2, 0)), R1100, VLOOKUP(R1100, Mileages!$A$2:$C$34, 2, 0)))) + (F1100 * IF(ISBLANK(P1100), 1, P1100) * IF(ISBLANK(T1100), 0, IF(ISNA(VLOOKUP(T1100, 'Fuel Costs'!$A$2:$C$42, 2, 0)), T1100, VLOOKUP(T1100, 'Fuel Costs'!$A$2:$C$42, 2, 0))) / IF(ISBLANK(O1100), 1, O1100))) * 100</f>
        <v>0.0621875</v>
      </c>
      <c r="J1100" s="2" t="n">
        <f aca="false">((H1100 / 800) / (IF(ISBLANK(S1100), 100, IF(ISNA(VLOOKUP(S1100, Lives!$A$2:$C$35, 2, 0)), S1100, VLOOKUP(S1100, Lives!$A$2:$C$35, 2, 0))) * 12) + (IF(ISBLANK(Q1100), 0, IF(ISNA(VLOOKUP(Q1100, Wages!$A$2:$C$17, 2, 0)), Q1100, VLOOKUP(Q1100, Wages!$A$2:$C$17, 2, 0))) * IF(ISBLANK(N1100), 0, IF(ISNA(VLOOKUP(N1100, Crews!$A$2:$C$28, 2, 0)), N1100, VLOOKUP(N1100, Crews!$A$2:$C$28, 2, 0))))) * 400</f>
        <v>5510.714286</v>
      </c>
      <c r="K1100" s="1" t="s">
        <v>2234</v>
      </c>
      <c r="L1100" s="1" t="s">
        <v>2235</v>
      </c>
      <c r="M1100" s="1" t="n">
        <v>0</v>
      </c>
      <c r="N1100" s="1" t="s">
        <v>25</v>
      </c>
      <c r="O1100" s="1"/>
      <c r="P1100" s="1"/>
      <c r="Q1100" s="1" t="s">
        <v>378</v>
      </c>
      <c r="R1100" s="1" t="s">
        <v>689</v>
      </c>
      <c r="S1100" s="1" t="s">
        <v>856</v>
      </c>
      <c r="T1100" s="1"/>
    </row>
    <row r="1101" customFormat="false" ht="15" hidden="false" customHeight="true" outlineLevel="0" collapsed="false">
      <c r="A1101" s="1" t="s">
        <v>2236</v>
      </c>
      <c r="B1101" s="1" t="n">
        <v>1909</v>
      </c>
      <c r="C1101" s="1" t="n">
        <v>11</v>
      </c>
      <c r="D1101" s="1" t="s">
        <v>38</v>
      </c>
      <c r="E1101" s="1"/>
      <c r="F1101" s="1"/>
      <c r="G1101" s="1" t="n">
        <v>160</v>
      </c>
      <c r="H1101" s="2" t="n">
        <v>597000</v>
      </c>
      <c r="I1101" s="2" t="n">
        <f aca="false">(((H1101 / 800) / IF(ISBLANK(R1101), 1000000, IF(ISNA(VLOOKUP(R1101, Mileages!$A$2:$C$34, 2, 0)), R1101, VLOOKUP(R1101, Mileages!$A$2:$C$34, 2, 0)))) + (F1101 * IF(ISBLANK(P1101), 1, P1101) * IF(ISBLANK(T1101), 0, IF(ISNA(VLOOKUP(T1101, 'Fuel Costs'!$A$2:$C$42, 2, 0)), T1101, VLOOKUP(T1101, 'Fuel Costs'!$A$2:$C$42, 2, 0))) / IF(ISBLANK(O1101), 1, O1101))) * 100</f>
        <v>0.0621875</v>
      </c>
      <c r="J1101" s="2" t="n">
        <f aca="false">((H1101 / 800) / (IF(ISBLANK(S1101), 100, IF(ISNA(VLOOKUP(S1101, Lives!$A$2:$C$35, 2, 0)), S1101, VLOOKUP(S1101, Lives!$A$2:$C$35, 2, 0))) * 12) + (IF(ISBLANK(Q1101), 0, IF(ISNA(VLOOKUP(Q1101, Wages!$A$2:$C$17, 2, 0)), Q1101, VLOOKUP(Q1101, Wages!$A$2:$C$17, 2, 0))) * IF(ISBLANK(N1101), 0, IF(ISNA(VLOOKUP(N1101, Crews!$A$2:$C$28, 2, 0)), N1101, VLOOKUP(N1101, Crews!$A$2:$C$28, 2, 0))))) * 400</f>
        <v>5510.714286</v>
      </c>
      <c r="K1101" s="1"/>
      <c r="L1101" s="1" t="s">
        <v>2235</v>
      </c>
      <c r="M1101" s="1" t="n">
        <v>1</v>
      </c>
      <c r="N1101" s="1" t="s">
        <v>25</v>
      </c>
      <c r="O1101" s="1"/>
      <c r="P1101" s="1"/>
      <c r="Q1101" s="1" t="s">
        <v>378</v>
      </c>
      <c r="R1101" s="1" t="s">
        <v>689</v>
      </c>
      <c r="S1101" s="1" t="s">
        <v>856</v>
      </c>
      <c r="T1101" s="1"/>
    </row>
    <row r="1102" customFormat="false" ht="15" hidden="false" customHeight="true" outlineLevel="0" collapsed="false">
      <c r="A1102" s="1" t="s">
        <v>2237</v>
      </c>
      <c r="B1102" s="1" t="n">
        <v>1909</v>
      </c>
      <c r="C1102" s="1" t="n">
        <v>11</v>
      </c>
      <c r="D1102" s="1" t="s">
        <v>38</v>
      </c>
      <c r="E1102" s="1"/>
      <c r="F1102" s="1"/>
      <c r="G1102" s="1" t="n">
        <v>160</v>
      </c>
      <c r="H1102" s="2" t="n">
        <v>597000</v>
      </c>
      <c r="I1102" s="2" t="n">
        <f aca="false">(((H1102 / 800) / IF(ISBLANK(R1102), 1000000, IF(ISNA(VLOOKUP(R1102, Mileages!$A$2:$C$34, 2, 0)), R1102, VLOOKUP(R1102, Mileages!$A$2:$C$34, 2, 0)))) + (F1102 * IF(ISBLANK(P1102), 1, P1102) * IF(ISBLANK(T1102), 0, IF(ISNA(VLOOKUP(T1102, 'Fuel Costs'!$A$2:$C$42, 2, 0)), T1102, VLOOKUP(T1102, 'Fuel Costs'!$A$2:$C$42, 2, 0))) / IF(ISBLANK(O1102), 1, O1102))) * 100</f>
        <v>0.0621875</v>
      </c>
      <c r="J1102" s="2" t="n">
        <f aca="false">((H1102 / 800) / (IF(ISBLANK(S1102), 100, IF(ISNA(VLOOKUP(S1102, Lives!$A$2:$C$35, 2, 0)), S1102, VLOOKUP(S1102, Lives!$A$2:$C$35, 2, 0))) * 12) + (IF(ISBLANK(Q1102), 0, IF(ISNA(VLOOKUP(Q1102, Wages!$A$2:$C$17, 2, 0)), Q1102, VLOOKUP(Q1102, Wages!$A$2:$C$17, 2, 0))) * IF(ISBLANK(N1102), 0, IF(ISNA(VLOOKUP(N1102, Crews!$A$2:$C$28, 2, 0)), N1102, VLOOKUP(N1102, Crews!$A$2:$C$28, 2, 0))))) * 400</f>
        <v>710.7142857</v>
      </c>
      <c r="K1102" s="3" t="s">
        <v>2238</v>
      </c>
      <c r="L1102" s="1" t="s">
        <v>2235</v>
      </c>
      <c r="M1102" s="1" t="n">
        <v>2</v>
      </c>
      <c r="N1102" s="1"/>
      <c r="O1102" s="1"/>
      <c r="P1102" s="1"/>
      <c r="Q1102" s="1"/>
      <c r="R1102" s="1" t="s">
        <v>689</v>
      </c>
      <c r="S1102" s="1" t="s">
        <v>856</v>
      </c>
      <c r="T1102" s="1"/>
    </row>
    <row r="1103" customFormat="false" ht="15" hidden="false" customHeight="true" outlineLevel="0" collapsed="false">
      <c r="A1103" s="1" t="s">
        <v>2239</v>
      </c>
      <c r="B1103" s="1" t="n">
        <v>1909</v>
      </c>
      <c r="C1103" s="1" t="n">
        <v>11</v>
      </c>
      <c r="D1103" s="1" t="s">
        <v>38</v>
      </c>
      <c r="E1103" s="1"/>
      <c r="F1103" s="1"/>
      <c r="G1103" s="1" t="n">
        <v>160</v>
      </c>
      <c r="H1103" s="2" t="n">
        <v>575000</v>
      </c>
      <c r="I1103" s="2" t="n">
        <f aca="false">(((H1103 / 800) / IF(ISBLANK(R1103), 1000000, IF(ISNA(VLOOKUP(R1103, Mileages!$A$2:$C$34, 2, 0)), R1103, VLOOKUP(R1103, Mileages!$A$2:$C$34, 2, 0)))) + (F1103 * IF(ISBLANK(P1103), 1, P1103) * IF(ISBLANK(T1103), 0, IF(ISNA(VLOOKUP(T1103, 'Fuel Costs'!$A$2:$C$42, 2, 0)), T1103, VLOOKUP(T1103, 'Fuel Costs'!$A$2:$C$42, 2, 0))) / IF(ISBLANK(O1103), 1, O1103))) * 100</f>
        <v>0.05989583333</v>
      </c>
      <c r="J1103" s="2" t="n">
        <f aca="false">((H1103 / 800) / (IF(ISBLANK(S1103), 100, IF(ISNA(VLOOKUP(S1103, Lives!$A$2:$C$35, 2, 0)), S1103, VLOOKUP(S1103, Lives!$A$2:$C$35, 2, 0))) * 12) + (IF(ISBLANK(Q1103), 0, IF(ISNA(VLOOKUP(Q1103, Wages!$A$2:$C$17, 2, 0)), Q1103, VLOOKUP(Q1103, Wages!$A$2:$C$17, 2, 0))) * IF(ISBLANK(N1103), 0, IF(ISNA(VLOOKUP(N1103, Crews!$A$2:$C$28, 2, 0)), N1103, VLOOKUP(N1103, Crews!$A$2:$C$28, 2, 0))))) * 400</f>
        <v>5484.52381</v>
      </c>
      <c r="K1103" s="1"/>
      <c r="L1103" s="1" t="s">
        <v>2240</v>
      </c>
      <c r="M1103" s="1" t="n">
        <v>0</v>
      </c>
      <c r="N1103" s="1" t="s">
        <v>25</v>
      </c>
      <c r="O1103" s="1"/>
      <c r="P1103" s="1"/>
      <c r="Q1103" s="1" t="s">
        <v>378</v>
      </c>
      <c r="R1103" s="1" t="s">
        <v>689</v>
      </c>
      <c r="S1103" s="1" t="s">
        <v>856</v>
      </c>
      <c r="T1103" s="1"/>
    </row>
    <row r="1104" customFormat="false" ht="15" hidden="false" customHeight="true" outlineLevel="0" collapsed="false">
      <c r="A1104" s="1" t="s">
        <v>2241</v>
      </c>
      <c r="B1104" s="1" t="n">
        <v>1909</v>
      </c>
      <c r="C1104" s="1" t="n">
        <v>11</v>
      </c>
      <c r="D1104" s="1" t="s">
        <v>38</v>
      </c>
      <c r="E1104" s="1"/>
      <c r="F1104" s="1"/>
      <c r="G1104" s="1" t="n">
        <v>160</v>
      </c>
      <c r="H1104" s="2" t="n">
        <v>575000</v>
      </c>
      <c r="I1104" s="2" t="n">
        <f aca="false">(((H1104 / 800) / IF(ISBLANK(R1104), 1000000, IF(ISNA(VLOOKUP(R1104, Mileages!$A$2:$C$34, 2, 0)), R1104, VLOOKUP(R1104, Mileages!$A$2:$C$34, 2, 0)))) + (F1104 * IF(ISBLANK(P1104), 1, P1104) * IF(ISBLANK(T1104), 0, IF(ISNA(VLOOKUP(T1104, 'Fuel Costs'!$A$2:$C$42, 2, 0)), T1104, VLOOKUP(T1104, 'Fuel Costs'!$A$2:$C$42, 2, 0))) / IF(ISBLANK(O1104), 1, O1104))) * 100</f>
        <v>0.05989583333</v>
      </c>
      <c r="J1104" s="2" t="n">
        <f aca="false">((H1104 / 800) / (IF(ISBLANK(S1104), 100, IF(ISNA(VLOOKUP(S1104, Lives!$A$2:$C$35, 2, 0)), S1104, VLOOKUP(S1104, Lives!$A$2:$C$35, 2, 0))) * 12) + (IF(ISBLANK(Q1104), 0, IF(ISNA(VLOOKUP(Q1104, Wages!$A$2:$C$17, 2, 0)), Q1104, VLOOKUP(Q1104, Wages!$A$2:$C$17, 2, 0))) * IF(ISBLANK(N1104), 0, IF(ISNA(VLOOKUP(N1104, Crews!$A$2:$C$28, 2, 0)), N1104, VLOOKUP(N1104, Crews!$A$2:$C$28, 2, 0))))) * 400</f>
        <v>5484.52381</v>
      </c>
      <c r="K1104" s="1"/>
      <c r="L1104" s="1" t="s">
        <v>2240</v>
      </c>
      <c r="M1104" s="1" t="n">
        <v>1</v>
      </c>
      <c r="N1104" s="1" t="s">
        <v>25</v>
      </c>
      <c r="O1104" s="1"/>
      <c r="P1104" s="1"/>
      <c r="Q1104" s="1" t="s">
        <v>378</v>
      </c>
      <c r="R1104" s="1" t="s">
        <v>689</v>
      </c>
      <c r="S1104" s="1" t="s">
        <v>856</v>
      </c>
      <c r="T1104" s="1"/>
    </row>
    <row r="1105" customFormat="false" ht="15" hidden="false" customHeight="true" outlineLevel="0" collapsed="false">
      <c r="A1105" s="1" t="s">
        <v>2242</v>
      </c>
      <c r="B1105" s="1" t="n">
        <v>1909</v>
      </c>
      <c r="C1105" s="1" t="n">
        <v>11</v>
      </c>
      <c r="D1105" s="1" t="s">
        <v>38</v>
      </c>
      <c r="E1105" s="1"/>
      <c r="F1105" s="1"/>
      <c r="G1105" s="1" t="n">
        <v>160</v>
      </c>
      <c r="H1105" s="2" t="n">
        <v>575000</v>
      </c>
      <c r="I1105" s="2" t="n">
        <f aca="false">(((H1105 / 800) / IF(ISBLANK(R1105), 1000000, IF(ISNA(VLOOKUP(R1105, Mileages!$A$2:$C$34, 2, 0)), R1105, VLOOKUP(R1105, Mileages!$A$2:$C$34, 2, 0)))) + (F1105 * IF(ISBLANK(P1105), 1, P1105) * IF(ISBLANK(T1105), 0, IF(ISNA(VLOOKUP(T1105, 'Fuel Costs'!$A$2:$C$42, 2, 0)), T1105, VLOOKUP(T1105, 'Fuel Costs'!$A$2:$C$42, 2, 0))) / IF(ISBLANK(O1105), 1, O1105))) * 100</f>
        <v>0.05989583333</v>
      </c>
      <c r="J1105" s="2" t="n">
        <f aca="false">((H1105 / 800) / (IF(ISBLANK(S1105), 100, IF(ISNA(VLOOKUP(S1105, Lives!$A$2:$C$35, 2, 0)), S1105, VLOOKUP(S1105, Lives!$A$2:$C$35, 2, 0))) * 12) + (IF(ISBLANK(Q1105), 0, IF(ISNA(VLOOKUP(Q1105, Wages!$A$2:$C$17, 2, 0)), Q1105, VLOOKUP(Q1105, Wages!$A$2:$C$17, 2, 0))) * IF(ISBLANK(N1105), 0, IF(ISNA(VLOOKUP(N1105, Crews!$A$2:$C$28, 2, 0)), N1105, VLOOKUP(N1105, Crews!$A$2:$C$28, 2, 0))))) * 400</f>
        <v>684.5238095</v>
      </c>
      <c r="K1105" s="1" t="s">
        <v>2243</v>
      </c>
      <c r="L1105" s="1" t="s">
        <v>2240</v>
      </c>
      <c r="M1105" s="1" t="n">
        <v>2</v>
      </c>
      <c r="N1105" s="1"/>
      <c r="O1105" s="1"/>
      <c r="P1105" s="1"/>
      <c r="Q1105" s="1"/>
      <c r="R1105" s="1" t="s">
        <v>689</v>
      </c>
      <c r="S1105" s="1" t="s">
        <v>856</v>
      </c>
      <c r="T1105" s="1"/>
    </row>
    <row r="1106" customFormat="false" ht="15" hidden="false" customHeight="true" outlineLevel="0" collapsed="false">
      <c r="A1106" s="1" t="s">
        <v>2244</v>
      </c>
      <c r="B1106" s="1" t="n">
        <v>1909</v>
      </c>
      <c r="C1106" s="1" t="n">
        <v>12</v>
      </c>
      <c r="D1106" s="1" t="s">
        <v>38</v>
      </c>
      <c r="E1106" s="1"/>
      <c r="F1106" s="1"/>
      <c r="G1106" s="1" t="n">
        <v>160</v>
      </c>
      <c r="H1106" s="2" t="n">
        <v>432000</v>
      </c>
      <c r="I1106" s="2" t="n">
        <f aca="false">(((H1106 / 800) / IF(ISBLANK(R1106), 1000000, IF(ISNA(VLOOKUP(R1106, Mileages!$A$2:$C$34, 2, 0)), R1106, VLOOKUP(R1106, Mileages!$A$2:$C$34, 2, 0)))) + (F1106 * IF(ISBLANK(P1106), 1, P1106) * IF(ISBLANK(T1106), 0, IF(ISNA(VLOOKUP(T1106, 'Fuel Costs'!$A$2:$C$42, 2, 0)), T1106, VLOOKUP(T1106, 'Fuel Costs'!$A$2:$C$42, 2, 0))) / IF(ISBLANK(O1106), 1, O1106))) * 100</f>
        <v>0.045</v>
      </c>
      <c r="J1106" s="2" t="n">
        <f aca="false">((H1106 / 800) / (IF(ISBLANK(S1106), 100, IF(ISNA(VLOOKUP(S1106, Lives!$A$2:$C$35, 2, 0)), S1106, VLOOKUP(S1106, Lives!$A$2:$C$35, 2, 0))) * 12) + (IF(ISBLANK(Q1106), 0, IF(ISNA(VLOOKUP(Q1106, Wages!$A$2:$C$17, 2, 0)), Q1106, VLOOKUP(Q1106, Wages!$A$2:$C$17, 2, 0))) * IF(ISBLANK(N1106), 0, IF(ISNA(VLOOKUP(N1106, Crews!$A$2:$C$28, 2, 0)), N1106, VLOOKUP(N1106, Crews!$A$2:$C$28, 2, 0))))) * 400</f>
        <v>514.2857143</v>
      </c>
      <c r="K1106" s="3" t="s">
        <v>2245</v>
      </c>
      <c r="L1106" s="1" t="s">
        <v>2246</v>
      </c>
      <c r="M1106" s="1" t="n">
        <v>1</v>
      </c>
      <c r="N1106" s="1"/>
      <c r="O1106" s="1"/>
      <c r="P1106" s="1"/>
      <c r="Q1106" s="1"/>
      <c r="R1106" s="1" t="s">
        <v>689</v>
      </c>
      <c r="S1106" s="1" t="s">
        <v>856</v>
      </c>
      <c r="T1106" s="1"/>
    </row>
    <row r="1107" customFormat="false" ht="15" hidden="false" customHeight="true" outlineLevel="0" collapsed="false">
      <c r="A1107" s="1" t="s">
        <v>2247</v>
      </c>
      <c r="B1107" s="1" t="n">
        <v>1909</v>
      </c>
      <c r="C1107" s="1" t="n">
        <v>12</v>
      </c>
      <c r="D1107" s="1" t="s">
        <v>38</v>
      </c>
      <c r="E1107" s="1"/>
      <c r="F1107" s="1"/>
      <c r="G1107" s="1" t="n">
        <v>160</v>
      </c>
      <c r="H1107" s="2" t="n">
        <v>432000</v>
      </c>
      <c r="I1107" s="2" t="n">
        <f aca="false">(((H1107 / 800) / IF(ISBLANK(R1107), 1000000, IF(ISNA(VLOOKUP(R1107, Mileages!$A$2:$C$34, 2, 0)), R1107, VLOOKUP(R1107, Mileages!$A$2:$C$34, 2, 0)))) + (F1107 * IF(ISBLANK(P1107), 1, P1107) * IF(ISBLANK(T1107), 0, IF(ISNA(VLOOKUP(T1107, 'Fuel Costs'!$A$2:$C$42, 2, 0)), T1107, VLOOKUP(T1107, 'Fuel Costs'!$A$2:$C$42, 2, 0))) / IF(ISBLANK(O1107), 1, O1107))) * 100</f>
        <v>0.045</v>
      </c>
      <c r="J1107" s="2" t="n">
        <f aca="false">((H1107 / 800) / (IF(ISBLANK(S1107), 100, IF(ISNA(VLOOKUP(S1107, Lives!$A$2:$C$35, 2, 0)), S1107, VLOOKUP(S1107, Lives!$A$2:$C$35, 2, 0))) * 12) + (IF(ISBLANK(Q1107), 0, IF(ISNA(VLOOKUP(Q1107, Wages!$A$2:$C$17, 2, 0)), Q1107, VLOOKUP(Q1107, Wages!$A$2:$C$17, 2, 0))) * IF(ISBLANK(N1107), 0, IF(ISNA(VLOOKUP(N1107, Crews!$A$2:$C$28, 2, 0)), N1107, VLOOKUP(N1107, Crews!$A$2:$C$28, 2, 0))))) * 400</f>
        <v>5314.285714</v>
      </c>
      <c r="K1107" s="3" t="s">
        <v>2245</v>
      </c>
      <c r="L1107" s="1" t="s">
        <v>2246</v>
      </c>
      <c r="M1107" s="1" t="n">
        <v>2</v>
      </c>
      <c r="N1107" s="1" t="s">
        <v>25</v>
      </c>
      <c r="O1107" s="1"/>
      <c r="P1107" s="1"/>
      <c r="Q1107" s="1" t="s">
        <v>378</v>
      </c>
      <c r="R1107" s="1" t="s">
        <v>689</v>
      </c>
      <c r="S1107" s="1" t="s">
        <v>856</v>
      </c>
      <c r="T1107" s="1"/>
    </row>
    <row r="1108" customFormat="false" ht="15" hidden="false" customHeight="true" outlineLevel="0" collapsed="false">
      <c r="A1108" s="1" t="s">
        <v>2248</v>
      </c>
      <c r="B1108" s="1" t="n">
        <v>1909</v>
      </c>
      <c r="C1108" s="1" t="n">
        <v>12</v>
      </c>
      <c r="D1108" s="1" t="s">
        <v>38</v>
      </c>
      <c r="E1108" s="1"/>
      <c r="F1108" s="1"/>
      <c r="G1108" s="1" t="n">
        <v>160</v>
      </c>
      <c r="H1108" s="2" t="n">
        <v>432000</v>
      </c>
      <c r="I1108" s="2" t="n">
        <f aca="false">(((H1108 / 800) / IF(ISBLANK(R1108), 1000000, IF(ISNA(VLOOKUP(R1108, Mileages!$A$2:$C$34, 2, 0)), R1108, VLOOKUP(R1108, Mileages!$A$2:$C$34, 2, 0)))) + (F1108 * IF(ISBLANK(P1108), 1, P1108) * IF(ISBLANK(T1108), 0, IF(ISNA(VLOOKUP(T1108, 'Fuel Costs'!$A$2:$C$42, 2, 0)), T1108, VLOOKUP(T1108, 'Fuel Costs'!$A$2:$C$42, 2, 0))) / IF(ISBLANK(O1108), 1, O1108))) * 100</f>
        <v>0.045</v>
      </c>
      <c r="J1108" s="2" t="n">
        <f aca="false">((H1108 / 800) / (IF(ISBLANK(S1108), 100, IF(ISNA(VLOOKUP(S1108, Lives!$A$2:$C$35, 2, 0)), S1108, VLOOKUP(S1108, Lives!$A$2:$C$35, 2, 0))) * 12) + (IF(ISBLANK(Q1108), 0, IF(ISNA(VLOOKUP(Q1108, Wages!$A$2:$C$17, 2, 0)), Q1108, VLOOKUP(Q1108, Wages!$A$2:$C$17, 2, 0))) * IF(ISBLANK(N1108), 0, IF(ISNA(VLOOKUP(N1108, Crews!$A$2:$C$28, 2, 0)), N1108, VLOOKUP(N1108, Crews!$A$2:$C$28, 2, 0))))) * 400</f>
        <v>5314.285714</v>
      </c>
      <c r="K1108" s="3" t="s">
        <v>2245</v>
      </c>
      <c r="L1108" s="1" t="s">
        <v>2246</v>
      </c>
      <c r="M1108" s="1" t="n">
        <v>3</v>
      </c>
      <c r="N1108" s="1" t="s">
        <v>25</v>
      </c>
      <c r="O1108" s="1"/>
      <c r="P1108" s="1"/>
      <c r="Q1108" s="1" t="s">
        <v>378</v>
      </c>
      <c r="R1108" s="1" t="s">
        <v>689</v>
      </c>
      <c r="S1108" s="1" t="s">
        <v>856</v>
      </c>
      <c r="T1108" s="1"/>
    </row>
    <row r="1109" customFormat="false" ht="15" hidden="false" customHeight="true" outlineLevel="0" collapsed="false">
      <c r="A1109" s="1" t="s">
        <v>2249</v>
      </c>
      <c r="B1109" s="1" t="n">
        <v>1909</v>
      </c>
      <c r="C1109" s="1" t="n">
        <v>12</v>
      </c>
      <c r="D1109" s="1" t="s">
        <v>157</v>
      </c>
      <c r="E1109" s="1" t="s">
        <v>274</v>
      </c>
      <c r="F1109" s="1" t="n">
        <v>112</v>
      </c>
      <c r="G1109" s="1" t="n">
        <v>60</v>
      </c>
      <c r="H1109" s="2" t="n">
        <v>6700000</v>
      </c>
      <c r="I1109" s="2" t="n">
        <f aca="false">(((H1109 / 800) / IF(ISBLANK(R1109), 1000000, IF(ISNA(VLOOKUP(R1109, Mileages!$A$2:$C$34, 2, 0)), R1109, VLOOKUP(R1109, Mileages!$A$2:$C$34, 2, 0)))) + (F1109 * IF(ISBLANK(P1109), 1, P1109) * IF(ISBLANK(T1109), 0, IF(ISNA(VLOOKUP(T1109, 'Fuel Costs'!$A$2:$C$42, 2, 0)), T1109, VLOOKUP(T1109, 'Fuel Costs'!$A$2:$C$42, 2, 0))) / IF(ISBLANK(O1109), 1, O1109))) * 100</f>
        <v>75.50416667</v>
      </c>
      <c r="J1109" s="2" t="n">
        <f aca="false">((H1109 / 800) / (IF(ISBLANK(S1109), 100, IF(ISNA(VLOOKUP(S1109, Lives!$A$2:$C$35, 2, 0)), S1109, VLOOKUP(S1109, Lives!$A$2:$C$35, 2, 0))) * 12) + (IF(ISBLANK(Q1109), 0, IF(ISNA(VLOOKUP(Q1109, Wages!$A$2:$C$17, 2, 0)), Q1109, VLOOKUP(Q1109, Wages!$A$2:$C$17, 2, 0))) * IF(ISBLANK(N1109), 0, IF(ISNA(VLOOKUP(N1109, Crews!$A$2:$C$28, 2, 0)), N1109, VLOOKUP(N1109, Crews!$A$2:$C$28, 2, 0))))) * 400</f>
        <v>21583.33333</v>
      </c>
      <c r="K1109" s="3" t="s">
        <v>2250</v>
      </c>
      <c r="L1109" s="1" t="s">
        <v>2251</v>
      </c>
      <c r="M1109" s="1" t="n">
        <v>0</v>
      </c>
      <c r="N1109" s="1" t="s">
        <v>283</v>
      </c>
      <c r="O1109" s="1" t="n">
        <v>0.6</v>
      </c>
      <c r="P1109" s="1"/>
      <c r="Q1109" s="1" t="s">
        <v>284</v>
      </c>
      <c r="R1109" s="1" t="s">
        <v>677</v>
      </c>
      <c r="S1109" s="1" t="s">
        <v>677</v>
      </c>
      <c r="T1109" s="1" t="s">
        <v>2252</v>
      </c>
    </row>
    <row r="1110" customFormat="false" ht="15" hidden="false" customHeight="true" outlineLevel="0" collapsed="false">
      <c r="A1110" s="1" t="s">
        <v>2253</v>
      </c>
      <c r="B1110" s="1" t="n">
        <v>1909</v>
      </c>
      <c r="C1110" s="1" t="n">
        <v>12</v>
      </c>
      <c r="D1110" s="1" t="s">
        <v>157</v>
      </c>
      <c r="E1110" s="1" t="s">
        <v>274</v>
      </c>
      <c r="F1110" s="1" t="n">
        <v>0</v>
      </c>
      <c r="G1110" s="1" t="n">
        <v>60</v>
      </c>
      <c r="H1110" s="2" t="n">
        <v>0</v>
      </c>
      <c r="I1110" s="2" t="n">
        <v>0</v>
      </c>
      <c r="J1110" s="2"/>
      <c r="K1110" s="3" t="s">
        <v>2254</v>
      </c>
      <c r="L1110" s="1" t="s">
        <v>2251</v>
      </c>
      <c r="M1110" s="1" t="n">
        <v>1</v>
      </c>
      <c r="N1110" s="1"/>
      <c r="O1110" s="1"/>
      <c r="P1110" s="1"/>
      <c r="Q1110" s="1"/>
      <c r="R1110" s="1"/>
      <c r="S1110" s="1"/>
      <c r="T1110" s="1"/>
    </row>
    <row r="1111" customFormat="false" ht="15" hidden="false" customHeight="true" outlineLevel="0" collapsed="false">
      <c r="A1111" s="1" t="s">
        <v>2255</v>
      </c>
      <c r="B1111" s="1" t="n">
        <v>1909</v>
      </c>
      <c r="C1111" s="1" t="n">
        <v>12</v>
      </c>
      <c r="D1111" s="1" t="s">
        <v>157</v>
      </c>
      <c r="E1111" s="1" t="s">
        <v>274</v>
      </c>
      <c r="F1111" s="1" t="n">
        <v>0</v>
      </c>
      <c r="G1111" s="1" t="n">
        <v>60</v>
      </c>
      <c r="H1111" s="2" t="n">
        <v>0</v>
      </c>
      <c r="I1111" s="2" t="n">
        <v>0</v>
      </c>
      <c r="J1111" s="2"/>
      <c r="K1111" s="3" t="s">
        <v>2254</v>
      </c>
      <c r="L1111" s="1" t="s">
        <v>2251</v>
      </c>
      <c r="M1111" s="1" t="n">
        <v>2</v>
      </c>
      <c r="N1111" s="1"/>
      <c r="O1111" s="1"/>
      <c r="P1111" s="1"/>
      <c r="Q1111" s="1"/>
      <c r="R1111" s="1"/>
      <c r="S1111" s="1"/>
      <c r="T1111" s="1"/>
    </row>
    <row r="1112" customFormat="false" ht="15" hidden="false" customHeight="true" outlineLevel="0" collapsed="false">
      <c r="A1112" s="1" t="s">
        <v>2256</v>
      </c>
      <c r="B1112" s="1" t="n">
        <v>1910</v>
      </c>
      <c r="C1112" s="1" t="n">
        <v>1</v>
      </c>
      <c r="D1112" s="1" t="s">
        <v>2225</v>
      </c>
      <c r="E1112" s="1" t="s">
        <v>1839</v>
      </c>
      <c r="F1112" s="1" t="n">
        <v>100</v>
      </c>
      <c r="G1112" s="1" t="n">
        <v>80</v>
      </c>
      <c r="H1112" s="2" t="n">
        <v>600000</v>
      </c>
      <c r="I1112" s="2" t="n">
        <f aca="false">(((H1112 / 800) / IF(ISBLANK(R1112), 1000000, IF(ISNA(VLOOKUP(R1112, Mileages!$A$2:$C$34, 2, 0)), R1112, VLOOKUP(R1112, Mileages!$A$2:$C$34, 2, 0)))) + (F1112 * IF(ISBLANK(P1112), 1, P1112) * IF(ISBLANK(T1112), 0, IF(ISNA(VLOOKUP(T1112, 'Fuel Costs'!$A$2:$C$42, 2, 0)), T1112, VLOOKUP(T1112, 'Fuel Costs'!$A$2:$C$42, 2, 0))) / IF(ISBLANK(O1112), 1, O1112))) * 100</f>
        <v>8.015</v>
      </c>
      <c r="J1112" s="2" t="n">
        <f aca="false">((H1112 / 800) / (IF(ISBLANK(S1112), 100, IF(ISNA(VLOOKUP(S1112, Lives!$A$2:$C$35, 2, 0)), S1112, VLOOKUP(S1112, Lives!$A$2:$C$35, 2, 0))) * 12) + (IF(ISBLANK(Q1112), 0, IF(ISNA(VLOOKUP(Q1112, Wages!$A$2:$C$17, 2, 0)), Q1112, VLOOKUP(Q1112, Wages!$A$2:$C$17, 2, 0))) * IF(ISBLANK(N1112), 0, IF(ISNA(VLOOKUP(N1112, Crews!$A$2:$C$28, 2, 0)), N1112, VLOOKUP(N1112, Crews!$A$2:$C$28, 2, 0))))) * 400</f>
        <v>10416.66667</v>
      </c>
      <c r="K1112" s="3" t="s">
        <v>2257</v>
      </c>
      <c r="L1112" s="1" t="s">
        <v>2258</v>
      </c>
      <c r="M1112" s="1" t="n">
        <v>0</v>
      </c>
      <c r="N1112" s="1" t="s">
        <v>25</v>
      </c>
      <c r="O1112" s="1"/>
      <c r="P1112" s="1" t="n">
        <v>0.1</v>
      </c>
      <c r="Q1112" s="1" t="s">
        <v>2229</v>
      </c>
      <c r="R1112" s="1" t="s">
        <v>2229</v>
      </c>
      <c r="S1112" s="1" t="s">
        <v>2229</v>
      </c>
      <c r="T1112" s="1" t="s">
        <v>2259</v>
      </c>
    </row>
    <row r="1113" customFormat="false" ht="15" hidden="false" customHeight="true" outlineLevel="0" collapsed="false">
      <c r="A1113" s="1" t="s">
        <v>2260</v>
      </c>
      <c r="B1113" s="1" t="n">
        <v>1910</v>
      </c>
      <c r="C1113" s="1" t="n">
        <v>2</v>
      </c>
      <c r="D1113" s="1" t="s">
        <v>38</v>
      </c>
      <c r="E1113" s="1" t="s">
        <v>274</v>
      </c>
      <c r="F1113" s="1" t="n">
        <v>279</v>
      </c>
      <c r="G1113" s="1" t="n">
        <v>142</v>
      </c>
      <c r="H1113" s="2" t="n">
        <v>6841000</v>
      </c>
      <c r="I1113" s="2" t="n">
        <f aca="false">(((H1113 / 800) / IF(ISBLANK(R1113), 1000000, IF(ISNA(VLOOKUP(R1113, Mileages!$A$2:$C$34, 2, 0)), R1113, VLOOKUP(R1113, Mileages!$A$2:$C$34, 2, 0)))) + (F1113 * IF(ISBLANK(P1113), 1, P1113) * IF(ISBLANK(T1113), 0, IF(ISNA(VLOOKUP(T1113, 'Fuel Costs'!$A$2:$C$42, 2, 0)), T1113, VLOOKUP(T1113, 'Fuel Costs'!$A$2:$C$42, 2, 0))) / IF(ISBLANK(O1113), 1, O1113))) * 100</f>
        <v>120.4265536</v>
      </c>
      <c r="J1113" s="2" t="n">
        <f aca="false">((H1113 / 800) / (IF(ISBLANK(S1113), 100, IF(ISNA(VLOOKUP(S1113, Lives!$A$2:$C$35, 2, 0)), S1113, VLOOKUP(S1113, Lives!$A$2:$C$35, 2, 0))) * 12) + (IF(ISBLANK(Q1113), 0, IF(ISNA(VLOOKUP(Q1113, Wages!$A$2:$C$17, 2, 0)), Q1113, VLOOKUP(Q1113, Wages!$A$2:$C$17, 2, 0))) * IF(ISBLANK(N1113), 0, IF(ISNA(VLOOKUP(N1113, Crews!$A$2:$C$28, 2, 0)), N1113, VLOOKUP(N1113, Crews!$A$2:$C$28, 2, 0))))) * 400</f>
        <v>29700.83333</v>
      </c>
      <c r="K1113" s="3" t="s">
        <v>2261</v>
      </c>
      <c r="L1113" s="1" t="s">
        <v>1315</v>
      </c>
      <c r="M1113" s="1" t="n">
        <v>0</v>
      </c>
      <c r="N1113" s="1" t="s">
        <v>590</v>
      </c>
      <c r="O1113" s="1" t="n">
        <v>0.7</v>
      </c>
      <c r="P1113" s="1"/>
      <c r="Q1113" s="5" t="s">
        <v>284</v>
      </c>
      <c r="R1113" s="1" t="s">
        <v>677</v>
      </c>
      <c r="S1113" s="1" t="s">
        <v>677</v>
      </c>
      <c r="T1113" s="1" t="s">
        <v>1785</v>
      </c>
    </row>
    <row r="1114" customFormat="false" ht="15" hidden="false" customHeight="true" outlineLevel="0" collapsed="false">
      <c r="A1114" s="1" t="s">
        <v>2262</v>
      </c>
      <c r="B1114" s="1" t="n">
        <v>1910</v>
      </c>
      <c r="C1114" s="1" t="n">
        <v>2</v>
      </c>
      <c r="D1114" s="1" t="s">
        <v>38</v>
      </c>
      <c r="E1114" s="1"/>
      <c r="F1114" s="1"/>
      <c r="G1114" s="1" t="n">
        <v>56</v>
      </c>
      <c r="H1114" s="2" t="n">
        <v>165000</v>
      </c>
      <c r="I1114" s="2" t="n">
        <f aca="false">(((H1114 / 800) / IF(ISBLANK(R1114), 1000000, IF(ISNA(VLOOKUP(R1114, Mileages!$A$2:$C$34, 2, 0)), R1114, VLOOKUP(R1114, Mileages!$A$2:$C$34, 2, 0)))) + (F1114 * IF(ISBLANK(P1114), 1, P1114) * IF(ISBLANK(T1114), 0, IF(ISNA(VLOOKUP(T1114, 'Fuel Costs'!$A$2:$C$42, 2, 0)), T1114, VLOOKUP(T1114, 'Fuel Costs'!$A$2:$C$42, 2, 0))) / IF(ISBLANK(O1114), 1, O1114))) * 100</f>
        <v>0.0171875</v>
      </c>
      <c r="J1114" s="2" t="n">
        <f aca="false">((H1114 / 800) / (IF(ISBLANK(S1114), 100, IF(ISNA(VLOOKUP(S1114, Lives!$A$2:$C$35, 2, 0)), S1114, VLOOKUP(S1114, Lives!$A$2:$C$35, 2, 0))) * 12) + (IF(ISBLANK(Q1114), 0, IF(ISNA(VLOOKUP(Q1114, Wages!$A$2:$C$17, 2, 0)), Q1114, VLOOKUP(Q1114, Wages!$A$2:$C$17, 2, 0))) * IF(ISBLANK(N1114), 0, IF(ISNA(VLOOKUP(N1114, Crews!$A$2:$C$28, 2, 0)), N1114, VLOOKUP(N1114, Crews!$A$2:$C$28, 2, 0))))) * 400</f>
        <v>137.5</v>
      </c>
      <c r="K1114" s="1"/>
      <c r="L1114" s="1" t="s">
        <v>2263</v>
      </c>
      <c r="M1114" s="1" t="n">
        <v>0</v>
      </c>
      <c r="N1114" s="1"/>
      <c r="O1114" s="1"/>
      <c r="P1114" s="1"/>
      <c r="Q1114" s="1"/>
      <c r="R1114" s="1" t="s">
        <v>689</v>
      </c>
      <c r="S1114" s="1" t="s">
        <v>785</v>
      </c>
      <c r="T1114" s="1"/>
    </row>
    <row r="1115" customFormat="false" ht="15" hidden="false" customHeight="true" outlineLevel="0" collapsed="false">
      <c r="A1115" s="1" t="s">
        <v>2264</v>
      </c>
      <c r="B1115" s="1" t="n">
        <v>1910</v>
      </c>
      <c r="C1115" s="1" t="n">
        <v>3</v>
      </c>
      <c r="D1115" s="1" t="s">
        <v>38</v>
      </c>
      <c r="E1115" s="1"/>
      <c r="F1115" s="1"/>
      <c r="G1115" s="1" t="n">
        <v>56</v>
      </c>
      <c r="H1115" s="2" t="n">
        <v>140000</v>
      </c>
      <c r="I1115" s="2" t="n">
        <f aca="false">(((H1115 / 800) / IF(ISBLANK(R1115), 1000000, IF(ISNA(VLOOKUP(R1115, Mileages!$A$2:$C$34, 2, 0)), R1115, VLOOKUP(R1115, Mileages!$A$2:$C$34, 2, 0)))) + (F1115 * IF(ISBLANK(P1115), 1, P1115) * IF(ISBLANK(T1115), 0, IF(ISNA(VLOOKUP(T1115, 'Fuel Costs'!$A$2:$C$42, 2, 0)), T1115, VLOOKUP(T1115, 'Fuel Costs'!$A$2:$C$42, 2, 0))) / IF(ISBLANK(O1115), 1, O1115))) * 100</f>
        <v>0.01458333333</v>
      </c>
      <c r="J1115" s="2" t="n">
        <f aca="false">((H1115 / 800) / (IF(ISBLANK(S1115), 100, IF(ISNA(VLOOKUP(S1115, Lives!$A$2:$C$35, 2, 0)), S1115, VLOOKUP(S1115, Lives!$A$2:$C$35, 2, 0))) * 12) + (IF(ISBLANK(Q1115), 0, IF(ISNA(VLOOKUP(Q1115, Wages!$A$2:$C$17, 2, 0)), Q1115, VLOOKUP(Q1115, Wages!$A$2:$C$17, 2, 0))) * IF(ISBLANK(N1115), 0, IF(ISNA(VLOOKUP(N1115, Crews!$A$2:$C$28, 2, 0)), N1115, VLOOKUP(N1115, Crews!$A$2:$C$28, 2, 0))))) * 400</f>
        <v>116.6666667</v>
      </c>
      <c r="K1115" s="1"/>
      <c r="L1115" s="1" t="s">
        <v>2265</v>
      </c>
      <c r="M1115" s="1" t="n">
        <v>0</v>
      </c>
      <c r="N1115" s="1"/>
      <c r="O1115" s="1"/>
      <c r="P1115" s="1"/>
      <c r="Q1115" s="1"/>
      <c r="R1115" s="1" t="s">
        <v>689</v>
      </c>
      <c r="S1115" s="1" t="s">
        <v>785</v>
      </c>
      <c r="T1115" s="1"/>
    </row>
    <row r="1116" customFormat="false" ht="15" hidden="false" customHeight="true" outlineLevel="0" collapsed="false">
      <c r="A1116" s="1" t="s">
        <v>2266</v>
      </c>
      <c r="B1116" s="1" t="n">
        <v>1910</v>
      </c>
      <c r="C1116" s="1" t="n">
        <v>3</v>
      </c>
      <c r="D1116" s="1" t="s">
        <v>38</v>
      </c>
      <c r="E1116" s="1" t="s">
        <v>274</v>
      </c>
      <c r="F1116" s="1" t="n">
        <v>398</v>
      </c>
      <c r="G1116" s="1" t="n">
        <v>150</v>
      </c>
      <c r="H1116" s="2" t="n">
        <v>8646250</v>
      </c>
      <c r="I1116" s="2" t="n">
        <f aca="false">(((H1116 / 800) / IF(ISBLANK(R1116), 1000000, IF(ISNA(VLOOKUP(R1116, Mileages!$A$2:$C$34, 2, 0)), R1116, VLOOKUP(R1116, Mileages!$A$2:$C$34, 2, 0)))) + (F1116 * IF(ISBLANK(P1116), 1, P1116) * IF(ISBLANK(T1116), 0, IF(ISNA(VLOOKUP(T1116, 'Fuel Costs'!$A$2:$C$42, 2, 0)), T1116, VLOOKUP(T1116, 'Fuel Costs'!$A$2:$C$42, 2, 0))) / IF(ISBLANK(O1116), 1, O1116))) * 100</f>
        <v>171.6522098</v>
      </c>
      <c r="J1116" s="2" t="n">
        <f aca="false">((H1116 / 800) / (IF(ISBLANK(S1116), 100, IF(ISNA(VLOOKUP(S1116, Lives!$A$2:$C$35, 2, 0)), S1116, VLOOKUP(S1116, Lives!$A$2:$C$35, 2, 0))) * 12) + (IF(ISBLANK(Q1116), 0, IF(ISNA(VLOOKUP(Q1116, Wages!$A$2:$C$17, 2, 0)), Q1116, VLOOKUP(Q1116, Wages!$A$2:$C$17, 2, 0))) * IF(ISBLANK(N1116), 0, IF(ISNA(VLOOKUP(N1116, Crews!$A$2:$C$28, 2, 0)), N1116, VLOOKUP(N1116, Crews!$A$2:$C$28, 2, 0))))) * 400</f>
        <v>47205.20833</v>
      </c>
      <c r="K1116" s="3" t="s">
        <v>2267</v>
      </c>
      <c r="L1116" s="1" t="s">
        <v>1885</v>
      </c>
      <c r="M1116" s="1" t="n">
        <v>1</v>
      </c>
      <c r="N1116" s="1" t="s">
        <v>1705</v>
      </c>
      <c r="O1116" s="1" t="n">
        <v>0.7</v>
      </c>
      <c r="P1116" s="1"/>
      <c r="Q1116" s="5" t="s">
        <v>284</v>
      </c>
      <c r="R1116" s="1" t="s">
        <v>677</v>
      </c>
      <c r="S1116" s="1" t="s">
        <v>677</v>
      </c>
      <c r="T1116" s="1" t="s">
        <v>1785</v>
      </c>
    </row>
    <row r="1117" customFormat="false" ht="15" hidden="false" customHeight="true" outlineLevel="0" collapsed="false">
      <c r="A1117" s="1" t="s">
        <v>2268</v>
      </c>
      <c r="B1117" s="1" t="n">
        <v>1910</v>
      </c>
      <c r="C1117" s="1" t="n">
        <v>4</v>
      </c>
      <c r="D1117" s="1" t="s">
        <v>38</v>
      </c>
      <c r="E1117" s="1" t="s">
        <v>274</v>
      </c>
      <c r="F1117" s="1" t="n">
        <v>325</v>
      </c>
      <c r="G1117" s="1" t="n">
        <v>130</v>
      </c>
      <c r="H1117" s="2" t="n">
        <v>9800000</v>
      </c>
      <c r="I1117" s="2" t="n">
        <f aca="false">(((H1117 / 800) / IF(ISBLANK(R1117), 1000000, IF(ISNA(VLOOKUP(R1117, Mileages!$A$2:$C$34, 2, 0)), R1117, VLOOKUP(R1117, Mileages!$A$2:$C$34, 2, 0)))) + (F1117 * IF(ISBLANK(P1117), 1, P1117) * IF(ISBLANK(T1117), 0, IF(ISNA(VLOOKUP(T1117, 'Fuel Costs'!$A$2:$C$42, 2, 0)), T1117, VLOOKUP(T1117, 'Fuel Costs'!$A$2:$C$42, 2, 0))) / IF(ISBLANK(O1117), 1, O1117))) * 100</f>
        <v>123.1</v>
      </c>
      <c r="J1117" s="2" t="n">
        <f aca="false">((H1117 / 800) / (IF(ISBLANK(S1117), 100, IF(ISNA(VLOOKUP(S1117, Lives!$A$2:$C$35, 2, 0)), S1117, VLOOKUP(S1117, Lives!$A$2:$C$35, 2, 0))) * 12) + (IF(ISBLANK(Q1117), 0, IF(ISNA(VLOOKUP(Q1117, Wages!$A$2:$C$17, 2, 0)), Q1117, VLOOKUP(Q1117, Wages!$A$2:$C$17, 2, 0))) * IF(ISBLANK(N1117), 0, IF(ISNA(VLOOKUP(N1117, Crews!$A$2:$C$28, 2, 0)), N1117, VLOOKUP(N1117, Crews!$A$2:$C$28, 2, 0))))) * 400</f>
        <v>48166.66667</v>
      </c>
      <c r="K1117" s="3" t="s">
        <v>2269</v>
      </c>
      <c r="L1117" s="1" t="s">
        <v>2270</v>
      </c>
      <c r="M1117" s="1" t="n">
        <v>0</v>
      </c>
      <c r="N1117" s="1" t="s">
        <v>1705</v>
      </c>
      <c r="O1117" s="1" t="n">
        <v>0.8</v>
      </c>
      <c r="P1117" s="1"/>
      <c r="Q1117" s="5" t="s">
        <v>284</v>
      </c>
      <c r="R1117" s="1" t="s">
        <v>677</v>
      </c>
      <c r="S1117" s="1" t="s">
        <v>677</v>
      </c>
      <c r="T1117" s="1" t="s">
        <v>1785</v>
      </c>
    </row>
    <row r="1118" customFormat="false" ht="15" hidden="false" customHeight="true" outlineLevel="0" collapsed="false">
      <c r="A1118" s="1" t="s">
        <v>2271</v>
      </c>
      <c r="B1118" s="1" t="n">
        <v>1910</v>
      </c>
      <c r="C1118" s="1" t="n">
        <v>5</v>
      </c>
      <c r="D1118" s="1" t="s">
        <v>38</v>
      </c>
      <c r="E1118" s="1" t="s">
        <v>274</v>
      </c>
      <c r="F1118" s="1" t="n">
        <v>323</v>
      </c>
      <c r="G1118" s="1" t="n">
        <v>147</v>
      </c>
      <c r="H1118" s="2" t="n">
        <v>10200000</v>
      </c>
      <c r="I1118" s="2" t="n">
        <f aca="false">(((H1118 / 800) / IF(ISBLANK(R1118), 1000000, IF(ISNA(VLOOKUP(R1118, Mileages!$A$2:$C$34, 2, 0)), R1118, VLOOKUP(R1118, Mileages!$A$2:$C$34, 2, 0)))) + (F1118 * IF(ISBLANK(P1118), 1, P1118) * IF(ISBLANK(T1118), 0, IF(ISNA(VLOOKUP(T1118, 'Fuel Costs'!$A$2:$C$42, 2, 0)), T1118, VLOOKUP(T1118, 'Fuel Costs'!$A$2:$C$42, 2, 0))) / IF(ISBLANK(O1118), 1, O1118))) * 100</f>
        <v>139.7035714</v>
      </c>
      <c r="J1118" s="2" t="n">
        <f aca="false">((H1118 / 800) / (IF(ISBLANK(S1118), 100, IF(ISNA(VLOOKUP(S1118, Lives!$A$2:$C$35, 2, 0)), S1118, VLOOKUP(S1118, Lives!$A$2:$C$35, 2, 0))) * 12) + (IF(ISBLANK(Q1118), 0, IF(ISNA(VLOOKUP(Q1118, Wages!$A$2:$C$17, 2, 0)), Q1118, VLOOKUP(Q1118, Wages!$A$2:$C$17, 2, 0))) * IF(ISBLANK(N1118), 0, IF(ISNA(VLOOKUP(N1118, Crews!$A$2:$C$28, 2, 0)), N1118, VLOOKUP(N1118, Crews!$A$2:$C$28, 2, 0))))) * 400</f>
        <v>48500</v>
      </c>
      <c r="K1118" s="3" t="s">
        <v>2272</v>
      </c>
      <c r="L1118" s="1" t="s">
        <v>2273</v>
      </c>
      <c r="M1118" s="1" t="n">
        <v>0</v>
      </c>
      <c r="N1118" s="1" t="s">
        <v>1705</v>
      </c>
      <c r="O1118" s="1" t="n">
        <v>0.7</v>
      </c>
      <c r="P1118" s="1"/>
      <c r="Q1118" s="5" t="s">
        <v>284</v>
      </c>
      <c r="R1118" s="1" t="s">
        <v>677</v>
      </c>
      <c r="S1118" s="1" t="s">
        <v>677</v>
      </c>
      <c r="T1118" s="1" t="s">
        <v>1785</v>
      </c>
    </row>
    <row r="1119" customFormat="false" ht="15" hidden="false" customHeight="true" outlineLevel="0" collapsed="false">
      <c r="A1119" s="1" t="s">
        <v>2274</v>
      </c>
      <c r="B1119" s="1" t="n">
        <v>1910</v>
      </c>
      <c r="C1119" s="1" t="n">
        <v>6</v>
      </c>
      <c r="D1119" s="1" t="s">
        <v>38</v>
      </c>
      <c r="E1119" s="1"/>
      <c r="F1119" s="1"/>
      <c r="G1119" s="1" t="n">
        <v>160</v>
      </c>
      <c r="H1119" s="2" t="n">
        <v>570000</v>
      </c>
      <c r="I1119" s="2" t="n">
        <f aca="false">(((H1119 / 800) / IF(ISBLANK(R1119), 1000000, IF(ISNA(VLOOKUP(R1119, Mileages!$A$2:$C$34, 2, 0)), R1119, VLOOKUP(R1119, Mileages!$A$2:$C$34, 2, 0)))) + (F1119 * IF(ISBLANK(P1119), 1, P1119) * IF(ISBLANK(T1119), 0, IF(ISNA(VLOOKUP(T1119, 'Fuel Costs'!$A$2:$C$42, 2, 0)), T1119, VLOOKUP(T1119, 'Fuel Costs'!$A$2:$C$42, 2, 0))) / IF(ISBLANK(O1119), 1, O1119))) * 100</f>
        <v>0.059375</v>
      </c>
      <c r="J1119" s="2" t="n">
        <f aca="false">((H1119 / 800) / (IF(ISBLANK(S1119), 100, IF(ISNA(VLOOKUP(S1119, Lives!$A$2:$C$35, 2, 0)), S1119, VLOOKUP(S1119, Lives!$A$2:$C$35, 2, 0))) * 12) + (IF(ISBLANK(Q1119), 0, IF(ISNA(VLOOKUP(Q1119, Wages!$A$2:$C$17, 2, 0)), Q1119, VLOOKUP(Q1119, Wages!$A$2:$C$17, 2, 0))) * IF(ISBLANK(N1119), 0, IF(ISNA(VLOOKUP(N1119, Crews!$A$2:$C$28, 2, 0)), N1119, VLOOKUP(N1119, Crews!$A$2:$C$28, 2, 0))))) * 400</f>
        <v>678.5714286</v>
      </c>
      <c r="K1119" s="3" t="s">
        <v>2275</v>
      </c>
      <c r="L1119" s="1" t="s">
        <v>1942</v>
      </c>
      <c r="M1119" s="1" t="n">
        <v>5</v>
      </c>
      <c r="N1119" s="1"/>
      <c r="O1119" s="1"/>
      <c r="P1119" s="1"/>
      <c r="Q1119" s="1"/>
      <c r="R1119" s="1" t="s">
        <v>689</v>
      </c>
      <c r="S1119" s="1" t="s">
        <v>856</v>
      </c>
      <c r="T1119" s="1"/>
    </row>
    <row r="1120" customFormat="false" ht="15" hidden="false" customHeight="true" outlineLevel="0" collapsed="false">
      <c r="A1120" s="1" t="s">
        <v>2276</v>
      </c>
      <c r="B1120" s="1" t="n">
        <v>1910</v>
      </c>
      <c r="C1120" s="1" t="n">
        <v>6</v>
      </c>
      <c r="D1120" s="1" t="s">
        <v>38</v>
      </c>
      <c r="E1120" s="1"/>
      <c r="F1120" s="1"/>
      <c r="G1120" s="1" t="n">
        <v>160</v>
      </c>
      <c r="H1120" s="2" t="n">
        <v>569000</v>
      </c>
      <c r="I1120" s="2" t="n">
        <f aca="false">(((H1120 / 800) / IF(ISBLANK(R1120), 1000000, IF(ISNA(VLOOKUP(R1120, Mileages!$A$2:$C$34, 2, 0)), R1120, VLOOKUP(R1120, Mileages!$A$2:$C$34, 2, 0)))) + (F1120 * IF(ISBLANK(P1120), 1, P1120) * IF(ISBLANK(T1120), 0, IF(ISNA(VLOOKUP(T1120, 'Fuel Costs'!$A$2:$C$42, 2, 0)), T1120, VLOOKUP(T1120, 'Fuel Costs'!$A$2:$C$42, 2, 0))) / IF(ISBLANK(O1120), 1, O1120))) * 100</f>
        <v>0.05927083333</v>
      </c>
      <c r="J1120" s="2" t="n">
        <f aca="false">((H1120 / 800) / (IF(ISBLANK(S1120), 100, IF(ISNA(VLOOKUP(S1120, Lives!$A$2:$C$35, 2, 0)), S1120, VLOOKUP(S1120, Lives!$A$2:$C$35, 2, 0))) * 12) + (IF(ISBLANK(Q1120), 0, IF(ISNA(VLOOKUP(Q1120, Wages!$A$2:$C$17, 2, 0)), Q1120, VLOOKUP(Q1120, Wages!$A$2:$C$17, 2, 0))) * IF(ISBLANK(N1120), 0, IF(ISNA(VLOOKUP(N1120, Crews!$A$2:$C$28, 2, 0)), N1120, VLOOKUP(N1120, Crews!$A$2:$C$28, 2, 0))))) * 400</f>
        <v>5477.380952</v>
      </c>
      <c r="K1120" s="3" t="s">
        <v>2275</v>
      </c>
      <c r="L1120" s="1" t="s">
        <v>1942</v>
      </c>
      <c r="M1120" s="1" t="n">
        <v>6</v>
      </c>
      <c r="N1120" s="1" t="s">
        <v>25</v>
      </c>
      <c r="O1120" s="1"/>
      <c r="P1120" s="1"/>
      <c r="Q1120" s="1" t="s">
        <v>378</v>
      </c>
      <c r="R1120" s="1" t="s">
        <v>689</v>
      </c>
      <c r="S1120" s="1" t="s">
        <v>856</v>
      </c>
      <c r="T1120" s="1"/>
    </row>
    <row r="1121" customFormat="false" ht="15" hidden="false" customHeight="true" outlineLevel="0" collapsed="false">
      <c r="A1121" s="1" t="s">
        <v>2277</v>
      </c>
      <c r="B1121" s="1" t="n">
        <v>1910</v>
      </c>
      <c r="C1121" s="1" t="n">
        <v>6</v>
      </c>
      <c r="D1121" s="1" t="s">
        <v>38</v>
      </c>
      <c r="E1121" s="1"/>
      <c r="F1121" s="1"/>
      <c r="G1121" s="1" t="n">
        <v>160</v>
      </c>
      <c r="H1121" s="2" t="n">
        <v>569000</v>
      </c>
      <c r="I1121" s="2" t="n">
        <f aca="false">(((H1121 / 800) / IF(ISBLANK(R1121), 1000000, IF(ISNA(VLOOKUP(R1121, Mileages!$A$2:$C$34, 2, 0)), R1121, VLOOKUP(R1121, Mileages!$A$2:$C$34, 2, 0)))) + (F1121 * IF(ISBLANK(P1121), 1, P1121) * IF(ISBLANK(T1121), 0, IF(ISNA(VLOOKUP(T1121, 'Fuel Costs'!$A$2:$C$42, 2, 0)), T1121, VLOOKUP(T1121, 'Fuel Costs'!$A$2:$C$42, 2, 0))) / IF(ISBLANK(O1121), 1, O1121))) * 100</f>
        <v>0.05927083333</v>
      </c>
      <c r="J1121" s="2" t="n">
        <f aca="false">((H1121 / 800) / (IF(ISBLANK(S1121), 100, IF(ISNA(VLOOKUP(S1121, Lives!$A$2:$C$35, 2, 0)), S1121, VLOOKUP(S1121, Lives!$A$2:$C$35, 2, 0))) * 12) + (IF(ISBLANK(Q1121), 0, IF(ISNA(VLOOKUP(Q1121, Wages!$A$2:$C$17, 2, 0)), Q1121, VLOOKUP(Q1121, Wages!$A$2:$C$17, 2, 0))) * IF(ISBLANK(N1121), 0, IF(ISNA(VLOOKUP(N1121, Crews!$A$2:$C$28, 2, 0)), N1121, VLOOKUP(N1121, Crews!$A$2:$C$28, 2, 0))))) * 400</f>
        <v>5477.380952</v>
      </c>
      <c r="K1121" s="3" t="s">
        <v>2275</v>
      </c>
      <c r="L1121" s="1" t="s">
        <v>1942</v>
      </c>
      <c r="M1121" s="1" t="n">
        <v>7</v>
      </c>
      <c r="N1121" s="1" t="s">
        <v>25</v>
      </c>
      <c r="O1121" s="1"/>
      <c r="P1121" s="1"/>
      <c r="Q1121" s="1" t="s">
        <v>378</v>
      </c>
      <c r="R1121" s="1" t="s">
        <v>689</v>
      </c>
      <c r="S1121" s="1" t="s">
        <v>856</v>
      </c>
      <c r="T1121" s="1"/>
    </row>
    <row r="1122" customFormat="false" ht="15" hidden="false" customHeight="true" outlineLevel="0" collapsed="false">
      <c r="A1122" s="1" t="s">
        <v>2278</v>
      </c>
      <c r="B1122" s="1" t="n">
        <v>1910</v>
      </c>
      <c r="C1122" s="1" t="n">
        <v>7</v>
      </c>
      <c r="D1122" s="1" t="s">
        <v>38</v>
      </c>
      <c r="E1122" s="1"/>
      <c r="F1122" s="1"/>
      <c r="G1122" s="1" t="n">
        <v>150</v>
      </c>
      <c r="H1122" s="2" t="n">
        <v>850000</v>
      </c>
      <c r="I1122" s="2" t="n">
        <f aca="false">(((H1122 / 800) / IF(ISBLANK(R1122), 1000000, IF(ISNA(VLOOKUP(R1122, Mileages!$A$2:$C$34, 2, 0)), R1122, VLOOKUP(R1122, Mileages!$A$2:$C$34, 2, 0)))) + (F1122 * IF(ISBLANK(P1122), 1, P1122) * IF(ISBLANK(T1122), 0, IF(ISNA(VLOOKUP(T1122, 'Fuel Costs'!$A$2:$C$42, 2, 0)), T1122, VLOOKUP(T1122, 'Fuel Costs'!$A$2:$C$42, 2, 0))) / IF(ISBLANK(O1122), 1, O1122))) * 100</f>
        <v>0.08854166667</v>
      </c>
      <c r="J1122" s="2" t="n">
        <f aca="false">((H1122 / 800) / (IF(ISBLANK(S1122), 100, IF(ISNA(VLOOKUP(S1122, Lives!$A$2:$C$35, 2, 0)), S1122, VLOOKUP(S1122, Lives!$A$2:$C$35, 2, 0))) * 12) + (IF(ISBLANK(Q1122), 0, IF(ISNA(VLOOKUP(Q1122, Wages!$A$2:$C$17, 2, 0)), Q1122, VLOOKUP(Q1122, Wages!$A$2:$C$17, 2, 0))) * IF(ISBLANK(N1122), 0, IF(ISNA(VLOOKUP(N1122, Crews!$A$2:$C$28, 2, 0)), N1122, VLOOKUP(N1122, Crews!$A$2:$C$28, 2, 0))))) * 400</f>
        <v>1011.904762</v>
      </c>
      <c r="K1122" s="3" t="s">
        <v>2279</v>
      </c>
      <c r="L1122" s="1" t="s">
        <v>2280</v>
      </c>
      <c r="M1122" s="1" t="n">
        <v>0</v>
      </c>
      <c r="N1122" s="1"/>
      <c r="O1122" s="1"/>
      <c r="P1122" s="1"/>
      <c r="Q1122" s="1"/>
      <c r="R1122" s="1" t="s">
        <v>689</v>
      </c>
      <c r="S1122" s="1" t="s">
        <v>856</v>
      </c>
      <c r="T1122" s="1"/>
    </row>
    <row r="1123" customFormat="false" ht="15" hidden="false" customHeight="true" outlineLevel="0" collapsed="false">
      <c r="A1123" s="1" t="s">
        <v>2281</v>
      </c>
      <c r="B1123" s="1" t="n">
        <v>1910</v>
      </c>
      <c r="C1123" s="1" t="n">
        <v>7</v>
      </c>
      <c r="D1123" s="1" t="s">
        <v>38</v>
      </c>
      <c r="E1123" s="1"/>
      <c r="F1123" s="1"/>
      <c r="G1123" s="1" t="n">
        <v>150</v>
      </c>
      <c r="H1123" s="2" t="n">
        <v>850000</v>
      </c>
      <c r="I1123" s="2" t="n">
        <f aca="false">(((H1123 / 800) / IF(ISBLANK(R1123), 1000000, IF(ISNA(VLOOKUP(R1123, Mileages!$A$2:$C$34, 2, 0)), R1123, VLOOKUP(R1123, Mileages!$A$2:$C$34, 2, 0)))) + (F1123 * IF(ISBLANK(P1123), 1, P1123) * IF(ISBLANK(T1123), 0, IF(ISNA(VLOOKUP(T1123, 'Fuel Costs'!$A$2:$C$42, 2, 0)), T1123, VLOOKUP(T1123, 'Fuel Costs'!$A$2:$C$42, 2, 0))) / IF(ISBLANK(O1123), 1, O1123))) * 100</f>
        <v>0.08854166667</v>
      </c>
      <c r="J1123" s="2" t="n">
        <f aca="false">((H1123 / 800) / (IF(ISBLANK(S1123), 100, IF(ISNA(VLOOKUP(S1123, Lives!$A$2:$C$35, 2, 0)), S1123, VLOOKUP(S1123, Lives!$A$2:$C$35, 2, 0))) * 12) + (IF(ISBLANK(Q1123), 0, IF(ISNA(VLOOKUP(Q1123, Wages!$A$2:$C$17, 2, 0)), Q1123, VLOOKUP(Q1123, Wages!$A$2:$C$17, 2, 0))) * IF(ISBLANK(N1123), 0, IF(ISNA(VLOOKUP(N1123, Crews!$A$2:$C$28, 2, 0)), N1123, VLOOKUP(N1123, Crews!$A$2:$C$28, 2, 0))))) * 400</f>
        <v>5811.904762</v>
      </c>
      <c r="K1123" s="1"/>
      <c r="L1123" s="1" t="s">
        <v>2280</v>
      </c>
      <c r="M1123" s="1" t="n">
        <v>1</v>
      </c>
      <c r="N1123" s="1" t="s">
        <v>25</v>
      </c>
      <c r="O1123" s="1"/>
      <c r="P1123" s="1"/>
      <c r="Q1123" s="1" t="s">
        <v>378</v>
      </c>
      <c r="R1123" s="1" t="s">
        <v>689</v>
      </c>
      <c r="S1123" s="1" t="s">
        <v>856</v>
      </c>
      <c r="T1123" s="1"/>
    </row>
    <row r="1124" customFormat="false" ht="15" hidden="false" customHeight="true" outlineLevel="0" collapsed="false">
      <c r="A1124" s="1" t="s">
        <v>2282</v>
      </c>
      <c r="B1124" s="1" t="n">
        <v>1910</v>
      </c>
      <c r="C1124" s="1" t="n">
        <v>7</v>
      </c>
      <c r="D1124" s="1" t="s">
        <v>38</v>
      </c>
      <c r="E1124" s="1"/>
      <c r="F1124" s="1"/>
      <c r="G1124" s="1" t="n">
        <v>150</v>
      </c>
      <c r="H1124" s="2" t="n">
        <v>850000</v>
      </c>
      <c r="I1124" s="2" t="n">
        <f aca="false">(((H1124 / 800) / IF(ISBLANK(R1124), 1000000, IF(ISNA(VLOOKUP(R1124, Mileages!$A$2:$C$34, 2, 0)), R1124, VLOOKUP(R1124, Mileages!$A$2:$C$34, 2, 0)))) + (F1124 * IF(ISBLANK(P1124), 1, P1124) * IF(ISBLANK(T1124), 0, IF(ISNA(VLOOKUP(T1124, 'Fuel Costs'!$A$2:$C$42, 2, 0)), T1124, VLOOKUP(T1124, 'Fuel Costs'!$A$2:$C$42, 2, 0))) / IF(ISBLANK(O1124), 1, O1124))) * 100</f>
        <v>0.08854166667</v>
      </c>
      <c r="J1124" s="2" t="n">
        <f aca="false">((H1124 / 800) / (IF(ISBLANK(S1124), 100, IF(ISNA(VLOOKUP(S1124, Lives!$A$2:$C$35, 2, 0)), S1124, VLOOKUP(S1124, Lives!$A$2:$C$35, 2, 0))) * 12) + (IF(ISBLANK(Q1124), 0, IF(ISNA(VLOOKUP(Q1124, Wages!$A$2:$C$17, 2, 0)), Q1124, VLOOKUP(Q1124, Wages!$A$2:$C$17, 2, 0))) * IF(ISBLANK(N1124), 0, IF(ISNA(VLOOKUP(N1124, Crews!$A$2:$C$28, 2, 0)), N1124, VLOOKUP(N1124, Crews!$A$2:$C$28, 2, 0))))) * 400</f>
        <v>5811.904762</v>
      </c>
      <c r="K1124" s="1"/>
      <c r="L1124" s="1" t="s">
        <v>2280</v>
      </c>
      <c r="M1124" s="1" t="n">
        <v>2</v>
      </c>
      <c r="N1124" s="1" t="s">
        <v>25</v>
      </c>
      <c r="O1124" s="1"/>
      <c r="P1124" s="1"/>
      <c r="Q1124" s="1" t="s">
        <v>378</v>
      </c>
      <c r="R1124" s="1" t="s">
        <v>689</v>
      </c>
      <c r="S1124" s="1" t="s">
        <v>856</v>
      </c>
      <c r="T1124" s="1"/>
    </row>
    <row r="1125" customFormat="false" ht="15" hidden="false" customHeight="true" outlineLevel="0" collapsed="false">
      <c r="A1125" s="1" t="s">
        <v>2283</v>
      </c>
      <c r="B1125" s="1" t="n">
        <v>1910</v>
      </c>
      <c r="C1125" s="1" t="n">
        <v>8</v>
      </c>
      <c r="D1125" s="1" t="s">
        <v>876</v>
      </c>
      <c r="E1125" s="1" t="s">
        <v>1346</v>
      </c>
      <c r="F1125" s="1" t="n">
        <v>63</v>
      </c>
      <c r="G1125" s="1" t="n">
        <v>32</v>
      </c>
      <c r="H1125" s="2" t="n">
        <v>410000</v>
      </c>
      <c r="I1125" s="2" t="n">
        <f aca="false">(((H1125 / 800) / IF(ISBLANK(R1125), 1000000, IF(ISNA(VLOOKUP(R1125, Mileages!$A$2:$C$34, 2, 0)), R1125, VLOOKUP(R1125, Mileages!$A$2:$C$34, 2, 0)))) + (F1125 * IF(ISBLANK(P1125), 1, P1125) * IF(ISBLANK(T1125), 0, IF(ISNA(VLOOKUP(T1125, 'Fuel Costs'!$A$2:$C$42, 2, 0)), T1125, VLOOKUP(T1125, 'Fuel Costs'!$A$2:$C$42, 2, 0))) / IF(ISBLANK(O1125), 1, O1125))) * 100</f>
        <v>37.85125</v>
      </c>
      <c r="J1125" s="2" t="n">
        <f aca="false">((H1125 / 800) / (IF(ISBLANK(S1125), 100, IF(ISNA(VLOOKUP(S1125, Lives!$A$2:$C$35, 2, 0)), S1125, VLOOKUP(S1125, Lives!$A$2:$C$35, 2, 0))) * 12) + (IF(ISBLANK(Q1125), 0, IF(ISNA(VLOOKUP(Q1125, Wages!$A$2:$C$17, 2, 0)), Q1125, VLOOKUP(Q1125, Wages!$A$2:$C$17, 2, 0))) * IF(ISBLANK(N1125), 0, IF(ISNA(VLOOKUP(N1125, Crews!$A$2:$C$28, 2, 0)), N1125, VLOOKUP(N1125, Crews!$A$2:$C$28, 2, 0))))) * 400</f>
        <v>6341.666667</v>
      </c>
      <c r="K1125" s="3" t="s">
        <v>2284</v>
      </c>
      <c r="L1125" s="1" t="s">
        <v>2285</v>
      </c>
      <c r="M1125" s="1" t="n">
        <v>0</v>
      </c>
      <c r="N1125" s="1" t="s">
        <v>895</v>
      </c>
      <c r="O1125" s="1"/>
      <c r="P1125" s="1"/>
      <c r="Q1125" s="1" t="s">
        <v>895</v>
      </c>
      <c r="R1125" s="1" t="s">
        <v>1349</v>
      </c>
      <c r="S1125" s="1" t="s">
        <v>1350</v>
      </c>
      <c r="T1125" s="1" t="s">
        <v>1351</v>
      </c>
    </row>
    <row r="1126" customFormat="false" ht="15" hidden="false" customHeight="true" outlineLevel="0" collapsed="false">
      <c r="A1126" s="1" t="s">
        <v>2286</v>
      </c>
      <c r="B1126" s="1" t="n">
        <v>1910</v>
      </c>
      <c r="C1126" s="1" t="n">
        <v>10</v>
      </c>
      <c r="D1126" s="1" t="s">
        <v>157</v>
      </c>
      <c r="E1126" s="1" t="s">
        <v>274</v>
      </c>
      <c r="F1126" s="1" t="n">
        <v>95</v>
      </c>
      <c r="G1126" s="1" t="n">
        <v>60</v>
      </c>
      <c r="H1126" s="2" t="n">
        <v>5396154</v>
      </c>
      <c r="I1126" s="2" t="n">
        <f aca="false">(((H1126 / 800) / IF(ISBLANK(R1126), 1000000, IF(ISNA(VLOOKUP(R1126, Mileages!$A$2:$C$34, 2, 0)), R1126, VLOOKUP(R1126, Mileages!$A$2:$C$34, 2, 0)))) + (F1126 * IF(ISBLANK(P1126), 1, P1126) * IF(ISBLANK(T1126), 0, IF(ISNA(VLOOKUP(T1126, 'Fuel Costs'!$A$2:$C$42, 2, 0)), T1126, VLOOKUP(T1126, 'Fuel Costs'!$A$2:$C$42, 2, 0))) / IF(ISBLANK(O1126), 1, O1126))) * 100</f>
        <v>64.00785258</v>
      </c>
      <c r="J1126" s="2" t="n">
        <f aca="false">((H1126 / 800) / (IF(ISBLANK(S1126), 100, IF(ISNA(VLOOKUP(S1126, Lives!$A$2:$C$35, 2, 0)), S1126, VLOOKUP(S1126, Lives!$A$2:$C$35, 2, 0))) * 12) + (IF(ISBLANK(Q1126), 0, IF(ISNA(VLOOKUP(Q1126, Wages!$A$2:$C$17, 2, 0)), Q1126, VLOOKUP(Q1126, Wages!$A$2:$C$17, 2, 0))) * IF(ISBLANK(N1126), 0, IF(ISNA(VLOOKUP(N1126, Crews!$A$2:$C$28, 2, 0)), N1126, VLOOKUP(N1126, Crews!$A$2:$C$28, 2, 0))))) * 400</f>
        <v>20496.795</v>
      </c>
      <c r="K1126" s="3" t="s">
        <v>2287</v>
      </c>
      <c r="L1126" s="1" t="s">
        <v>2288</v>
      </c>
      <c r="M1126" s="1" t="n">
        <v>0</v>
      </c>
      <c r="N1126" s="1" t="s">
        <v>283</v>
      </c>
      <c r="O1126" s="1" t="n">
        <v>0.6</v>
      </c>
      <c r="P1126" s="1"/>
      <c r="Q1126" s="1" t="s">
        <v>284</v>
      </c>
      <c r="R1126" s="1" t="s">
        <v>677</v>
      </c>
      <c r="S1126" s="1" t="s">
        <v>677</v>
      </c>
      <c r="T1126" s="1" t="s">
        <v>2252</v>
      </c>
    </row>
    <row r="1127" customFormat="false" ht="15" hidden="false" customHeight="true" outlineLevel="0" collapsed="false">
      <c r="A1127" s="1" t="s">
        <v>2289</v>
      </c>
      <c r="B1127" s="1" t="n">
        <v>1910</v>
      </c>
      <c r="C1127" s="1" t="n">
        <v>10</v>
      </c>
      <c r="D1127" s="1" t="s">
        <v>38</v>
      </c>
      <c r="E1127" s="1" t="s">
        <v>274</v>
      </c>
      <c r="F1127" s="1" t="n">
        <v>414</v>
      </c>
      <c r="G1127" s="1" t="n">
        <v>150</v>
      </c>
      <c r="H1127" s="2" t="n">
        <v>10752000</v>
      </c>
      <c r="I1127" s="2" t="n">
        <f aca="false">(((H1127 / 800) / IF(ISBLANK(R1127), 1000000, IF(ISNA(VLOOKUP(R1127, Mileages!$A$2:$C$34, 2, 0)), R1127, VLOOKUP(R1127, Mileages!$A$2:$C$34, 2, 0)))) + (F1127 * IF(ISBLANK(P1127), 1, P1127) * IF(ISBLANK(T1127), 0, IF(ISNA(VLOOKUP(T1127, 'Fuel Costs'!$A$2:$C$42, 2, 0)), T1127, VLOOKUP(T1127, 'Fuel Costs'!$A$2:$C$42, 2, 0))) / IF(ISBLANK(O1127), 1, O1127))) * 100</f>
        <v>178.7725714</v>
      </c>
      <c r="J1127" s="2" t="n">
        <f aca="false">((H1127 / 800) / (IF(ISBLANK(S1127), 100, IF(ISNA(VLOOKUP(S1127, Lives!$A$2:$C$35, 2, 0)), S1127, VLOOKUP(S1127, Lives!$A$2:$C$35, 2, 0))) * 12) + (IF(ISBLANK(Q1127), 0, IF(ISNA(VLOOKUP(Q1127, Wages!$A$2:$C$17, 2, 0)), Q1127, VLOOKUP(Q1127, Wages!$A$2:$C$17, 2, 0))) * IF(ISBLANK(N1127), 0, IF(ISNA(VLOOKUP(N1127, Crews!$A$2:$C$28, 2, 0)), N1127, VLOOKUP(N1127, Crews!$A$2:$C$28, 2, 0))))) * 400</f>
        <v>48960</v>
      </c>
      <c r="K1127" s="3" t="s">
        <v>2290</v>
      </c>
      <c r="L1127" s="1" t="s">
        <v>2139</v>
      </c>
      <c r="M1127" s="1" t="n">
        <v>1</v>
      </c>
      <c r="N1127" s="1" t="s">
        <v>1705</v>
      </c>
      <c r="O1127" s="1" t="n">
        <v>0.7</v>
      </c>
      <c r="P1127" s="1"/>
      <c r="Q1127" s="5" t="s">
        <v>284</v>
      </c>
      <c r="R1127" s="1" t="s">
        <v>677</v>
      </c>
      <c r="S1127" s="1" t="s">
        <v>677</v>
      </c>
      <c r="T1127" s="1" t="s">
        <v>1785</v>
      </c>
    </row>
    <row r="1128" customFormat="false" ht="15" hidden="false" customHeight="true" outlineLevel="0" collapsed="false">
      <c r="A1128" s="1" t="s">
        <v>2291</v>
      </c>
      <c r="B1128" s="1" t="n">
        <v>1910</v>
      </c>
      <c r="C1128" s="1" t="n">
        <v>10</v>
      </c>
      <c r="D1128" s="1" t="s">
        <v>157</v>
      </c>
      <c r="E1128" s="1" t="s">
        <v>274</v>
      </c>
      <c r="F1128" s="1" t="n">
        <v>46</v>
      </c>
      <c r="G1128" s="1" t="n">
        <v>60</v>
      </c>
      <c r="H1128" s="2" t="n">
        <v>3597436</v>
      </c>
      <c r="I1128" s="2" t="n">
        <f aca="false">(((H1128 / 800) / IF(ISBLANK(R1128), 1000000, IF(ISNA(VLOOKUP(R1128, Mileages!$A$2:$C$34, 2, 0)), R1128, VLOOKUP(R1128, Mileages!$A$2:$C$34, 2, 0)))) + (F1128 * IF(ISBLANK(P1128), 1, P1128) * IF(ISBLANK(T1128), 0, IF(ISNA(VLOOKUP(T1128, 'Fuel Costs'!$A$2:$C$42, 2, 0)), T1128, VLOOKUP(T1128, 'Fuel Costs'!$A$2:$C$42, 2, 0))) / IF(ISBLANK(O1128), 1, O1128))) * 100</f>
        <v>33.90422495</v>
      </c>
      <c r="J1128" s="2" t="n">
        <f aca="false">((H1128 / 800) / (IF(ISBLANK(S1128), 100, IF(ISNA(VLOOKUP(S1128, Lives!$A$2:$C$35, 2, 0)), S1128, VLOOKUP(S1128, Lives!$A$2:$C$35, 2, 0))) * 12) + (IF(ISBLANK(Q1128), 0, IF(ISNA(VLOOKUP(Q1128, Wages!$A$2:$C$17, 2, 0)), Q1128, VLOOKUP(Q1128, Wages!$A$2:$C$17, 2, 0))) * IF(ISBLANK(N1128), 0, IF(ISNA(VLOOKUP(N1128, Crews!$A$2:$C$28, 2, 0)), N1128, VLOOKUP(N1128, Crews!$A$2:$C$28, 2, 0))))) * 400</f>
        <v>18997.86333</v>
      </c>
      <c r="K1128" s="3" t="s">
        <v>2292</v>
      </c>
      <c r="L1128" s="1" t="s">
        <v>2293</v>
      </c>
      <c r="M1128" s="1" t="n">
        <v>0</v>
      </c>
      <c r="N1128" s="1" t="s">
        <v>283</v>
      </c>
      <c r="O1128" s="1" t="n">
        <v>0.55</v>
      </c>
      <c r="P1128" s="1"/>
      <c r="Q1128" s="1" t="s">
        <v>284</v>
      </c>
      <c r="R1128" s="1" t="s">
        <v>677</v>
      </c>
      <c r="S1128" s="1" t="s">
        <v>677</v>
      </c>
      <c r="T1128" s="1" t="s">
        <v>2252</v>
      </c>
    </row>
    <row r="1129" customFormat="false" ht="15" hidden="false" customHeight="true" outlineLevel="0" collapsed="false">
      <c r="A1129" s="1" t="s">
        <v>2294</v>
      </c>
      <c r="B1129" s="1" t="n">
        <v>1910</v>
      </c>
      <c r="C1129" s="1" t="n">
        <v>12</v>
      </c>
      <c r="D1129" s="1" t="s">
        <v>38</v>
      </c>
      <c r="E1129" s="1" t="s">
        <v>274</v>
      </c>
      <c r="F1129" s="1" t="n">
        <v>340</v>
      </c>
      <c r="G1129" s="1" t="n">
        <v>130</v>
      </c>
      <c r="H1129" s="2" t="n">
        <v>7143100</v>
      </c>
      <c r="I1129" s="2" t="n">
        <f aca="false">(((H1129 / 800) / IF(ISBLANK(R1129), 1000000, IF(ISNA(VLOOKUP(R1129, Mileages!$A$2:$C$34, 2, 0)), R1129, VLOOKUP(R1129, Mileages!$A$2:$C$34, 2, 0)))) + (F1129 * IF(ISBLANK(P1129), 1, P1129) * IF(ISBLANK(T1129), 0, IF(ISNA(VLOOKUP(T1129, 'Fuel Costs'!$A$2:$C$42, 2, 0)), T1129, VLOOKUP(T1129, 'Fuel Costs'!$A$2:$C$42, 2, 0))) / IF(ISBLANK(O1129), 1, O1129))) * 100</f>
        <v>146.6071732</v>
      </c>
      <c r="J1129" s="2" t="n">
        <f aca="false">((H1129 / 800) / (IF(ISBLANK(S1129), 100, IF(ISNA(VLOOKUP(S1129, Lives!$A$2:$C$35, 2, 0)), S1129, VLOOKUP(S1129, Lives!$A$2:$C$35, 2, 0))) * 12) + (IF(ISBLANK(Q1129), 0, IF(ISNA(VLOOKUP(Q1129, Wages!$A$2:$C$17, 2, 0)), Q1129, VLOOKUP(Q1129, Wages!$A$2:$C$17, 2, 0))) * IF(ISBLANK(N1129), 0, IF(ISNA(VLOOKUP(N1129, Crews!$A$2:$C$28, 2, 0)), N1129, VLOOKUP(N1129, Crews!$A$2:$C$28, 2, 0))))) * 400</f>
        <v>45952.58333</v>
      </c>
      <c r="K1129" s="3" t="s">
        <v>2295</v>
      </c>
      <c r="L1129" s="1" t="s">
        <v>2296</v>
      </c>
      <c r="M1129" s="1" t="n">
        <v>0</v>
      </c>
      <c r="N1129" s="1" t="s">
        <v>1705</v>
      </c>
      <c r="O1129" s="1" t="n">
        <v>0.7</v>
      </c>
      <c r="P1129" s="1"/>
      <c r="Q1129" s="5" t="s">
        <v>284</v>
      </c>
      <c r="R1129" s="1" t="s">
        <v>677</v>
      </c>
      <c r="S1129" s="1" t="s">
        <v>677</v>
      </c>
      <c r="T1129" s="1" t="s">
        <v>1785</v>
      </c>
    </row>
    <row r="1130" customFormat="false" ht="15" hidden="false" customHeight="true" outlineLevel="0" collapsed="false">
      <c r="A1130" s="1" t="s">
        <v>2297</v>
      </c>
      <c r="B1130" s="1" t="n">
        <v>1911</v>
      </c>
      <c r="C1130" s="1" t="n">
        <v>1</v>
      </c>
      <c r="D1130" s="1" t="s">
        <v>38</v>
      </c>
      <c r="E1130" s="1" t="s">
        <v>274</v>
      </c>
      <c r="F1130" s="1" t="n">
        <v>120</v>
      </c>
      <c r="G1130" s="1" t="n">
        <v>85</v>
      </c>
      <c r="H1130" s="2" t="n">
        <v>2016000</v>
      </c>
      <c r="I1130" s="2" t="n">
        <f aca="false">(((H1130 / 800) / IF(ISBLANK(R1130), 1000000, IF(ISNA(VLOOKUP(R1130, Mileages!$A$2:$C$34, 2, 0)), R1130, VLOOKUP(R1130, Mileages!$A$2:$C$34, 2, 0)))) + (F1130 * IF(ISBLANK(P1130), 1, P1130) * IF(ISBLANK(T1130), 0, IF(ISNA(VLOOKUP(T1130, 'Fuel Costs'!$A$2:$C$42, 2, 0)), T1130, VLOOKUP(T1130, 'Fuel Costs'!$A$2:$C$42, 2, 0))) / IF(ISBLANK(O1130), 1, O1130))) * 100</f>
        <v>51.68057143</v>
      </c>
      <c r="J1130" s="2" t="n">
        <f aca="false">((H1130 / 800) / (IF(ISBLANK(S1130), 100, IF(ISNA(VLOOKUP(S1130, Lives!$A$2:$C$35, 2, 0)), S1130, VLOOKUP(S1130, Lives!$A$2:$C$35, 2, 0))) * 12) + (IF(ISBLANK(Q1130), 0, IF(ISNA(VLOOKUP(Q1130, Wages!$A$2:$C$17, 2, 0)), Q1130, VLOOKUP(Q1130, Wages!$A$2:$C$17, 2, 0))) * IF(ISBLANK(N1130), 0, IF(ISNA(VLOOKUP(N1130, Crews!$A$2:$C$28, 2, 0)), N1130, VLOOKUP(N1130, Crews!$A$2:$C$28, 2, 0))))) * 400</f>
        <v>17680</v>
      </c>
      <c r="K1130" s="3" t="s">
        <v>2298</v>
      </c>
      <c r="L1130" s="1" t="s">
        <v>1052</v>
      </c>
      <c r="M1130" s="1" t="n">
        <v>1</v>
      </c>
      <c r="N1130" s="1" t="s">
        <v>283</v>
      </c>
      <c r="O1130" s="1" t="n">
        <v>0.7</v>
      </c>
      <c r="P1130" s="1"/>
      <c r="Q1130" s="5" t="s">
        <v>284</v>
      </c>
      <c r="R1130" s="1" t="s">
        <v>677</v>
      </c>
      <c r="S1130" s="1" t="s">
        <v>677</v>
      </c>
      <c r="T1130" s="1" t="s">
        <v>1785</v>
      </c>
    </row>
    <row r="1131" customFormat="false" ht="15" hidden="false" customHeight="true" outlineLevel="0" collapsed="false">
      <c r="A1131" s="1" t="s">
        <v>2299</v>
      </c>
      <c r="B1131" s="1" t="n">
        <v>1911</v>
      </c>
      <c r="C1131" s="1" t="n">
        <v>1</v>
      </c>
      <c r="D1131" s="1" t="s">
        <v>21</v>
      </c>
      <c r="E1131" s="1" t="s">
        <v>274</v>
      </c>
      <c r="F1131" s="1" t="n">
        <v>33</v>
      </c>
      <c r="G1131" s="1" t="n">
        <v>20</v>
      </c>
      <c r="H1131" s="2" t="n">
        <v>98742</v>
      </c>
      <c r="I1131" s="2" t="n">
        <f aca="false">(((H1131 / 800) / IF(ISBLANK(R1131), 1000000, IF(ISNA(VLOOKUP(R1131, Mileages!$A$2:$C$34, 2, 0)), R1131, VLOOKUP(R1131, Mileages!$A$2:$C$34, 2, 0)))) + (F1131 * IF(ISBLANK(P1131), 1, P1131) * IF(ISBLANK(T1131), 0, IF(ISNA(VLOOKUP(T1131, 'Fuel Costs'!$A$2:$C$42, 2, 0)), T1131, VLOOKUP(T1131, 'Fuel Costs'!$A$2:$C$42, 2, 0))) / IF(ISBLANK(O1131), 1, O1131))) * 100</f>
        <v>18.0246855</v>
      </c>
      <c r="J1131" s="2" t="n">
        <f aca="false">((H1131 / 800) / (IF(ISBLANK(S1131), 100, IF(ISNA(VLOOKUP(S1131, Lives!$A$2:$C$35, 2, 0)), S1131, VLOOKUP(S1131, Lives!$A$2:$C$35, 2, 0))) * 12) + (IF(ISBLANK(Q1131), 0, IF(ISNA(VLOOKUP(Q1131, Wages!$A$2:$C$17, 2, 0)), Q1131, VLOOKUP(Q1131, Wages!$A$2:$C$17, 2, 0))) * IF(ISBLANK(N1131), 0, IF(ISNA(VLOOKUP(N1131, Crews!$A$2:$C$28, 2, 0)), N1131, VLOOKUP(N1131, Crews!$A$2:$C$28, 2, 0))))) * 400</f>
        <v>8051.428125</v>
      </c>
      <c r="K1131" s="1"/>
      <c r="L1131" s="1" t="s">
        <v>2300</v>
      </c>
      <c r="M1131" s="1" t="n">
        <v>0</v>
      </c>
      <c r="N1131" s="1" t="s">
        <v>25</v>
      </c>
      <c r="O1131" s="1" t="n">
        <v>0.55</v>
      </c>
      <c r="P1131" s="1"/>
      <c r="Q1131" s="1" t="s">
        <v>1815</v>
      </c>
      <c r="R1131" s="1" t="s">
        <v>837</v>
      </c>
      <c r="S1131" s="1" t="s">
        <v>837</v>
      </c>
      <c r="T1131" s="1" t="s">
        <v>1785</v>
      </c>
    </row>
    <row r="1132" customFormat="false" ht="15" hidden="false" customHeight="true" outlineLevel="0" collapsed="false">
      <c r="A1132" s="1" t="s">
        <v>2301</v>
      </c>
      <c r="B1132" s="1" t="n">
        <v>1911</v>
      </c>
      <c r="C1132" s="1" t="n">
        <v>1</v>
      </c>
      <c r="D1132" s="1" t="s">
        <v>21</v>
      </c>
      <c r="E1132" s="1" t="s">
        <v>274</v>
      </c>
      <c r="F1132" s="1" t="n">
        <v>33</v>
      </c>
      <c r="G1132" s="1" t="n">
        <v>20</v>
      </c>
      <c r="H1132" s="2" t="n">
        <v>98742</v>
      </c>
      <c r="I1132" s="2" t="n">
        <f aca="false">(((H1132 / 800) / IF(ISBLANK(R1132), 1000000, IF(ISNA(VLOOKUP(R1132, Mileages!$A$2:$C$34, 2, 0)), R1132, VLOOKUP(R1132, Mileages!$A$2:$C$34, 2, 0)))) + (F1132 * IF(ISBLANK(P1132), 1, P1132) * IF(ISBLANK(T1132), 0, IF(ISNA(VLOOKUP(T1132, 'Fuel Costs'!$A$2:$C$42, 2, 0)), T1132, VLOOKUP(T1132, 'Fuel Costs'!$A$2:$C$42, 2, 0))) / IF(ISBLANK(O1132), 1, O1132))) * 100</f>
        <v>18.0246855</v>
      </c>
      <c r="J1132" s="2" t="n">
        <f aca="false">((H1132 / 800) / (IF(ISBLANK(S1132), 100, IF(ISNA(VLOOKUP(S1132, Lives!$A$2:$C$35, 2, 0)), S1132, VLOOKUP(S1132, Lives!$A$2:$C$35, 2, 0))) * 12) + (IF(ISBLANK(Q1132), 0, IF(ISNA(VLOOKUP(Q1132, Wages!$A$2:$C$17, 2, 0)), Q1132, VLOOKUP(Q1132, Wages!$A$2:$C$17, 2, 0))) * IF(ISBLANK(N1132), 0, IF(ISNA(VLOOKUP(N1132, Crews!$A$2:$C$28, 2, 0)), N1132, VLOOKUP(N1132, Crews!$A$2:$C$28, 2, 0))))) * 400</f>
        <v>8051.428125</v>
      </c>
      <c r="K1132" s="1"/>
      <c r="L1132" s="1" t="s">
        <v>2300</v>
      </c>
      <c r="M1132" s="1" t="n">
        <v>1</v>
      </c>
      <c r="N1132" s="1" t="s">
        <v>25</v>
      </c>
      <c r="O1132" s="1" t="n">
        <v>0.55</v>
      </c>
      <c r="P1132" s="1"/>
      <c r="Q1132" s="1" t="s">
        <v>1815</v>
      </c>
      <c r="R1132" s="1" t="s">
        <v>837</v>
      </c>
      <c r="S1132" s="1" t="s">
        <v>837</v>
      </c>
      <c r="T1132" s="1" t="s">
        <v>1785</v>
      </c>
    </row>
    <row r="1133" customFormat="false" ht="15" hidden="false" customHeight="true" outlineLevel="0" collapsed="false">
      <c r="A1133" s="1" t="s">
        <v>2302</v>
      </c>
      <c r="B1133" s="1" t="n">
        <v>1911</v>
      </c>
      <c r="C1133" s="1" t="n">
        <v>1</v>
      </c>
      <c r="D1133" s="1" t="s">
        <v>21</v>
      </c>
      <c r="E1133" s="1" t="s">
        <v>274</v>
      </c>
      <c r="F1133" s="1" t="n">
        <v>33</v>
      </c>
      <c r="G1133" s="1" t="n">
        <v>20</v>
      </c>
      <c r="H1133" s="2" t="n">
        <v>98742</v>
      </c>
      <c r="I1133" s="2" t="n">
        <f aca="false">(((H1133 / 800) / IF(ISBLANK(R1133), 1000000, IF(ISNA(VLOOKUP(R1133, Mileages!$A$2:$C$34, 2, 0)), R1133, VLOOKUP(R1133, Mileages!$A$2:$C$34, 2, 0)))) + (F1133 * IF(ISBLANK(P1133), 1, P1133) * IF(ISBLANK(T1133), 0, IF(ISNA(VLOOKUP(T1133, 'Fuel Costs'!$A$2:$C$42, 2, 0)), T1133, VLOOKUP(T1133, 'Fuel Costs'!$A$2:$C$42, 2, 0))) / IF(ISBLANK(O1133), 1, O1133))) * 100</f>
        <v>18.0246855</v>
      </c>
      <c r="J1133" s="2" t="n">
        <f aca="false">((H1133 / 800) / (IF(ISBLANK(S1133), 100, IF(ISNA(VLOOKUP(S1133, Lives!$A$2:$C$35, 2, 0)), S1133, VLOOKUP(S1133, Lives!$A$2:$C$35, 2, 0))) * 12) + (IF(ISBLANK(Q1133), 0, IF(ISNA(VLOOKUP(Q1133, Wages!$A$2:$C$17, 2, 0)), Q1133, VLOOKUP(Q1133, Wages!$A$2:$C$17, 2, 0))) * IF(ISBLANK(N1133), 0, IF(ISNA(VLOOKUP(N1133, Crews!$A$2:$C$28, 2, 0)), N1133, VLOOKUP(N1133, Crews!$A$2:$C$28, 2, 0))))) * 400</f>
        <v>8051.428125</v>
      </c>
      <c r="K1133" s="1"/>
      <c r="L1133" s="1" t="s">
        <v>2300</v>
      </c>
      <c r="M1133" s="1" t="n">
        <v>2</v>
      </c>
      <c r="N1133" s="1" t="s">
        <v>25</v>
      </c>
      <c r="O1133" s="1" t="n">
        <v>0.55</v>
      </c>
      <c r="P1133" s="1"/>
      <c r="Q1133" s="1" t="s">
        <v>1815</v>
      </c>
      <c r="R1133" s="1" t="s">
        <v>837</v>
      </c>
      <c r="S1133" s="1" t="s">
        <v>837</v>
      </c>
      <c r="T1133" s="1" t="s">
        <v>1785</v>
      </c>
    </row>
    <row r="1134" customFormat="false" ht="15" hidden="false" customHeight="true" outlineLevel="0" collapsed="false">
      <c r="A1134" s="1" t="s">
        <v>2303</v>
      </c>
      <c r="B1134" s="1" t="n">
        <v>1911</v>
      </c>
      <c r="C1134" s="1" t="n">
        <v>1</v>
      </c>
      <c r="D1134" s="1" t="s">
        <v>21</v>
      </c>
      <c r="E1134" s="1" t="s">
        <v>274</v>
      </c>
      <c r="F1134" s="1" t="n">
        <v>33</v>
      </c>
      <c r="G1134" s="1" t="n">
        <v>20</v>
      </c>
      <c r="H1134" s="2" t="n">
        <v>98742</v>
      </c>
      <c r="I1134" s="2" t="n">
        <f aca="false">(((H1134 / 800) / IF(ISBLANK(R1134), 1000000, IF(ISNA(VLOOKUP(R1134, Mileages!$A$2:$C$34, 2, 0)), R1134, VLOOKUP(R1134, Mileages!$A$2:$C$34, 2, 0)))) + (F1134 * IF(ISBLANK(P1134), 1, P1134) * IF(ISBLANK(T1134), 0, IF(ISNA(VLOOKUP(T1134, 'Fuel Costs'!$A$2:$C$42, 2, 0)), T1134, VLOOKUP(T1134, 'Fuel Costs'!$A$2:$C$42, 2, 0))) / IF(ISBLANK(O1134), 1, O1134))) * 100</f>
        <v>18.0246855</v>
      </c>
      <c r="J1134" s="2" t="n">
        <f aca="false">((H1134 / 800) / (IF(ISBLANK(S1134), 100, IF(ISNA(VLOOKUP(S1134, Lives!$A$2:$C$35, 2, 0)), S1134, VLOOKUP(S1134, Lives!$A$2:$C$35, 2, 0))) * 12) + (IF(ISBLANK(Q1134), 0, IF(ISNA(VLOOKUP(Q1134, Wages!$A$2:$C$17, 2, 0)), Q1134, VLOOKUP(Q1134, Wages!$A$2:$C$17, 2, 0))) * IF(ISBLANK(N1134), 0, IF(ISNA(VLOOKUP(N1134, Crews!$A$2:$C$28, 2, 0)), N1134, VLOOKUP(N1134, Crews!$A$2:$C$28, 2, 0))))) * 400</f>
        <v>8051.428125</v>
      </c>
      <c r="K1134" s="1"/>
      <c r="L1134" s="1" t="s">
        <v>2300</v>
      </c>
      <c r="M1134" s="1" t="n">
        <v>3</v>
      </c>
      <c r="N1134" s="1" t="s">
        <v>25</v>
      </c>
      <c r="O1134" s="1" t="n">
        <v>0.55</v>
      </c>
      <c r="P1134" s="1"/>
      <c r="Q1134" s="1" t="s">
        <v>1815</v>
      </c>
      <c r="R1134" s="1" t="s">
        <v>837</v>
      </c>
      <c r="S1134" s="1" t="s">
        <v>837</v>
      </c>
      <c r="T1134" s="1" t="s">
        <v>1785</v>
      </c>
    </row>
    <row r="1135" customFormat="false" ht="15" hidden="false" customHeight="true" outlineLevel="0" collapsed="false">
      <c r="A1135" s="1" t="s">
        <v>2304</v>
      </c>
      <c r="B1135" s="1" t="n">
        <v>1911</v>
      </c>
      <c r="C1135" s="1" t="n">
        <v>1</v>
      </c>
      <c r="D1135" s="1" t="s">
        <v>21</v>
      </c>
      <c r="E1135" s="1" t="s">
        <v>274</v>
      </c>
      <c r="F1135" s="1" t="n">
        <v>33</v>
      </c>
      <c r="G1135" s="1" t="n">
        <v>20</v>
      </c>
      <c r="H1135" s="2" t="n">
        <v>98742</v>
      </c>
      <c r="I1135" s="2" t="n">
        <f aca="false">(((H1135 / 800) / IF(ISBLANK(R1135), 1000000, IF(ISNA(VLOOKUP(R1135, Mileages!$A$2:$C$34, 2, 0)), R1135, VLOOKUP(R1135, Mileages!$A$2:$C$34, 2, 0)))) + (F1135 * IF(ISBLANK(P1135), 1, P1135) * IF(ISBLANK(T1135), 0, IF(ISNA(VLOOKUP(T1135, 'Fuel Costs'!$A$2:$C$42, 2, 0)), T1135, VLOOKUP(T1135, 'Fuel Costs'!$A$2:$C$42, 2, 0))) / IF(ISBLANK(O1135), 1, O1135))) * 100</f>
        <v>18.0246855</v>
      </c>
      <c r="J1135" s="2" t="n">
        <f aca="false">((H1135 / 800) / (IF(ISBLANK(S1135), 100, IF(ISNA(VLOOKUP(S1135, Lives!$A$2:$C$35, 2, 0)), S1135, VLOOKUP(S1135, Lives!$A$2:$C$35, 2, 0))) * 12) + (IF(ISBLANK(Q1135), 0, IF(ISNA(VLOOKUP(Q1135, Wages!$A$2:$C$17, 2, 0)), Q1135, VLOOKUP(Q1135, Wages!$A$2:$C$17, 2, 0))) * IF(ISBLANK(N1135), 0, IF(ISNA(VLOOKUP(N1135, Crews!$A$2:$C$28, 2, 0)), N1135, VLOOKUP(N1135, Crews!$A$2:$C$28, 2, 0))))) * 400</f>
        <v>8051.428125</v>
      </c>
      <c r="K1135" s="1"/>
      <c r="L1135" s="1" t="s">
        <v>2300</v>
      </c>
      <c r="M1135" s="1" t="n">
        <v>4</v>
      </c>
      <c r="N1135" s="1" t="s">
        <v>25</v>
      </c>
      <c r="O1135" s="1" t="n">
        <v>0.55</v>
      </c>
      <c r="P1135" s="1"/>
      <c r="Q1135" s="1" t="s">
        <v>1815</v>
      </c>
      <c r="R1135" s="1" t="s">
        <v>837</v>
      </c>
      <c r="S1135" s="1" t="s">
        <v>837</v>
      </c>
      <c r="T1135" s="1" t="s">
        <v>1785</v>
      </c>
    </row>
    <row r="1136" customFormat="false" ht="15" hidden="false" customHeight="true" outlineLevel="0" collapsed="false">
      <c r="A1136" s="1" t="s">
        <v>2305</v>
      </c>
      <c r="B1136" s="1" t="n">
        <v>1911</v>
      </c>
      <c r="C1136" s="1" t="n">
        <v>1</v>
      </c>
      <c r="D1136" s="1" t="s">
        <v>21</v>
      </c>
      <c r="E1136" s="1" t="s">
        <v>274</v>
      </c>
      <c r="F1136" s="1" t="n">
        <v>33</v>
      </c>
      <c r="G1136" s="1" t="n">
        <v>20</v>
      </c>
      <c r="H1136" s="2" t="n">
        <v>98742</v>
      </c>
      <c r="I1136" s="2" t="n">
        <f aca="false">(((H1136 / 800) / IF(ISBLANK(R1136), 1000000, IF(ISNA(VLOOKUP(R1136, Mileages!$A$2:$C$34, 2, 0)), R1136, VLOOKUP(R1136, Mileages!$A$2:$C$34, 2, 0)))) + (F1136 * IF(ISBLANK(P1136), 1, P1136) * IF(ISBLANK(T1136), 0, IF(ISNA(VLOOKUP(T1136, 'Fuel Costs'!$A$2:$C$42, 2, 0)), T1136, VLOOKUP(T1136, 'Fuel Costs'!$A$2:$C$42, 2, 0))) / IF(ISBLANK(O1136), 1, O1136))) * 100</f>
        <v>18.0246855</v>
      </c>
      <c r="J1136" s="2" t="n">
        <f aca="false">((H1136 / 800) / (IF(ISBLANK(S1136), 100, IF(ISNA(VLOOKUP(S1136, Lives!$A$2:$C$35, 2, 0)), S1136, VLOOKUP(S1136, Lives!$A$2:$C$35, 2, 0))) * 12) + (IF(ISBLANK(Q1136), 0, IF(ISNA(VLOOKUP(Q1136, Wages!$A$2:$C$17, 2, 0)), Q1136, VLOOKUP(Q1136, Wages!$A$2:$C$17, 2, 0))) * IF(ISBLANK(N1136), 0, IF(ISNA(VLOOKUP(N1136, Crews!$A$2:$C$28, 2, 0)), N1136, VLOOKUP(N1136, Crews!$A$2:$C$28, 2, 0))))) * 400</f>
        <v>8051.428125</v>
      </c>
      <c r="K1136" s="1"/>
      <c r="L1136" s="1" t="s">
        <v>2300</v>
      </c>
      <c r="M1136" s="1" t="n">
        <v>5</v>
      </c>
      <c r="N1136" s="1" t="s">
        <v>25</v>
      </c>
      <c r="O1136" s="1" t="n">
        <v>0.55</v>
      </c>
      <c r="P1136" s="1"/>
      <c r="Q1136" s="1" t="s">
        <v>1815</v>
      </c>
      <c r="R1136" s="1" t="s">
        <v>837</v>
      </c>
      <c r="S1136" s="1" t="s">
        <v>837</v>
      </c>
      <c r="T1136" s="1" t="s">
        <v>1785</v>
      </c>
    </row>
    <row r="1137" customFormat="false" ht="15" hidden="false" customHeight="true" outlineLevel="0" collapsed="false">
      <c r="A1137" s="1" t="s">
        <v>2306</v>
      </c>
      <c r="B1137" s="1" t="n">
        <v>1911</v>
      </c>
      <c r="C1137" s="1" t="n">
        <v>2</v>
      </c>
      <c r="D1137" s="1" t="s">
        <v>21</v>
      </c>
      <c r="E1137" s="1" t="s">
        <v>1839</v>
      </c>
      <c r="F1137" s="1" t="n">
        <v>22</v>
      </c>
      <c r="G1137" s="1" t="n">
        <v>20</v>
      </c>
      <c r="H1137" s="2" t="n">
        <v>92000</v>
      </c>
      <c r="I1137" s="2" t="n">
        <f aca="false">(((H1137 / 800) / IF(ISBLANK(R1137), 1000000, IF(ISNA(VLOOKUP(R1137, Mileages!$A$2:$C$34, 2, 0)), R1137, VLOOKUP(R1137, Mileages!$A$2:$C$34, 2, 0)))) + (F1137 * IF(ISBLANK(P1137), 1, P1137) * IF(ISBLANK(T1137), 0, IF(ISNA(VLOOKUP(T1137, 'Fuel Costs'!$A$2:$C$42, 2, 0)), T1137, VLOOKUP(T1137, 'Fuel Costs'!$A$2:$C$42, 2, 0))) / IF(ISBLANK(O1137), 1, O1137))) * 100</f>
        <v>25.68966667</v>
      </c>
      <c r="J1137" s="2" t="n">
        <f aca="false">((H1137 / 800) / (IF(ISBLANK(S1137), 100, IF(ISNA(VLOOKUP(S1137, Lives!$A$2:$C$35, 2, 0)), S1137, VLOOKUP(S1137, Lives!$A$2:$C$35, 2, 0))) * 12) + (IF(ISBLANK(Q1137), 0, IF(ISNA(VLOOKUP(Q1137, Wages!$A$2:$C$17, 2, 0)), Q1137, VLOOKUP(Q1137, Wages!$A$2:$C$17, 2, 0))) * IF(ISBLANK(N1137), 0, IF(ISNA(VLOOKUP(N1137, Crews!$A$2:$C$28, 2, 0)), N1137, VLOOKUP(N1137, Crews!$A$2:$C$28, 2, 0))))) * 400</f>
        <v>8047.916667</v>
      </c>
      <c r="K1137" s="3" t="s">
        <v>2307</v>
      </c>
      <c r="L1137" s="1" t="s">
        <v>2308</v>
      </c>
      <c r="M1137" s="1" t="n">
        <v>0</v>
      </c>
      <c r="N1137" s="1" t="s">
        <v>25</v>
      </c>
      <c r="O1137" s="1" t="n">
        <v>0.6</v>
      </c>
      <c r="P1137" s="1"/>
      <c r="Q1137" s="1" t="s">
        <v>1815</v>
      </c>
      <c r="R1137" s="1" t="s">
        <v>1842</v>
      </c>
      <c r="S1137" s="1" t="s">
        <v>1843</v>
      </c>
      <c r="T1137" s="1" t="s">
        <v>1844</v>
      </c>
    </row>
    <row r="1138" customFormat="false" ht="15" hidden="false" customHeight="true" outlineLevel="0" collapsed="false">
      <c r="A1138" s="1" t="s">
        <v>2309</v>
      </c>
      <c r="B1138" s="1" t="n">
        <v>1911</v>
      </c>
      <c r="C1138" s="1" t="n">
        <v>2</v>
      </c>
      <c r="D1138" s="1" t="s">
        <v>21</v>
      </c>
      <c r="E1138" s="1" t="s">
        <v>1839</v>
      </c>
      <c r="F1138" s="1" t="n">
        <v>22</v>
      </c>
      <c r="G1138" s="1" t="n">
        <v>20</v>
      </c>
      <c r="H1138" s="2" t="n">
        <v>96000</v>
      </c>
      <c r="I1138" s="2" t="n">
        <f aca="false">(((H1138 / 800) / IF(ISBLANK(R1138), 1000000, IF(ISNA(VLOOKUP(R1138, Mileages!$A$2:$C$34, 2, 0)), R1138, VLOOKUP(R1138, Mileages!$A$2:$C$34, 2, 0)))) + (F1138 * IF(ISBLANK(P1138), 1, P1138) * IF(ISBLANK(T1138), 0, IF(ISNA(VLOOKUP(T1138, 'Fuel Costs'!$A$2:$C$42, 2, 0)), T1138, VLOOKUP(T1138, 'Fuel Costs'!$A$2:$C$42, 2, 0))) / IF(ISBLANK(O1138), 1, O1138))) * 100</f>
        <v>25.69066667</v>
      </c>
      <c r="J1138" s="2" t="n">
        <f aca="false">((H1138 / 800) / (IF(ISBLANK(S1138), 100, IF(ISNA(VLOOKUP(S1138, Lives!$A$2:$C$35, 2, 0)), S1138, VLOOKUP(S1138, Lives!$A$2:$C$35, 2, 0))) * 12) + (IF(ISBLANK(Q1138), 0, IF(ISNA(VLOOKUP(Q1138, Wages!$A$2:$C$17, 2, 0)), Q1138, VLOOKUP(Q1138, Wages!$A$2:$C$17, 2, 0))) * IF(ISBLANK(N1138), 0, IF(ISNA(VLOOKUP(N1138, Crews!$A$2:$C$28, 2, 0)), N1138, VLOOKUP(N1138, Crews!$A$2:$C$28, 2, 0))))) * 400</f>
        <v>8050</v>
      </c>
      <c r="K1138" s="3" t="s">
        <v>2310</v>
      </c>
      <c r="L1138" s="1" t="s">
        <v>2311</v>
      </c>
      <c r="M1138" s="1" t="n">
        <v>0</v>
      </c>
      <c r="N1138" s="1" t="s">
        <v>25</v>
      </c>
      <c r="O1138" s="1" t="n">
        <v>0.6</v>
      </c>
      <c r="P1138" s="1"/>
      <c r="Q1138" s="1" t="s">
        <v>1815</v>
      </c>
      <c r="R1138" s="1" t="s">
        <v>1842</v>
      </c>
      <c r="S1138" s="1" t="s">
        <v>1843</v>
      </c>
      <c r="T1138" s="1" t="s">
        <v>1844</v>
      </c>
    </row>
    <row r="1139" customFormat="false" ht="15" hidden="false" customHeight="true" outlineLevel="0" collapsed="false">
      <c r="A1139" s="1" t="s">
        <v>2312</v>
      </c>
      <c r="B1139" s="1" t="n">
        <v>1911</v>
      </c>
      <c r="C1139" s="1" t="n">
        <v>3</v>
      </c>
      <c r="D1139" s="1" t="s">
        <v>38</v>
      </c>
      <c r="E1139" s="1" t="s">
        <v>274</v>
      </c>
      <c r="F1139" s="1" t="n">
        <v>260</v>
      </c>
      <c r="G1139" s="1" t="n">
        <v>130</v>
      </c>
      <c r="H1139" s="2" t="n">
        <v>9450000</v>
      </c>
      <c r="I1139" s="2" t="n">
        <f aca="false">(((H1139 / 800) / IF(ISBLANK(R1139), 1000000, IF(ISNA(VLOOKUP(R1139, Mileages!$A$2:$C$34, 2, 0)), R1139, VLOOKUP(R1139, Mileages!$A$2:$C$34, 2, 0)))) + (F1139 * IF(ISBLANK(P1139), 1, P1139) * IF(ISBLANK(T1139), 0, IF(ISNA(VLOOKUP(T1139, 'Fuel Costs'!$A$2:$C$42, 2, 0)), T1139, VLOOKUP(T1139, 'Fuel Costs'!$A$2:$C$42, 2, 0))) / IF(ISBLANK(O1139), 1, O1139))) * 100</f>
        <v>112.6098214</v>
      </c>
      <c r="J1139" s="2" t="n">
        <f aca="false">((H1139 / 800) / (IF(ISBLANK(S1139), 100, IF(ISNA(VLOOKUP(S1139, Lives!$A$2:$C$35, 2, 0)), S1139, VLOOKUP(S1139, Lives!$A$2:$C$35, 2, 0))) * 12) + (IF(ISBLANK(Q1139), 0, IF(ISNA(VLOOKUP(Q1139, Wages!$A$2:$C$17, 2, 0)), Q1139, VLOOKUP(Q1139, Wages!$A$2:$C$17, 2, 0))) * IF(ISBLANK(N1139), 0, IF(ISNA(VLOOKUP(N1139, Crews!$A$2:$C$28, 2, 0)), N1139, VLOOKUP(N1139, Crews!$A$2:$C$28, 2, 0))))) * 400</f>
        <v>31875</v>
      </c>
      <c r="K1139" s="3" t="s">
        <v>2313</v>
      </c>
      <c r="L1139" s="1" t="s">
        <v>2314</v>
      </c>
      <c r="M1139" s="1" t="n">
        <v>0</v>
      </c>
      <c r="N1139" s="1" t="s">
        <v>590</v>
      </c>
      <c r="O1139" s="1" t="n">
        <v>0.7</v>
      </c>
      <c r="P1139" s="1"/>
      <c r="Q1139" s="5" t="s">
        <v>284</v>
      </c>
      <c r="R1139" s="1" t="s">
        <v>677</v>
      </c>
      <c r="S1139" s="1" t="s">
        <v>677</v>
      </c>
      <c r="T1139" s="1" t="s">
        <v>1785</v>
      </c>
    </row>
    <row r="1140" customFormat="false" ht="15" hidden="false" customHeight="true" outlineLevel="0" collapsed="false">
      <c r="A1140" s="1" t="s">
        <v>2315</v>
      </c>
      <c r="B1140" s="1" t="n">
        <v>1911</v>
      </c>
      <c r="C1140" s="1" t="n">
        <v>3</v>
      </c>
      <c r="D1140" s="1" t="s">
        <v>21</v>
      </c>
      <c r="E1140" s="1" t="s">
        <v>1839</v>
      </c>
      <c r="F1140" s="1" t="n">
        <v>22</v>
      </c>
      <c r="G1140" s="1" t="n">
        <v>20</v>
      </c>
      <c r="H1140" s="2" t="n">
        <v>80000</v>
      </c>
      <c r="I1140" s="2" t="n">
        <f aca="false">(((H1140 / 800) / IF(ISBLANK(R1140), 1000000, IF(ISNA(VLOOKUP(R1140, Mileages!$A$2:$C$34, 2, 0)), R1140, VLOOKUP(R1140, Mileages!$A$2:$C$34, 2, 0)))) + (F1140 * IF(ISBLANK(P1140), 1, P1140) * IF(ISBLANK(T1140), 0, IF(ISNA(VLOOKUP(T1140, 'Fuel Costs'!$A$2:$C$42, 2, 0)), T1140, VLOOKUP(T1140, 'Fuel Costs'!$A$2:$C$42, 2, 0))) / IF(ISBLANK(O1140), 1, O1140))) * 100</f>
        <v>25.68666667</v>
      </c>
      <c r="J1140" s="2" t="n">
        <f aca="false">((H1140 / 800) / (IF(ISBLANK(S1140), 100, IF(ISNA(VLOOKUP(S1140, Lives!$A$2:$C$35, 2, 0)), S1140, VLOOKUP(S1140, Lives!$A$2:$C$35, 2, 0))) * 12) + (IF(ISBLANK(Q1140), 0, IF(ISNA(VLOOKUP(Q1140, Wages!$A$2:$C$17, 2, 0)), Q1140, VLOOKUP(Q1140, Wages!$A$2:$C$17, 2, 0))) * IF(ISBLANK(N1140), 0, IF(ISNA(VLOOKUP(N1140, Crews!$A$2:$C$28, 2, 0)), N1140, VLOOKUP(N1140, Crews!$A$2:$C$28, 2, 0))))) * 400</f>
        <v>8041.666667</v>
      </c>
      <c r="K1140" s="3" t="s">
        <v>2316</v>
      </c>
      <c r="L1140" s="1" t="s">
        <v>2317</v>
      </c>
      <c r="M1140" s="1" t="n">
        <v>0</v>
      </c>
      <c r="N1140" s="1" t="s">
        <v>25</v>
      </c>
      <c r="O1140" s="1" t="n">
        <v>0.6</v>
      </c>
      <c r="P1140" s="1"/>
      <c r="Q1140" s="1" t="s">
        <v>1815</v>
      </c>
      <c r="R1140" s="1" t="s">
        <v>1842</v>
      </c>
      <c r="S1140" s="1" t="s">
        <v>1843</v>
      </c>
      <c r="T1140" s="1" t="s">
        <v>1844</v>
      </c>
    </row>
    <row r="1141" customFormat="false" ht="15" hidden="false" customHeight="true" outlineLevel="0" collapsed="false">
      <c r="A1141" s="1" t="s">
        <v>2318</v>
      </c>
      <c r="B1141" s="1" t="n">
        <v>1911</v>
      </c>
      <c r="C1141" s="1" t="n">
        <v>5</v>
      </c>
      <c r="D1141" s="1" t="s">
        <v>38</v>
      </c>
      <c r="E1141" s="1"/>
      <c r="F1141" s="1"/>
      <c r="G1141" s="1" t="n">
        <v>160</v>
      </c>
      <c r="H1141" s="2" t="n">
        <v>590000</v>
      </c>
      <c r="I1141" s="2" t="n">
        <f aca="false">(((H1141 / 800) / IF(ISBLANK(R1141), 1000000, IF(ISNA(VLOOKUP(R1141, Mileages!$A$2:$C$34, 2, 0)), R1141, VLOOKUP(R1141, Mileages!$A$2:$C$34, 2, 0)))) + (F1141 * IF(ISBLANK(P1141), 1, P1141) * IF(ISBLANK(T1141), 0, IF(ISNA(VLOOKUP(T1141, 'Fuel Costs'!$A$2:$C$42, 2, 0)), T1141, VLOOKUP(T1141, 'Fuel Costs'!$A$2:$C$42, 2, 0))) / IF(ISBLANK(O1141), 1, O1141))) * 100</f>
        <v>0.06145833333</v>
      </c>
      <c r="J1141" s="2" t="n">
        <f aca="false">((H1141 / 800) / (IF(ISBLANK(S1141), 100, IF(ISNA(VLOOKUP(S1141, Lives!$A$2:$C$35, 2, 0)), S1141, VLOOKUP(S1141, Lives!$A$2:$C$35, 2, 0))) * 12) + (IF(ISBLANK(Q1141), 0, IF(ISNA(VLOOKUP(Q1141, Wages!$A$2:$C$17, 2, 0)), Q1141, VLOOKUP(Q1141, Wages!$A$2:$C$17, 2, 0))) * IF(ISBLANK(N1141), 0, IF(ISNA(VLOOKUP(N1141, Crews!$A$2:$C$28, 2, 0)), N1141, VLOOKUP(N1141, Crews!$A$2:$C$28, 2, 0))))) * 400</f>
        <v>702.3809524</v>
      </c>
      <c r="K1141" s="3" t="s">
        <v>2319</v>
      </c>
      <c r="L1141" s="1" t="s">
        <v>2320</v>
      </c>
      <c r="M1141" s="1" t="n">
        <v>0</v>
      </c>
      <c r="N1141" s="1"/>
      <c r="O1141" s="1"/>
      <c r="P1141" s="1"/>
      <c r="Q1141" s="1"/>
      <c r="R1141" s="1" t="s">
        <v>689</v>
      </c>
      <c r="S1141" s="1" t="s">
        <v>856</v>
      </c>
      <c r="T1141" s="1"/>
    </row>
    <row r="1142" customFormat="false" ht="15" hidden="false" customHeight="true" outlineLevel="0" collapsed="false">
      <c r="A1142" s="1" t="s">
        <v>2321</v>
      </c>
      <c r="B1142" s="1" t="n">
        <v>1911</v>
      </c>
      <c r="C1142" s="1" t="n">
        <v>5</v>
      </c>
      <c r="D1142" s="1" t="s">
        <v>38</v>
      </c>
      <c r="E1142" s="1"/>
      <c r="F1142" s="1"/>
      <c r="G1142" s="1" t="n">
        <v>160</v>
      </c>
      <c r="H1142" s="2" t="n">
        <v>590000</v>
      </c>
      <c r="I1142" s="2" t="n">
        <f aca="false">(((H1142 / 800) / IF(ISBLANK(R1142), 1000000, IF(ISNA(VLOOKUP(R1142, Mileages!$A$2:$C$34, 2, 0)), R1142, VLOOKUP(R1142, Mileages!$A$2:$C$34, 2, 0)))) + (F1142 * IF(ISBLANK(P1142), 1, P1142) * IF(ISBLANK(T1142), 0, IF(ISNA(VLOOKUP(T1142, 'Fuel Costs'!$A$2:$C$42, 2, 0)), T1142, VLOOKUP(T1142, 'Fuel Costs'!$A$2:$C$42, 2, 0))) / IF(ISBLANK(O1142), 1, O1142))) * 100</f>
        <v>0.06145833333</v>
      </c>
      <c r="J1142" s="2" t="n">
        <f aca="false">((H1142 / 800) / (IF(ISBLANK(S1142), 100, IF(ISNA(VLOOKUP(S1142, Lives!$A$2:$C$35, 2, 0)), S1142, VLOOKUP(S1142, Lives!$A$2:$C$35, 2, 0))) * 12) + (IF(ISBLANK(Q1142), 0, IF(ISNA(VLOOKUP(Q1142, Wages!$A$2:$C$17, 2, 0)), Q1142, VLOOKUP(Q1142, Wages!$A$2:$C$17, 2, 0))) * IF(ISBLANK(N1142), 0, IF(ISNA(VLOOKUP(N1142, Crews!$A$2:$C$28, 2, 0)), N1142, VLOOKUP(N1142, Crews!$A$2:$C$28, 2, 0))))) * 400</f>
        <v>5502.380952</v>
      </c>
      <c r="K1142" s="3" t="s">
        <v>2322</v>
      </c>
      <c r="L1142" s="1" t="s">
        <v>2320</v>
      </c>
      <c r="M1142" s="1" t="n">
        <v>1</v>
      </c>
      <c r="N1142" s="1" t="s">
        <v>25</v>
      </c>
      <c r="O1142" s="1"/>
      <c r="P1142" s="1"/>
      <c r="Q1142" s="1" t="s">
        <v>378</v>
      </c>
      <c r="R1142" s="1" t="s">
        <v>689</v>
      </c>
      <c r="S1142" s="1" t="s">
        <v>856</v>
      </c>
      <c r="T1142" s="1"/>
    </row>
    <row r="1143" customFormat="false" ht="15" hidden="false" customHeight="true" outlineLevel="0" collapsed="false">
      <c r="A1143" s="1" t="s">
        <v>2323</v>
      </c>
      <c r="B1143" s="1" t="n">
        <v>1911</v>
      </c>
      <c r="C1143" s="1" t="n">
        <v>5</v>
      </c>
      <c r="D1143" s="1" t="s">
        <v>38</v>
      </c>
      <c r="E1143" s="1" t="s">
        <v>274</v>
      </c>
      <c r="F1143" s="1" t="n">
        <v>363</v>
      </c>
      <c r="G1143" s="1" t="n">
        <v>143</v>
      </c>
      <c r="H1143" s="2" t="n">
        <v>9552500</v>
      </c>
      <c r="I1143" s="2" t="n">
        <f aca="false">(((H1143 / 800) / IF(ISBLANK(R1143), 1000000, IF(ISNA(VLOOKUP(R1143, Mileages!$A$2:$C$34, 2, 0)), R1143, VLOOKUP(R1143, Mileages!$A$2:$C$34, 2, 0)))) + (F1143 * IF(ISBLANK(P1143), 1, P1143) * IF(ISBLANK(T1143), 0, IF(ISNA(VLOOKUP(T1143, 'Fuel Costs'!$A$2:$C$42, 2, 0)), T1143, VLOOKUP(T1143, 'Fuel Costs'!$A$2:$C$42, 2, 0))) / IF(ISBLANK(O1143), 1, O1143))) * 100</f>
        <v>156.7654911</v>
      </c>
      <c r="J1143" s="2" t="n">
        <f aca="false">((H1143 / 800) / (IF(ISBLANK(S1143), 100, IF(ISNA(VLOOKUP(S1143, Lives!$A$2:$C$35, 2, 0)), S1143, VLOOKUP(S1143, Lives!$A$2:$C$35, 2, 0))) * 12) + (IF(ISBLANK(Q1143), 0, IF(ISNA(VLOOKUP(Q1143, Wages!$A$2:$C$17, 2, 0)), Q1143, VLOOKUP(Q1143, Wages!$A$2:$C$17, 2, 0))) * IF(ISBLANK(N1143), 0, IF(ISNA(VLOOKUP(N1143, Crews!$A$2:$C$28, 2, 0)), N1143, VLOOKUP(N1143, Crews!$A$2:$C$28, 2, 0))))) * 400</f>
        <v>47960.41667</v>
      </c>
      <c r="K1143" s="1" t="s">
        <v>1692</v>
      </c>
      <c r="L1143" s="1" t="s">
        <v>2324</v>
      </c>
      <c r="M1143" s="1" t="n">
        <v>0</v>
      </c>
      <c r="N1143" s="1" t="s">
        <v>1705</v>
      </c>
      <c r="O1143" s="1" t="n">
        <v>0.7</v>
      </c>
      <c r="P1143" s="1"/>
      <c r="Q1143" s="5" t="s">
        <v>284</v>
      </c>
      <c r="R1143" s="1" t="s">
        <v>677</v>
      </c>
      <c r="S1143" s="1" t="s">
        <v>677</v>
      </c>
      <c r="T1143" s="1" t="s">
        <v>1785</v>
      </c>
    </row>
    <row r="1144" customFormat="false" ht="15" hidden="false" customHeight="true" outlineLevel="0" collapsed="false">
      <c r="A1144" s="1" t="s">
        <v>2325</v>
      </c>
      <c r="B1144" s="1" t="n">
        <v>1911</v>
      </c>
      <c r="C1144" s="1" t="n">
        <v>6</v>
      </c>
      <c r="D1144" s="1" t="s">
        <v>38</v>
      </c>
      <c r="E1144" s="1"/>
      <c r="F1144" s="1" t="n">
        <v>0</v>
      </c>
      <c r="G1144" s="1" t="n">
        <v>95</v>
      </c>
      <c r="H1144" s="2" t="n">
        <v>0</v>
      </c>
      <c r="I1144" s="2" t="n">
        <f aca="false">(((H1144 / 800) / IF(ISBLANK(R1144), 1000000, IF(ISNA(VLOOKUP(R1144, Mileages!$A$2:$C$34, 2, 0)), R1144, VLOOKUP(R1144, Mileages!$A$2:$C$34, 2, 0)))) + (F1144 * IF(ISBLANK(P1144), 1, P1144) * IF(ISBLANK(T1144), 0, IF(ISNA(VLOOKUP(T1144, 'Fuel Costs'!$A$2:$C$42, 2, 0)), T1144, VLOOKUP(T1144, 'Fuel Costs'!$A$2:$C$42, 2, 0))) / IF(ISBLANK(O1144), 1, O1144))) * 100</f>
        <v>0</v>
      </c>
      <c r="J1144" s="2" t="n">
        <f aca="false">((H1144 / 800) / (IF(ISBLANK(S1144), 100, IF(ISNA(VLOOKUP(S1144, Lives!$A$2:$C$35, 2, 0)), S1144, VLOOKUP(S1144, Lives!$A$2:$C$35, 2, 0))) * 12) + (IF(ISBLANK(Q1144), 0, IF(ISNA(VLOOKUP(Q1144, Wages!$A$2:$C$17, 2, 0)), Q1144, VLOOKUP(Q1144, Wages!$A$2:$C$17, 2, 0))) * IF(ISBLANK(N1144), 0, IF(ISNA(VLOOKUP(N1144, Crews!$A$2:$C$28, 2, 0)), N1144, VLOOKUP(N1144, Crews!$A$2:$C$28, 2, 0))))) * 400</f>
        <v>0</v>
      </c>
      <c r="K1144" s="1"/>
      <c r="L1144" s="1" t="s">
        <v>2326</v>
      </c>
      <c r="M1144" s="1" t="n">
        <v>0</v>
      </c>
      <c r="N1144" s="1"/>
      <c r="O1144" s="1"/>
      <c r="P1144" s="1"/>
      <c r="Q1144" s="1"/>
      <c r="R1144" s="1"/>
      <c r="S1144" s="1"/>
      <c r="T1144" s="1"/>
    </row>
    <row r="1145" customFormat="false" ht="15" hidden="false" customHeight="true" outlineLevel="0" collapsed="false">
      <c r="A1145" s="1" t="s">
        <v>2327</v>
      </c>
      <c r="B1145" s="1" t="n">
        <v>1911</v>
      </c>
      <c r="C1145" s="1" t="n">
        <v>6</v>
      </c>
      <c r="D1145" s="1" t="s">
        <v>38</v>
      </c>
      <c r="E1145" s="1" t="s">
        <v>274</v>
      </c>
      <c r="F1145" s="1" t="n">
        <v>375</v>
      </c>
      <c r="G1145" s="1" t="n">
        <v>150</v>
      </c>
      <c r="H1145" s="2" t="n">
        <v>10000000</v>
      </c>
      <c r="I1145" s="2" t="n">
        <f aca="false">(((H1145 / 800) / IF(ISBLANK(R1145), 1000000, IF(ISNA(VLOOKUP(R1145, Mileages!$A$2:$C$34, 2, 0)), R1145, VLOOKUP(R1145, Mileages!$A$2:$C$34, 2, 0)))) + (F1145 * IF(ISBLANK(P1145), 1, P1145) * IF(ISBLANK(T1145), 0, IF(ISNA(VLOOKUP(T1145, 'Fuel Costs'!$A$2:$C$42, 2, 0)), T1145, VLOOKUP(T1145, 'Fuel Costs'!$A$2:$C$42, 2, 0))) / IF(ISBLANK(O1145), 1, O1145))) * 100</f>
        <v>161.9642857</v>
      </c>
      <c r="J1145" s="2" t="n">
        <f aca="false">((H1145 / 800) / (IF(ISBLANK(S1145), 100, IF(ISNA(VLOOKUP(S1145, Lives!$A$2:$C$35, 2, 0)), S1145, VLOOKUP(S1145, Lives!$A$2:$C$35, 2, 0))) * 12) + (IF(ISBLANK(Q1145), 0, IF(ISNA(VLOOKUP(Q1145, Wages!$A$2:$C$17, 2, 0)), Q1145, VLOOKUP(Q1145, Wages!$A$2:$C$17, 2, 0))) * IF(ISBLANK(N1145), 0, IF(ISNA(VLOOKUP(N1145, Crews!$A$2:$C$28, 2, 0)), N1145, VLOOKUP(N1145, Crews!$A$2:$C$28, 2, 0))))) * 400</f>
        <v>48333.33333</v>
      </c>
      <c r="K1145" s="3" t="s">
        <v>2328</v>
      </c>
      <c r="L1145" s="1" t="s">
        <v>2329</v>
      </c>
      <c r="M1145" s="1" t="n">
        <v>0</v>
      </c>
      <c r="N1145" s="1" t="s">
        <v>1705</v>
      </c>
      <c r="O1145" s="1" t="n">
        <v>0.7</v>
      </c>
      <c r="P1145" s="1"/>
      <c r="Q1145" s="5" t="s">
        <v>284</v>
      </c>
      <c r="R1145" s="1" t="s">
        <v>677</v>
      </c>
      <c r="S1145" s="1" t="s">
        <v>677</v>
      </c>
      <c r="T1145" s="1" t="s">
        <v>1785</v>
      </c>
    </row>
    <row r="1146" customFormat="false" ht="15" hidden="false" customHeight="true" outlineLevel="0" collapsed="false">
      <c r="A1146" s="1" t="s">
        <v>2330</v>
      </c>
      <c r="B1146" s="1" t="n">
        <v>1911</v>
      </c>
      <c r="C1146" s="1" t="n">
        <v>6</v>
      </c>
      <c r="D1146" s="1" t="s">
        <v>38</v>
      </c>
      <c r="E1146" s="1" t="s">
        <v>274</v>
      </c>
      <c r="F1146" s="1" t="n">
        <v>400</v>
      </c>
      <c r="G1146" s="1" t="n">
        <v>150</v>
      </c>
      <c r="H1146" s="2" t="n">
        <v>9070100</v>
      </c>
      <c r="I1146" s="2" t="n">
        <f aca="false">(((H1146 / 800) / IF(ISBLANK(R1146), 1000000, IF(ISNA(VLOOKUP(R1146, Mileages!$A$2:$C$34, 2, 0)), R1146, VLOOKUP(R1146, Mileages!$A$2:$C$34, 2, 0)))) + (F1146 * IF(ISBLANK(P1146), 1, P1146) * IF(ISBLANK(T1146), 0, IF(ISNA(VLOOKUP(T1146, 'Fuel Costs'!$A$2:$C$42, 2, 0)), T1146, VLOOKUP(T1146, 'Fuel Costs'!$A$2:$C$42, 2, 0))) / IF(ISBLANK(O1146), 1, O1146))) * 100</f>
        <v>172.5623339</v>
      </c>
      <c r="J1146" s="2" t="n">
        <f aca="false">((H1146 / 800) / (IF(ISBLANK(S1146), 100, IF(ISNA(VLOOKUP(S1146, Lives!$A$2:$C$35, 2, 0)), S1146, VLOOKUP(S1146, Lives!$A$2:$C$35, 2, 0))) * 12) + (IF(ISBLANK(Q1146), 0, IF(ISNA(VLOOKUP(Q1146, Wages!$A$2:$C$17, 2, 0)), Q1146, VLOOKUP(Q1146, Wages!$A$2:$C$17, 2, 0))) * IF(ISBLANK(N1146), 0, IF(ISNA(VLOOKUP(N1146, Crews!$A$2:$C$28, 2, 0)), N1146, VLOOKUP(N1146, Crews!$A$2:$C$28, 2, 0))))) * 400</f>
        <v>47558.41667</v>
      </c>
      <c r="K1146" s="3" t="s">
        <v>2331</v>
      </c>
      <c r="L1146" s="1" t="s">
        <v>2332</v>
      </c>
      <c r="M1146" s="1" t="n">
        <v>0</v>
      </c>
      <c r="N1146" s="1" t="s">
        <v>1705</v>
      </c>
      <c r="O1146" s="1" t="n">
        <v>0.7</v>
      </c>
      <c r="P1146" s="1"/>
      <c r="Q1146" s="5" t="s">
        <v>284</v>
      </c>
      <c r="R1146" s="1" t="s">
        <v>677</v>
      </c>
      <c r="S1146" s="1" t="s">
        <v>677</v>
      </c>
      <c r="T1146" s="1" t="s">
        <v>1785</v>
      </c>
    </row>
    <row r="1147" customFormat="false" ht="15" hidden="false" customHeight="true" outlineLevel="0" collapsed="false">
      <c r="A1147" s="1" t="s">
        <v>2333</v>
      </c>
      <c r="B1147" s="1" t="n">
        <v>1911</v>
      </c>
      <c r="C1147" s="1" t="n">
        <v>6</v>
      </c>
      <c r="D1147" s="1" t="s">
        <v>38</v>
      </c>
      <c r="E1147" s="1" t="s">
        <v>274</v>
      </c>
      <c r="F1147" s="1" t="n">
        <v>290</v>
      </c>
      <c r="G1147" s="1" t="n">
        <v>95</v>
      </c>
      <c r="H1147" s="2" t="n">
        <v>3696000</v>
      </c>
      <c r="I1147" s="2" t="n">
        <f aca="false">(((H1147 / 800) / IF(ISBLANK(R1147), 1000000, IF(ISNA(VLOOKUP(R1147, Mileages!$A$2:$C$34, 2, 0)), R1147, VLOOKUP(R1147, Mileages!$A$2:$C$34, 2, 0)))) + (F1147 * IF(ISBLANK(P1147), 1, P1147) * IF(ISBLANK(T1147), 0, IF(ISNA(VLOOKUP(T1147, 'Fuel Costs'!$A$2:$C$42, 2, 0)), T1147, VLOOKUP(T1147, 'Fuel Costs'!$A$2:$C$42, 2, 0))) / IF(ISBLANK(O1147), 1, O1147))) * 100</f>
        <v>124.7477143</v>
      </c>
      <c r="J1147" s="2" t="n">
        <f aca="false">((H1147 / 800) / (IF(ISBLANK(S1147), 100, IF(ISNA(VLOOKUP(S1147, Lives!$A$2:$C$35, 2, 0)), S1147, VLOOKUP(S1147, Lives!$A$2:$C$35, 2, 0))) * 12) + (IF(ISBLANK(Q1147), 0, IF(ISNA(VLOOKUP(Q1147, Wages!$A$2:$C$17, 2, 0)), Q1147, VLOOKUP(Q1147, Wages!$A$2:$C$17, 2, 0))) * IF(ISBLANK(N1147), 0, IF(ISNA(VLOOKUP(N1147, Crews!$A$2:$C$28, 2, 0)), N1147, VLOOKUP(N1147, Crews!$A$2:$C$28, 2, 0))))) * 400</f>
        <v>27080</v>
      </c>
      <c r="K1147" s="3" t="s">
        <v>2334</v>
      </c>
      <c r="L1147" s="1" t="s">
        <v>2335</v>
      </c>
      <c r="M1147" s="1" t="n">
        <v>0</v>
      </c>
      <c r="N1147" s="1" t="s">
        <v>590</v>
      </c>
      <c r="O1147" s="1" t="n">
        <v>0.7</v>
      </c>
      <c r="P1147" s="1"/>
      <c r="Q1147" s="5" t="s">
        <v>284</v>
      </c>
      <c r="R1147" s="1" t="s">
        <v>677</v>
      </c>
      <c r="S1147" s="1" t="s">
        <v>677</v>
      </c>
      <c r="T1147" s="1" t="s">
        <v>1785</v>
      </c>
    </row>
    <row r="1148" customFormat="false" ht="15" hidden="false" customHeight="true" outlineLevel="0" collapsed="false">
      <c r="A1148" s="1" t="s">
        <v>2336</v>
      </c>
      <c r="B1148" s="1" t="n">
        <v>1911</v>
      </c>
      <c r="C1148" s="1" t="n">
        <v>7</v>
      </c>
      <c r="D1148" s="1" t="s">
        <v>2225</v>
      </c>
      <c r="E1148" s="1" t="s">
        <v>1839</v>
      </c>
      <c r="F1148" s="1" t="n">
        <v>292</v>
      </c>
      <c r="G1148" s="1" t="n">
        <v>70</v>
      </c>
      <c r="H1148" s="2" t="n">
        <v>14000000</v>
      </c>
      <c r="I1148" s="2" t="n">
        <f aca="false">(((H1148 / 800) / IF(ISBLANK(R1148), 1000000, IF(ISNA(VLOOKUP(R1148, Mileages!$A$2:$C$34, 2, 0)), R1148, VLOOKUP(R1148, Mileages!$A$2:$C$34, 2, 0)))) + (F1148 * IF(ISBLANK(P1148), 1, P1148) * IF(ISBLANK(T1148), 0, IF(ISNA(VLOOKUP(T1148, 'Fuel Costs'!$A$2:$C$42, 2, 0)), T1148, VLOOKUP(T1148, 'Fuel Costs'!$A$2:$C$42, 2, 0))) / IF(ISBLANK(O1148), 1, O1148))) * 100</f>
        <v>14.95</v>
      </c>
      <c r="J1148" s="2" t="n">
        <f aca="false">((H1148 / 800) / (IF(ISBLANK(S1148), 100, IF(ISNA(VLOOKUP(S1148, Lives!$A$2:$C$35, 2, 0)), S1148, VLOOKUP(S1148, Lives!$A$2:$C$35, 2, 0))) * 12) + (IF(ISBLANK(Q1148), 0, IF(ISNA(VLOOKUP(Q1148, Wages!$A$2:$C$17, 2, 0)), Q1148, VLOOKUP(Q1148, Wages!$A$2:$C$17, 2, 0))) * IF(ISBLANK(N1148), 0, IF(ISNA(VLOOKUP(N1148, Crews!$A$2:$C$28, 2, 0)), N1148, VLOOKUP(N1148, Crews!$A$2:$C$28, 2, 0))))) * 400</f>
        <v>187291.6667</v>
      </c>
      <c r="K1148" s="3" t="s">
        <v>2337</v>
      </c>
      <c r="L1148" s="1" t="s">
        <v>2338</v>
      </c>
      <c r="M1148" s="1" t="n">
        <v>0</v>
      </c>
      <c r="N1148" s="1" t="s">
        <v>2228</v>
      </c>
      <c r="O1148" s="1"/>
      <c r="P1148" s="1" t="n">
        <v>0.1</v>
      </c>
      <c r="Q1148" s="1" t="s">
        <v>2228</v>
      </c>
      <c r="R1148" s="1" t="s">
        <v>2229</v>
      </c>
      <c r="S1148" s="1" t="s">
        <v>2228</v>
      </c>
      <c r="T1148" s="1" t="s">
        <v>2228</v>
      </c>
    </row>
    <row r="1149" customFormat="false" ht="15" hidden="false" customHeight="true" outlineLevel="0" collapsed="false">
      <c r="A1149" s="1" t="s">
        <v>2339</v>
      </c>
      <c r="B1149" s="1" t="n">
        <v>1911</v>
      </c>
      <c r="C1149" s="1" t="n">
        <v>7</v>
      </c>
      <c r="D1149" s="1" t="s">
        <v>2225</v>
      </c>
      <c r="E1149" s="1" t="s">
        <v>1839</v>
      </c>
      <c r="F1149" s="1" t="n">
        <v>292</v>
      </c>
      <c r="G1149" s="1" t="n">
        <v>73</v>
      </c>
      <c r="H1149" s="2" t="n">
        <v>15000000</v>
      </c>
      <c r="I1149" s="2" t="n">
        <f aca="false">(((H1149 / 800) / IF(ISBLANK(R1149), 1000000, IF(ISNA(VLOOKUP(R1149, Mileages!$A$2:$C$34, 2, 0)), R1149, VLOOKUP(R1149, Mileages!$A$2:$C$34, 2, 0)))) + (F1149 * IF(ISBLANK(P1149), 1, P1149) * IF(ISBLANK(T1149), 0, IF(ISNA(VLOOKUP(T1149, 'Fuel Costs'!$A$2:$C$42, 2, 0)), T1149, VLOOKUP(T1149, 'Fuel Costs'!$A$2:$C$42, 2, 0))) / IF(ISBLANK(O1149), 1, O1149))) * 100</f>
        <v>23.735</v>
      </c>
      <c r="J1149" s="2" t="n">
        <f aca="false">((H1149 / 800) / (IF(ISBLANK(S1149), 100, IF(ISNA(VLOOKUP(S1149, Lives!$A$2:$C$35, 2, 0)), S1149, VLOOKUP(S1149, Lives!$A$2:$C$35, 2, 0))) * 12) + (IF(ISBLANK(Q1149), 0, IF(ISNA(VLOOKUP(Q1149, Wages!$A$2:$C$17, 2, 0)), Q1149, VLOOKUP(Q1149, Wages!$A$2:$C$17, 2, 0))) * IF(ISBLANK(N1149), 0, IF(ISNA(VLOOKUP(N1149, Crews!$A$2:$C$28, 2, 0)), N1149, VLOOKUP(N1149, Crews!$A$2:$C$28, 2, 0))))) * 400</f>
        <v>60416.66667</v>
      </c>
      <c r="K1149" s="3" t="s">
        <v>2340</v>
      </c>
      <c r="L1149" s="1" t="s">
        <v>2341</v>
      </c>
      <c r="M1149" s="1" t="n">
        <v>0</v>
      </c>
      <c r="N1149" s="1" t="s">
        <v>2342</v>
      </c>
      <c r="O1149" s="1"/>
      <c r="P1149" s="1" t="n">
        <v>0.1</v>
      </c>
      <c r="Q1149" s="1" t="s">
        <v>2229</v>
      </c>
      <c r="R1149" s="1" t="s">
        <v>2229</v>
      </c>
      <c r="S1149" s="1" t="s">
        <v>2229</v>
      </c>
      <c r="T1149" s="1" t="s">
        <v>2259</v>
      </c>
    </row>
    <row r="1150" customFormat="false" ht="15" hidden="false" customHeight="true" outlineLevel="0" collapsed="false">
      <c r="A1150" s="1" t="s">
        <v>2343</v>
      </c>
      <c r="B1150" s="1" t="n">
        <v>1911</v>
      </c>
      <c r="C1150" s="1" t="n">
        <v>8</v>
      </c>
      <c r="D1150" s="1" t="s">
        <v>21</v>
      </c>
      <c r="E1150" s="1" t="s">
        <v>274</v>
      </c>
      <c r="F1150" s="1" t="n">
        <v>41</v>
      </c>
      <c r="G1150" s="1" t="n">
        <v>18</v>
      </c>
      <c r="H1150" s="2" t="n">
        <v>95250</v>
      </c>
      <c r="I1150" s="2" t="n">
        <f aca="false">(((H1150 / 800) / IF(ISBLANK(R1150), 1000000, IF(ISNA(VLOOKUP(R1150, Mileages!$A$2:$C$34, 2, 0)), R1150, VLOOKUP(R1150, Mileages!$A$2:$C$34, 2, 0)))) + (F1150 * IF(ISBLANK(P1150), 1, P1150) * IF(ISBLANK(T1150), 0, IF(ISNA(VLOOKUP(T1150, 'Fuel Costs'!$A$2:$C$42, 2, 0)), T1150, VLOOKUP(T1150, 'Fuel Costs'!$A$2:$C$42, 2, 0))) / IF(ISBLANK(O1150), 1, O1150))) * 100</f>
        <v>22.38744886</v>
      </c>
      <c r="J1150" s="2" t="n">
        <f aca="false">((H1150 / 800) / (IF(ISBLANK(S1150), 100, IF(ISNA(VLOOKUP(S1150, Lives!$A$2:$C$35, 2, 0)), S1150, VLOOKUP(S1150, Lives!$A$2:$C$35, 2, 0))) * 12) + (IF(ISBLANK(Q1150), 0, IF(ISNA(VLOOKUP(Q1150, Wages!$A$2:$C$17, 2, 0)), Q1150, VLOOKUP(Q1150, Wages!$A$2:$C$17, 2, 0))) * IF(ISBLANK(N1150), 0, IF(ISNA(VLOOKUP(N1150, Crews!$A$2:$C$28, 2, 0)), N1150, VLOOKUP(N1150, Crews!$A$2:$C$28, 2, 0))))) * 400</f>
        <v>8049.609375</v>
      </c>
      <c r="K1150" s="3" t="s">
        <v>2344</v>
      </c>
      <c r="L1150" s="1" t="s">
        <v>2345</v>
      </c>
      <c r="M1150" s="1" t="n">
        <v>0</v>
      </c>
      <c r="N1150" s="1" t="s">
        <v>25</v>
      </c>
      <c r="O1150" s="1" t="n">
        <v>0.55</v>
      </c>
      <c r="P1150" s="1"/>
      <c r="Q1150" s="1" t="s">
        <v>1815</v>
      </c>
      <c r="R1150" s="1" t="s">
        <v>837</v>
      </c>
      <c r="S1150" s="1" t="s">
        <v>837</v>
      </c>
      <c r="T1150" s="1" t="s">
        <v>1785</v>
      </c>
    </row>
    <row r="1151" customFormat="false" ht="15" hidden="false" customHeight="true" outlineLevel="0" collapsed="false">
      <c r="A1151" s="1" t="s">
        <v>2346</v>
      </c>
      <c r="B1151" s="1" t="n">
        <v>1911</v>
      </c>
      <c r="C1151" s="1" t="n">
        <v>8</v>
      </c>
      <c r="D1151" s="1" t="s">
        <v>21</v>
      </c>
      <c r="E1151" s="1" t="s">
        <v>274</v>
      </c>
      <c r="F1151" s="1" t="n">
        <v>41</v>
      </c>
      <c r="G1151" s="1" t="n">
        <v>18</v>
      </c>
      <c r="H1151" s="2" t="n">
        <v>95250</v>
      </c>
      <c r="I1151" s="2" t="n">
        <f aca="false">(((H1151 / 800) / IF(ISBLANK(R1151), 1000000, IF(ISNA(VLOOKUP(R1151, Mileages!$A$2:$C$34, 2, 0)), R1151, VLOOKUP(R1151, Mileages!$A$2:$C$34, 2, 0)))) + (F1151 * IF(ISBLANK(P1151), 1, P1151) * IF(ISBLANK(T1151), 0, IF(ISNA(VLOOKUP(T1151, 'Fuel Costs'!$A$2:$C$42, 2, 0)), T1151, VLOOKUP(T1151, 'Fuel Costs'!$A$2:$C$42, 2, 0))) / IF(ISBLANK(O1151), 1, O1151))) * 100</f>
        <v>22.38744886</v>
      </c>
      <c r="J1151" s="2" t="n">
        <f aca="false">((H1151 / 800) / (IF(ISBLANK(S1151), 100, IF(ISNA(VLOOKUP(S1151, Lives!$A$2:$C$35, 2, 0)), S1151, VLOOKUP(S1151, Lives!$A$2:$C$35, 2, 0))) * 12) + (IF(ISBLANK(Q1151), 0, IF(ISNA(VLOOKUP(Q1151, Wages!$A$2:$C$17, 2, 0)), Q1151, VLOOKUP(Q1151, Wages!$A$2:$C$17, 2, 0))) * IF(ISBLANK(N1151), 0, IF(ISNA(VLOOKUP(N1151, Crews!$A$2:$C$28, 2, 0)), N1151, VLOOKUP(N1151, Crews!$A$2:$C$28, 2, 0))))) * 400</f>
        <v>8049.609375</v>
      </c>
      <c r="K1151" s="1"/>
      <c r="L1151" s="1" t="s">
        <v>2345</v>
      </c>
      <c r="M1151" s="1" t="n">
        <v>1</v>
      </c>
      <c r="N1151" s="1" t="s">
        <v>25</v>
      </c>
      <c r="O1151" s="1" t="n">
        <v>0.55</v>
      </c>
      <c r="P1151" s="1"/>
      <c r="Q1151" s="1" t="s">
        <v>1815</v>
      </c>
      <c r="R1151" s="1" t="s">
        <v>837</v>
      </c>
      <c r="S1151" s="1" t="s">
        <v>837</v>
      </c>
      <c r="T1151" s="1" t="s">
        <v>1785</v>
      </c>
    </row>
    <row r="1152" customFormat="false" ht="15" hidden="false" customHeight="true" outlineLevel="0" collapsed="false">
      <c r="A1152" s="1" t="s">
        <v>2347</v>
      </c>
      <c r="B1152" s="1" t="n">
        <v>1911</v>
      </c>
      <c r="C1152" s="1" t="n">
        <v>8</v>
      </c>
      <c r="D1152" s="1" t="s">
        <v>21</v>
      </c>
      <c r="E1152" s="1" t="s">
        <v>274</v>
      </c>
      <c r="F1152" s="1" t="n">
        <v>41</v>
      </c>
      <c r="G1152" s="1" t="n">
        <v>18</v>
      </c>
      <c r="H1152" s="2" t="n">
        <v>95250</v>
      </c>
      <c r="I1152" s="2" t="n">
        <f aca="false">(((H1152 / 800) / IF(ISBLANK(R1152), 1000000, IF(ISNA(VLOOKUP(R1152, Mileages!$A$2:$C$34, 2, 0)), R1152, VLOOKUP(R1152, Mileages!$A$2:$C$34, 2, 0)))) + (F1152 * IF(ISBLANK(P1152), 1, P1152) * IF(ISBLANK(T1152), 0, IF(ISNA(VLOOKUP(T1152, 'Fuel Costs'!$A$2:$C$42, 2, 0)), T1152, VLOOKUP(T1152, 'Fuel Costs'!$A$2:$C$42, 2, 0))) / IF(ISBLANK(O1152), 1, O1152))) * 100</f>
        <v>22.38744886</v>
      </c>
      <c r="J1152" s="2" t="n">
        <f aca="false">((H1152 / 800) / (IF(ISBLANK(S1152), 100, IF(ISNA(VLOOKUP(S1152, Lives!$A$2:$C$35, 2, 0)), S1152, VLOOKUP(S1152, Lives!$A$2:$C$35, 2, 0))) * 12) + (IF(ISBLANK(Q1152), 0, IF(ISNA(VLOOKUP(Q1152, Wages!$A$2:$C$17, 2, 0)), Q1152, VLOOKUP(Q1152, Wages!$A$2:$C$17, 2, 0))) * IF(ISBLANK(N1152), 0, IF(ISNA(VLOOKUP(N1152, Crews!$A$2:$C$28, 2, 0)), N1152, VLOOKUP(N1152, Crews!$A$2:$C$28, 2, 0))))) * 400</f>
        <v>8049.609375</v>
      </c>
      <c r="K1152" s="1"/>
      <c r="L1152" s="1" t="s">
        <v>2345</v>
      </c>
      <c r="M1152" s="1" t="n">
        <v>2</v>
      </c>
      <c r="N1152" s="1" t="s">
        <v>25</v>
      </c>
      <c r="O1152" s="1" t="n">
        <v>0.55</v>
      </c>
      <c r="P1152" s="1"/>
      <c r="Q1152" s="1" t="s">
        <v>1815</v>
      </c>
      <c r="R1152" s="1" t="s">
        <v>837</v>
      </c>
      <c r="S1152" s="1" t="s">
        <v>837</v>
      </c>
      <c r="T1152" s="1" t="s">
        <v>1785</v>
      </c>
    </row>
    <row r="1153" customFormat="false" ht="15" hidden="false" customHeight="true" outlineLevel="0" collapsed="false">
      <c r="A1153" s="1" t="s">
        <v>2348</v>
      </c>
      <c r="B1153" s="1" t="n">
        <v>1911</v>
      </c>
      <c r="C1153" s="1" t="n">
        <v>8</v>
      </c>
      <c r="D1153" s="1" t="s">
        <v>21</v>
      </c>
      <c r="E1153" s="1" t="s">
        <v>274</v>
      </c>
      <c r="F1153" s="1" t="n">
        <v>41</v>
      </c>
      <c r="G1153" s="1" t="n">
        <v>18</v>
      </c>
      <c r="H1153" s="2" t="n">
        <v>95250</v>
      </c>
      <c r="I1153" s="2" t="n">
        <f aca="false">(((H1153 / 800) / IF(ISBLANK(R1153), 1000000, IF(ISNA(VLOOKUP(R1153, Mileages!$A$2:$C$34, 2, 0)), R1153, VLOOKUP(R1153, Mileages!$A$2:$C$34, 2, 0)))) + (F1153 * IF(ISBLANK(P1153), 1, P1153) * IF(ISBLANK(T1153), 0, IF(ISNA(VLOOKUP(T1153, 'Fuel Costs'!$A$2:$C$42, 2, 0)), T1153, VLOOKUP(T1153, 'Fuel Costs'!$A$2:$C$42, 2, 0))) / IF(ISBLANK(O1153), 1, O1153))) * 100</f>
        <v>22.38744886</v>
      </c>
      <c r="J1153" s="2" t="n">
        <f aca="false">((H1153 / 800) / (IF(ISBLANK(S1153), 100, IF(ISNA(VLOOKUP(S1153, Lives!$A$2:$C$35, 2, 0)), S1153, VLOOKUP(S1153, Lives!$A$2:$C$35, 2, 0))) * 12) + (IF(ISBLANK(Q1153), 0, IF(ISNA(VLOOKUP(Q1153, Wages!$A$2:$C$17, 2, 0)), Q1153, VLOOKUP(Q1153, Wages!$A$2:$C$17, 2, 0))) * IF(ISBLANK(N1153), 0, IF(ISNA(VLOOKUP(N1153, Crews!$A$2:$C$28, 2, 0)), N1153, VLOOKUP(N1153, Crews!$A$2:$C$28, 2, 0))))) * 400</f>
        <v>8049.609375</v>
      </c>
      <c r="K1153" s="1"/>
      <c r="L1153" s="1" t="s">
        <v>2345</v>
      </c>
      <c r="M1153" s="1" t="n">
        <v>3</v>
      </c>
      <c r="N1153" s="1" t="s">
        <v>25</v>
      </c>
      <c r="O1153" s="1" t="n">
        <v>0.55</v>
      </c>
      <c r="P1153" s="1"/>
      <c r="Q1153" s="1" t="s">
        <v>1815</v>
      </c>
      <c r="R1153" s="1" t="s">
        <v>837</v>
      </c>
      <c r="S1153" s="1" t="s">
        <v>837</v>
      </c>
      <c r="T1153" s="1" t="s">
        <v>1785</v>
      </c>
    </row>
    <row r="1154" customFormat="false" ht="15" hidden="false" customHeight="true" outlineLevel="0" collapsed="false">
      <c r="A1154" s="1" t="s">
        <v>2349</v>
      </c>
      <c r="B1154" s="1" t="n">
        <v>1911</v>
      </c>
      <c r="C1154" s="1" t="n">
        <v>8</v>
      </c>
      <c r="D1154" s="1" t="s">
        <v>21</v>
      </c>
      <c r="E1154" s="1" t="s">
        <v>274</v>
      </c>
      <c r="F1154" s="1" t="n">
        <v>41</v>
      </c>
      <c r="G1154" s="1" t="n">
        <v>18</v>
      </c>
      <c r="H1154" s="2" t="n">
        <v>95250</v>
      </c>
      <c r="I1154" s="2" t="n">
        <f aca="false">(((H1154 / 800) / IF(ISBLANK(R1154), 1000000, IF(ISNA(VLOOKUP(R1154, Mileages!$A$2:$C$34, 2, 0)), R1154, VLOOKUP(R1154, Mileages!$A$2:$C$34, 2, 0)))) + (F1154 * IF(ISBLANK(P1154), 1, P1154) * IF(ISBLANK(T1154), 0, IF(ISNA(VLOOKUP(T1154, 'Fuel Costs'!$A$2:$C$42, 2, 0)), T1154, VLOOKUP(T1154, 'Fuel Costs'!$A$2:$C$42, 2, 0))) / IF(ISBLANK(O1154), 1, O1154))) * 100</f>
        <v>22.38744886</v>
      </c>
      <c r="J1154" s="2" t="n">
        <f aca="false">((H1154 / 800) / (IF(ISBLANK(S1154), 100, IF(ISNA(VLOOKUP(S1154, Lives!$A$2:$C$35, 2, 0)), S1154, VLOOKUP(S1154, Lives!$A$2:$C$35, 2, 0))) * 12) + (IF(ISBLANK(Q1154), 0, IF(ISNA(VLOOKUP(Q1154, Wages!$A$2:$C$17, 2, 0)), Q1154, VLOOKUP(Q1154, Wages!$A$2:$C$17, 2, 0))) * IF(ISBLANK(N1154), 0, IF(ISNA(VLOOKUP(N1154, Crews!$A$2:$C$28, 2, 0)), N1154, VLOOKUP(N1154, Crews!$A$2:$C$28, 2, 0))))) * 400</f>
        <v>8049.609375</v>
      </c>
      <c r="K1154" s="1"/>
      <c r="L1154" s="1" t="s">
        <v>2345</v>
      </c>
      <c r="M1154" s="1" t="n">
        <v>4</v>
      </c>
      <c r="N1154" s="1" t="s">
        <v>25</v>
      </c>
      <c r="O1154" s="1" t="n">
        <v>0.55</v>
      </c>
      <c r="P1154" s="1"/>
      <c r="Q1154" s="1" t="s">
        <v>1815</v>
      </c>
      <c r="R1154" s="1" t="s">
        <v>837</v>
      </c>
      <c r="S1154" s="1" t="s">
        <v>837</v>
      </c>
      <c r="T1154" s="1" t="s">
        <v>1785</v>
      </c>
    </row>
    <row r="1155" customFormat="false" ht="15" hidden="false" customHeight="true" outlineLevel="0" collapsed="false">
      <c r="A1155" s="1" t="s">
        <v>2350</v>
      </c>
      <c r="B1155" s="1" t="n">
        <v>1911</v>
      </c>
      <c r="C1155" s="1" t="n">
        <v>8</v>
      </c>
      <c r="D1155" s="1" t="s">
        <v>21</v>
      </c>
      <c r="E1155" s="1" t="s">
        <v>274</v>
      </c>
      <c r="F1155" s="1" t="n">
        <v>41</v>
      </c>
      <c r="G1155" s="1" t="n">
        <v>18</v>
      </c>
      <c r="H1155" s="2" t="n">
        <v>95250</v>
      </c>
      <c r="I1155" s="2" t="n">
        <f aca="false">(((H1155 / 800) / IF(ISBLANK(R1155), 1000000, IF(ISNA(VLOOKUP(R1155, Mileages!$A$2:$C$34, 2, 0)), R1155, VLOOKUP(R1155, Mileages!$A$2:$C$34, 2, 0)))) + (F1155 * IF(ISBLANK(P1155), 1, P1155) * IF(ISBLANK(T1155), 0, IF(ISNA(VLOOKUP(T1155, 'Fuel Costs'!$A$2:$C$42, 2, 0)), T1155, VLOOKUP(T1155, 'Fuel Costs'!$A$2:$C$42, 2, 0))) / IF(ISBLANK(O1155), 1, O1155))) * 100</f>
        <v>22.38744886</v>
      </c>
      <c r="J1155" s="2" t="n">
        <f aca="false">((H1155 / 800) / (IF(ISBLANK(S1155), 100, IF(ISNA(VLOOKUP(S1155, Lives!$A$2:$C$35, 2, 0)), S1155, VLOOKUP(S1155, Lives!$A$2:$C$35, 2, 0))) * 12) + (IF(ISBLANK(Q1155), 0, IF(ISNA(VLOOKUP(Q1155, Wages!$A$2:$C$17, 2, 0)), Q1155, VLOOKUP(Q1155, Wages!$A$2:$C$17, 2, 0))) * IF(ISBLANK(N1155), 0, IF(ISNA(VLOOKUP(N1155, Crews!$A$2:$C$28, 2, 0)), N1155, VLOOKUP(N1155, Crews!$A$2:$C$28, 2, 0))))) * 400</f>
        <v>8049.609375</v>
      </c>
      <c r="K1155" s="1"/>
      <c r="L1155" s="1" t="s">
        <v>2345</v>
      </c>
      <c r="M1155" s="1" t="n">
        <v>5</v>
      </c>
      <c r="N1155" s="1" t="s">
        <v>25</v>
      </c>
      <c r="O1155" s="1" t="n">
        <v>0.55</v>
      </c>
      <c r="P1155" s="1"/>
      <c r="Q1155" s="1" t="s">
        <v>1815</v>
      </c>
      <c r="R1155" s="1" t="s">
        <v>837</v>
      </c>
      <c r="S1155" s="1" t="s">
        <v>837</v>
      </c>
      <c r="T1155" s="1" t="s">
        <v>1785</v>
      </c>
    </row>
    <row r="1156" customFormat="false" ht="15" hidden="false" customHeight="true" outlineLevel="0" collapsed="false">
      <c r="A1156" s="1" t="s">
        <v>2351</v>
      </c>
      <c r="B1156" s="1" t="n">
        <v>1912</v>
      </c>
      <c r="C1156" s="1" t="n">
        <v>1</v>
      </c>
      <c r="D1156" s="1" t="s">
        <v>21</v>
      </c>
      <c r="E1156" s="1" t="s">
        <v>1839</v>
      </c>
      <c r="F1156" s="1" t="n">
        <v>30</v>
      </c>
      <c r="G1156" s="1" t="n">
        <v>20</v>
      </c>
      <c r="H1156" s="2" t="n">
        <v>83750</v>
      </c>
      <c r="I1156" s="2" t="n">
        <f aca="false">(((H1156 / 800) / IF(ISBLANK(R1156), 1000000, IF(ISNA(VLOOKUP(R1156, Mileages!$A$2:$C$34, 2, 0)), R1156, VLOOKUP(R1156, Mileages!$A$2:$C$34, 2, 0)))) + (F1156 * IF(ISBLANK(P1156), 1, P1156) * IF(ISBLANK(T1156), 0, IF(ISNA(VLOOKUP(T1156, 'Fuel Costs'!$A$2:$C$42, 2, 0)), T1156, VLOOKUP(T1156, 'Fuel Costs'!$A$2:$C$42, 2, 0))) / IF(ISBLANK(O1156), 1, O1156))) * 100</f>
        <v>35.0209375</v>
      </c>
      <c r="J1156" s="2" t="n">
        <f aca="false">((H1156 / 800) / (IF(ISBLANK(S1156), 100, IF(ISNA(VLOOKUP(S1156, Lives!$A$2:$C$35, 2, 0)), S1156, VLOOKUP(S1156, Lives!$A$2:$C$35, 2, 0))) * 12) + (IF(ISBLANK(Q1156), 0, IF(ISNA(VLOOKUP(Q1156, Wages!$A$2:$C$17, 2, 0)), Q1156, VLOOKUP(Q1156, Wages!$A$2:$C$17, 2, 0))) * IF(ISBLANK(N1156), 0, IF(ISNA(VLOOKUP(N1156, Crews!$A$2:$C$28, 2, 0)), N1156, VLOOKUP(N1156, Crews!$A$2:$C$28, 2, 0))))) * 400</f>
        <v>8043.619792</v>
      </c>
      <c r="K1156" s="3" t="s">
        <v>2352</v>
      </c>
      <c r="L1156" s="1" t="s">
        <v>2353</v>
      </c>
      <c r="M1156" s="1" t="n">
        <v>0</v>
      </c>
      <c r="N1156" s="1" t="s">
        <v>25</v>
      </c>
      <c r="O1156" s="1" t="n">
        <v>0.6</v>
      </c>
      <c r="P1156" s="1"/>
      <c r="Q1156" s="1" t="s">
        <v>1815</v>
      </c>
      <c r="R1156" s="1" t="s">
        <v>1842</v>
      </c>
      <c r="S1156" s="1" t="s">
        <v>1843</v>
      </c>
      <c r="T1156" s="1" t="s">
        <v>1844</v>
      </c>
    </row>
    <row r="1157" customFormat="false" ht="15" hidden="false" customHeight="true" outlineLevel="0" collapsed="false">
      <c r="A1157" s="1" t="s">
        <v>2354</v>
      </c>
      <c r="B1157" s="1" t="n">
        <v>1912</v>
      </c>
      <c r="C1157" s="1" t="n">
        <v>2</v>
      </c>
      <c r="D1157" s="1" t="s">
        <v>21</v>
      </c>
      <c r="E1157" s="1" t="s">
        <v>1839</v>
      </c>
      <c r="F1157" s="1" t="n">
        <v>22</v>
      </c>
      <c r="G1157" s="1" t="n">
        <v>20</v>
      </c>
      <c r="H1157" s="2" t="n">
        <v>60000</v>
      </c>
      <c r="I1157" s="2" t="n">
        <f aca="false">(((H1157 / 800) / IF(ISBLANK(R1157), 1000000, IF(ISNA(VLOOKUP(R1157, Mileages!$A$2:$C$34, 2, 0)), R1157, VLOOKUP(R1157, Mileages!$A$2:$C$34, 2, 0)))) + (F1157 * IF(ISBLANK(P1157), 1, P1157) * IF(ISBLANK(T1157), 0, IF(ISNA(VLOOKUP(T1157, 'Fuel Costs'!$A$2:$C$42, 2, 0)), T1157, VLOOKUP(T1157, 'Fuel Costs'!$A$2:$C$42, 2, 0))) / IF(ISBLANK(O1157), 1, O1157))) * 100</f>
        <v>25.68166667</v>
      </c>
      <c r="J1157" s="2" t="n">
        <f aca="false">((H1157 / 800) / (IF(ISBLANK(S1157), 100, IF(ISNA(VLOOKUP(S1157, Lives!$A$2:$C$35, 2, 0)), S1157, VLOOKUP(S1157, Lives!$A$2:$C$35, 2, 0))) * 12) + (IF(ISBLANK(Q1157), 0, IF(ISNA(VLOOKUP(Q1157, Wages!$A$2:$C$17, 2, 0)), Q1157, VLOOKUP(Q1157, Wages!$A$2:$C$17, 2, 0))) * IF(ISBLANK(N1157), 0, IF(ISNA(VLOOKUP(N1157, Crews!$A$2:$C$28, 2, 0)), N1157, VLOOKUP(N1157, Crews!$A$2:$C$28, 2, 0))))) * 400</f>
        <v>8031.25</v>
      </c>
      <c r="K1157" s="1" t="s">
        <v>2355</v>
      </c>
      <c r="L1157" s="1" t="s">
        <v>2356</v>
      </c>
      <c r="M1157" s="1" t="n">
        <v>0</v>
      </c>
      <c r="N1157" s="1" t="s">
        <v>25</v>
      </c>
      <c r="O1157" s="1" t="n">
        <v>0.6</v>
      </c>
      <c r="P1157" s="1"/>
      <c r="Q1157" s="1" t="s">
        <v>1815</v>
      </c>
      <c r="R1157" s="1" t="s">
        <v>1842</v>
      </c>
      <c r="S1157" s="1" t="s">
        <v>1843</v>
      </c>
      <c r="T1157" s="1" t="s">
        <v>1844</v>
      </c>
    </row>
    <row r="1158" customFormat="false" ht="15" hidden="false" customHeight="true" outlineLevel="0" collapsed="false">
      <c r="A1158" s="1" t="s">
        <v>2357</v>
      </c>
      <c r="B1158" s="1" t="n">
        <v>1912</v>
      </c>
      <c r="C1158" s="1" t="n">
        <v>2</v>
      </c>
      <c r="D1158" s="1" t="s">
        <v>38</v>
      </c>
      <c r="E1158" s="1" t="s">
        <v>274</v>
      </c>
      <c r="F1158" s="1" t="n">
        <v>343</v>
      </c>
      <c r="G1158" s="1" t="n">
        <v>147</v>
      </c>
      <c r="H1158" s="2" t="n">
        <v>8752500</v>
      </c>
      <c r="I1158" s="2" t="n">
        <f aca="false">(((H1158 / 800) / IF(ISBLANK(R1158), 1000000, IF(ISNA(VLOOKUP(R1158, Mileages!$A$2:$C$34, 2, 0)), R1158, VLOOKUP(R1158, Mileages!$A$2:$C$34, 2, 0)))) + (F1158 * IF(ISBLANK(P1158), 1, P1158) * IF(ISBLANK(T1158), 0, IF(ISNA(VLOOKUP(T1158, 'Fuel Costs'!$A$2:$C$42, 2, 0)), T1158, VLOOKUP(T1158, 'Fuel Costs'!$A$2:$C$42, 2, 0))) / IF(ISBLANK(O1158), 1, O1158))) * 100</f>
        <v>148.0940625</v>
      </c>
      <c r="J1158" s="2" t="n">
        <f aca="false">((H1158 / 800) / (IF(ISBLANK(S1158), 100, IF(ISNA(VLOOKUP(S1158, Lives!$A$2:$C$35, 2, 0)), S1158, VLOOKUP(S1158, Lives!$A$2:$C$35, 2, 0))) * 12) + (IF(ISBLANK(Q1158), 0, IF(ISNA(VLOOKUP(Q1158, Wages!$A$2:$C$17, 2, 0)), Q1158, VLOOKUP(Q1158, Wages!$A$2:$C$17, 2, 0))) * IF(ISBLANK(N1158), 0, IF(ISNA(VLOOKUP(N1158, Crews!$A$2:$C$28, 2, 0)), N1158, VLOOKUP(N1158, Crews!$A$2:$C$28, 2, 0))))) * 400</f>
        <v>47293.75</v>
      </c>
      <c r="K1158" s="1" t="s">
        <v>1692</v>
      </c>
      <c r="L1158" s="1" t="s">
        <v>2358</v>
      </c>
      <c r="M1158" s="1" t="n">
        <v>0</v>
      </c>
      <c r="N1158" s="1" t="s">
        <v>1705</v>
      </c>
      <c r="O1158" s="1" t="n">
        <v>0.7</v>
      </c>
      <c r="P1158" s="1"/>
      <c r="Q1158" s="5" t="s">
        <v>284</v>
      </c>
      <c r="R1158" s="1" t="s">
        <v>677</v>
      </c>
      <c r="S1158" s="1" t="s">
        <v>677</v>
      </c>
      <c r="T1158" s="1" t="s">
        <v>1785</v>
      </c>
    </row>
    <row r="1159" customFormat="false" ht="15" hidden="false" customHeight="true" outlineLevel="0" collapsed="false">
      <c r="A1159" s="1" t="s">
        <v>2359</v>
      </c>
      <c r="B1159" s="1" t="n">
        <v>1912</v>
      </c>
      <c r="C1159" s="1" t="n">
        <v>2</v>
      </c>
      <c r="D1159" s="1" t="s">
        <v>38</v>
      </c>
      <c r="E1159" s="1" t="s">
        <v>274</v>
      </c>
      <c r="F1159" s="1" t="n">
        <v>332</v>
      </c>
      <c r="G1159" s="1" t="n">
        <v>85</v>
      </c>
      <c r="H1159" s="2" t="n">
        <v>6400000</v>
      </c>
      <c r="I1159" s="2" t="n">
        <f aca="false">(((H1159 / 800) / IF(ISBLANK(R1159), 1000000, IF(ISNA(VLOOKUP(R1159, Mileages!$A$2:$C$34, 2, 0)), R1159, VLOOKUP(R1159, Mileages!$A$2:$C$34, 2, 0)))) + (F1159 * IF(ISBLANK(P1159), 1, P1159) * IF(ISBLANK(T1159), 0, IF(ISNA(VLOOKUP(T1159, 'Fuel Costs'!$A$2:$C$42, 2, 0)), T1159, VLOOKUP(T1159, 'Fuel Costs'!$A$2:$C$42, 2, 0))) / IF(ISBLANK(O1159), 1, O1159))) * 100</f>
        <v>143.0857143</v>
      </c>
      <c r="J1159" s="2" t="n">
        <f aca="false">((H1159 / 800) / (IF(ISBLANK(S1159), 100, IF(ISNA(VLOOKUP(S1159, Lives!$A$2:$C$35, 2, 0)), S1159, VLOOKUP(S1159, Lives!$A$2:$C$35, 2, 0))) * 12) + (IF(ISBLANK(Q1159), 0, IF(ISNA(VLOOKUP(Q1159, Wages!$A$2:$C$17, 2, 0)), Q1159, VLOOKUP(Q1159, Wages!$A$2:$C$17, 2, 0))) * IF(ISBLANK(N1159), 0, IF(ISNA(VLOOKUP(N1159, Crews!$A$2:$C$28, 2, 0)), N1159, VLOOKUP(N1159, Crews!$A$2:$C$28, 2, 0))))) * 400</f>
        <v>45333.33333</v>
      </c>
      <c r="K1159" s="3" t="s">
        <v>2360</v>
      </c>
      <c r="L1159" s="1" t="s">
        <v>2361</v>
      </c>
      <c r="M1159" s="1" t="n">
        <v>0</v>
      </c>
      <c r="N1159" s="1" t="s">
        <v>1705</v>
      </c>
      <c r="O1159" s="1" t="n">
        <v>0.7</v>
      </c>
      <c r="P1159" s="1"/>
      <c r="Q1159" s="5" t="s">
        <v>284</v>
      </c>
      <c r="R1159" s="1" t="s">
        <v>677</v>
      </c>
      <c r="S1159" s="1" t="s">
        <v>677</v>
      </c>
      <c r="T1159" s="1" t="s">
        <v>1785</v>
      </c>
    </row>
    <row r="1160" customFormat="false" ht="15" hidden="false" customHeight="true" outlineLevel="0" collapsed="false">
      <c r="A1160" s="1" t="s">
        <v>2362</v>
      </c>
      <c r="B1160" s="1" t="n">
        <v>1912</v>
      </c>
      <c r="C1160" s="1" t="n">
        <v>2</v>
      </c>
      <c r="D1160" s="1" t="s">
        <v>29</v>
      </c>
      <c r="E1160" s="1" t="s">
        <v>274</v>
      </c>
      <c r="F1160" s="1" t="n">
        <v>1870</v>
      </c>
      <c r="G1160" s="1" t="n">
        <v>20</v>
      </c>
      <c r="H1160" s="2" t="n">
        <f aca="false">22000000*3</f>
        <v>66000000</v>
      </c>
      <c r="I1160" s="2" t="n">
        <f aca="false">(((H1160 / 800) / IF(ISBLANK(R1160), 1000000, IF(ISNA(VLOOKUP(R1160, Mileages!$A$2:$C$34, 2, 0)), R1160, VLOOKUP(R1160, Mileages!$A$2:$C$34, 2, 0)))) + (F1160 * IF(ISBLANK(P1160), 1, P1160) * IF(ISBLANK(T1160), 0, IF(ISNA(VLOOKUP(T1160, 'Fuel Costs'!$A$2:$C$42, 2, 0)), T1160, VLOOKUP(T1160, 'Fuel Costs'!$A$2:$C$42, 2, 0))) / IF(ISBLANK(O1160), 1, O1160))) * 100</f>
        <v>116.325</v>
      </c>
      <c r="J1160" s="2" t="n">
        <f aca="false">((H1160 / 800) / (IF(ISBLANK(S1160), 100, IF(ISNA(VLOOKUP(S1160, Lives!$A$2:$C$35, 2, 0)), S1160, VLOOKUP(S1160, Lives!$A$2:$C$35, 2, 0))) * 12) + (IF(ISBLANK(Q1160), 0, IF(ISNA(VLOOKUP(Q1160, Wages!$A$2:$C$17, 2, 0)), Q1160, VLOOKUP(Q1160, Wages!$A$2:$C$17, 2, 0))) * IF(ISBLANK(N1160), 0, IF(ISNA(VLOOKUP(N1160, Crews!$A$2:$C$28, 2, 0)), N1160, VLOOKUP(N1160, Crews!$A$2:$C$28, 2, 0))))) * 400</f>
        <v>107500</v>
      </c>
      <c r="K1160" s="3" t="s">
        <v>2363</v>
      </c>
      <c r="L1160" s="1" t="s">
        <v>2364</v>
      </c>
      <c r="M1160" s="1" t="n">
        <v>0</v>
      </c>
      <c r="N1160" s="1" t="s">
        <v>65</v>
      </c>
      <c r="O1160" s="1" t="n">
        <v>1</v>
      </c>
      <c r="P1160" s="1" t="n">
        <v>0.2</v>
      </c>
      <c r="Q1160" s="1" t="s">
        <v>34</v>
      </c>
      <c r="R1160" s="1" t="s">
        <v>574</v>
      </c>
      <c r="S1160" s="1" t="s">
        <v>574</v>
      </c>
      <c r="T1160" s="1" t="s">
        <v>1785</v>
      </c>
    </row>
    <row r="1161" customFormat="false" ht="15" hidden="false" customHeight="true" outlineLevel="0" collapsed="false">
      <c r="A1161" s="1" t="s">
        <v>2365</v>
      </c>
      <c r="B1161" s="1" t="n">
        <v>1912</v>
      </c>
      <c r="C1161" s="1" t="n">
        <v>2</v>
      </c>
      <c r="D1161" s="1" t="s">
        <v>29</v>
      </c>
      <c r="E1161" s="1" t="s">
        <v>274</v>
      </c>
      <c r="F1161" s="1" t="n">
        <v>1870</v>
      </c>
      <c r="G1161" s="1" t="n">
        <v>20</v>
      </c>
      <c r="H1161" s="2" t="n">
        <f aca="false">22000000*3</f>
        <v>66000000</v>
      </c>
      <c r="I1161" s="2" t="n">
        <f aca="false">(((H1161 / 800) / IF(ISBLANK(R1161), 1000000, IF(ISNA(VLOOKUP(R1161, Mileages!$A$2:$C$34, 2, 0)), R1161, VLOOKUP(R1161, Mileages!$A$2:$C$34, 2, 0)))) + (F1161 * IF(ISBLANK(P1161), 1, P1161) * IF(ISBLANK(T1161), 0, IF(ISNA(VLOOKUP(T1161, 'Fuel Costs'!$A$2:$C$42, 2, 0)), T1161, VLOOKUP(T1161, 'Fuel Costs'!$A$2:$C$42, 2, 0))) / IF(ISBLANK(O1161), 1, O1161))) * 100</f>
        <v>116.325</v>
      </c>
      <c r="J1161" s="2" t="n">
        <f aca="false">((H1161 / 800) / (IF(ISBLANK(S1161), 100, IF(ISNA(VLOOKUP(S1161, Lives!$A$2:$C$35, 2, 0)), S1161, VLOOKUP(S1161, Lives!$A$2:$C$35, 2, 0))) * 12) + (IF(ISBLANK(Q1161), 0, IF(ISNA(VLOOKUP(Q1161, Wages!$A$2:$C$17, 2, 0)), Q1161, VLOOKUP(Q1161, Wages!$A$2:$C$17, 2, 0))) * IF(ISBLANK(N1161), 0, IF(ISNA(VLOOKUP(N1161, Crews!$A$2:$C$28, 2, 0)), N1161, VLOOKUP(N1161, Crews!$A$2:$C$28, 2, 0))))) * 400</f>
        <v>107500</v>
      </c>
      <c r="K1161" s="1" t="s">
        <v>70</v>
      </c>
      <c r="L1161" s="1" t="s">
        <v>2364</v>
      </c>
      <c r="M1161" s="1" t="n">
        <v>1</v>
      </c>
      <c r="N1161" s="1" t="s">
        <v>65</v>
      </c>
      <c r="O1161" s="1" t="n">
        <v>1</v>
      </c>
      <c r="P1161" s="1" t="n">
        <v>0.2</v>
      </c>
      <c r="Q1161" s="1" t="s">
        <v>34</v>
      </c>
      <c r="R1161" s="1" t="s">
        <v>574</v>
      </c>
      <c r="S1161" s="1" t="s">
        <v>574</v>
      </c>
      <c r="T1161" s="1" t="s">
        <v>1785</v>
      </c>
    </row>
    <row r="1162" customFormat="false" ht="15" hidden="false" customHeight="true" outlineLevel="0" collapsed="false">
      <c r="A1162" s="1" t="s">
        <v>2366</v>
      </c>
      <c r="B1162" s="1" t="n">
        <v>1912</v>
      </c>
      <c r="C1162" s="1" t="n">
        <v>2</v>
      </c>
      <c r="D1162" s="1" t="s">
        <v>29</v>
      </c>
      <c r="E1162" s="1" t="s">
        <v>274</v>
      </c>
      <c r="F1162" s="1" t="n">
        <v>1870</v>
      </c>
      <c r="G1162" s="1" t="n">
        <v>20</v>
      </c>
      <c r="H1162" s="2" t="n">
        <f aca="false">22000000*3</f>
        <v>66000000</v>
      </c>
      <c r="I1162" s="2" t="n">
        <f aca="false">(((H1162 / 800) / IF(ISBLANK(R1162), 1000000, IF(ISNA(VLOOKUP(R1162, Mileages!$A$2:$C$34, 2, 0)), R1162, VLOOKUP(R1162, Mileages!$A$2:$C$34, 2, 0)))) + (F1162 * IF(ISBLANK(P1162), 1, P1162) * IF(ISBLANK(T1162), 0, IF(ISNA(VLOOKUP(T1162, 'Fuel Costs'!$A$2:$C$42, 2, 0)), T1162, VLOOKUP(T1162, 'Fuel Costs'!$A$2:$C$42, 2, 0))) / IF(ISBLANK(O1162), 1, O1162))) * 100</f>
        <v>116.325</v>
      </c>
      <c r="J1162" s="2" t="n">
        <f aca="false">((H1162 / 800) / (IF(ISBLANK(S1162), 100, IF(ISNA(VLOOKUP(S1162, Lives!$A$2:$C$35, 2, 0)), S1162, VLOOKUP(S1162, Lives!$A$2:$C$35, 2, 0))) * 12) + (IF(ISBLANK(Q1162), 0, IF(ISNA(VLOOKUP(Q1162, Wages!$A$2:$C$17, 2, 0)), Q1162, VLOOKUP(Q1162, Wages!$A$2:$C$17, 2, 0))) * IF(ISBLANK(N1162), 0, IF(ISNA(VLOOKUP(N1162, Crews!$A$2:$C$28, 2, 0)), N1162, VLOOKUP(N1162, Crews!$A$2:$C$28, 2, 0))))) * 400</f>
        <v>107500</v>
      </c>
      <c r="K1162" s="1" t="s">
        <v>70</v>
      </c>
      <c r="L1162" s="1" t="s">
        <v>2364</v>
      </c>
      <c r="M1162" s="1" t="n">
        <v>2</v>
      </c>
      <c r="N1162" s="1" t="s">
        <v>65</v>
      </c>
      <c r="O1162" s="1" t="n">
        <v>1</v>
      </c>
      <c r="P1162" s="1" t="n">
        <v>0.2</v>
      </c>
      <c r="Q1162" s="1" t="s">
        <v>34</v>
      </c>
      <c r="R1162" s="1" t="s">
        <v>574</v>
      </c>
      <c r="S1162" s="1" t="s">
        <v>574</v>
      </c>
      <c r="T1162" s="1" t="s">
        <v>1785</v>
      </c>
    </row>
    <row r="1163" customFormat="false" ht="15" hidden="false" customHeight="true" outlineLevel="0" collapsed="false">
      <c r="A1163" s="1" t="s">
        <v>2367</v>
      </c>
      <c r="B1163" s="1" t="n">
        <v>1912</v>
      </c>
      <c r="C1163" s="1" t="n">
        <v>2</v>
      </c>
      <c r="D1163" s="1" t="s">
        <v>29</v>
      </c>
      <c r="E1163" s="1" t="s">
        <v>274</v>
      </c>
      <c r="F1163" s="1" t="n">
        <v>1870</v>
      </c>
      <c r="G1163" s="1" t="n">
        <v>20</v>
      </c>
      <c r="H1163" s="2" t="n">
        <f aca="false">22000000*3</f>
        <v>66000000</v>
      </c>
      <c r="I1163" s="2" t="n">
        <f aca="false">(((H1163 / 800) / IF(ISBLANK(R1163), 1000000, IF(ISNA(VLOOKUP(R1163, Mileages!$A$2:$C$34, 2, 0)), R1163, VLOOKUP(R1163, Mileages!$A$2:$C$34, 2, 0)))) + (F1163 * IF(ISBLANK(P1163), 1, P1163) * IF(ISBLANK(T1163), 0, IF(ISNA(VLOOKUP(T1163, 'Fuel Costs'!$A$2:$C$42, 2, 0)), T1163, VLOOKUP(T1163, 'Fuel Costs'!$A$2:$C$42, 2, 0))) / IF(ISBLANK(O1163), 1, O1163))) * 100</f>
        <v>116.325</v>
      </c>
      <c r="J1163" s="2" t="n">
        <f aca="false">((H1163 / 800) / (IF(ISBLANK(S1163), 100, IF(ISNA(VLOOKUP(S1163, Lives!$A$2:$C$35, 2, 0)), S1163, VLOOKUP(S1163, Lives!$A$2:$C$35, 2, 0))) * 12) + (IF(ISBLANK(Q1163), 0, IF(ISNA(VLOOKUP(Q1163, Wages!$A$2:$C$17, 2, 0)), Q1163, VLOOKUP(Q1163, Wages!$A$2:$C$17, 2, 0))) * IF(ISBLANK(N1163), 0, IF(ISNA(VLOOKUP(N1163, Crews!$A$2:$C$28, 2, 0)), N1163, VLOOKUP(N1163, Crews!$A$2:$C$28, 2, 0))))) * 400</f>
        <v>107500</v>
      </c>
      <c r="K1163" s="1" t="s">
        <v>70</v>
      </c>
      <c r="L1163" s="1" t="s">
        <v>2364</v>
      </c>
      <c r="M1163" s="1" t="n">
        <v>3</v>
      </c>
      <c r="N1163" s="1" t="s">
        <v>65</v>
      </c>
      <c r="O1163" s="1" t="n">
        <v>1</v>
      </c>
      <c r="P1163" s="1" t="n">
        <v>0.2</v>
      </c>
      <c r="Q1163" s="1" t="s">
        <v>34</v>
      </c>
      <c r="R1163" s="1" t="s">
        <v>574</v>
      </c>
      <c r="S1163" s="1" t="s">
        <v>574</v>
      </c>
      <c r="T1163" s="1" t="s">
        <v>1785</v>
      </c>
    </row>
    <row r="1164" customFormat="false" ht="15" hidden="false" customHeight="true" outlineLevel="0" collapsed="false">
      <c r="A1164" s="1" t="s">
        <v>2368</v>
      </c>
      <c r="B1164" s="1" t="n">
        <v>1912</v>
      </c>
      <c r="C1164" s="1" t="n">
        <v>2</v>
      </c>
      <c r="D1164" s="1" t="s">
        <v>29</v>
      </c>
      <c r="E1164" s="1" t="s">
        <v>274</v>
      </c>
      <c r="F1164" s="1" t="n">
        <v>1870</v>
      </c>
      <c r="G1164" s="1" t="n">
        <v>20</v>
      </c>
      <c r="H1164" s="2" t="n">
        <f aca="false">22000000*3</f>
        <v>66000000</v>
      </c>
      <c r="I1164" s="2" t="n">
        <f aca="false">(((H1164 / 800) / IF(ISBLANK(R1164), 1000000, IF(ISNA(VLOOKUP(R1164, Mileages!$A$2:$C$34, 2, 0)), R1164, VLOOKUP(R1164, Mileages!$A$2:$C$34, 2, 0)))) + (F1164 * IF(ISBLANK(P1164), 1, P1164) * IF(ISBLANK(T1164), 0, IF(ISNA(VLOOKUP(T1164, 'Fuel Costs'!$A$2:$C$42, 2, 0)), T1164, VLOOKUP(T1164, 'Fuel Costs'!$A$2:$C$42, 2, 0))) / IF(ISBLANK(O1164), 1, O1164))) * 100</f>
        <v>116.325</v>
      </c>
      <c r="J1164" s="2" t="n">
        <f aca="false">((H1164 / 800) / (IF(ISBLANK(S1164), 100, IF(ISNA(VLOOKUP(S1164, Lives!$A$2:$C$35, 2, 0)), S1164, VLOOKUP(S1164, Lives!$A$2:$C$35, 2, 0))) * 12) + (IF(ISBLANK(Q1164), 0, IF(ISNA(VLOOKUP(Q1164, Wages!$A$2:$C$17, 2, 0)), Q1164, VLOOKUP(Q1164, Wages!$A$2:$C$17, 2, 0))) * IF(ISBLANK(N1164), 0, IF(ISNA(VLOOKUP(N1164, Crews!$A$2:$C$28, 2, 0)), N1164, VLOOKUP(N1164, Crews!$A$2:$C$28, 2, 0))))) * 400</f>
        <v>107500</v>
      </c>
      <c r="K1164" s="1" t="s">
        <v>70</v>
      </c>
      <c r="L1164" s="1" t="s">
        <v>2364</v>
      </c>
      <c r="M1164" s="1" t="n">
        <v>4</v>
      </c>
      <c r="N1164" s="1" t="s">
        <v>65</v>
      </c>
      <c r="O1164" s="1" t="n">
        <v>1</v>
      </c>
      <c r="P1164" s="1" t="n">
        <v>0.2</v>
      </c>
      <c r="Q1164" s="1" t="s">
        <v>34</v>
      </c>
      <c r="R1164" s="1" t="s">
        <v>574</v>
      </c>
      <c r="S1164" s="1" t="s">
        <v>574</v>
      </c>
      <c r="T1164" s="1" t="s">
        <v>1785</v>
      </c>
    </row>
    <row r="1165" customFormat="false" ht="15" hidden="false" customHeight="true" outlineLevel="0" collapsed="false">
      <c r="A1165" s="1" t="s">
        <v>2369</v>
      </c>
      <c r="B1165" s="1" t="n">
        <v>1912</v>
      </c>
      <c r="C1165" s="1" t="n">
        <v>2</v>
      </c>
      <c r="D1165" s="1" t="s">
        <v>29</v>
      </c>
      <c r="E1165" s="1" t="s">
        <v>274</v>
      </c>
      <c r="F1165" s="1" t="n">
        <v>1870</v>
      </c>
      <c r="G1165" s="1" t="n">
        <v>20</v>
      </c>
      <c r="H1165" s="2" t="n">
        <f aca="false">22000000*3</f>
        <v>66000000</v>
      </c>
      <c r="I1165" s="2" t="n">
        <f aca="false">(((H1165 / 800) / IF(ISBLANK(R1165), 1000000, IF(ISNA(VLOOKUP(R1165, Mileages!$A$2:$C$34, 2, 0)), R1165, VLOOKUP(R1165, Mileages!$A$2:$C$34, 2, 0)))) + (F1165 * IF(ISBLANK(P1165), 1, P1165) * IF(ISBLANK(T1165), 0, IF(ISNA(VLOOKUP(T1165, 'Fuel Costs'!$A$2:$C$42, 2, 0)), T1165, VLOOKUP(T1165, 'Fuel Costs'!$A$2:$C$42, 2, 0))) / IF(ISBLANK(O1165), 1, O1165))) * 100</f>
        <v>116.325</v>
      </c>
      <c r="J1165" s="2" t="n">
        <f aca="false">((H1165 / 800) / (IF(ISBLANK(S1165), 100, IF(ISNA(VLOOKUP(S1165, Lives!$A$2:$C$35, 2, 0)), S1165, VLOOKUP(S1165, Lives!$A$2:$C$35, 2, 0))) * 12) + (IF(ISBLANK(Q1165), 0, IF(ISNA(VLOOKUP(Q1165, Wages!$A$2:$C$17, 2, 0)), Q1165, VLOOKUP(Q1165, Wages!$A$2:$C$17, 2, 0))) * IF(ISBLANK(N1165), 0, IF(ISNA(VLOOKUP(N1165, Crews!$A$2:$C$28, 2, 0)), N1165, VLOOKUP(N1165, Crews!$A$2:$C$28, 2, 0))))) * 400</f>
        <v>107500</v>
      </c>
      <c r="K1165" s="1" t="s">
        <v>70</v>
      </c>
      <c r="L1165" s="1" t="s">
        <v>2364</v>
      </c>
      <c r="M1165" s="1" t="n">
        <v>5</v>
      </c>
      <c r="N1165" s="1" t="s">
        <v>65</v>
      </c>
      <c r="O1165" s="1" t="n">
        <v>1</v>
      </c>
      <c r="P1165" s="1" t="n">
        <v>0.2</v>
      </c>
      <c r="Q1165" s="1" t="s">
        <v>34</v>
      </c>
      <c r="R1165" s="1" t="s">
        <v>574</v>
      </c>
      <c r="S1165" s="1" t="s">
        <v>574</v>
      </c>
      <c r="T1165" s="1" t="s">
        <v>1785</v>
      </c>
    </row>
    <row r="1166" customFormat="false" ht="15" hidden="false" customHeight="true" outlineLevel="0" collapsed="false">
      <c r="A1166" s="1" t="s">
        <v>2370</v>
      </c>
      <c r="B1166" s="1" t="n">
        <v>1912</v>
      </c>
      <c r="C1166" s="1" t="n">
        <v>2</v>
      </c>
      <c r="D1166" s="1" t="s">
        <v>29</v>
      </c>
      <c r="E1166" s="1" t="s">
        <v>274</v>
      </c>
      <c r="F1166" s="1" t="n">
        <v>1870</v>
      </c>
      <c r="G1166" s="1" t="n">
        <v>20</v>
      </c>
      <c r="H1166" s="2" t="n">
        <f aca="false">22000000*3</f>
        <v>66000000</v>
      </c>
      <c r="I1166" s="2" t="n">
        <f aca="false">(((H1166 / 800) / IF(ISBLANK(R1166), 1000000, IF(ISNA(VLOOKUP(R1166, Mileages!$A$2:$C$34, 2, 0)), R1166, VLOOKUP(R1166, Mileages!$A$2:$C$34, 2, 0)))) + (F1166 * IF(ISBLANK(P1166), 1, P1166) * IF(ISBLANK(T1166), 0, IF(ISNA(VLOOKUP(T1166, 'Fuel Costs'!$A$2:$C$42, 2, 0)), T1166, VLOOKUP(T1166, 'Fuel Costs'!$A$2:$C$42, 2, 0))) / IF(ISBLANK(O1166), 1, O1166))) * 100</f>
        <v>116.325</v>
      </c>
      <c r="J1166" s="2" t="n">
        <f aca="false">((H1166 / 800) / (IF(ISBLANK(S1166), 100, IF(ISNA(VLOOKUP(S1166, Lives!$A$2:$C$35, 2, 0)), S1166, VLOOKUP(S1166, Lives!$A$2:$C$35, 2, 0))) * 12) + (IF(ISBLANK(Q1166), 0, IF(ISNA(VLOOKUP(Q1166, Wages!$A$2:$C$17, 2, 0)), Q1166, VLOOKUP(Q1166, Wages!$A$2:$C$17, 2, 0))) * IF(ISBLANK(N1166), 0, IF(ISNA(VLOOKUP(N1166, Crews!$A$2:$C$28, 2, 0)), N1166, VLOOKUP(N1166, Crews!$A$2:$C$28, 2, 0))))) * 400</f>
        <v>107500</v>
      </c>
      <c r="K1166" s="1" t="s">
        <v>70</v>
      </c>
      <c r="L1166" s="1" t="s">
        <v>2364</v>
      </c>
      <c r="M1166" s="1" t="n">
        <v>6</v>
      </c>
      <c r="N1166" s="1" t="s">
        <v>65</v>
      </c>
      <c r="O1166" s="1" t="n">
        <v>1</v>
      </c>
      <c r="P1166" s="1" t="n">
        <v>0.2</v>
      </c>
      <c r="Q1166" s="1" t="s">
        <v>34</v>
      </c>
      <c r="R1166" s="1" t="s">
        <v>574</v>
      </c>
      <c r="S1166" s="1" t="s">
        <v>574</v>
      </c>
      <c r="T1166" s="1" t="s">
        <v>1785</v>
      </c>
    </row>
    <row r="1167" customFormat="false" ht="15" hidden="false" customHeight="true" outlineLevel="0" collapsed="false">
      <c r="A1167" s="1" t="s">
        <v>2371</v>
      </c>
      <c r="B1167" s="1" t="n">
        <v>1912</v>
      </c>
      <c r="C1167" s="1" t="n">
        <v>6</v>
      </c>
      <c r="D1167" s="1" t="s">
        <v>38</v>
      </c>
      <c r="E1167" s="1" t="s">
        <v>274</v>
      </c>
      <c r="F1167" s="1" t="n">
        <v>381</v>
      </c>
      <c r="G1167" s="1" t="n">
        <v>130</v>
      </c>
      <c r="H1167" s="2" t="n">
        <v>7700000</v>
      </c>
      <c r="I1167" s="2" t="n">
        <f aca="false">(((H1167 / 800) / IF(ISBLANK(R1167), 1000000, IF(ISNA(VLOOKUP(R1167, Mileages!$A$2:$C$34, 2, 0)), R1167, VLOOKUP(R1167, Mileages!$A$2:$C$34, 2, 0)))) + (F1167 * IF(ISBLANK(P1167), 1, P1167) * IF(ISBLANK(T1167), 0, IF(ISNA(VLOOKUP(T1167, 'Fuel Costs'!$A$2:$C$42, 2, 0)), T1167, VLOOKUP(T1167, 'Fuel Costs'!$A$2:$C$42, 2, 0))) / IF(ISBLANK(O1167), 1, O1167))) * 100</f>
        <v>164.2482143</v>
      </c>
      <c r="J1167" s="2" t="n">
        <f aca="false">((H1167 / 800) / (IF(ISBLANK(S1167), 100, IF(ISNA(VLOOKUP(S1167, Lives!$A$2:$C$35, 2, 0)), S1167, VLOOKUP(S1167, Lives!$A$2:$C$35, 2, 0))) * 12) + (IF(ISBLANK(Q1167), 0, IF(ISNA(VLOOKUP(Q1167, Wages!$A$2:$C$17, 2, 0)), Q1167, VLOOKUP(Q1167, Wages!$A$2:$C$17, 2, 0))) * IF(ISBLANK(N1167), 0, IF(ISNA(VLOOKUP(N1167, Crews!$A$2:$C$28, 2, 0)), N1167, VLOOKUP(N1167, Crews!$A$2:$C$28, 2, 0))))) * 400</f>
        <v>46416.66667</v>
      </c>
      <c r="K1167" s="3" t="s">
        <v>2372</v>
      </c>
      <c r="L1167" s="1" t="s">
        <v>2373</v>
      </c>
      <c r="M1167" s="1" t="n">
        <v>0</v>
      </c>
      <c r="N1167" s="1" t="s">
        <v>1705</v>
      </c>
      <c r="O1167" s="1" t="n">
        <v>0.7</v>
      </c>
      <c r="P1167" s="1"/>
      <c r="Q1167" s="5" t="s">
        <v>284</v>
      </c>
      <c r="R1167" s="1" t="s">
        <v>677</v>
      </c>
      <c r="S1167" s="1" t="s">
        <v>677</v>
      </c>
      <c r="T1167" s="1" t="s">
        <v>1785</v>
      </c>
    </row>
    <row r="1168" customFormat="false" ht="15" hidden="false" customHeight="true" outlineLevel="0" collapsed="false">
      <c r="A1168" s="1" t="s">
        <v>2374</v>
      </c>
      <c r="B1168" s="1" t="n">
        <v>1912</v>
      </c>
      <c r="C1168" s="1" t="n">
        <v>12</v>
      </c>
      <c r="D1168" s="1" t="s">
        <v>38</v>
      </c>
      <c r="E1168" s="1" t="s">
        <v>274</v>
      </c>
      <c r="F1168" s="1" t="n">
        <v>318</v>
      </c>
      <c r="G1168" s="1" t="n">
        <v>145</v>
      </c>
      <c r="H1168" s="2" t="n">
        <v>6532500</v>
      </c>
      <c r="I1168" s="2" t="n">
        <f aca="false">(((H1168 / 800) / IF(ISBLANK(R1168), 1000000, IF(ISNA(VLOOKUP(R1168, Mileages!$A$2:$C$34, 2, 0)), R1168, VLOOKUP(R1168, Mileages!$A$2:$C$34, 2, 0)))) + (F1168 * IF(ISBLANK(P1168), 1, P1168) * IF(ISBLANK(T1168), 0, IF(ISNA(VLOOKUP(T1168, 'Fuel Costs'!$A$2:$C$42, 2, 0)), T1168, VLOOKUP(T1168, 'Fuel Costs'!$A$2:$C$42, 2, 0))) / IF(ISBLANK(O1168), 1, O1168))) * 100</f>
        <v>137.1022768</v>
      </c>
      <c r="J1168" s="2" t="n">
        <f aca="false">((H1168 / 800) / (IF(ISBLANK(S1168), 100, IF(ISNA(VLOOKUP(S1168, Lives!$A$2:$C$35, 2, 0)), S1168, VLOOKUP(S1168, Lives!$A$2:$C$35, 2, 0))) * 12) + (IF(ISBLANK(Q1168), 0, IF(ISNA(VLOOKUP(Q1168, Wages!$A$2:$C$17, 2, 0)), Q1168, VLOOKUP(Q1168, Wages!$A$2:$C$17, 2, 0))) * IF(ISBLANK(N1168), 0, IF(ISNA(VLOOKUP(N1168, Crews!$A$2:$C$28, 2, 0)), N1168, VLOOKUP(N1168, Crews!$A$2:$C$28, 2, 0))))) * 400</f>
        <v>29443.75</v>
      </c>
      <c r="K1168" s="1" t="s">
        <v>1692</v>
      </c>
      <c r="L1168" s="1" t="s">
        <v>2375</v>
      </c>
      <c r="M1168" s="1" t="n">
        <v>0</v>
      </c>
      <c r="N1168" s="1" t="s">
        <v>590</v>
      </c>
      <c r="O1168" s="1" t="n">
        <v>0.7</v>
      </c>
      <c r="P1168" s="1"/>
      <c r="Q1168" s="5" t="s">
        <v>284</v>
      </c>
      <c r="R1168" s="1" t="s">
        <v>677</v>
      </c>
      <c r="S1168" s="1" t="s">
        <v>677</v>
      </c>
      <c r="T1168" s="1" t="s">
        <v>1785</v>
      </c>
    </row>
    <row r="1169" customFormat="false" ht="15" hidden="false" customHeight="true" outlineLevel="0" collapsed="false">
      <c r="A1169" s="1" t="s">
        <v>2376</v>
      </c>
      <c r="B1169" s="1" t="n">
        <v>1913</v>
      </c>
      <c r="C1169" s="1" t="n">
        <v>1</v>
      </c>
      <c r="D1169" s="1" t="s">
        <v>21</v>
      </c>
      <c r="E1169" s="1" t="s">
        <v>1839</v>
      </c>
      <c r="F1169" s="1" t="n">
        <v>18</v>
      </c>
      <c r="G1169" s="1" t="n">
        <v>34</v>
      </c>
      <c r="H1169" s="2" t="n">
        <v>100000</v>
      </c>
      <c r="I1169" s="2" t="n">
        <f aca="false">(((H1169 / 800) / IF(ISBLANK(R1169), 1000000, IF(ISNA(VLOOKUP(R1169, Mileages!$A$2:$C$34, 2, 0)), R1169, VLOOKUP(R1169, Mileages!$A$2:$C$34, 2, 0)))) + (F1169 * IF(ISBLANK(P1169), 1, P1169) * IF(ISBLANK(T1169), 0, IF(ISNA(VLOOKUP(T1169, 'Fuel Costs'!$A$2:$C$42, 2, 0)), T1169, VLOOKUP(T1169, 'Fuel Costs'!$A$2:$C$42, 2, 0))) / IF(ISBLANK(O1169), 1, O1169))) * 100</f>
        <v>21.025</v>
      </c>
      <c r="J1169" s="2" t="n">
        <f aca="false">((H1169 / 800) / (IF(ISBLANK(S1169), 100, IF(ISNA(VLOOKUP(S1169, Lives!$A$2:$C$35, 2, 0)), S1169, VLOOKUP(S1169, Lives!$A$2:$C$35, 2, 0))) * 12) + (IF(ISBLANK(Q1169), 0, IF(ISNA(VLOOKUP(Q1169, Wages!$A$2:$C$17, 2, 0)), Q1169, VLOOKUP(Q1169, Wages!$A$2:$C$17, 2, 0))) * IF(ISBLANK(N1169), 0, IF(ISNA(VLOOKUP(N1169, Crews!$A$2:$C$28, 2, 0)), N1169, VLOOKUP(N1169, Crews!$A$2:$C$28, 2, 0))))) * 400</f>
        <v>8052.083333</v>
      </c>
      <c r="K1169" s="1"/>
      <c r="L1169" s="1" t="s">
        <v>2377</v>
      </c>
      <c r="M1169" s="1" t="n">
        <v>0</v>
      </c>
      <c r="N1169" s="1" t="s">
        <v>25</v>
      </c>
      <c r="O1169" s="1" t="n">
        <v>0.6</v>
      </c>
      <c r="P1169" s="1"/>
      <c r="Q1169" s="1" t="s">
        <v>1815</v>
      </c>
      <c r="R1169" s="1" t="s">
        <v>1842</v>
      </c>
      <c r="S1169" s="1" t="s">
        <v>1843</v>
      </c>
      <c r="T1169" s="1" t="s">
        <v>1844</v>
      </c>
    </row>
    <row r="1170" customFormat="false" ht="15" hidden="false" customHeight="true" outlineLevel="0" collapsed="false">
      <c r="A1170" s="1" t="s">
        <v>2378</v>
      </c>
      <c r="B1170" s="1" t="n">
        <v>1913</v>
      </c>
      <c r="C1170" s="1" t="n">
        <v>1</v>
      </c>
      <c r="D1170" s="1" t="s">
        <v>21</v>
      </c>
      <c r="E1170" s="1" t="s">
        <v>1839</v>
      </c>
      <c r="F1170" s="1" t="n">
        <v>18</v>
      </c>
      <c r="G1170" s="1" t="n">
        <v>34</v>
      </c>
      <c r="H1170" s="2" t="n">
        <v>100000</v>
      </c>
      <c r="I1170" s="2" t="n">
        <f aca="false">(((H1170 / 800) / IF(ISBLANK(R1170), 1000000, IF(ISNA(VLOOKUP(R1170, Mileages!$A$2:$C$34, 2, 0)), R1170, VLOOKUP(R1170, Mileages!$A$2:$C$34, 2, 0)))) + (F1170 * IF(ISBLANK(P1170), 1, P1170) * IF(ISBLANK(T1170), 0, IF(ISNA(VLOOKUP(T1170, 'Fuel Costs'!$A$2:$C$42, 2, 0)), T1170, VLOOKUP(T1170, 'Fuel Costs'!$A$2:$C$42, 2, 0))) / IF(ISBLANK(O1170), 1, O1170))) * 100</f>
        <v>21.025</v>
      </c>
      <c r="J1170" s="2" t="n">
        <f aca="false">((H1170 / 800) / (IF(ISBLANK(S1170), 100, IF(ISNA(VLOOKUP(S1170, Lives!$A$2:$C$35, 2, 0)), S1170, VLOOKUP(S1170, Lives!$A$2:$C$35, 2, 0))) * 12) + (IF(ISBLANK(Q1170), 0, IF(ISNA(VLOOKUP(Q1170, Wages!$A$2:$C$17, 2, 0)), Q1170, VLOOKUP(Q1170, Wages!$A$2:$C$17, 2, 0))) * IF(ISBLANK(N1170), 0, IF(ISNA(VLOOKUP(N1170, Crews!$A$2:$C$28, 2, 0)), N1170, VLOOKUP(N1170, Crews!$A$2:$C$28, 2, 0))))) * 400</f>
        <v>8052.083333</v>
      </c>
      <c r="K1170" s="1"/>
      <c r="L1170" s="1" t="s">
        <v>2377</v>
      </c>
      <c r="M1170" s="1" t="n">
        <v>1</v>
      </c>
      <c r="N1170" s="1" t="s">
        <v>25</v>
      </c>
      <c r="O1170" s="1" t="n">
        <v>0.6</v>
      </c>
      <c r="P1170" s="1"/>
      <c r="Q1170" s="1" t="s">
        <v>1815</v>
      </c>
      <c r="R1170" s="1" t="s">
        <v>1842</v>
      </c>
      <c r="S1170" s="1" t="s">
        <v>1843</v>
      </c>
      <c r="T1170" s="1" t="s">
        <v>1844</v>
      </c>
    </row>
    <row r="1171" customFormat="false" ht="15" hidden="false" customHeight="true" outlineLevel="0" collapsed="false">
      <c r="A1171" s="1" t="s">
        <v>2379</v>
      </c>
      <c r="B1171" s="1" t="n">
        <v>1913</v>
      </c>
      <c r="C1171" s="1" t="n">
        <v>1</v>
      </c>
      <c r="D1171" s="1" t="s">
        <v>21</v>
      </c>
      <c r="E1171" s="1" t="s">
        <v>1839</v>
      </c>
      <c r="F1171" s="1" t="n">
        <v>18</v>
      </c>
      <c r="G1171" s="1" t="n">
        <v>34</v>
      </c>
      <c r="H1171" s="2" t="n">
        <v>100000</v>
      </c>
      <c r="I1171" s="2" t="n">
        <f aca="false">(((H1171 / 800) / IF(ISBLANK(R1171), 1000000, IF(ISNA(VLOOKUP(R1171, Mileages!$A$2:$C$34, 2, 0)), R1171, VLOOKUP(R1171, Mileages!$A$2:$C$34, 2, 0)))) + (F1171 * IF(ISBLANK(P1171), 1, P1171) * IF(ISBLANK(T1171), 0, IF(ISNA(VLOOKUP(T1171, 'Fuel Costs'!$A$2:$C$42, 2, 0)), T1171, VLOOKUP(T1171, 'Fuel Costs'!$A$2:$C$42, 2, 0))) / IF(ISBLANK(O1171), 1, O1171))) * 100</f>
        <v>21.025</v>
      </c>
      <c r="J1171" s="2" t="n">
        <f aca="false">((H1171 / 800) / (IF(ISBLANK(S1171), 100, IF(ISNA(VLOOKUP(S1171, Lives!$A$2:$C$35, 2, 0)), S1171, VLOOKUP(S1171, Lives!$A$2:$C$35, 2, 0))) * 12) + (IF(ISBLANK(Q1171), 0, IF(ISNA(VLOOKUP(Q1171, Wages!$A$2:$C$17, 2, 0)), Q1171, VLOOKUP(Q1171, Wages!$A$2:$C$17, 2, 0))) * IF(ISBLANK(N1171), 0, IF(ISNA(VLOOKUP(N1171, Crews!$A$2:$C$28, 2, 0)), N1171, VLOOKUP(N1171, Crews!$A$2:$C$28, 2, 0))))) * 400</f>
        <v>8052.083333</v>
      </c>
      <c r="K1171" s="1"/>
      <c r="L1171" s="1" t="s">
        <v>2377</v>
      </c>
      <c r="M1171" s="1" t="n">
        <v>2</v>
      </c>
      <c r="N1171" s="1" t="s">
        <v>25</v>
      </c>
      <c r="O1171" s="1" t="n">
        <v>0.6</v>
      </c>
      <c r="P1171" s="1"/>
      <c r="Q1171" s="1" t="s">
        <v>1815</v>
      </c>
      <c r="R1171" s="1" t="s">
        <v>1842</v>
      </c>
      <c r="S1171" s="1" t="s">
        <v>1843</v>
      </c>
      <c r="T1171" s="1" t="s">
        <v>1844</v>
      </c>
    </row>
    <row r="1172" customFormat="false" ht="15" hidden="false" customHeight="true" outlineLevel="0" collapsed="false">
      <c r="A1172" s="1" t="s">
        <v>2380</v>
      </c>
      <c r="B1172" s="1" t="n">
        <v>1913</v>
      </c>
      <c r="C1172" s="1" t="n">
        <v>1</v>
      </c>
      <c r="D1172" s="1" t="s">
        <v>21</v>
      </c>
      <c r="E1172" s="1" t="s">
        <v>1839</v>
      </c>
      <c r="F1172" s="1" t="n">
        <v>18</v>
      </c>
      <c r="G1172" s="1" t="n">
        <v>34</v>
      </c>
      <c r="H1172" s="2" t="n">
        <v>100000</v>
      </c>
      <c r="I1172" s="2" t="n">
        <f aca="false">(((H1172 / 800) / IF(ISBLANK(R1172), 1000000, IF(ISNA(VLOOKUP(R1172, Mileages!$A$2:$C$34, 2, 0)), R1172, VLOOKUP(R1172, Mileages!$A$2:$C$34, 2, 0)))) + (F1172 * IF(ISBLANK(P1172), 1, P1172) * IF(ISBLANK(T1172), 0, IF(ISNA(VLOOKUP(T1172, 'Fuel Costs'!$A$2:$C$42, 2, 0)), T1172, VLOOKUP(T1172, 'Fuel Costs'!$A$2:$C$42, 2, 0))) / IF(ISBLANK(O1172), 1, O1172))) * 100</f>
        <v>21.025</v>
      </c>
      <c r="J1172" s="2" t="n">
        <f aca="false">((H1172 / 800) / (IF(ISBLANK(S1172), 100, IF(ISNA(VLOOKUP(S1172, Lives!$A$2:$C$35, 2, 0)), S1172, VLOOKUP(S1172, Lives!$A$2:$C$35, 2, 0))) * 12) + (IF(ISBLANK(Q1172), 0, IF(ISNA(VLOOKUP(Q1172, Wages!$A$2:$C$17, 2, 0)), Q1172, VLOOKUP(Q1172, Wages!$A$2:$C$17, 2, 0))) * IF(ISBLANK(N1172), 0, IF(ISNA(VLOOKUP(N1172, Crews!$A$2:$C$28, 2, 0)), N1172, VLOOKUP(N1172, Crews!$A$2:$C$28, 2, 0))))) * 400</f>
        <v>8052.083333</v>
      </c>
      <c r="K1172" s="1"/>
      <c r="L1172" s="1" t="s">
        <v>2377</v>
      </c>
      <c r="M1172" s="1" t="n">
        <v>3</v>
      </c>
      <c r="N1172" s="1" t="s">
        <v>25</v>
      </c>
      <c r="O1172" s="1" t="n">
        <v>0.6</v>
      </c>
      <c r="P1172" s="1"/>
      <c r="Q1172" s="1" t="s">
        <v>1815</v>
      </c>
      <c r="R1172" s="1" t="s">
        <v>1842</v>
      </c>
      <c r="S1172" s="1" t="s">
        <v>1843</v>
      </c>
      <c r="T1172" s="1" t="s">
        <v>1844</v>
      </c>
    </row>
    <row r="1173" customFormat="false" ht="15" hidden="false" customHeight="true" outlineLevel="0" collapsed="false">
      <c r="A1173" s="1" t="s">
        <v>2381</v>
      </c>
      <c r="B1173" s="1" t="n">
        <v>1913</v>
      </c>
      <c r="C1173" s="1" t="n">
        <v>1</v>
      </c>
      <c r="D1173" s="1" t="s">
        <v>21</v>
      </c>
      <c r="E1173" s="1" t="s">
        <v>1839</v>
      </c>
      <c r="F1173" s="1" t="n">
        <v>18</v>
      </c>
      <c r="G1173" s="1" t="n">
        <v>34</v>
      </c>
      <c r="H1173" s="2" t="n">
        <v>100000</v>
      </c>
      <c r="I1173" s="2" t="n">
        <f aca="false">(((H1173 / 800) / IF(ISBLANK(R1173), 1000000, IF(ISNA(VLOOKUP(R1173, Mileages!$A$2:$C$34, 2, 0)), R1173, VLOOKUP(R1173, Mileages!$A$2:$C$34, 2, 0)))) + (F1173 * IF(ISBLANK(P1173), 1, P1173) * IF(ISBLANK(T1173), 0, IF(ISNA(VLOOKUP(T1173, 'Fuel Costs'!$A$2:$C$42, 2, 0)), T1173, VLOOKUP(T1173, 'Fuel Costs'!$A$2:$C$42, 2, 0))) / IF(ISBLANK(O1173), 1, O1173))) * 100</f>
        <v>21.025</v>
      </c>
      <c r="J1173" s="2" t="n">
        <f aca="false">((H1173 / 800) / (IF(ISBLANK(S1173), 100, IF(ISNA(VLOOKUP(S1173, Lives!$A$2:$C$35, 2, 0)), S1173, VLOOKUP(S1173, Lives!$A$2:$C$35, 2, 0))) * 12) + (IF(ISBLANK(Q1173), 0, IF(ISNA(VLOOKUP(Q1173, Wages!$A$2:$C$17, 2, 0)), Q1173, VLOOKUP(Q1173, Wages!$A$2:$C$17, 2, 0))) * IF(ISBLANK(N1173), 0, IF(ISNA(VLOOKUP(N1173, Crews!$A$2:$C$28, 2, 0)), N1173, VLOOKUP(N1173, Crews!$A$2:$C$28, 2, 0))))) * 400</f>
        <v>8052.083333</v>
      </c>
      <c r="K1173" s="1"/>
      <c r="L1173" s="1" t="s">
        <v>2377</v>
      </c>
      <c r="M1173" s="1" t="n">
        <v>4</v>
      </c>
      <c r="N1173" s="1" t="s">
        <v>25</v>
      </c>
      <c r="O1173" s="1" t="n">
        <v>0.6</v>
      </c>
      <c r="P1173" s="1"/>
      <c r="Q1173" s="1" t="s">
        <v>1815</v>
      </c>
      <c r="R1173" s="1" t="s">
        <v>1842</v>
      </c>
      <c r="S1173" s="1" t="s">
        <v>1843</v>
      </c>
      <c r="T1173" s="1" t="s">
        <v>1844</v>
      </c>
    </row>
    <row r="1174" customFormat="false" ht="15" hidden="false" customHeight="true" outlineLevel="0" collapsed="false">
      <c r="A1174" s="1" t="s">
        <v>2382</v>
      </c>
      <c r="B1174" s="1" t="n">
        <v>1913</v>
      </c>
      <c r="C1174" s="1" t="n">
        <v>1</v>
      </c>
      <c r="D1174" s="1" t="s">
        <v>21</v>
      </c>
      <c r="E1174" s="1" t="s">
        <v>1839</v>
      </c>
      <c r="F1174" s="1" t="n">
        <v>18</v>
      </c>
      <c r="G1174" s="1" t="n">
        <v>34</v>
      </c>
      <c r="H1174" s="2" t="n">
        <v>100000</v>
      </c>
      <c r="I1174" s="2" t="n">
        <f aca="false">(((H1174 / 800) / IF(ISBLANK(R1174), 1000000, IF(ISNA(VLOOKUP(R1174, Mileages!$A$2:$C$34, 2, 0)), R1174, VLOOKUP(R1174, Mileages!$A$2:$C$34, 2, 0)))) + (F1174 * IF(ISBLANK(P1174), 1, P1174) * IF(ISBLANK(T1174), 0, IF(ISNA(VLOOKUP(T1174, 'Fuel Costs'!$A$2:$C$42, 2, 0)), T1174, VLOOKUP(T1174, 'Fuel Costs'!$A$2:$C$42, 2, 0))) / IF(ISBLANK(O1174), 1, O1174))) * 100</f>
        <v>21.025</v>
      </c>
      <c r="J1174" s="2" t="n">
        <f aca="false">((H1174 / 800) / (IF(ISBLANK(S1174), 100, IF(ISNA(VLOOKUP(S1174, Lives!$A$2:$C$35, 2, 0)), S1174, VLOOKUP(S1174, Lives!$A$2:$C$35, 2, 0))) * 12) + (IF(ISBLANK(Q1174), 0, IF(ISNA(VLOOKUP(Q1174, Wages!$A$2:$C$17, 2, 0)), Q1174, VLOOKUP(Q1174, Wages!$A$2:$C$17, 2, 0))) * IF(ISBLANK(N1174), 0, IF(ISNA(VLOOKUP(N1174, Crews!$A$2:$C$28, 2, 0)), N1174, VLOOKUP(N1174, Crews!$A$2:$C$28, 2, 0))))) * 400</f>
        <v>8052.083333</v>
      </c>
      <c r="K1174" s="1"/>
      <c r="L1174" s="1" t="s">
        <v>2377</v>
      </c>
      <c r="M1174" s="1" t="n">
        <v>5</v>
      </c>
      <c r="N1174" s="1" t="s">
        <v>25</v>
      </c>
      <c r="O1174" s="1" t="n">
        <v>0.6</v>
      </c>
      <c r="P1174" s="1"/>
      <c r="Q1174" s="1" t="s">
        <v>1815</v>
      </c>
      <c r="R1174" s="1" t="s">
        <v>1842</v>
      </c>
      <c r="S1174" s="1" t="s">
        <v>1843</v>
      </c>
      <c r="T1174" s="1" t="s">
        <v>1844</v>
      </c>
    </row>
    <row r="1175" customFormat="false" ht="15" hidden="false" customHeight="true" outlineLevel="0" collapsed="false">
      <c r="A1175" s="1" t="s">
        <v>2383</v>
      </c>
      <c r="B1175" s="1" t="n">
        <v>1913</v>
      </c>
      <c r="C1175" s="1" t="n">
        <v>1</v>
      </c>
      <c r="D1175" s="1" t="s">
        <v>21</v>
      </c>
      <c r="E1175" s="1" t="s">
        <v>1839</v>
      </c>
      <c r="F1175" s="1" t="n">
        <v>18</v>
      </c>
      <c r="G1175" s="1" t="n">
        <v>34</v>
      </c>
      <c r="H1175" s="2" t="n">
        <v>100000</v>
      </c>
      <c r="I1175" s="2" t="n">
        <f aca="false">(((H1175 / 800) / IF(ISBLANK(R1175), 1000000, IF(ISNA(VLOOKUP(R1175, Mileages!$A$2:$C$34, 2, 0)), R1175, VLOOKUP(R1175, Mileages!$A$2:$C$34, 2, 0)))) + (F1175 * IF(ISBLANK(P1175), 1, P1175) * IF(ISBLANK(T1175), 0, IF(ISNA(VLOOKUP(T1175, 'Fuel Costs'!$A$2:$C$42, 2, 0)), T1175, VLOOKUP(T1175, 'Fuel Costs'!$A$2:$C$42, 2, 0))) / IF(ISBLANK(O1175), 1, O1175))) * 100</f>
        <v>21.025</v>
      </c>
      <c r="J1175" s="2" t="n">
        <f aca="false">((H1175 / 800) / (IF(ISBLANK(S1175), 100, IF(ISNA(VLOOKUP(S1175, Lives!$A$2:$C$35, 2, 0)), S1175, VLOOKUP(S1175, Lives!$A$2:$C$35, 2, 0))) * 12) + (IF(ISBLANK(Q1175), 0, IF(ISNA(VLOOKUP(Q1175, Wages!$A$2:$C$17, 2, 0)), Q1175, VLOOKUP(Q1175, Wages!$A$2:$C$17, 2, 0))) * IF(ISBLANK(N1175), 0, IF(ISNA(VLOOKUP(N1175, Crews!$A$2:$C$28, 2, 0)), N1175, VLOOKUP(N1175, Crews!$A$2:$C$28, 2, 0))))) * 400</f>
        <v>8052.083333</v>
      </c>
      <c r="K1175" s="1"/>
      <c r="L1175" s="1" t="s">
        <v>2377</v>
      </c>
      <c r="M1175" s="1" t="n">
        <v>6</v>
      </c>
      <c r="N1175" s="1" t="s">
        <v>25</v>
      </c>
      <c r="O1175" s="1" t="n">
        <v>0.6</v>
      </c>
      <c r="P1175" s="1"/>
      <c r="Q1175" s="1" t="s">
        <v>1815</v>
      </c>
      <c r="R1175" s="1" t="s">
        <v>1842</v>
      </c>
      <c r="S1175" s="1" t="s">
        <v>1843</v>
      </c>
      <c r="T1175" s="1" t="s">
        <v>1844</v>
      </c>
    </row>
    <row r="1176" customFormat="false" ht="15" hidden="false" customHeight="true" outlineLevel="0" collapsed="false">
      <c r="A1176" s="1" t="s">
        <v>2384</v>
      </c>
      <c r="B1176" s="1" t="n">
        <v>1913</v>
      </c>
      <c r="C1176" s="1" t="n">
        <v>1</v>
      </c>
      <c r="D1176" s="1" t="s">
        <v>38</v>
      </c>
      <c r="E1176" s="1"/>
      <c r="F1176" s="1"/>
      <c r="G1176" s="1" t="n">
        <v>150</v>
      </c>
      <c r="H1176" s="2" t="n">
        <v>411000</v>
      </c>
      <c r="I1176" s="2" t="n">
        <f aca="false">(((H1176 / 800) / IF(ISBLANK(R1176), 1000000, IF(ISNA(VLOOKUP(R1176, Mileages!$A$2:$C$34, 2, 0)), R1176, VLOOKUP(R1176, Mileages!$A$2:$C$34, 2, 0)))) + (F1176 * IF(ISBLANK(P1176), 1, P1176) * IF(ISBLANK(T1176), 0, IF(ISNA(VLOOKUP(T1176, 'Fuel Costs'!$A$2:$C$42, 2, 0)), T1176, VLOOKUP(T1176, 'Fuel Costs'!$A$2:$C$42, 2, 0))) / IF(ISBLANK(O1176), 1, O1176))) * 100</f>
        <v>0.0428125</v>
      </c>
      <c r="J1176" s="2" t="n">
        <f aca="false">((H1176 / 800) / (IF(ISBLANK(S1176), 100, IF(ISNA(VLOOKUP(S1176, Lives!$A$2:$C$35, 2, 0)), S1176, VLOOKUP(S1176, Lives!$A$2:$C$35, 2, 0))) * 12) + (IF(ISBLANK(Q1176), 0, IF(ISNA(VLOOKUP(Q1176, Wages!$A$2:$C$17, 2, 0)), Q1176, VLOOKUP(Q1176, Wages!$A$2:$C$17, 2, 0))) * IF(ISBLANK(N1176), 0, IF(ISNA(VLOOKUP(N1176, Crews!$A$2:$C$28, 2, 0)), N1176, VLOOKUP(N1176, Crews!$A$2:$C$28, 2, 0))))) * 400</f>
        <v>5289.285714</v>
      </c>
      <c r="K1176" s="1" t="s">
        <v>2385</v>
      </c>
      <c r="L1176" s="1" t="s">
        <v>1622</v>
      </c>
      <c r="M1176" s="1" t="n">
        <v>4</v>
      </c>
      <c r="N1176" s="1" t="s">
        <v>25</v>
      </c>
      <c r="O1176" s="1"/>
      <c r="P1176" s="1"/>
      <c r="Q1176" s="1" t="s">
        <v>378</v>
      </c>
      <c r="R1176" s="1" t="s">
        <v>689</v>
      </c>
      <c r="S1176" s="1" t="s">
        <v>856</v>
      </c>
      <c r="T1176" s="1"/>
    </row>
    <row r="1177" customFormat="false" ht="15" hidden="false" customHeight="true" outlineLevel="0" collapsed="false">
      <c r="A1177" s="1" t="s">
        <v>2386</v>
      </c>
      <c r="B1177" s="1" t="n">
        <v>1913</v>
      </c>
      <c r="C1177" s="1" t="n">
        <v>2</v>
      </c>
      <c r="D1177" s="1" t="s">
        <v>38</v>
      </c>
      <c r="E1177" s="1" t="s">
        <v>1346</v>
      </c>
      <c r="F1177" s="1" t="n">
        <v>552</v>
      </c>
      <c r="G1177" s="1" t="n">
        <v>89</v>
      </c>
      <c r="H1177" s="2" t="n">
        <v>13210000</v>
      </c>
      <c r="I1177" s="2" t="n">
        <f aca="false">(((H1177 / 800) / IF(ISBLANK(R1177), 1000000, IF(ISNA(VLOOKUP(R1177, Mileages!$A$2:$C$34, 2, 0)), R1177, VLOOKUP(R1177, Mileages!$A$2:$C$34, 2, 0)))) + (F1177 * IF(ISBLANK(P1177), 1, P1177) * IF(ISBLANK(T1177), 0, IF(ISNA(VLOOKUP(T1177, 'Fuel Costs'!$A$2:$C$42, 2, 0)), T1177, VLOOKUP(T1177, 'Fuel Costs'!$A$2:$C$42, 2, 0))) / IF(ISBLANK(O1177), 1, O1177))) * 100</f>
        <v>333.4016667</v>
      </c>
      <c r="J1177" s="2" t="n">
        <f aca="false">((H1177 / 800) / (IF(ISBLANK(S1177), 100, IF(ISNA(VLOOKUP(S1177, Lives!$A$2:$C$35, 2, 0)), S1177, VLOOKUP(S1177, Lives!$A$2:$C$35, 2, 0))) * 12) + (IF(ISBLANK(Q1177), 0, IF(ISNA(VLOOKUP(Q1177, Wages!$A$2:$C$17, 2, 0)), Q1177, VLOOKUP(Q1177, Wages!$A$2:$C$17, 2, 0))) * IF(ISBLANK(N1177), 0, IF(ISNA(VLOOKUP(N1177, Crews!$A$2:$C$28, 2, 0)), N1177, VLOOKUP(N1177, Crews!$A$2:$C$28, 2, 0))))) * 400</f>
        <v>17008.33333</v>
      </c>
      <c r="K1177" s="1" t="s">
        <v>2387</v>
      </c>
      <c r="L1177" s="1" t="s">
        <v>2388</v>
      </c>
      <c r="M1177" s="1" t="n">
        <v>0</v>
      </c>
      <c r="N1177" s="1" t="s">
        <v>1512</v>
      </c>
      <c r="O1177" s="1" t="n">
        <v>1</v>
      </c>
      <c r="P1177" s="1"/>
      <c r="Q1177" s="1" t="str">
        <f aca="false">IF(ISBLANK('Pak128 Britain In'!$N1177),,'Pak128 Britain In'!$N1177)</f>
        <v>ElectricMultipleUnit</v>
      </c>
      <c r="R1177" s="1" t="s">
        <v>1489</v>
      </c>
      <c r="S1177" s="1" t="s">
        <v>1350</v>
      </c>
      <c r="T1177" s="1" t="s">
        <v>1351</v>
      </c>
    </row>
    <row r="1178" customFormat="false" ht="15" hidden="false" customHeight="true" outlineLevel="0" collapsed="false">
      <c r="A1178" s="1" t="s">
        <v>2389</v>
      </c>
      <c r="B1178" s="1" t="n">
        <v>1913</v>
      </c>
      <c r="C1178" s="1" t="n">
        <v>2</v>
      </c>
      <c r="D1178" s="1" t="s">
        <v>38</v>
      </c>
      <c r="E1178" s="1" t="s">
        <v>1346</v>
      </c>
      <c r="F1178" s="1" t="n">
        <v>0</v>
      </c>
      <c r="G1178" s="1" t="n">
        <v>89</v>
      </c>
      <c r="H1178" s="2" t="n">
        <v>13210000</v>
      </c>
      <c r="I1178" s="2" t="n">
        <f aca="false">(((H1178 / 800) / IF(ISBLANK(R1178), 1000000, IF(ISNA(VLOOKUP(R1178, Mileages!$A$2:$C$34, 2, 0)), R1178, VLOOKUP(R1178, Mileages!$A$2:$C$34, 2, 0)))) + (F1178 * IF(ISBLANK(P1178), 1, P1178) * IF(ISBLANK(T1178), 0, IF(ISNA(VLOOKUP(T1178, 'Fuel Costs'!$A$2:$C$42, 2, 0)), T1178, VLOOKUP(T1178, 'Fuel Costs'!$A$2:$C$42, 2, 0))) / IF(ISBLANK(O1178), 1, O1178))) * 100</f>
        <v>1.376041667</v>
      </c>
      <c r="J1178" s="2" t="n">
        <f aca="false">((H1178 / 800) / (IF(ISBLANK(S1178), 100, IF(ISNA(VLOOKUP(S1178, Lives!$A$2:$C$35, 2, 0)), S1178, VLOOKUP(S1178, Lives!$A$2:$C$35, 2, 0))) * 12) + (IF(ISBLANK(Q1178), 0, IF(ISNA(VLOOKUP(Q1178, Wages!$A$2:$C$17, 2, 0)), Q1178, VLOOKUP(Q1178, Wages!$A$2:$C$17, 2, 0))) * IF(ISBLANK(N1178), 0, IF(ISNA(VLOOKUP(N1178, Crews!$A$2:$C$28, 2, 0)), N1178, VLOOKUP(N1178, Crews!$A$2:$C$28, 2, 0))))) * 400</f>
        <v>15726.19048</v>
      </c>
      <c r="K1178" s="1"/>
      <c r="L1178" s="1" t="s">
        <v>2388</v>
      </c>
      <c r="M1178" s="1" t="n">
        <v>1</v>
      </c>
      <c r="N1178" s="1"/>
      <c r="O1178" s="1"/>
      <c r="P1178" s="1"/>
      <c r="Q1178" s="1"/>
      <c r="R1178" s="1" t="s">
        <v>689</v>
      </c>
      <c r="S1178" s="1" t="s">
        <v>856</v>
      </c>
      <c r="T1178" s="1"/>
    </row>
    <row r="1179" customFormat="false" ht="15" hidden="false" customHeight="true" outlineLevel="0" collapsed="false">
      <c r="A1179" s="1" t="s">
        <v>2390</v>
      </c>
      <c r="B1179" s="1" t="n">
        <v>1913</v>
      </c>
      <c r="C1179" s="1" t="n">
        <v>3</v>
      </c>
      <c r="D1179" s="1" t="s">
        <v>21</v>
      </c>
      <c r="E1179" s="1" t="s">
        <v>1839</v>
      </c>
      <c r="F1179" s="1" t="n">
        <v>30</v>
      </c>
      <c r="G1179" s="1" t="n">
        <v>20</v>
      </c>
      <c r="H1179" s="2" t="n">
        <v>97500</v>
      </c>
      <c r="I1179" s="2" t="n">
        <f aca="false">(((H1179 / 800) / IF(ISBLANK(R1179), 1000000, IF(ISNA(VLOOKUP(R1179, Mileages!$A$2:$C$34, 2, 0)), R1179, VLOOKUP(R1179, Mileages!$A$2:$C$34, 2, 0)))) + (F1179 * IF(ISBLANK(P1179), 1, P1179) * IF(ISBLANK(T1179), 0, IF(ISNA(VLOOKUP(T1179, 'Fuel Costs'!$A$2:$C$42, 2, 0)), T1179, VLOOKUP(T1179, 'Fuel Costs'!$A$2:$C$42, 2, 0))) / IF(ISBLANK(O1179), 1, O1179))) * 100</f>
        <v>35.024375</v>
      </c>
      <c r="J1179" s="2" t="n">
        <f aca="false">((H1179 / 800) / (IF(ISBLANK(S1179), 100, IF(ISNA(VLOOKUP(S1179, Lives!$A$2:$C$35, 2, 0)), S1179, VLOOKUP(S1179, Lives!$A$2:$C$35, 2, 0))) * 12) + (IF(ISBLANK(Q1179), 0, IF(ISNA(VLOOKUP(Q1179, Wages!$A$2:$C$17, 2, 0)), Q1179, VLOOKUP(Q1179, Wages!$A$2:$C$17, 2, 0))) * IF(ISBLANK(N1179), 0, IF(ISNA(VLOOKUP(N1179, Crews!$A$2:$C$28, 2, 0)), N1179, VLOOKUP(N1179, Crews!$A$2:$C$28, 2, 0))))) * 400</f>
        <v>8050.78125</v>
      </c>
      <c r="K1179" s="3" t="s">
        <v>2391</v>
      </c>
      <c r="L1179" s="1" t="s">
        <v>2392</v>
      </c>
      <c r="M1179" s="1" t="n">
        <v>0</v>
      </c>
      <c r="N1179" s="1" t="s">
        <v>25</v>
      </c>
      <c r="O1179" s="1" t="n">
        <v>0.6</v>
      </c>
      <c r="P1179" s="1"/>
      <c r="Q1179" s="1" t="s">
        <v>1815</v>
      </c>
      <c r="R1179" s="1" t="s">
        <v>1842</v>
      </c>
      <c r="S1179" s="1" t="s">
        <v>1843</v>
      </c>
      <c r="T1179" s="1" t="s">
        <v>1844</v>
      </c>
    </row>
    <row r="1180" customFormat="false" ht="15" hidden="false" customHeight="true" outlineLevel="0" collapsed="false">
      <c r="A1180" s="1" t="s">
        <v>2393</v>
      </c>
      <c r="B1180" s="1" t="n">
        <v>1913</v>
      </c>
      <c r="C1180" s="1" t="n">
        <v>4</v>
      </c>
      <c r="D1180" s="1" t="s">
        <v>38</v>
      </c>
      <c r="E1180" s="1" t="s">
        <v>274</v>
      </c>
      <c r="F1180" s="1" t="n">
        <v>394</v>
      </c>
      <c r="G1180" s="1" t="n">
        <v>145</v>
      </c>
      <c r="H1180" s="2" t="n">
        <v>7732500</v>
      </c>
      <c r="I1180" s="2" t="n">
        <f aca="false">(((H1180 / 800) / IF(ISBLANK(R1180), 1000000, IF(ISNA(VLOOKUP(R1180, Mileages!$A$2:$C$34, 2, 0)), R1180, VLOOKUP(R1180, Mileages!$A$2:$C$34, 2, 0)))) + (F1180 * IF(ISBLANK(P1180), 1, P1180) * IF(ISBLANK(T1180), 0, IF(ISNA(VLOOKUP(T1180, 'Fuel Costs'!$A$2:$C$42, 2, 0)), T1180, VLOOKUP(T1180, 'Fuel Costs'!$A$2:$C$42, 2, 0))) / IF(ISBLANK(O1180), 1, O1180))) * 100</f>
        <v>169.8237054</v>
      </c>
      <c r="J1180" s="2" t="n">
        <f aca="false">((H1180 / 800) / (IF(ISBLANK(S1180), 100, IF(ISNA(VLOOKUP(S1180, Lives!$A$2:$C$35, 2, 0)), S1180, VLOOKUP(S1180, Lives!$A$2:$C$35, 2, 0))) * 12) + (IF(ISBLANK(Q1180), 0, IF(ISNA(VLOOKUP(Q1180, Wages!$A$2:$C$17, 2, 0)), Q1180, VLOOKUP(Q1180, Wages!$A$2:$C$17, 2, 0))) * IF(ISBLANK(N1180), 0, IF(ISNA(VLOOKUP(N1180, Crews!$A$2:$C$28, 2, 0)), N1180, VLOOKUP(N1180, Crews!$A$2:$C$28, 2, 0))))) * 400</f>
        <v>46443.75</v>
      </c>
      <c r="K1180" s="3" t="s">
        <v>1860</v>
      </c>
      <c r="L1180" s="1" t="s">
        <v>2394</v>
      </c>
      <c r="M1180" s="1" t="n">
        <v>0</v>
      </c>
      <c r="N1180" s="1" t="s">
        <v>1705</v>
      </c>
      <c r="O1180" s="1" t="n">
        <v>0.7</v>
      </c>
      <c r="P1180" s="1"/>
      <c r="Q1180" s="5" t="s">
        <v>284</v>
      </c>
      <c r="R1180" s="1" t="s">
        <v>677</v>
      </c>
      <c r="S1180" s="1" t="s">
        <v>677</v>
      </c>
      <c r="T1180" s="1" t="s">
        <v>1785</v>
      </c>
    </row>
    <row r="1181" customFormat="false" ht="15" hidden="false" customHeight="true" outlineLevel="0" collapsed="false">
      <c r="A1181" s="1" t="s">
        <v>2395</v>
      </c>
      <c r="B1181" s="1" t="n">
        <v>1913</v>
      </c>
      <c r="C1181" s="1" t="n">
        <v>5</v>
      </c>
      <c r="D1181" s="1" t="s">
        <v>38</v>
      </c>
      <c r="E1181" s="1" t="s">
        <v>274</v>
      </c>
      <c r="F1181" s="1" t="n">
        <v>217</v>
      </c>
      <c r="G1181" s="1" t="n">
        <v>92</v>
      </c>
      <c r="H1181" s="2" t="n">
        <v>3900000</v>
      </c>
      <c r="I1181" s="2" t="n">
        <f aca="false">(((H1181 / 800) / IF(ISBLANK(R1181), 1000000, IF(ISNA(VLOOKUP(R1181, Mileages!$A$2:$C$34, 2, 0)), R1181, VLOOKUP(R1181, Mileages!$A$2:$C$34, 2, 0)))) + (F1181 * IF(ISBLANK(P1181), 1, P1181) * IF(ISBLANK(T1181), 0, IF(ISNA(VLOOKUP(T1181, 'Fuel Costs'!$A$2:$C$42, 2, 0)), T1181, VLOOKUP(T1181, 'Fuel Costs'!$A$2:$C$42, 2, 0))) / IF(ISBLANK(O1181), 1, O1181))) * 100</f>
        <v>93.4875</v>
      </c>
      <c r="J1181" s="2" t="n">
        <f aca="false">((H1181 / 800) / (IF(ISBLANK(S1181), 100, IF(ISNA(VLOOKUP(S1181, Lives!$A$2:$C$35, 2, 0)), S1181, VLOOKUP(S1181, Lives!$A$2:$C$35, 2, 0))) * 12) + (IF(ISBLANK(Q1181), 0, IF(ISNA(VLOOKUP(Q1181, Wages!$A$2:$C$17, 2, 0)), Q1181, VLOOKUP(Q1181, Wages!$A$2:$C$17, 2, 0))) * IF(ISBLANK(N1181), 0, IF(ISNA(VLOOKUP(N1181, Crews!$A$2:$C$28, 2, 0)), N1181, VLOOKUP(N1181, Crews!$A$2:$C$28, 2, 0))))) * 400</f>
        <v>27250</v>
      </c>
      <c r="K1181" s="3" t="s">
        <v>2396</v>
      </c>
      <c r="L1181" s="1" t="s">
        <v>2397</v>
      </c>
      <c r="M1181" s="1" t="n">
        <v>0</v>
      </c>
      <c r="N1181" s="1" t="s">
        <v>590</v>
      </c>
      <c r="O1181" s="1" t="n">
        <v>0.7</v>
      </c>
      <c r="P1181" s="1"/>
      <c r="Q1181" s="5" t="s">
        <v>284</v>
      </c>
      <c r="R1181" s="1" t="s">
        <v>677</v>
      </c>
      <c r="S1181" s="1" t="s">
        <v>677</v>
      </c>
      <c r="T1181" s="1" t="s">
        <v>1785</v>
      </c>
    </row>
    <row r="1182" customFormat="false" ht="15" hidden="false" customHeight="true" outlineLevel="0" collapsed="false">
      <c r="A1182" s="1" t="s">
        <v>2398</v>
      </c>
      <c r="B1182" s="1" t="n">
        <v>1913</v>
      </c>
      <c r="C1182" s="1" t="n">
        <v>6</v>
      </c>
      <c r="D1182" s="1" t="s">
        <v>38</v>
      </c>
      <c r="E1182" s="1" t="s">
        <v>1346</v>
      </c>
      <c r="F1182" s="1" t="n">
        <v>402</v>
      </c>
      <c r="G1182" s="1" t="n">
        <v>97</v>
      </c>
      <c r="H1182" s="2" t="n">
        <v>1461000</v>
      </c>
      <c r="I1182" s="2" t="n">
        <f aca="false">(((H1182 / 800) / IF(ISBLANK(R1182), 1000000, IF(ISNA(VLOOKUP(R1182, Mileages!$A$2:$C$34, 2, 0)), R1182, VLOOKUP(R1182, Mileages!$A$2:$C$34, 2, 0)))) + (F1182 * IF(ISBLANK(P1182), 1, P1182) * IF(ISBLANK(T1182), 0, IF(ISNA(VLOOKUP(T1182, 'Fuel Costs'!$A$2:$C$42, 2, 0)), T1182, VLOOKUP(T1182, 'Fuel Costs'!$A$2:$C$42, 2, 0))) / IF(ISBLANK(O1182), 1, O1182))) * 100</f>
        <v>241.4435</v>
      </c>
      <c r="J1182" s="2" t="n">
        <f aca="false">((H1182 / 800) / (IF(ISBLANK(S1182), 100, IF(ISNA(VLOOKUP(S1182, Lives!$A$2:$C$35, 2, 0)), S1182, VLOOKUP(S1182, Lives!$A$2:$C$35, 2, 0))) * 12) + (IF(ISBLANK(Q1182), 0, IF(ISNA(VLOOKUP(Q1182, Wages!$A$2:$C$17, 2, 0)), Q1182, VLOOKUP(Q1182, Wages!$A$2:$C$17, 2, 0))) * IF(ISBLANK(N1182), 0, IF(ISNA(VLOOKUP(N1182, Crews!$A$2:$C$28, 2, 0)), N1182, VLOOKUP(N1182, Crews!$A$2:$C$28, 2, 0))))) * 400</f>
        <v>7217.5</v>
      </c>
      <c r="K1182" s="1"/>
      <c r="L1182" s="1" t="s">
        <v>2399</v>
      </c>
      <c r="M1182" s="1" t="n">
        <v>0</v>
      </c>
      <c r="N1182" s="1" t="s">
        <v>1512</v>
      </c>
      <c r="O1182" s="1" t="n">
        <v>1</v>
      </c>
      <c r="P1182" s="1"/>
      <c r="Q1182" s="1" t="str">
        <f aca="false">IF(ISBLANK('Pak128 Britain In'!$N1182),,'Pak128 Britain In'!$N1182)</f>
        <v>ElectricMultipleUnit</v>
      </c>
      <c r="R1182" s="1" t="s">
        <v>1489</v>
      </c>
      <c r="S1182" s="1" t="s">
        <v>1350</v>
      </c>
      <c r="T1182" s="1" t="s">
        <v>1351</v>
      </c>
    </row>
    <row r="1183" customFormat="false" ht="15" hidden="false" customHeight="true" outlineLevel="0" collapsed="false">
      <c r="A1183" s="1" t="s">
        <v>2400</v>
      </c>
      <c r="B1183" s="1" t="n">
        <v>1913</v>
      </c>
      <c r="C1183" s="1" t="n">
        <v>6</v>
      </c>
      <c r="D1183" s="1" t="s">
        <v>38</v>
      </c>
      <c r="E1183" s="1" t="s">
        <v>1346</v>
      </c>
      <c r="F1183" s="1"/>
      <c r="G1183" s="1" t="n">
        <v>97</v>
      </c>
      <c r="H1183" s="2" t="n">
        <v>716000</v>
      </c>
      <c r="I1183" s="2" t="n">
        <f aca="false">(((H1183 / 800) / IF(ISBLANK(R1183), 1000000, IF(ISNA(VLOOKUP(R1183, Mileages!$A$2:$C$34, 2, 0)), R1183, VLOOKUP(R1183, Mileages!$A$2:$C$34, 2, 0)))) + (F1183 * IF(ISBLANK(P1183), 1, P1183) * IF(ISBLANK(T1183), 0, IF(ISNA(VLOOKUP(T1183, 'Fuel Costs'!$A$2:$C$42, 2, 0)), T1183, VLOOKUP(T1183, 'Fuel Costs'!$A$2:$C$42, 2, 0))) / IF(ISBLANK(O1183), 1, O1183))) * 100</f>
        <v>0.07458333333</v>
      </c>
      <c r="J1183" s="2" t="n">
        <f aca="false">((H1183 / 800) / (IF(ISBLANK(S1183), 100, IF(ISNA(VLOOKUP(S1183, Lives!$A$2:$C$35, 2, 0)), S1183, VLOOKUP(S1183, Lives!$A$2:$C$35, 2, 0))) * 12) + (IF(ISBLANK(Q1183), 0, IF(ISNA(VLOOKUP(Q1183, Wages!$A$2:$C$17, 2, 0)), Q1183, VLOOKUP(Q1183, Wages!$A$2:$C$17, 2, 0))) * IF(ISBLANK(N1183), 0, IF(ISNA(VLOOKUP(N1183, Crews!$A$2:$C$28, 2, 0)), N1183, VLOOKUP(N1183, Crews!$A$2:$C$28, 2, 0))))) * 400</f>
        <v>852.3809524</v>
      </c>
      <c r="K1183" s="1"/>
      <c r="L1183" s="1" t="s">
        <v>2399</v>
      </c>
      <c r="M1183" s="1" t="n">
        <v>1</v>
      </c>
      <c r="N1183" s="1"/>
      <c r="O1183" s="1"/>
      <c r="P1183" s="1"/>
      <c r="Q1183" s="1"/>
      <c r="R1183" s="1" t="s">
        <v>689</v>
      </c>
      <c r="S1183" s="1" t="s">
        <v>856</v>
      </c>
      <c r="T1183" s="1"/>
    </row>
    <row r="1184" customFormat="false" ht="15" hidden="false" customHeight="true" outlineLevel="0" collapsed="false">
      <c r="A1184" s="1" t="s">
        <v>2401</v>
      </c>
      <c r="B1184" s="1" t="n">
        <v>1913</v>
      </c>
      <c r="C1184" s="1" t="n">
        <v>6</v>
      </c>
      <c r="D1184" s="1" t="s">
        <v>38</v>
      </c>
      <c r="E1184" s="1" t="s">
        <v>1346</v>
      </c>
      <c r="F1184" s="1" t="n">
        <v>402</v>
      </c>
      <c r="G1184" s="1" t="n">
        <v>97</v>
      </c>
      <c r="H1184" s="2" t="n">
        <v>1461000</v>
      </c>
      <c r="I1184" s="2" t="n">
        <f aca="false">(((H1184 / 800) / IF(ISBLANK(R1184), 1000000, IF(ISNA(VLOOKUP(R1184, Mileages!$A$2:$C$34, 2, 0)), R1184, VLOOKUP(R1184, Mileages!$A$2:$C$34, 2, 0)))) + (F1184 * IF(ISBLANK(P1184), 1, P1184) * IF(ISBLANK(T1184), 0, IF(ISNA(VLOOKUP(T1184, 'Fuel Costs'!$A$2:$C$42, 2, 0)), T1184, VLOOKUP(T1184, 'Fuel Costs'!$A$2:$C$42, 2, 0))) / IF(ISBLANK(O1184), 1, O1184))) * 100</f>
        <v>241.4435</v>
      </c>
      <c r="J1184" s="2" t="n">
        <f aca="false">((H1184 / 800) / (IF(ISBLANK(S1184), 100, IF(ISNA(VLOOKUP(S1184, Lives!$A$2:$C$35, 2, 0)), S1184, VLOOKUP(S1184, Lives!$A$2:$C$35, 2, 0))) * 12) + (IF(ISBLANK(Q1184), 0, IF(ISNA(VLOOKUP(Q1184, Wages!$A$2:$C$17, 2, 0)), Q1184, VLOOKUP(Q1184, Wages!$A$2:$C$17, 2, 0))) * IF(ISBLANK(N1184), 0, IF(ISNA(VLOOKUP(N1184, Crews!$A$2:$C$28, 2, 0)), N1184, VLOOKUP(N1184, Crews!$A$2:$C$28, 2, 0))))) * 400</f>
        <v>7217.5</v>
      </c>
      <c r="K1184" s="1"/>
      <c r="L1184" s="1" t="s">
        <v>2399</v>
      </c>
      <c r="M1184" s="1" t="n">
        <v>2</v>
      </c>
      <c r="N1184" s="1" t="s">
        <v>1512</v>
      </c>
      <c r="O1184" s="1" t="n">
        <v>1</v>
      </c>
      <c r="P1184" s="1"/>
      <c r="Q1184" s="1" t="str">
        <f aca="false">IF(ISBLANK('Pak128 Britain In'!$N1184),,'Pak128 Britain In'!$N1184)</f>
        <v>ElectricMultipleUnit</v>
      </c>
      <c r="R1184" s="1" t="s">
        <v>1489</v>
      </c>
      <c r="S1184" s="1" t="s">
        <v>1350</v>
      </c>
      <c r="T1184" s="1" t="s">
        <v>1351</v>
      </c>
    </row>
    <row r="1185" customFormat="false" ht="15" hidden="false" customHeight="true" outlineLevel="0" collapsed="false">
      <c r="A1185" s="1" t="s">
        <v>2402</v>
      </c>
      <c r="B1185" s="1" t="n">
        <v>1913</v>
      </c>
      <c r="C1185" s="1" t="n">
        <v>8</v>
      </c>
      <c r="D1185" s="1" t="s">
        <v>38</v>
      </c>
      <c r="E1185" s="1" t="s">
        <v>274</v>
      </c>
      <c r="F1185" s="1" t="n">
        <v>440</v>
      </c>
      <c r="G1185" s="1" t="n">
        <v>152</v>
      </c>
      <c r="H1185" s="2" t="n">
        <v>13200000</v>
      </c>
      <c r="I1185" s="2" t="n">
        <f aca="false">(((H1185 / 800) / IF(ISBLANK(R1185), 1000000, IF(ISNA(VLOOKUP(R1185, Mileages!$A$2:$C$34, 2, 0)), R1185, VLOOKUP(R1185, Mileages!$A$2:$C$34, 2, 0)))) + (F1185 * IF(ISBLANK(P1185), 1, P1185) * IF(ISBLANK(T1185), 0, IF(ISNA(VLOOKUP(T1185, 'Fuel Costs'!$A$2:$C$42, 2, 0)), T1185, VLOOKUP(T1185, 'Fuel Costs'!$A$2:$C$42, 2, 0))) / IF(ISBLANK(O1185), 1, O1185))) * 100</f>
        <v>190.2214286</v>
      </c>
      <c r="J1185" s="2" t="n">
        <f aca="false">((H1185 / 800) / (IF(ISBLANK(S1185), 100, IF(ISNA(VLOOKUP(S1185, Lives!$A$2:$C$35, 2, 0)), S1185, VLOOKUP(S1185, Lives!$A$2:$C$35, 2, 0))) * 12) + (IF(ISBLANK(Q1185), 0, IF(ISNA(VLOOKUP(Q1185, Wages!$A$2:$C$17, 2, 0)), Q1185, VLOOKUP(Q1185, Wages!$A$2:$C$17, 2, 0))) * IF(ISBLANK(N1185), 0, IF(ISNA(VLOOKUP(N1185, Crews!$A$2:$C$28, 2, 0)), N1185, VLOOKUP(N1185, Crews!$A$2:$C$28, 2, 0))))) * 400</f>
        <v>51000</v>
      </c>
      <c r="K1185" s="3" t="s">
        <v>2403</v>
      </c>
      <c r="L1185" s="1" t="s">
        <v>2404</v>
      </c>
      <c r="M1185" s="1" t="n">
        <v>0</v>
      </c>
      <c r="N1185" s="1" t="s">
        <v>1705</v>
      </c>
      <c r="O1185" s="1" t="n">
        <v>0.7</v>
      </c>
      <c r="P1185" s="1"/>
      <c r="Q1185" s="5" t="s">
        <v>284</v>
      </c>
      <c r="R1185" s="1" t="s">
        <v>677</v>
      </c>
      <c r="S1185" s="1" t="s">
        <v>677</v>
      </c>
      <c r="T1185" s="1" t="s">
        <v>1785</v>
      </c>
    </row>
    <row r="1186" customFormat="false" ht="15" hidden="false" customHeight="true" outlineLevel="0" collapsed="false">
      <c r="A1186" s="1" t="s">
        <v>2405</v>
      </c>
      <c r="B1186" s="1" t="n">
        <v>1913</v>
      </c>
      <c r="C1186" s="1" t="n">
        <v>8</v>
      </c>
      <c r="D1186" s="1" t="s">
        <v>38</v>
      </c>
      <c r="E1186" s="1"/>
      <c r="F1186" s="1" t="n">
        <v>0</v>
      </c>
      <c r="G1186" s="1" t="n">
        <v>145</v>
      </c>
      <c r="H1186" s="2" t="n">
        <v>0</v>
      </c>
      <c r="I1186" s="2" t="n">
        <f aca="false">(((H1186 / 800) / IF(ISBLANK(R1186), 1000000, IF(ISNA(VLOOKUP(R1186, Mileages!$A$2:$C$34, 2, 0)), R1186, VLOOKUP(R1186, Mileages!$A$2:$C$34, 2, 0)))) + (F1186 * IF(ISBLANK(P1186), 1, P1186) * IF(ISBLANK(T1186), 0, IF(ISNA(VLOOKUP(T1186, 'Fuel Costs'!$A$2:$C$42, 2, 0)), T1186, VLOOKUP(T1186, 'Fuel Costs'!$A$2:$C$42, 2, 0))) / IF(ISBLANK(O1186), 1, O1186))) * 100</f>
        <v>0</v>
      </c>
      <c r="J1186" s="2" t="n">
        <f aca="false">((H1186 / 800) / (IF(ISBLANK(S1186), 100, IF(ISNA(VLOOKUP(S1186, Lives!$A$2:$C$35, 2, 0)), S1186, VLOOKUP(S1186, Lives!$A$2:$C$35, 2, 0))) * 12) + (IF(ISBLANK(Q1186), 0, IF(ISNA(VLOOKUP(Q1186, Wages!$A$2:$C$17, 2, 0)), Q1186, VLOOKUP(Q1186, Wages!$A$2:$C$17, 2, 0))) * IF(ISBLANK(N1186), 0, IF(ISNA(VLOOKUP(N1186, Crews!$A$2:$C$28, 2, 0)), N1186, VLOOKUP(N1186, Crews!$A$2:$C$28, 2, 0))))) * 400</f>
        <v>0</v>
      </c>
      <c r="K1186" s="1"/>
      <c r="L1186" s="1" t="s">
        <v>2404</v>
      </c>
      <c r="M1186" s="1" t="n">
        <v>1</v>
      </c>
      <c r="N1186" s="1"/>
      <c r="O1186" s="1"/>
      <c r="P1186" s="1"/>
      <c r="Q1186" s="1"/>
      <c r="R1186" s="1"/>
      <c r="S1186" s="1"/>
      <c r="T1186" s="1"/>
    </row>
    <row r="1187" customFormat="false" ht="15" hidden="false" customHeight="true" outlineLevel="0" collapsed="false">
      <c r="A1187" s="1" t="s">
        <v>2406</v>
      </c>
      <c r="B1187" s="1" t="n">
        <v>1913</v>
      </c>
      <c r="C1187" s="1" t="n">
        <v>9</v>
      </c>
      <c r="D1187" s="1" t="s">
        <v>38</v>
      </c>
      <c r="E1187" s="1" t="s">
        <v>274</v>
      </c>
      <c r="F1187" s="1" t="n">
        <v>345</v>
      </c>
      <c r="G1187" s="1" t="n">
        <v>115</v>
      </c>
      <c r="H1187" s="2" t="n">
        <v>6852500</v>
      </c>
      <c r="I1187" s="2" t="n">
        <f aca="false">(((H1187 / 800) / IF(ISBLANK(R1187), 1000000, IF(ISNA(VLOOKUP(R1187, Mileages!$A$2:$C$34, 2, 0)), R1187, VLOOKUP(R1187, Mileages!$A$2:$C$34, 2, 0)))) + (F1187 * IF(ISBLANK(P1187), 1, P1187) * IF(ISBLANK(T1187), 0, IF(ISNA(VLOOKUP(T1187, 'Fuel Costs'!$A$2:$C$42, 2, 0)), T1187, VLOOKUP(T1187, 'Fuel Costs'!$A$2:$C$42, 2, 0))) / IF(ISBLANK(O1187), 1, O1187))) * 100</f>
        <v>148.7137054</v>
      </c>
      <c r="J1187" s="2" t="n">
        <f aca="false">((H1187 / 800) / (IF(ISBLANK(S1187), 100, IF(ISNA(VLOOKUP(S1187, Lives!$A$2:$C$35, 2, 0)), S1187, VLOOKUP(S1187, Lives!$A$2:$C$35, 2, 0))) * 12) + (IF(ISBLANK(Q1187), 0, IF(ISNA(VLOOKUP(Q1187, Wages!$A$2:$C$17, 2, 0)), Q1187, VLOOKUP(Q1187, Wages!$A$2:$C$17, 2, 0))) * IF(ISBLANK(N1187), 0, IF(ISNA(VLOOKUP(N1187, Crews!$A$2:$C$28, 2, 0)), N1187, VLOOKUP(N1187, Crews!$A$2:$C$28, 2, 0))))) * 400</f>
        <v>29710.41667</v>
      </c>
      <c r="K1187" s="3" t="s">
        <v>2407</v>
      </c>
      <c r="L1187" s="1" t="s">
        <v>2408</v>
      </c>
      <c r="M1187" s="1" t="n">
        <v>0</v>
      </c>
      <c r="N1187" s="1" t="s">
        <v>590</v>
      </c>
      <c r="O1187" s="1" t="n">
        <v>0.7</v>
      </c>
      <c r="P1187" s="1"/>
      <c r="Q1187" s="5" t="s">
        <v>284</v>
      </c>
      <c r="R1187" s="1" t="s">
        <v>677</v>
      </c>
      <c r="S1187" s="1" t="s">
        <v>677</v>
      </c>
      <c r="T1187" s="1" t="s">
        <v>1785</v>
      </c>
    </row>
    <row r="1188" customFormat="false" ht="15" hidden="false" customHeight="true" outlineLevel="0" collapsed="false">
      <c r="A1188" s="1" t="s">
        <v>2409</v>
      </c>
      <c r="B1188" s="1" t="n">
        <v>1913</v>
      </c>
      <c r="C1188" s="1" t="n">
        <v>9</v>
      </c>
      <c r="D1188" s="1" t="s">
        <v>38</v>
      </c>
      <c r="E1188" s="1"/>
      <c r="F1188" s="1" t="n">
        <v>0</v>
      </c>
      <c r="G1188" s="1" t="n">
        <v>123</v>
      </c>
      <c r="H1188" s="2" t="n">
        <v>0</v>
      </c>
      <c r="I1188" s="2" t="n">
        <f aca="false">(((H1188 / 800) / IF(ISBLANK(R1188), 1000000, IF(ISNA(VLOOKUP(R1188, Mileages!$A$2:$C$34, 2, 0)), R1188, VLOOKUP(R1188, Mileages!$A$2:$C$34, 2, 0)))) + (F1188 * IF(ISBLANK(P1188), 1, P1188) * IF(ISBLANK(T1188), 0, IF(ISNA(VLOOKUP(T1188, 'Fuel Costs'!$A$2:$C$42, 2, 0)), T1188, VLOOKUP(T1188, 'Fuel Costs'!$A$2:$C$42, 2, 0))) / IF(ISBLANK(O1188), 1, O1188))) * 100</f>
        <v>0</v>
      </c>
      <c r="J1188" s="2" t="n">
        <f aca="false">((H1188 / 800) / (IF(ISBLANK(S1188), 100, IF(ISNA(VLOOKUP(S1188, Lives!$A$2:$C$35, 2, 0)), S1188, VLOOKUP(S1188, Lives!$A$2:$C$35, 2, 0))) * 12) + (IF(ISBLANK(Q1188), 0, IF(ISNA(VLOOKUP(Q1188, Wages!$A$2:$C$17, 2, 0)), Q1188, VLOOKUP(Q1188, Wages!$A$2:$C$17, 2, 0))) * IF(ISBLANK(N1188), 0, IF(ISNA(VLOOKUP(N1188, Crews!$A$2:$C$28, 2, 0)), N1188, VLOOKUP(N1188, Crews!$A$2:$C$28, 2, 0))))) * 400</f>
        <v>0</v>
      </c>
      <c r="K1188" s="1"/>
      <c r="L1188" s="1" t="s">
        <v>2408</v>
      </c>
      <c r="M1188" s="1" t="n">
        <v>1</v>
      </c>
      <c r="N1188" s="1"/>
      <c r="O1188" s="1"/>
      <c r="P1188" s="1"/>
      <c r="Q1188" s="1"/>
      <c r="R1188" s="1"/>
      <c r="S1188" s="1"/>
      <c r="T1188" s="1"/>
    </row>
    <row r="1189" customFormat="false" ht="15" hidden="false" customHeight="true" outlineLevel="0" collapsed="false">
      <c r="A1189" s="1" t="s">
        <v>2410</v>
      </c>
      <c r="B1189" s="1" t="n">
        <v>1913</v>
      </c>
      <c r="C1189" s="1" t="n">
        <v>10</v>
      </c>
      <c r="D1189" s="1" t="s">
        <v>38</v>
      </c>
      <c r="E1189" s="1" t="s">
        <v>1346</v>
      </c>
      <c r="F1189" s="1" t="n">
        <v>600</v>
      </c>
      <c r="G1189" s="1" t="n">
        <v>65</v>
      </c>
      <c r="H1189" s="2" t="n">
        <v>8000000</v>
      </c>
      <c r="I1189" s="2" t="n">
        <f aca="false">(((H1189 / 800) / IF(ISBLANK(R1189), 1000000, IF(ISNA(VLOOKUP(R1189, Mileages!$A$2:$C$34, 2, 0)), R1189, VLOOKUP(R1189, Mileages!$A$2:$C$34, 2, 0)))) + (F1189 * IF(ISBLANK(P1189), 1, P1189) * IF(ISBLANK(T1189), 0, IF(ISNA(VLOOKUP(T1189, 'Fuel Costs'!$A$2:$C$42, 2, 0)), T1189, VLOOKUP(T1189, 'Fuel Costs'!$A$2:$C$42, 2, 0))) / IF(ISBLANK(O1189), 1, O1189))) * 100</f>
        <v>361.3333333</v>
      </c>
      <c r="J1189" s="2" t="n">
        <f aca="false">((H1189 / 800) / (IF(ISBLANK(S1189), 100, IF(ISNA(VLOOKUP(S1189, Lives!$A$2:$C$35, 2, 0)), S1189, VLOOKUP(S1189, Lives!$A$2:$C$35, 2, 0))) * 12) + (IF(ISBLANK(Q1189), 0, IF(ISNA(VLOOKUP(Q1189, Wages!$A$2:$C$17, 2, 0)), Q1189, VLOOKUP(Q1189, Wages!$A$2:$C$17, 2, 0))) * IF(ISBLANK(N1189), 0, IF(ISNA(VLOOKUP(N1189, Crews!$A$2:$C$28, 2, 0)), N1189, VLOOKUP(N1189, Crews!$A$2:$C$28, 2, 0))))) * 400</f>
        <v>12666.66667</v>
      </c>
      <c r="K1189" s="3" t="s">
        <v>2411</v>
      </c>
      <c r="L1189" s="1" t="s">
        <v>2412</v>
      </c>
      <c r="M1189" s="1" t="n">
        <v>0</v>
      </c>
      <c r="N1189" s="1" t="s">
        <v>1512</v>
      </c>
      <c r="O1189" s="1" t="n">
        <v>1</v>
      </c>
      <c r="P1189" s="1"/>
      <c r="Q1189" s="1" t="str">
        <f aca="false">IF(ISBLANK('Pak128 Britain In'!$N1189),,'Pak128 Britain In'!$N1189)</f>
        <v>ElectricMultipleUnit</v>
      </c>
      <c r="R1189" s="1" t="s">
        <v>1489</v>
      </c>
      <c r="S1189" s="1" t="s">
        <v>1350</v>
      </c>
      <c r="T1189" s="1" t="s">
        <v>1351</v>
      </c>
    </row>
    <row r="1190" customFormat="false" ht="15" hidden="false" customHeight="true" outlineLevel="0" collapsed="false">
      <c r="A1190" s="1" t="s">
        <v>2413</v>
      </c>
      <c r="B1190" s="1" t="n">
        <v>1913</v>
      </c>
      <c r="C1190" s="1" t="n">
        <v>10</v>
      </c>
      <c r="D1190" s="1" t="s">
        <v>38</v>
      </c>
      <c r="E1190" s="1" t="s">
        <v>1346</v>
      </c>
      <c r="F1190" s="1"/>
      <c r="G1190" s="1" t="n">
        <v>65</v>
      </c>
      <c r="H1190" s="2" t="n">
        <v>1400000</v>
      </c>
      <c r="I1190" s="2" t="n">
        <f aca="false">(((H1190 / 800) / IF(ISBLANK(R1190), 1000000, IF(ISNA(VLOOKUP(R1190, Mileages!$A$2:$C$34, 2, 0)), R1190, VLOOKUP(R1190, Mileages!$A$2:$C$34, 2, 0)))) + (F1190 * IF(ISBLANK(P1190), 1, P1190) * IF(ISBLANK(T1190), 0, IF(ISNA(VLOOKUP(T1190, 'Fuel Costs'!$A$2:$C$42, 2, 0)), T1190, VLOOKUP(T1190, 'Fuel Costs'!$A$2:$C$42, 2, 0))) / IF(ISBLANK(O1190), 1, O1190))) * 100</f>
        <v>0.1458333333</v>
      </c>
      <c r="J1190" s="2" t="n">
        <f aca="false">((H1190 / 800) / (IF(ISBLANK(S1190), 100, IF(ISNA(VLOOKUP(S1190, Lives!$A$2:$C$35, 2, 0)), S1190, VLOOKUP(S1190, Lives!$A$2:$C$35, 2, 0))) * 12) + (IF(ISBLANK(Q1190), 0, IF(ISNA(VLOOKUP(Q1190, Wages!$A$2:$C$17, 2, 0)), Q1190, VLOOKUP(Q1190, Wages!$A$2:$C$17, 2, 0))) * IF(ISBLANK(N1190), 0, IF(ISNA(VLOOKUP(N1190, Crews!$A$2:$C$28, 2, 0)), N1190, VLOOKUP(N1190, Crews!$A$2:$C$28, 2, 0))))) * 400</f>
        <v>1666.666667</v>
      </c>
      <c r="K1190" s="1"/>
      <c r="L1190" s="1" t="s">
        <v>2412</v>
      </c>
      <c r="M1190" s="1" t="n">
        <v>1</v>
      </c>
      <c r="N1190" s="1"/>
      <c r="O1190" s="1"/>
      <c r="P1190" s="1"/>
      <c r="Q1190" s="1"/>
      <c r="R1190" s="1" t="s">
        <v>689</v>
      </c>
      <c r="S1190" s="1" t="s">
        <v>856</v>
      </c>
      <c r="T1190" s="1"/>
    </row>
    <row r="1191" customFormat="false" ht="15" hidden="false" customHeight="true" outlineLevel="0" collapsed="false">
      <c r="A1191" s="1" t="s">
        <v>2414</v>
      </c>
      <c r="B1191" s="1" t="n">
        <v>1913</v>
      </c>
      <c r="C1191" s="1" t="n">
        <v>10</v>
      </c>
      <c r="D1191" s="1" t="s">
        <v>38</v>
      </c>
      <c r="E1191" s="1" t="s">
        <v>1346</v>
      </c>
      <c r="F1191" s="1" t="n">
        <v>600</v>
      </c>
      <c r="G1191" s="1" t="n">
        <v>65</v>
      </c>
      <c r="H1191" s="2" t="n">
        <v>8000000</v>
      </c>
      <c r="I1191" s="2" t="n">
        <f aca="false">(((H1191 / 800) / IF(ISBLANK(R1191), 1000000, IF(ISNA(VLOOKUP(R1191, Mileages!$A$2:$C$34, 2, 0)), R1191, VLOOKUP(R1191, Mileages!$A$2:$C$34, 2, 0)))) + (F1191 * IF(ISBLANK(P1191), 1, P1191) * IF(ISBLANK(T1191), 0, IF(ISNA(VLOOKUP(T1191, 'Fuel Costs'!$A$2:$C$42, 2, 0)), T1191, VLOOKUP(T1191, 'Fuel Costs'!$A$2:$C$42, 2, 0))) / IF(ISBLANK(O1191), 1, O1191))) * 100</f>
        <v>361.3333333</v>
      </c>
      <c r="J1191" s="2" t="n">
        <f aca="false">((H1191 / 800) / (IF(ISBLANK(S1191), 100, IF(ISNA(VLOOKUP(S1191, Lives!$A$2:$C$35, 2, 0)), S1191, VLOOKUP(S1191, Lives!$A$2:$C$35, 2, 0))) * 12) + (IF(ISBLANK(Q1191), 0, IF(ISNA(VLOOKUP(Q1191, Wages!$A$2:$C$17, 2, 0)), Q1191, VLOOKUP(Q1191, Wages!$A$2:$C$17, 2, 0))) * IF(ISBLANK(N1191), 0, IF(ISNA(VLOOKUP(N1191, Crews!$A$2:$C$28, 2, 0)), N1191, VLOOKUP(N1191, Crews!$A$2:$C$28, 2, 0))))) * 400</f>
        <v>12666.66667</v>
      </c>
      <c r="K1191" s="1"/>
      <c r="L1191" s="1" t="s">
        <v>2412</v>
      </c>
      <c r="M1191" s="1" t="n">
        <v>2</v>
      </c>
      <c r="N1191" s="1" t="s">
        <v>1512</v>
      </c>
      <c r="O1191" s="1" t="n">
        <v>1</v>
      </c>
      <c r="P1191" s="1"/>
      <c r="Q1191" s="1" t="str">
        <f aca="false">IF(ISBLANK('Pak128 Britain In'!$N1191),,'Pak128 Britain In'!$N1191)</f>
        <v>ElectricMultipleUnit</v>
      </c>
      <c r="R1191" s="1" t="s">
        <v>1489</v>
      </c>
      <c r="S1191" s="1" t="s">
        <v>1350</v>
      </c>
      <c r="T1191" s="1" t="s">
        <v>1351</v>
      </c>
    </row>
    <row r="1192" customFormat="false" ht="15" hidden="false" customHeight="true" outlineLevel="0" collapsed="false">
      <c r="A1192" s="1" t="s">
        <v>2415</v>
      </c>
      <c r="B1192" s="1" t="n">
        <v>1914</v>
      </c>
      <c r="C1192" s="1" t="n">
        <v>2</v>
      </c>
      <c r="D1192" s="1" t="s">
        <v>38</v>
      </c>
      <c r="E1192" s="1" t="s">
        <v>1346</v>
      </c>
      <c r="F1192" s="1" t="n">
        <v>150</v>
      </c>
      <c r="G1192" s="1" t="n">
        <v>60</v>
      </c>
      <c r="H1192" s="2" t="n">
        <v>1050000</v>
      </c>
      <c r="I1192" s="2" t="n">
        <f aca="false">(((H1192 / 800) / IF(ISBLANK(R1192), 1000000, IF(ISNA(VLOOKUP(R1192, Mileages!$A$2:$C$34, 2, 0)), R1192, VLOOKUP(R1192, Mileages!$A$2:$C$34, 2, 0)))) + (F1192 * IF(ISBLANK(P1192), 1, P1192) * IF(ISBLANK(T1192), 0, IF(ISNA(VLOOKUP(T1192, 'Fuel Costs'!$A$2:$C$42, 2, 0)), T1192, VLOOKUP(T1192, 'Fuel Costs'!$A$2:$C$42, 2, 0))) / IF(ISBLANK(O1192), 1, O1192))) * 100</f>
        <v>90.175</v>
      </c>
      <c r="J1192" s="2" t="n">
        <f aca="false">((H1192 / 800) / (IF(ISBLANK(S1192), 100, IF(ISNA(VLOOKUP(S1192, Lives!$A$2:$C$35, 2, 0)), S1192, VLOOKUP(S1192, Lives!$A$2:$C$35, 2, 0))) * 12) + (IF(ISBLANK(Q1192), 0, IF(ISNA(VLOOKUP(Q1192, Wages!$A$2:$C$17, 2, 0)), Q1192, VLOOKUP(Q1192, Wages!$A$2:$C$17, 2, 0))) * IF(ISBLANK(N1192), 0, IF(ISNA(VLOOKUP(N1192, Crews!$A$2:$C$28, 2, 0)), N1192, VLOOKUP(N1192, Crews!$A$2:$C$28, 2, 0))))) * 400</f>
        <v>6875</v>
      </c>
      <c r="K1192" s="1"/>
      <c r="L1192" s="1" t="s">
        <v>2416</v>
      </c>
      <c r="M1192" s="1" t="n">
        <v>0</v>
      </c>
      <c r="N1192" s="1" t="s">
        <v>1512</v>
      </c>
      <c r="O1192" s="1" t="n">
        <v>1</v>
      </c>
      <c r="P1192" s="1"/>
      <c r="Q1192" s="1" t="str">
        <f aca="false">IF(ISBLANK('Pak128 Britain In'!$N1192),,'Pak128 Britain In'!$N1192)</f>
        <v>ElectricMultipleUnit</v>
      </c>
      <c r="R1192" s="1" t="s">
        <v>1489</v>
      </c>
      <c r="S1192" s="1" t="s">
        <v>1350</v>
      </c>
      <c r="T1192" s="1" t="s">
        <v>1351</v>
      </c>
    </row>
    <row r="1193" customFormat="false" ht="15" hidden="false" customHeight="true" outlineLevel="0" collapsed="false">
      <c r="A1193" s="1" t="s">
        <v>2417</v>
      </c>
      <c r="B1193" s="1" t="n">
        <v>1914</v>
      </c>
      <c r="C1193" s="1" t="n">
        <v>2</v>
      </c>
      <c r="D1193" s="1" t="s">
        <v>38</v>
      </c>
      <c r="E1193" s="1" t="s">
        <v>1346</v>
      </c>
      <c r="F1193" s="1" t="n">
        <v>150</v>
      </c>
      <c r="G1193" s="1" t="n">
        <v>60</v>
      </c>
      <c r="H1193" s="2" t="n">
        <v>1050000</v>
      </c>
      <c r="I1193" s="2" t="n">
        <f aca="false">(((H1193 / 800) / IF(ISBLANK(R1193), 1000000, IF(ISNA(VLOOKUP(R1193, Mileages!$A$2:$C$34, 2, 0)), R1193, VLOOKUP(R1193, Mileages!$A$2:$C$34, 2, 0)))) + (F1193 * IF(ISBLANK(P1193), 1, P1193) * IF(ISBLANK(T1193), 0, IF(ISNA(VLOOKUP(T1193, 'Fuel Costs'!$A$2:$C$42, 2, 0)), T1193, VLOOKUP(T1193, 'Fuel Costs'!$A$2:$C$42, 2, 0))) / IF(ISBLANK(O1193), 1, O1193))) * 100</f>
        <v>90.175</v>
      </c>
      <c r="J1193" s="2" t="n">
        <f aca="false">((H1193 / 800) / (IF(ISBLANK(S1193), 100, IF(ISNA(VLOOKUP(S1193, Lives!$A$2:$C$35, 2, 0)), S1193, VLOOKUP(S1193, Lives!$A$2:$C$35, 2, 0))) * 12) + (IF(ISBLANK(Q1193), 0, IF(ISNA(VLOOKUP(Q1193, Wages!$A$2:$C$17, 2, 0)), Q1193, VLOOKUP(Q1193, Wages!$A$2:$C$17, 2, 0))) * IF(ISBLANK(N1193), 0, IF(ISNA(VLOOKUP(N1193, Crews!$A$2:$C$28, 2, 0)), N1193, VLOOKUP(N1193, Crews!$A$2:$C$28, 2, 0))))) * 400</f>
        <v>6875</v>
      </c>
      <c r="K1193" s="1"/>
      <c r="L1193" s="1" t="s">
        <v>2416</v>
      </c>
      <c r="M1193" s="1" t="n">
        <v>1</v>
      </c>
      <c r="N1193" s="1" t="s">
        <v>1512</v>
      </c>
      <c r="O1193" s="1" t="n">
        <v>1</v>
      </c>
      <c r="P1193" s="1"/>
      <c r="Q1193" s="1" t="str">
        <f aca="false">IF(ISBLANK('Pak128 Britain In'!$N1193),,'Pak128 Britain In'!$N1193)</f>
        <v>ElectricMultipleUnit</v>
      </c>
      <c r="R1193" s="1" t="s">
        <v>1489</v>
      </c>
      <c r="S1193" s="1" t="s">
        <v>1350</v>
      </c>
      <c r="T1193" s="1" t="s">
        <v>1351</v>
      </c>
    </row>
    <row r="1194" customFormat="false" ht="15" hidden="false" customHeight="true" outlineLevel="0" collapsed="false">
      <c r="A1194" s="1" t="s">
        <v>2418</v>
      </c>
      <c r="B1194" s="1" t="n">
        <v>1914</v>
      </c>
      <c r="C1194" s="1" t="n">
        <v>4</v>
      </c>
      <c r="D1194" s="1" t="s">
        <v>38</v>
      </c>
      <c r="E1194" s="1" t="s">
        <v>274</v>
      </c>
      <c r="F1194" s="1" t="n">
        <v>418</v>
      </c>
      <c r="G1194" s="1" t="n">
        <v>125</v>
      </c>
      <c r="H1194" s="2" t="n">
        <v>11486000</v>
      </c>
      <c r="I1194" s="2" t="n">
        <f aca="false">(((H1194 / 800) / IF(ISBLANK(R1194), 1000000, IF(ISNA(VLOOKUP(R1194, Mileages!$A$2:$C$34, 2, 0)), R1194, VLOOKUP(R1194, Mileages!$A$2:$C$34, 2, 0)))) + (F1194 * IF(ISBLANK(P1194), 1, P1194) * IF(ISBLANK(T1194), 0, IF(ISNA(VLOOKUP(T1194, 'Fuel Costs'!$A$2:$C$42, 2, 0)), T1194, VLOOKUP(T1194, 'Fuel Costs'!$A$2:$C$42, 2, 0))) / IF(ISBLANK(O1194), 1, O1194))) * 100</f>
        <v>180.5786071</v>
      </c>
      <c r="J1194" s="2" t="n">
        <f aca="false">((H1194 / 800) / (IF(ISBLANK(S1194), 100, IF(ISNA(VLOOKUP(S1194, Lives!$A$2:$C$35, 2, 0)), S1194, VLOOKUP(S1194, Lives!$A$2:$C$35, 2, 0))) * 12) + (IF(ISBLANK(Q1194), 0, IF(ISNA(VLOOKUP(Q1194, Wages!$A$2:$C$17, 2, 0)), Q1194, VLOOKUP(Q1194, Wages!$A$2:$C$17, 2, 0))) * IF(ISBLANK(N1194), 0, IF(ISNA(VLOOKUP(N1194, Crews!$A$2:$C$28, 2, 0)), N1194, VLOOKUP(N1194, Crews!$A$2:$C$28, 2, 0))))) * 400</f>
        <v>49571.66667</v>
      </c>
      <c r="K1194" s="3" t="s">
        <v>2419</v>
      </c>
      <c r="L1194" s="1" t="s">
        <v>2420</v>
      </c>
      <c r="M1194" s="1" t="n">
        <v>0</v>
      </c>
      <c r="N1194" s="1" t="s">
        <v>1705</v>
      </c>
      <c r="O1194" s="1" t="n">
        <v>0.7</v>
      </c>
      <c r="P1194" s="1"/>
      <c r="Q1194" s="5" t="s">
        <v>284</v>
      </c>
      <c r="R1194" s="1" t="s">
        <v>677</v>
      </c>
      <c r="S1194" s="1" t="s">
        <v>677</v>
      </c>
      <c r="T1194" s="1" t="s">
        <v>1785</v>
      </c>
    </row>
    <row r="1195" customFormat="false" ht="15" hidden="false" customHeight="true" outlineLevel="0" collapsed="false">
      <c r="A1195" s="1" t="s">
        <v>2421</v>
      </c>
      <c r="B1195" s="1" t="n">
        <v>1914</v>
      </c>
      <c r="C1195" s="1" t="n">
        <v>4</v>
      </c>
      <c r="D1195" s="1" t="s">
        <v>38</v>
      </c>
      <c r="E1195" s="1"/>
      <c r="F1195" s="1" t="n">
        <v>0</v>
      </c>
      <c r="G1195" s="1" t="n">
        <v>142</v>
      </c>
      <c r="H1195" s="2" t="n">
        <v>0</v>
      </c>
      <c r="I1195" s="2" t="n">
        <f aca="false">(((H1195 / 800) / IF(ISBLANK(R1195), 1000000, IF(ISNA(VLOOKUP(R1195, Mileages!$A$2:$C$34, 2, 0)), R1195, VLOOKUP(R1195, Mileages!$A$2:$C$34, 2, 0)))) + (F1195 * IF(ISBLANK(P1195), 1, P1195) * IF(ISBLANK(T1195), 0, IF(ISNA(VLOOKUP(T1195, 'Fuel Costs'!$A$2:$C$42, 2, 0)), T1195, VLOOKUP(T1195, 'Fuel Costs'!$A$2:$C$42, 2, 0))) / IF(ISBLANK(O1195), 1, O1195))) * 100</f>
        <v>0</v>
      </c>
      <c r="J1195" s="2" t="n">
        <f aca="false">((H1195 / 800) / (IF(ISBLANK(S1195), 100, IF(ISNA(VLOOKUP(S1195, Lives!$A$2:$C$35, 2, 0)), S1195, VLOOKUP(S1195, Lives!$A$2:$C$35, 2, 0))) * 12) + (IF(ISBLANK(Q1195), 0, IF(ISNA(VLOOKUP(Q1195, Wages!$A$2:$C$17, 2, 0)), Q1195, VLOOKUP(Q1195, Wages!$A$2:$C$17, 2, 0))) * IF(ISBLANK(N1195), 0, IF(ISNA(VLOOKUP(N1195, Crews!$A$2:$C$28, 2, 0)), N1195, VLOOKUP(N1195, Crews!$A$2:$C$28, 2, 0))))) * 400</f>
        <v>0</v>
      </c>
      <c r="K1195" s="1"/>
      <c r="L1195" s="1" t="s">
        <v>2420</v>
      </c>
      <c r="M1195" s="1" t="n">
        <v>1</v>
      </c>
      <c r="N1195" s="1"/>
      <c r="O1195" s="1"/>
      <c r="P1195" s="1"/>
      <c r="Q1195" s="1"/>
      <c r="R1195" s="1"/>
      <c r="S1195" s="1"/>
      <c r="T1195" s="1"/>
    </row>
    <row r="1196" customFormat="false" ht="15" hidden="false" customHeight="true" outlineLevel="0" collapsed="false">
      <c r="A1196" s="1" t="s">
        <v>2422</v>
      </c>
      <c r="B1196" s="1" t="n">
        <v>1914</v>
      </c>
      <c r="C1196" s="1" t="n">
        <v>4</v>
      </c>
      <c r="D1196" s="1" t="s">
        <v>38</v>
      </c>
      <c r="E1196" s="1" t="s">
        <v>274</v>
      </c>
      <c r="F1196" s="1" t="n">
        <v>375</v>
      </c>
      <c r="G1196" s="1" t="n">
        <v>130</v>
      </c>
      <c r="H1196" s="2" t="n">
        <v>7795200</v>
      </c>
      <c r="I1196" s="2" t="n">
        <f aca="false">(((H1196 / 800) / IF(ISBLANK(R1196), 1000000, IF(ISNA(VLOOKUP(R1196, Mileages!$A$2:$C$34, 2, 0)), R1196, VLOOKUP(R1196, Mileages!$A$2:$C$34, 2, 0)))) + (F1196 * IF(ISBLANK(P1196), 1, P1196) * IF(ISBLANK(T1196), 0, IF(ISNA(VLOOKUP(T1196, 'Fuel Costs'!$A$2:$C$42, 2, 0)), T1196, VLOOKUP(T1196, 'Fuel Costs'!$A$2:$C$42, 2, 0))) / IF(ISBLANK(O1196), 1, O1196))) * 100</f>
        <v>161.6886857</v>
      </c>
      <c r="J1196" s="2" t="n">
        <f aca="false">((H1196 / 800) / (IF(ISBLANK(S1196), 100, IF(ISNA(VLOOKUP(S1196, Lives!$A$2:$C$35, 2, 0)), S1196, VLOOKUP(S1196, Lives!$A$2:$C$35, 2, 0))) * 12) + (IF(ISBLANK(Q1196), 0, IF(ISNA(VLOOKUP(Q1196, Wages!$A$2:$C$17, 2, 0)), Q1196, VLOOKUP(Q1196, Wages!$A$2:$C$17, 2, 0))) * IF(ISBLANK(N1196), 0, IF(ISNA(VLOOKUP(N1196, Crews!$A$2:$C$28, 2, 0)), N1196, VLOOKUP(N1196, Crews!$A$2:$C$28, 2, 0))))) * 400</f>
        <v>30496</v>
      </c>
      <c r="K1196" s="3" t="s">
        <v>2423</v>
      </c>
      <c r="L1196" s="1" t="s">
        <v>2424</v>
      </c>
      <c r="M1196" s="1" t="n">
        <v>0</v>
      </c>
      <c r="N1196" s="1" t="s">
        <v>590</v>
      </c>
      <c r="O1196" s="1" t="n">
        <v>0.7</v>
      </c>
      <c r="P1196" s="1"/>
      <c r="Q1196" s="5" t="s">
        <v>284</v>
      </c>
      <c r="R1196" s="1" t="s">
        <v>677</v>
      </c>
      <c r="S1196" s="1" t="s">
        <v>677</v>
      </c>
      <c r="T1196" s="1" t="s">
        <v>1785</v>
      </c>
    </row>
    <row r="1197" customFormat="false" ht="15" hidden="false" customHeight="true" outlineLevel="0" collapsed="false">
      <c r="A1197" s="1" t="s">
        <v>2425</v>
      </c>
      <c r="B1197" s="1" t="n">
        <v>1914</v>
      </c>
      <c r="C1197" s="1" t="n">
        <v>4</v>
      </c>
      <c r="D1197" s="1" t="s">
        <v>38</v>
      </c>
      <c r="E1197" s="1"/>
      <c r="F1197" s="1" t="n">
        <v>0</v>
      </c>
      <c r="G1197" s="1" t="n">
        <v>142</v>
      </c>
      <c r="H1197" s="2" t="n">
        <v>0</v>
      </c>
      <c r="I1197" s="2" t="n">
        <f aca="false">(((H1197 / 800) / IF(ISBLANK(R1197), 1000000, IF(ISNA(VLOOKUP(R1197, Mileages!$A$2:$C$34, 2, 0)), R1197, VLOOKUP(R1197, Mileages!$A$2:$C$34, 2, 0)))) + (F1197 * IF(ISBLANK(P1197), 1, P1197) * IF(ISBLANK(T1197), 0, IF(ISNA(VLOOKUP(T1197, 'Fuel Costs'!$A$2:$C$42, 2, 0)), T1197, VLOOKUP(T1197, 'Fuel Costs'!$A$2:$C$42, 2, 0))) / IF(ISBLANK(O1197), 1, O1197))) * 100</f>
        <v>0</v>
      </c>
      <c r="J1197" s="2" t="n">
        <f aca="false">((H1197 / 800) / (IF(ISBLANK(S1197), 100, IF(ISNA(VLOOKUP(S1197, Lives!$A$2:$C$35, 2, 0)), S1197, VLOOKUP(S1197, Lives!$A$2:$C$35, 2, 0))) * 12) + (IF(ISBLANK(Q1197), 0, IF(ISNA(VLOOKUP(Q1197, Wages!$A$2:$C$17, 2, 0)), Q1197, VLOOKUP(Q1197, Wages!$A$2:$C$17, 2, 0))) * IF(ISBLANK(N1197), 0, IF(ISNA(VLOOKUP(N1197, Crews!$A$2:$C$28, 2, 0)), N1197, VLOOKUP(N1197, Crews!$A$2:$C$28, 2, 0))))) * 400</f>
        <v>0</v>
      </c>
      <c r="K1197" s="1"/>
      <c r="L1197" s="1" t="s">
        <v>2426</v>
      </c>
      <c r="M1197" s="1" t="n">
        <v>1</v>
      </c>
      <c r="N1197" s="1"/>
      <c r="O1197" s="1"/>
      <c r="P1197" s="1"/>
      <c r="Q1197" s="1"/>
      <c r="R1197" s="1"/>
      <c r="S1197" s="1"/>
      <c r="T1197" s="1"/>
    </row>
    <row r="1198" customFormat="false" ht="15" hidden="false" customHeight="true" outlineLevel="0" collapsed="false">
      <c r="A1198" s="1" t="s">
        <v>2427</v>
      </c>
      <c r="B1198" s="1" t="n">
        <v>1914</v>
      </c>
      <c r="C1198" s="1" t="n">
        <v>5</v>
      </c>
      <c r="D1198" s="1" t="s">
        <v>21</v>
      </c>
      <c r="E1198" s="1" t="s">
        <v>1839</v>
      </c>
      <c r="F1198" s="1" t="n">
        <v>36</v>
      </c>
      <c r="G1198" s="1" t="n">
        <v>20</v>
      </c>
      <c r="H1198" s="2" t="n">
        <v>96000</v>
      </c>
      <c r="I1198" s="2" t="n">
        <f aca="false">(((H1198 / 800) / IF(ISBLANK(R1198), 1000000, IF(ISNA(VLOOKUP(R1198, Mileages!$A$2:$C$34, 2, 0)), R1198, VLOOKUP(R1198, Mileages!$A$2:$C$34, 2, 0)))) + (F1198 * IF(ISBLANK(P1198), 1, P1198) * IF(ISBLANK(T1198), 0, IF(ISNA(VLOOKUP(T1198, 'Fuel Costs'!$A$2:$C$42, 2, 0)), T1198, VLOOKUP(T1198, 'Fuel Costs'!$A$2:$C$42, 2, 0))) / IF(ISBLANK(O1198), 1, O1198))) * 100</f>
        <v>42.024</v>
      </c>
      <c r="J1198" s="2" t="n">
        <f aca="false">((H1198 / 800) / (IF(ISBLANK(S1198), 100, IF(ISNA(VLOOKUP(S1198, Lives!$A$2:$C$35, 2, 0)), S1198, VLOOKUP(S1198, Lives!$A$2:$C$35, 2, 0))) * 12) + (IF(ISBLANK(Q1198), 0, IF(ISNA(VLOOKUP(Q1198, Wages!$A$2:$C$17, 2, 0)), Q1198, VLOOKUP(Q1198, Wages!$A$2:$C$17, 2, 0))) * IF(ISBLANK(N1198), 0, IF(ISNA(VLOOKUP(N1198, Crews!$A$2:$C$28, 2, 0)), N1198, VLOOKUP(N1198, Crews!$A$2:$C$28, 2, 0))))) * 400</f>
        <v>8050</v>
      </c>
      <c r="K1198" s="3" t="s">
        <v>2428</v>
      </c>
      <c r="L1198" s="1" t="s">
        <v>2429</v>
      </c>
      <c r="M1198" s="1" t="n">
        <v>0</v>
      </c>
      <c r="N1198" s="1" t="s">
        <v>25</v>
      </c>
      <c r="O1198" s="1" t="n">
        <v>0.6</v>
      </c>
      <c r="P1198" s="1"/>
      <c r="Q1198" s="1" t="s">
        <v>1815</v>
      </c>
      <c r="R1198" s="1" t="s">
        <v>1842</v>
      </c>
      <c r="S1198" s="1" t="s">
        <v>1843</v>
      </c>
      <c r="T1198" s="1" t="s">
        <v>1844</v>
      </c>
    </row>
    <row r="1199" customFormat="false" ht="15" hidden="false" customHeight="true" outlineLevel="0" collapsed="false">
      <c r="A1199" s="1" t="s">
        <v>2430</v>
      </c>
      <c r="B1199" s="1" t="n">
        <v>1914</v>
      </c>
      <c r="C1199" s="1" t="n">
        <v>5</v>
      </c>
      <c r="D1199" s="1" t="s">
        <v>21</v>
      </c>
      <c r="E1199" s="1" t="s">
        <v>1839</v>
      </c>
      <c r="F1199" s="1" t="n">
        <v>36</v>
      </c>
      <c r="G1199" s="1" t="n">
        <v>20</v>
      </c>
      <c r="H1199" s="2" t="n">
        <v>97700</v>
      </c>
      <c r="I1199" s="2" t="n">
        <f aca="false">(((H1199 / 800) / IF(ISBLANK(R1199), 1000000, IF(ISNA(VLOOKUP(R1199, Mileages!$A$2:$C$34, 2, 0)), R1199, VLOOKUP(R1199, Mileages!$A$2:$C$34, 2, 0)))) + (F1199 * IF(ISBLANK(P1199), 1, P1199) * IF(ISBLANK(T1199), 0, IF(ISNA(VLOOKUP(T1199, 'Fuel Costs'!$A$2:$C$42, 2, 0)), T1199, VLOOKUP(T1199, 'Fuel Costs'!$A$2:$C$42, 2, 0))) / IF(ISBLANK(O1199), 1, O1199))) * 100</f>
        <v>42.024425</v>
      </c>
      <c r="J1199" s="2" t="n">
        <f aca="false">((H1199 / 800) / (IF(ISBLANK(S1199), 100, IF(ISNA(VLOOKUP(S1199, Lives!$A$2:$C$35, 2, 0)), S1199, VLOOKUP(S1199, Lives!$A$2:$C$35, 2, 0))) * 12) + (IF(ISBLANK(Q1199), 0, IF(ISNA(VLOOKUP(Q1199, Wages!$A$2:$C$17, 2, 0)), Q1199, VLOOKUP(Q1199, Wages!$A$2:$C$17, 2, 0))) * IF(ISBLANK(N1199), 0, IF(ISNA(VLOOKUP(N1199, Crews!$A$2:$C$28, 2, 0)), N1199, VLOOKUP(N1199, Crews!$A$2:$C$28, 2, 0))))) * 400</f>
        <v>8050.885417</v>
      </c>
      <c r="K1199" s="3" t="s">
        <v>2431</v>
      </c>
      <c r="L1199" s="1" t="s">
        <v>2432</v>
      </c>
      <c r="M1199" s="1" t="n">
        <v>0</v>
      </c>
      <c r="N1199" s="1" t="s">
        <v>25</v>
      </c>
      <c r="O1199" s="1" t="n">
        <v>0.6</v>
      </c>
      <c r="P1199" s="1"/>
      <c r="Q1199" s="1" t="s">
        <v>1815</v>
      </c>
      <c r="R1199" s="1" t="s">
        <v>1842</v>
      </c>
      <c r="S1199" s="1" t="s">
        <v>1843</v>
      </c>
      <c r="T1199" s="1" t="s">
        <v>1844</v>
      </c>
    </row>
    <row r="1200" customFormat="false" ht="15" hidden="false" customHeight="true" outlineLevel="0" collapsed="false">
      <c r="A1200" s="1" t="s">
        <v>2433</v>
      </c>
      <c r="B1200" s="1" t="n">
        <v>1914</v>
      </c>
      <c r="C1200" s="1" t="n">
        <v>6</v>
      </c>
      <c r="D1200" s="1" t="s">
        <v>38</v>
      </c>
      <c r="E1200" s="1" t="s">
        <v>1346</v>
      </c>
      <c r="F1200" s="1" t="n">
        <v>298</v>
      </c>
      <c r="G1200" s="1" t="n">
        <v>65</v>
      </c>
      <c r="H1200" s="2" t="n">
        <v>7000000</v>
      </c>
      <c r="I1200" s="2" t="n">
        <f aca="false">(((H1200 / 800) / IF(ISBLANK(R1200), 1000000, IF(ISNA(VLOOKUP(R1200, Mileages!$A$2:$C$34, 2, 0)), R1200, VLOOKUP(R1200, Mileages!$A$2:$C$34, 2, 0)))) + (F1200 * IF(ISBLANK(P1200), 1, P1200) * IF(ISBLANK(T1200), 0, IF(ISNA(VLOOKUP(T1200, 'Fuel Costs'!$A$2:$C$42, 2, 0)), T1200, VLOOKUP(T1200, 'Fuel Costs'!$A$2:$C$42, 2, 0))) / IF(ISBLANK(O1200), 1, O1200))) * 100</f>
        <v>179.9666667</v>
      </c>
      <c r="J1200" s="2" t="n">
        <f aca="false">((H1200 / 800) / (IF(ISBLANK(S1200), 100, IF(ISNA(VLOOKUP(S1200, Lives!$A$2:$C$35, 2, 0)), S1200, VLOOKUP(S1200, Lives!$A$2:$C$35, 2, 0))) * 12) + (IF(ISBLANK(Q1200), 0, IF(ISNA(VLOOKUP(Q1200, Wages!$A$2:$C$17, 2, 0)), Q1200, VLOOKUP(Q1200, Wages!$A$2:$C$17, 2, 0))) * IF(ISBLANK(N1200), 0, IF(ISNA(VLOOKUP(N1200, Crews!$A$2:$C$28, 2, 0)), N1200, VLOOKUP(N1200, Crews!$A$2:$C$28, 2, 0))))) * 400</f>
        <v>11833.33333</v>
      </c>
      <c r="K1200" s="3" t="s">
        <v>2434</v>
      </c>
      <c r="L1200" s="1" t="s">
        <v>2435</v>
      </c>
      <c r="M1200" s="1" t="n">
        <v>0</v>
      </c>
      <c r="N1200" s="1" t="s">
        <v>1512</v>
      </c>
      <c r="O1200" s="1" t="n">
        <v>1</v>
      </c>
      <c r="P1200" s="1"/>
      <c r="Q1200" s="1" t="str">
        <f aca="false">IF(ISBLANK('Pak128 Britain In'!$N1200),,'Pak128 Britain In'!$N1200)</f>
        <v>ElectricMultipleUnit</v>
      </c>
      <c r="R1200" s="1" t="s">
        <v>1489</v>
      </c>
      <c r="S1200" s="1" t="s">
        <v>1350</v>
      </c>
      <c r="T1200" s="1" t="s">
        <v>1351</v>
      </c>
    </row>
    <row r="1201" customFormat="false" ht="15" hidden="false" customHeight="true" outlineLevel="0" collapsed="false">
      <c r="A1201" s="1" t="s">
        <v>2436</v>
      </c>
      <c r="B1201" s="1" t="n">
        <v>1914</v>
      </c>
      <c r="C1201" s="1" t="n">
        <v>6</v>
      </c>
      <c r="D1201" s="1" t="s">
        <v>38</v>
      </c>
      <c r="E1201" s="1" t="s">
        <v>1346</v>
      </c>
      <c r="F1201" s="1"/>
      <c r="G1201" s="1" t="n">
        <v>65</v>
      </c>
      <c r="H1201" s="2" t="n">
        <v>1400000</v>
      </c>
      <c r="I1201" s="2" t="n">
        <f aca="false">(((H1201 / 800) / IF(ISBLANK(R1201), 1000000, IF(ISNA(VLOOKUP(R1201, Mileages!$A$2:$C$34, 2, 0)), R1201, VLOOKUP(R1201, Mileages!$A$2:$C$34, 2, 0)))) + (F1201 * IF(ISBLANK(P1201), 1, P1201) * IF(ISBLANK(T1201), 0, IF(ISNA(VLOOKUP(T1201, 'Fuel Costs'!$A$2:$C$42, 2, 0)), T1201, VLOOKUP(T1201, 'Fuel Costs'!$A$2:$C$42, 2, 0))) / IF(ISBLANK(O1201), 1, O1201))) * 100</f>
        <v>0.1458333333</v>
      </c>
      <c r="J1201" s="2" t="n">
        <f aca="false">((H1201 / 800) / (IF(ISBLANK(S1201), 100, IF(ISNA(VLOOKUP(S1201, Lives!$A$2:$C$35, 2, 0)), S1201, VLOOKUP(S1201, Lives!$A$2:$C$35, 2, 0))) * 12) + (IF(ISBLANK(Q1201), 0, IF(ISNA(VLOOKUP(Q1201, Wages!$A$2:$C$17, 2, 0)), Q1201, VLOOKUP(Q1201, Wages!$A$2:$C$17, 2, 0))) * IF(ISBLANK(N1201), 0, IF(ISNA(VLOOKUP(N1201, Crews!$A$2:$C$28, 2, 0)), N1201, VLOOKUP(N1201, Crews!$A$2:$C$28, 2, 0))))) * 400</f>
        <v>1666.666667</v>
      </c>
      <c r="K1201" s="1"/>
      <c r="L1201" s="1" t="s">
        <v>2435</v>
      </c>
      <c r="M1201" s="1" t="n">
        <v>1</v>
      </c>
      <c r="N1201" s="1"/>
      <c r="O1201" s="1"/>
      <c r="P1201" s="1"/>
      <c r="Q1201" s="1"/>
      <c r="R1201" s="1" t="s">
        <v>689</v>
      </c>
      <c r="S1201" s="1" t="s">
        <v>856</v>
      </c>
      <c r="T1201" s="1"/>
    </row>
    <row r="1202" customFormat="false" ht="15" hidden="false" customHeight="true" outlineLevel="0" collapsed="false">
      <c r="A1202" s="1" t="s">
        <v>2437</v>
      </c>
      <c r="B1202" s="1" t="n">
        <v>1914</v>
      </c>
      <c r="C1202" s="1" t="n">
        <v>6</v>
      </c>
      <c r="D1202" s="1" t="s">
        <v>38</v>
      </c>
      <c r="E1202" s="1" t="s">
        <v>1346</v>
      </c>
      <c r="F1202" s="1"/>
      <c r="G1202" s="1" t="n">
        <v>65</v>
      </c>
      <c r="H1202" s="2" t="n">
        <v>1400000</v>
      </c>
      <c r="I1202" s="2" t="n">
        <f aca="false">(((H1202 / 800) / IF(ISBLANK(R1202), 1000000, IF(ISNA(VLOOKUP(R1202, Mileages!$A$2:$C$34, 2, 0)), R1202, VLOOKUP(R1202, Mileages!$A$2:$C$34, 2, 0)))) + (F1202 * IF(ISBLANK(P1202), 1, P1202) * IF(ISBLANK(T1202), 0, IF(ISNA(VLOOKUP(T1202, 'Fuel Costs'!$A$2:$C$42, 2, 0)), T1202, VLOOKUP(T1202, 'Fuel Costs'!$A$2:$C$42, 2, 0))) / IF(ISBLANK(O1202), 1, O1202))) * 100</f>
        <v>0.1458333333</v>
      </c>
      <c r="J1202" s="2" t="n">
        <f aca="false">((H1202 / 800) / (IF(ISBLANK(S1202), 100, IF(ISNA(VLOOKUP(S1202, Lives!$A$2:$C$35, 2, 0)), S1202, VLOOKUP(S1202, Lives!$A$2:$C$35, 2, 0))) * 12) + (IF(ISBLANK(Q1202), 0, IF(ISNA(VLOOKUP(Q1202, Wages!$A$2:$C$17, 2, 0)), Q1202, VLOOKUP(Q1202, Wages!$A$2:$C$17, 2, 0))) * IF(ISBLANK(N1202), 0, IF(ISNA(VLOOKUP(N1202, Crews!$A$2:$C$28, 2, 0)), N1202, VLOOKUP(N1202, Crews!$A$2:$C$28, 2, 0))))) * 400</f>
        <v>1666.666667</v>
      </c>
      <c r="K1202" s="3" t="s">
        <v>1926</v>
      </c>
      <c r="L1202" s="1" t="s">
        <v>2435</v>
      </c>
      <c r="M1202" s="1" t="n">
        <v>2</v>
      </c>
      <c r="N1202" s="1"/>
      <c r="O1202" s="1"/>
      <c r="P1202" s="1"/>
      <c r="Q1202" s="1"/>
      <c r="R1202" s="1" t="s">
        <v>689</v>
      </c>
      <c r="S1202" s="1" t="s">
        <v>856</v>
      </c>
      <c r="T1202" s="1"/>
    </row>
    <row r="1203" customFormat="false" ht="15" hidden="false" customHeight="true" outlineLevel="0" collapsed="false">
      <c r="A1203" s="1" t="s">
        <v>2438</v>
      </c>
      <c r="B1203" s="1" t="n">
        <v>1914</v>
      </c>
      <c r="C1203" s="1" t="n">
        <v>6</v>
      </c>
      <c r="D1203" s="1" t="s">
        <v>38</v>
      </c>
      <c r="E1203" s="1" t="s">
        <v>1346</v>
      </c>
      <c r="F1203" s="1" t="n">
        <v>298</v>
      </c>
      <c r="G1203" s="1" t="n">
        <v>65</v>
      </c>
      <c r="H1203" s="2" t="n">
        <v>7000000</v>
      </c>
      <c r="I1203" s="2" t="n">
        <f aca="false">(((H1203 / 800) / IF(ISBLANK(R1203), 1000000, IF(ISNA(VLOOKUP(R1203, Mileages!$A$2:$C$34, 2, 0)), R1203, VLOOKUP(R1203, Mileages!$A$2:$C$34, 2, 0)))) + (F1203 * IF(ISBLANK(P1203), 1, P1203) * IF(ISBLANK(T1203), 0, IF(ISNA(VLOOKUP(T1203, 'Fuel Costs'!$A$2:$C$42, 2, 0)), T1203, VLOOKUP(T1203, 'Fuel Costs'!$A$2:$C$42, 2, 0))) / IF(ISBLANK(O1203), 1, O1203))) * 100</f>
        <v>179.9666667</v>
      </c>
      <c r="J1203" s="2" t="n">
        <f aca="false">((H1203 / 800) / (IF(ISBLANK(S1203), 100, IF(ISNA(VLOOKUP(S1203, Lives!$A$2:$C$35, 2, 0)), S1203, VLOOKUP(S1203, Lives!$A$2:$C$35, 2, 0))) * 12) + (IF(ISBLANK(Q1203), 0, IF(ISNA(VLOOKUP(Q1203, Wages!$A$2:$C$17, 2, 0)), Q1203, VLOOKUP(Q1203, Wages!$A$2:$C$17, 2, 0))) * IF(ISBLANK(N1203), 0, IF(ISNA(VLOOKUP(N1203, Crews!$A$2:$C$28, 2, 0)), N1203, VLOOKUP(N1203, Crews!$A$2:$C$28, 2, 0))))) * 400</f>
        <v>11833.33333</v>
      </c>
      <c r="K1203" s="1"/>
      <c r="L1203" s="1" t="s">
        <v>2435</v>
      </c>
      <c r="M1203" s="1" t="n">
        <v>3</v>
      </c>
      <c r="N1203" s="1" t="s">
        <v>1512</v>
      </c>
      <c r="O1203" s="1" t="n">
        <v>1</v>
      </c>
      <c r="P1203" s="1"/>
      <c r="Q1203" s="1" t="str">
        <f aca="false">IF(ISBLANK('Pak128 Britain In'!$N1203),,'Pak128 Britain In'!$N1203)</f>
        <v>ElectricMultipleUnit</v>
      </c>
      <c r="R1203" s="1" t="s">
        <v>1489</v>
      </c>
      <c r="S1203" s="1" t="s">
        <v>1350</v>
      </c>
      <c r="T1203" s="1" t="s">
        <v>1351</v>
      </c>
    </row>
    <row r="1204" customFormat="false" ht="15" hidden="false" customHeight="true" outlineLevel="0" collapsed="false">
      <c r="A1204" s="1" t="s">
        <v>2439</v>
      </c>
      <c r="B1204" s="1" t="n">
        <v>1914</v>
      </c>
      <c r="C1204" s="1" t="n">
        <v>8</v>
      </c>
      <c r="D1204" s="1" t="s">
        <v>38</v>
      </c>
      <c r="E1204" s="1"/>
      <c r="F1204" s="1"/>
      <c r="G1204" s="1" t="n">
        <v>160</v>
      </c>
      <c r="H1204" s="2" t="n">
        <v>550000</v>
      </c>
      <c r="I1204" s="2" t="n">
        <f aca="false">(((H1204 / 800) / IF(ISBLANK(R1204), 1000000, IF(ISNA(VLOOKUP(R1204, Mileages!$A$2:$C$34, 2, 0)), R1204, VLOOKUP(R1204, Mileages!$A$2:$C$34, 2, 0)))) + (F1204 * IF(ISBLANK(P1204), 1, P1204) * IF(ISBLANK(T1204), 0, IF(ISNA(VLOOKUP(T1204, 'Fuel Costs'!$A$2:$C$42, 2, 0)), T1204, VLOOKUP(T1204, 'Fuel Costs'!$A$2:$C$42, 2, 0))) / IF(ISBLANK(O1204), 1, O1204))) * 100</f>
        <v>0.05729166667</v>
      </c>
      <c r="J1204" s="2" t="n">
        <f aca="false">((H1204 / 800) / (IF(ISBLANK(S1204), 100, IF(ISNA(VLOOKUP(S1204, Lives!$A$2:$C$35, 2, 0)), S1204, VLOOKUP(S1204, Lives!$A$2:$C$35, 2, 0))) * 12) + (IF(ISBLANK(Q1204), 0, IF(ISNA(VLOOKUP(Q1204, Wages!$A$2:$C$17, 2, 0)), Q1204, VLOOKUP(Q1204, Wages!$A$2:$C$17, 2, 0))) * IF(ISBLANK(N1204), 0, IF(ISNA(VLOOKUP(N1204, Crews!$A$2:$C$28, 2, 0)), N1204, VLOOKUP(N1204, Crews!$A$2:$C$28, 2, 0))))) * 400</f>
        <v>654.7619048</v>
      </c>
      <c r="K1204" s="1" t="s">
        <v>2440</v>
      </c>
      <c r="L1204" s="1" t="s">
        <v>1749</v>
      </c>
      <c r="M1204" s="1" t="n">
        <v>3</v>
      </c>
      <c r="N1204" s="1"/>
      <c r="O1204" s="1"/>
      <c r="P1204" s="1"/>
      <c r="Q1204" s="1"/>
      <c r="R1204" s="1" t="s">
        <v>689</v>
      </c>
      <c r="S1204" s="1" t="s">
        <v>856</v>
      </c>
      <c r="T1204" s="1"/>
    </row>
    <row r="1205" customFormat="false" ht="15" hidden="false" customHeight="true" outlineLevel="0" collapsed="false">
      <c r="A1205" s="1" t="s">
        <v>2441</v>
      </c>
      <c r="B1205" s="1" t="n">
        <v>1914</v>
      </c>
      <c r="C1205" s="1" t="n">
        <v>12</v>
      </c>
      <c r="D1205" s="1" t="s">
        <v>38</v>
      </c>
      <c r="E1205" s="1"/>
      <c r="F1205" s="1"/>
      <c r="G1205" s="1" t="n">
        <v>160</v>
      </c>
      <c r="H1205" s="2" t="n">
        <v>440000</v>
      </c>
      <c r="I1205" s="2" t="n">
        <f aca="false">(((H1205 / 800) / IF(ISBLANK(R1205), 1000000, IF(ISNA(VLOOKUP(R1205, Mileages!$A$2:$C$34, 2, 0)), R1205, VLOOKUP(R1205, Mileages!$A$2:$C$34, 2, 0)))) + (F1205 * IF(ISBLANK(P1205), 1, P1205) * IF(ISBLANK(T1205), 0, IF(ISNA(VLOOKUP(T1205, 'Fuel Costs'!$A$2:$C$42, 2, 0)), T1205, VLOOKUP(T1205, 'Fuel Costs'!$A$2:$C$42, 2, 0))) / IF(ISBLANK(O1205), 1, O1205))) * 100</f>
        <v>0.04583333333</v>
      </c>
      <c r="J1205" s="2" t="n">
        <f aca="false">((H1205 / 800) / (IF(ISBLANK(S1205), 100, IF(ISNA(VLOOKUP(S1205, Lives!$A$2:$C$35, 2, 0)), S1205, VLOOKUP(S1205, Lives!$A$2:$C$35, 2, 0))) * 12) + (IF(ISBLANK(Q1205), 0, IF(ISNA(VLOOKUP(Q1205, Wages!$A$2:$C$17, 2, 0)), Q1205, VLOOKUP(Q1205, Wages!$A$2:$C$17, 2, 0))) * IF(ISBLANK(N1205), 0, IF(ISNA(VLOOKUP(N1205, Crews!$A$2:$C$28, 2, 0)), N1205, VLOOKUP(N1205, Crews!$A$2:$C$28, 2, 0))))) * 400</f>
        <v>523.8095238</v>
      </c>
      <c r="K1205" s="3" t="s">
        <v>2442</v>
      </c>
      <c r="L1205" s="1" t="s">
        <v>2246</v>
      </c>
      <c r="M1205" s="1" t="n">
        <v>0</v>
      </c>
      <c r="N1205" s="1"/>
      <c r="O1205" s="1"/>
      <c r="P1205" s="1"/>
      <c r="Q1205" s="1"/>
      <c r="R1205" s="1" t="s">
        <v>689</v>
      </c>
      <c r="S1205" s="1" t="s">
        <v>856</v>
      </c>
      <c r="T1205" s="1"/>
    </row>
    <row r="1206" customFormat="false" ht="15" hidden="false" customHeight="true" outlineLevel="0" collapsed="false">
      <c r="A1206" s="1" t="s">
        <v>2443</v>
      </c>
      <c r="B1206" s="1" t="n">
        <v>1914</v>
      </c>
      <c r="C1206" s="1" t="n">
        <v>12</v>
      </c>
      <c r="D1206" s="1" t="s">
        <v>38</v>
      </c>
      <c r="E1206" s="1" t="s">
        <v>1346</v>
      </c>
      <c r="F1206" s="1" t="n">
        <v>820</v>
      </c>
      <c r="G1206" s="1" t="n">
        <v>85</v>
      </c>
      <c r="H1206" s="2" t="n">
        <v>3300000</v>
      </c>
      <c r="I1206" s="2" t="n">
        <f aca="false">(((H1206 / 800) / IF(ISBLANK(R1206), 1000000, IF(ISNA(VLOOKUP(R1206, Mileages!$A$2:$C$34, 2, 0)), R1206, VLOOKUP(R1206, Mileages!$A$2:$C$34, 2, 0)))) + (F1206 * IF(ISBLANK(P1206), 1, P1206) * IF(ISBLANK(T1206), 0, IF(ISNA(VLOOKUP(T1206, 'Fuel Costs'!$A$2:$C$42, 2, 0)), T1206, VLOOKUP(T1206, 'Fuel Costs'!$A$2:$C$42, 2, 0))) / IF(ISBLANK(O1206), 1, O1206))) * 100</f>
        <v>492.55</v>
      </c>
      <c r="J1206" s="2" t="n">
        <f aca="false">((H1206 / 800) / (IF(ISBLANK(S1206), 100, IF(ISNA(VLOOKUP(S1206, Lives!$A$2:$C$35, 2, 0)), S1206, VLOOKUP(S1206, Lives!$A$2:$C$35, 2, 0))) * 12) + (IF(ISBLANK(Q1206), 0, IF(ISNA(VLOOKUP(Q1206, Wages!$A$2:$C$17, 2, 0)), Q1206, VLOOKUP(Q1206, Wages!$A$2:$C$17, 2, 0))) * IF(ISBLANK(N1206), 0, IF(ISNA(VLOOKUP(N1206, Crews!$A$2:$C$28, 2, 0)), N1206, VLOOKUP(N1206, Crews!$A$2:$C$28, 2, 0))))) * 400</f>
        <v>13437.5</v>
      </c>
      <c r="K1206" s="1" t="s">
        <v>2048</v>
      </c>
      <c r="L1206" s="1" t="s">
        <v>2444</v>
      </c>
      <c r="M1206" s="1" t="n">
        <v>0</v>
      </c>
      <c r="N1206" s="1" t="s">
        <v>1488</v>
      </c>
      <c r="O1206" s="1" t="n">
        <v>1</v>
      </c>
      <c r="P1206" s="1"/>
      <c r="Q1206" s="1" t="str">
        <f aca="false">IF(ISBLANK('Pak128 Britain In'!$N1206),,'Pak128 Britain In'!$N1206)</f>
        <v>ElectricDriverRail</v>
      </c>
      <c r="R1206" s="1" t="s">
        <v>1489</v>
      </c>
      <c r="S1206" s="1" t="s">
        <v>1489</v>
      </c>
      <c r="T1206" s="1" t="s">
        <v>1351</v>
      </c>
    </row>
    <row r="1207" customFormat="false" ht="15" hidden="false" customHeight="true" outlineLevel="0" collapsed="false">
      <c r="A1207" s="1" t="s">
        <v>2445</v>
      </c>
      <c r="B1207" s="1" t="n">
        <v>1915</v>
      </c>
      <c r="C1207" s="1" t="n">
        <v>6</v>
      </c>
      <c r="D1207" s="1" t="s">
        <v>38</v>
      </c>
      <c r="E1207" s="1" t="s">
        <v>274</v>
      </c>
      <c r="F1207" s="1" t="n">
        <v>330</v>
      </c>
      <c r="G1207" s="1" t="n">
        <v>95</v>
      </c>
      <c r="H1207" s="2" t="n">
        <v>10000000</v>
      </c>
      <c r="I1207" s="2" t="n">
        <f aca="false">(((H1207 / 800) / IF(ISBLANK(R1207), 1000000, IF(ISNA(VLOOKUP(R1207, Mileages!$A$2:$C$34, 2, 0)), R1207, VLOOKUP(R1207, Mileages!$A$2:$C$34, 2, 0)))) + (F1207 * IF(ISBLANK(P1207), 1, P1207) * IF(ISBLANK(T1207), 0, IF(ISNA(VLOOKUP(T1207, 'Fuel Costs'!$A$2:$C$42, 2, 0)), T1207, VLOOKUP(T1207, 'Fuel Costs'!$A$2:$C$42, 2, 0))) / IF(ISBLANK(O1207), 1, O1207))) * 100</f>
        <v>142.6785714</v>
      </c>
      <c r="J1207" s="2" t="n">
        <f aca="false">((H1207 / 800) / (IF(ISBLANK(S1207), 100, IF(ISNA(VLOOKUP(S1207, Lives!$A$2:$C$35, 2, 0)), S1207, VLOOKUP(S1207, Lives!$A$2:$C$35, 2, 0))) * 12) + (IF(ISBLANK(Q1207), 0, IF(ISNA(VLOOKUP(Q1207, Wages!$A$2:$C$17, 2, 0)), Q1207, VLOOKUP(Q1207, Wages!$A$2:$C$17, 2, 0))) * IF(ISBLANK(N1207), 0, IF(ISNA(VLOOKUP(N1207, Crews!$A$2:$C$28, 2, 0)), N1207, VLOOKUP(N1207, Crews!$A$2:$C$28, 2, 0))))) * 400</f>
        <v>32333.33333</v>
      </c>
      <c r="K1207" s="3" t="s">
        <v>2446</v>
      </c>
      <c r="L1207" s="1" t="s">
        <v>2447</v>
      </c>
      <c r="M1207" s="1" t="n">
        <v>0</v>
      </c>
      <c r="N1207" s="1" t="s">
        <v>590</v>
      </c>
      <c r="O1207" s="1" t="n">
        <v>0.7</v>
      </c>
      <c r="P1207" s="1"/>
      <c r="Q1207" s="5" t="s">
        <v>284</v>
      </c>
      <c r="R1207" s="1" t="s">
        <v>677</v>
      </c>
      <c r="S1207" s="1" t="s">
        <v>677</v>
      </c>
      <c r="T1207" s="1" t="s">
        <v>1785</v>
      </c>
    </row>
    <row r="1208" customFormat="false" ht="15" hidden="false" customHeight="true" outlineLevel="0" collapsed="false">
      <c r="A1208" s="1" t="s">
        <v>2448</v>
      </c>
      <c r="B1208" s="1" t="n">
        <v>1915</v>
      </c>
      <c r="C1208" s="1" t="n">
        <v>6</v>
      </c>
      <c r="D1208" s="1" t="s">
        <v>38</v>
      </c>
      <c r="E1208" s="1"/>
      <c r="F1208" s="1"/>
      <c r="G1208" s="1" t="n">
        <v>140</v>
      </c>
      <c r="H1208" s="2" t="n">
        <v>500000</v>
      </c>
      <c r="I1208" s="2" t="n">
        <f aca="false">(((H1208 / 800) / IF(ISBLANK(R1208), 1000000, IF(ISNA(VLOOKUP(R1208, Mileages!$A$2:$C$34, 2, 0)), R1208, VLOOKUP(R1208, Mileages!$A$2:$C$34, 2, 0)))) + (F1208 * IF(ISBLANK(P1208), 1, P1208) * IF(ISBLANK(T1208), 0, IF(ISNA(VLOOKUP(T1208, 'Fuel Costs'!$A$2:$C$42, 2, 0)), T1208, VLOOKUP(T1208, 'Fuel Costs'!$A$2:$C$42, 2, 0))) / IF(ISBLANK(O1208), 1, O1208))) * 100</f>
        <v>0.05208333333</v>
      </c>
      <c r="J1208" s="2" t="n">
        <f aca="false">((H1208 / 800) / (IF(ISBLANK(S1208), 100, IF(ISNA(VLOOKUP(S1208, Lives!$A$2:$C$35, 2, 0)), S1208, VLOOKUP(S1208, Lives!$A$2:$C$35, 2, 0))) * 12) + (IF(ISBLANK(Q1208), 0, IF(ISNA(VLOOKUP(Q1208, Wages!$A$2:$C$17, 2, 0)), Q1208, VLOOKUP(Q1208, Wages!$A$2:$C$17, 2, 0))) * IF(ISBLANK(N1208), 0, IF(ISNA(VLOOKUP(N1208, Crews!$A$2:$C$28, 2, 0)), N1208, VLOOKUP(N1208, Crews!$A$2:$C$28, 2, 0))))) * 400</f>
        <v>595.2380952</v>
      </c>
      <c r="K1208" s="3" t="s">
        <v>2449</v>
      </c>
      <c r="L1208" s="1" t="s">
        <v>2450</v>
      </c>
      <c r="M1208" s="1" t="n">
        <v>0</v>
      </c>
      <c r="N1208" s="1"/>
      <c r="O1208" s="1"/>
      <c r="P1208" s="1"/>
      <c r="Q1208" s="1"/>
      <c r="R1208" s="1" t="s">
        <v>689</v>
      </c>
      <c r="S1208" s="1" t="s">
        <v>856</v>
      </c>
      <c r="T1208" s="1"/>
    </row>
    <row r="1209" customFormat="false" ht="15" hidden="false" customHeight="true" outlineLevel="0" collapsed="false">
      <c r="A1209" s="1" t="s">
        <v>2451</v>
      </c>
      <c r="B1209" s="1" t="n">
        <v>1915</v>
      </c>
      <c r="C1209" s="1" t="n">
        <v>6</v>
      </c>
      <c r="D1209" s="1" t="s">
        <v>38</v>
      </c>
      <c r="E1209" s="1"/>
      <c r="F1209" s="1"/>
      <c r="G1209" s="1" t="n">
        <v>140</v>
      </c>
      <c r="H1209" s="2" t="n">
        <v>490000</v>
      </c>
      <c r="I1209" s="2" t="n">
        <f aca="false">(((H1209 / 800) / IF(ISBLANK(R1209), 1000000, IF(ISNA(VLOOKUP(R1209, Mileages!$A$2:$C$34, 2, 0)), R1209, VLOOKUP(R1209, Mileages!$A$2:$C$34, 2, 0)))) + (F1209 * IF(ISBLANK(P1209), 1, P1209) * IF(ISBLANK(T1209), 0, IF(ISNA(VLOOKUP(T1209, 'Fuel Costs'!$A$2:$C$42, 2, 0)), T1209, VLOOKUP(T1209, 'Fuel Costs'!$A$2:$C$42, 2, 0))) / IF(ISBLANK(O1209), 1, O1209))) * 100</f>
        <v>0.05104166667</v>
      </c>
      <c r="J1209" s="2" t="n">
        <f aca="false">((H1209 / 800) / (IF(ISBLANK(S1209), 100, IF(ISNA(VLOOKUP(S1209, Lives!$A$2:$C$35, 2, 0)), S1209, VLOOKUP(S1209, Lives!$A$2:$C$35, 2, 0))) * 12) + (IF(ISBLANK(Q1209), 0, IF(ISNA(VLOOKUP(Q1209, Wages!$A$2:$C$17, 2, 0)), Q1209, VLOOKUP(Q1209, Wages!$A$2:$C$17, 2, 0))) * IF(ISBLANK(N1209), 0, IF(ISNA(VLOOKUP(N1209, Crews!$A$2:$C$28, 2, 0)), N1209, VLOOKUP(N1209, Crews!$A$2:$C$28, 2, 0))))) * 400</f>
        <v>5383.333333</v>
      </c>
      <c r="K1209" s="3" t="s">
        <v>2452</v>
      </c>
      <c r="L1209" s="1" t="s">
        <v>2450</v>
      </c>
      <c r="M1209" s="1" t="n">
        <v>1</v>
      </c>
      <c r="N1209" s="1" t="s">
        <v>25</v>
      </c>
      <c r="O1209" s="1"/>
      <c r="P1209" s="1"/>
      <c r="Q1209" s="1" t="s">
        <v>378</v>
      </c>
      <c r="R1209" s="1" t="s">
        <v>689</v>
      </c>
      <c r="S1209" s="1" t="s">
        <v>856</v>
      </c>
      <c r="T1209" s="1"/>
    </row>
    <row r="1210" customFormat="false" ht="15" hidden="false" customHeight="true" outlineLevel="0" collapsed="false">
      <c r="A1210" s="1" t="s">
        <v>2453</v>
      </c>
      <c r="B1210" s="1" t="n">
        <v>1915</v>
      </c>
      <c r="C1210" s="1" t="n">
        <v>6</v>
      </c>
      <c r="D1210" s="1" t="s">
        <v>38</v>
      </c>
      <c r="E1210" s="1"/>
      <c r="F1210" s="1"/>
      <c r="G1210" s="1" t="n">
        <v>140</v>
      </c>
      <c r="H1210" s="2" t="n">
        <v>490000</v>
      </c>
      <c r="I1210" s="2" t="n">
        <f aca="false">(((H1210 / 800) / IF(ISBLANK(R1210), 1000000, IF(ISNA(VLOOKUP(R1210, Mileages!$A$2:$C$34, 2, 0)), R1210, VLOOKUP(R1210, Mileages!$A$2:$C$34, 2, 0)))) + (F1210 * IF(ISBLANK(P1210), 1, P1210) * IF(ISBLANK(T1210), 0, IF(ISNA(VLOOKUP(T1210, 'Fuel Costs'!$A$2:$C$42, 2, 0)), T1210, VLOOKUP(T1210, 'Fuel Costs'!$A$2:$C$42, 2, 0))) / IF(ISBLANK(O1210), 1, O1210))) * 100</f>
        <v>0.05104166667</v>
      </c>
      <c r="J1210" s="2" t="n">
        <f aca="false">((H1210 / 800) / (IF(ISBLANK(S1210), 100, IF(ISNA(VLOOKUP(S1210, Lives!$A$2:$C$35, 2, 0)), S1210, VLOOKUP(S1210, Lives!$A$2:$C$35, 2, 0))) * 12) + (IF(ISBLANK(Q1210), 0, IF(ISNA(VLOOKUP(Q1210, Wages!$A$2:$C$17, 2, 0)), Q1210, VLOOKUP(Q1210, Wages!$A$2:$C$17, 2, 0))) * IF(ISBLANK(N1210), 0, IF(ISNA(VLOOKUP(N1210, Crews!$A$2:$C$28, 2, 0)), N1210, VLOOKUP(N1210, Crews!$A$2:$C$28, 2, 0))))) * 400</f>
        <v>5383.333333</v>
      </c>
      <c r="K1210" s="3" t="s">
        <v>2452</v>
      </c>
      <c r="L1210" s="1" t="s">
        <v>2450</v>
      </c>
      <c r="M1210" s="1" t="n">
        <v>2</v>
      </c>
      <c r="N1210" s="1" t="s">
        <v>25</v>
      </c>
      <c r="O1210" s="1"/>
      <c r="P1210" s="1"/>
      <c r="Q1210" s="1" t="s">
        <v>378</v>
      </c>
      <c r="R1210" s="1" t="s">
        <v>689</v>
      </c>
      <c r="S1210" s="1" t="s">
        <v>856</v>
      </c>
      <c r="T1210" s="1"/>
    </row>
    <row r="1211" customFormat="false" ht="15" hidden="false" customHeight="true" outlineLevel="0" collapsed="false">
      <c r="A1211" s="1" t="s">
        <v>2454</v>
      </c>
      <c r="B1211" s="1" t="n">
        <v>1915</v>
      </c>
      <c r="C1211" s="1" t="n">
        <v>8</v>
      </c>
      <c r="D1211" s="1" t="s">
        <v>38</v>
      </c>
      <c r="E1211" s="1" t="s">
        <v>1346</v>
      </c>
      <c r="F1211" s="1" t="n">
        <v>150</v>
      </c>
      <c r="G1211" s="1" t="n">
        <v>60</v>
      </c>
      <c r="H1211" s="2" t="n">
        <v>1050000</v>
      </c>
      <c r="I1211" s="2" t="n">
        <f aca="false">(((H1211 / 800) / IF(ISBLANK(R1211), 1000000, IF(ISNA(VLOOKUP(R1211, Mileages!$A$2:$C$34, 2, 0)), R1211, VLOOKUP(R1211, Mileages!$A$2:$C$34, 2, 0)))) + (F1211 * IF(ISBLANK(P1211), 1, P1211) * IF(ISBLANK(T1211), 0, IF(ISNA(VLOOKUP(T1211, 'Fuel Costs'!$A$2:$C$42, 2, 0)), T1211, VLOOKUP(T1211, 'Fuel Costs'!$A$2:$C$42, 2, 0))) / IF(ISBLANK(O1211), 1, O1211))) * 100</f>
        <v>90.175</v>
      </c>
      <c r="J1211" s="2" t="n">
        <f aca="false">((H1211 / 800) / (IF(ISBLANK(S1211), 100, IF(ISNA(VLOOKUP(S1211, Lives!$A$2:$C$35, 2, 0)), S1211, VLOOKUP(S1211, Lives!$A$2:$C$35, 2, 0))) * 12) + (IF(ISBLANK(Q1211), 0, IF(ISNA(VLOOKUP(Q1211, Wages!$A$2:$C$17, 2, 0)), Q1211, VLOOKUP(Q1211, Wages!$A$2:$C$17, 2, 0))) * IF(ISBLANK(N1211), 0, IF(ISNA(VLOOKUP(N1211, Crews!$A$2:$C$28, 2, 0)), N1211, VLOOKUP(N1211, Crews!$A$2:$C$28, 2, 0))))) * 400</f>
        <v>6875</v>
      </c>
      <c r="K1211" s="1" t="s">
        <v>2455</v>
      </c>
      <c r="L1211" s="1" t="s">
        <v>2456</v>
      </c>
      <c r="M1211" s="1" t="n">
        <v>0</v>
      </c>
      <c r="N1211" s="1" t="s">
        <v>1512</v>
      </c>
      <c r="O1211" s="1" t="n">
        <v>1</v>
      </c>
      <c r="P1211" s="1"/>
      <c r="Q1211" s="1" t="str">
        <f aca="false">IF(ISBLANK('Pak128 Britain In'!$N1211),,'Pak128 Britain In'!$N1211)</f>
        <v>ElectricMultipleUnit</v>
      </c>
      <c r="R1211" s="1" t="s">
        <v>1489</v>
      </c>
      <c r="S1211" s="1" t="s">
        <v>1350</v>
      </c>
      <c r="T1211" s="1" t="s">
        <v>1351</v>
      </c>
    </row>
    <row r="1212" customFormat="false" ht="15" hidden="false" customHeight="true" outlineLevel="0" collapsed="false">
      <c r="A1212" s="1" t="s">
        <v>2457</v>
      </c>
      <c r="B1212" s="1" t="n">
        <v>1915</v>
      </c>
      <c r="C1212" s="1" t="n">
        <v>8</v>
      </c>
      <c r="D1212" s="1" t="s">
        <v>38</v>
      </c>
      <c r="E1212" s="1" t="s">
        <v>1346</v>
      </c>
      <c r="F1212" s="1" t="n">
        <v>150</v>
      </c>
      <c r="G1212" s="1" t="n">
        <v>60</v>
      </c>
      <c r="H1212" s="2" t="n">
        <v>1050000</v>
      </c>
      <c r="I1212" s="2" t="n">
        <f aca="false">(((H1212 / 800) / IF(ISBLANK(R1212), 1000000, IF(ISNA(VLOOKUP(R1212, Mileages!$A$2:$C$34, 2, 0)), R1212, VLOOKUP(R1212, Mileages!$A$2:$C$34, 2, 0)))) + (F1212 * IF(ISBLANK(P1212), 1, P1212) * IF(ISBLANK(T1212), 0, IF(ISNA(VLOOKUP(T1212, 'Fuel Costs'!$A$2:$C$42, 2, 0)), T1212, VLOOKUP(T1212, 'Fuel Costs'!$A$2:$C$42, 2, 0))) / IF(ISBLANK(O1212), 1, O1212))) * 100</f>
        <v>90.175</v>
      </c>
      <c r="J1212" s="2" t="n">
        <f aca="false">((H1212 / 800) / (IF(ISBLANK(S1212), 100, IF(ISNA(VLOOKUP(S1212, Lives!$A$2:$C$35, 2, 0)), S1212, VLOOKUP(S1212, Lives!$A$2:$C$35, 2, 0))) * 12) + (IF(ISBLANK(Q1212), 0, IF(ISNA(VLOOKUP(Q1212, Wages!$A$2:$C$17, 2, 0)), Q1212, VLOOKUP(Q1212, Wages!$A$2:$C$17, 2, 0))) * IF(ISBLANK(N1212), 0, IF(ISNA(VLOOKUP(N1212, Crews!$A$2:$C$28, 2, 0)), N1212, VLOOKUP(N1212, Crews!$A$2:$C$28, 2, 0))))) * 400</f>
        <v>6875</v>
      </c>
      <c r="K1212" s="1"/>
      <c r="L1212" s="1" t="s">
        <v>2456</v>
      </c>
      <c r="M1212" s="1" t="n">
        <v>1</v>
      </c>
      <c r="N1212" s="1" t="s">
        <v>1512</v>
      </c>
      <c r="O1212" s="1" t="n">
        <v>1</v>
      </c>
      <c r="P1212" s="1"/>
      <c r="Q1212" s="1" t="str">
        <f aca="false">IF(ISBLANK('Pak128 Britain In'!$N1212),,'Pak128 Britain In'!$N1212)</f>
        <v>ElectricMultipleUnit</v>
      </c>
      <c r="R1212" s="1" t="s">
        <v>1489</v>
      </c>
      <c r="S1212" s="1" t="s">
        <v>1350</v>
      </c>
      <c r="T1212" s="1" t="s">
        <v>1351</v>
      </c>
    </row>
    <row r="1213" customFormat="false" ht="15" hidden="false" customHeight="true" outlineLevel="0" collapsed="false">
      <c r="A1213" s="1" t="s">
        <v>2458</v>
      </c>
      <c r="B1213" s="1" t="n">
        <v>1915</v>
      </c>
      <c r="C1213" s="1" t="n">
        <v>10</v>
      </c>
      <c r="D1213" s="1" t="s">
        <v>38</v>
      </c>
      <c r="E1213" s="1" t="s">
        <v>274</v>
      </c>
      <c r="F1213" s="1" t="n">
        <v>329</v>
      </c>
      <c r="G1213" s="1" t="n">
        <v>145</v>
      </c>
      <c r="H1213" s="2" t="n">
        <v>6552500</v>
      </c>
      <c r="I1213" s="2" t="n">
        <f aca="false">(((H1213 / 800) / IF(ISBLANK(R1213), 1000000, IF(ISNA(VLOOKUP(R1213, Mileages!$A$2:$C$34, 2, 0)), R1213, VLOOKUP(R1213, Mileages!$A$2:$C$34, 2, 0)))) + (F1213 * IF(ISBLANK(P1213), 1, P1213) * IF(ISBLANK(T1213), 0, IF(ISNA(VLOOKUP(T1213, 'Fuel Costs'!$A$2:$C$42, 2, 0)), T1213, VLOOKUP(T1213, 'Fuel Costs'!$A$2:$C$42, 2, 0))) / IF(ISBLANK(O1213), 1, O1213))) * 100</f>
        <v>141.8190625</v>
      </c>
      <c r="J1213" s="2" t="n">
        <f aca="false">((H1213 / 800) / (IF(ISBLANK(S1213), 100, IF(ISNA(VLOOKUP(S1213, Lives!$A$2:$C$35, 2, 0)), S1213, VLOOKUP(S1213, Lives!$A$2:$C$35, 2, 0))) * 12) + (IF(ISBLANK(Q1213), 0, IF(ISNA(VLOOKUP(Q1213, Wages!$A$2:$C$17, 2, 0)), Q1213, VLOOKUP(Q1213, Wages!$A$2:$C$17, 2, 0))) * IF(ISBLANK(N1213), 0, IF(ISNA(VLOOKUP(N1213, Crews!$A$2:$C$28, 2, 0)), N1213, VLOOKUP(N1213, Crews!$A$2:$C$28, 2, 0))))) * 400</f>
        <v>29460.41667</v>
      </c>
      <c r="K1213" s="1" t="s">
        <v>1692</v>
      </c>
      <c r="L1213" s="1" t="s">
        <v>2459</v>
      </c>
      <c r="M1213" s="1" t="n">
        <v>0</v>
      </c>
      <c r="N1213" s="1" t="s">
        <v>590</v>
      </c>
      <c r="O1213" s="1" t="n">
        <v>0.7</v>
      </c>
      <c r="P1213" s="1"/>
      <c r="Q1213" s="5" t="s">
        <v>284</v>
      </c>
      <c r="R1213" s="1" t="s">
        <v>677</v>
      </c>
      <c r="S1213" s="1" t="s">
        <v>677</v>
      </c>
      <c r="T1213" s="1" t="s">
        <v>1785</v>
      </c>
    </row>
    <row r="1214" customFormat="false" ht="15" hidden="false" customHeight="true" outlineLevel="0" collapsed="false">
      <c r="A1214" s="1" t="s">
        <v>2460</v>
      </c>
      <c r="B1214" s="1" t="n">
        <v>1916</v>
      </c>
      <c r="C1214" s="1" t="n">
        <v>2</v>
      </c>
      <c r="D1214" s="1" t="s">
        <v>38</v>
      </c>
      <c r="E1214" s="1"/>
      <c r="F1214" s="1"/>
      <c r="G1214" s="1" t="n">
        <v>160</v>
      </c>
      <c r="H1214" s="2" t="n">
        <v>703000</v>
      </c>
      <c r="I1214" s="2" t="n">
        <f aca="false">(((H1214 / 800) / IF(ISBLANK(R1214), 1000000, IF(ISNA(VLOOKUP(R1214, Mileages!$A$2:$C$34, 2, 0)), R1214, VLOOKUP(R1214, Mileages!$A$2:$C$34, 2, 0)))) + (F1214 * IF(ISBLANK(P1214), 1, P1214) * IF(ISBLANK(T1214), 0, IF(ISNA(VLOOKUP(T1214, 'Fuel Costs'!$A$2:$C$42, 2, 0)), T1214, VLOOKUP(T1214, 'Fuel Costs'!$A$2:$C$42, 2, 0))) / IF(ISBLANK(O1214), 1, O1214))) * 100</f>
        <v>0.07322916667</v>
      </c>
      <c r="J1214" s="2" t="n">
        <f aca="false">((H1214 / 800) / (IF(ISBLANK(S1214), 100, IF(ISNA(VLOOKUP(S1214, Lives!$A$2:$C$35, 2, 0)), S1214, VLOOKUP(S1214, Lives!$A$2:$C$35, 2, 0))) * 12) + (IF(ISBLANK(Q1214), 0, IF(ISNA(VLOOKUP(Q1214, Wages!$A$2:$C$17, 2, 0)), Q1214, VLOOKUP(Q1214, Wages!$A$2:$C$17, 2, 0))) * IF(ISBLANK(N1214), 0, IF(ISNA(VLOOKUP(N1214, Crews!$A$2:$C$28, 2, 0)), N1214, VLOOKUP(N1214, Crews!$A$2:$C$28, 2, 0))))) * 400</f>
        <v>836.9047619</v>
      </c>
      <c r="K1214" s="3" t="s">
        <v>2461</v>
      </c>
      <c r="L1214" s="1" t="s">
        <v>2462</v>
      </c>
      <c r="M1214" s="1" t="n">
        <v>0</v>
      </c>
      <c r="N1214" s="1"/>
      <c r="O1214" s="1"/>
      <c r="P1214" s="1"/>
      <c r="Q1214" s="1"/>
      <c r="R1214" s="1" t="s">
        <v>689</v>
      </c>
      <c r="S1214" s="1" t="s">
        <v>856</v>
      </c>
      <c r="T1214" s="1"/>
    </row>
    <row r="1215" customFormat="false" ht="15" hidden="false" customHeight="true" outlineLevel="0" collapsed="false">
      <c r="A1215" s="1" t="s">
        <v>2463</v>
      </c>
      <c r="B1215" s="1" t="n">
        <v>1916</v>
      </c>
      <c r="C1215" s="1" t="n">
        <v>2</v>
      </c>
      <c r="D1215" s="1" t="s">
        <v>38</v>
      </c>
      <c r="E1215" s="1"/>
      <c r="F1215" s="1"/>
      <c r="G1215" s="1" t="n">
        <v>160</v>
      </c>
      <c r="H1215" s="2" t="n">
        <v>703000</v>
      </c>
      <c r="I1215" s="2" t="n">
        <f aca="false">(((H1215 / 800) / IF(ISBLANK(R1215), 1000000, IF(ISNA(VLOOKUP(R1215, Mileages!$A$2:$C$34, 2, 0)), R1215, VLOOKUP(R1215, Mileages!$A$2:$C$34, 2, 0)))) + (F1215 * IF(ISBLANK(P1215), 1, P1215) * IF(ISBLANK(T1215), 0, IF(ISNA(VLOOKUP(T1215, 'Fuel Costs'!$A$2:$C$42, 2, 0)), T1215, VLOOKUP(T1215, 'Fuel Costs'!$A$2:$C$42, 2, 0))) / IF(ISBLANK(O1215), 1, O1215))) * 100</f>
        <v>0.07322916667</v>
      </c>
      <c r="J1215" s="2" t="n">
        <f aca="false">((H1215 / 800) / (IF(ISBLANK(S1215), 100, IF(ISNA(VLOOKUP(S1215, Lives!$A$2:$C$35, 2, 0)), S1215, VLOOKUP(S1215, Lives!$A$2:$C$35, 2, 0))) * 12) + (IF(ISBLANK(Q1215), 0, IF(ISNA(VLOOKUP(Q1215, Wages!$A$2:$C$17, 2, 0)), Q1215, VLOOKUP(Q1215, Wages!$A$2:$C$17, 2, 0))) * IF(ISBLANK(N1215), 0, IF(ISNA(VLOOKUP(N1215, Crews!$A$2:$C$28, 2, 0)), N1215, VLOOKUP(N1215, Crews!$A$2:$C$28, 2, 0))))) * 400</f>
        <v>836.9047619</v>
      </c>
      <c r="K1215" s="1" t="s">
        <v>2464</v>
      </c>
      <c r="L1215" s="1" t="s">
        <v>2462</v>
      </c>
      <c r="M1215" s="1" t="n">
        <v>1</v>
      </c>
      <c r="N1215" s="1"/>
      <c r="O1215" s="1"/>
      <c r="P1215" s="1"/>
      <c r="Q1215" s="1"/>
      <c r="R1215" s="1" t="s">
        <v>689</v>
      </c>
      <c r="S1215" s="1" t="s">
        <v>856</v>
      </c>
      <c r="T1215" s="1"/>
    </row>
    <row r="1216" customFormat="false" ht="15" hidden="false" customHeight="true" outlineLevel="0" collapsed="false">
      <c r="A1216" s="1" t="s">
        <v>2465</v>
      </c>
      <c r="B1216" s="1" t="n">
        <v>1916</v>
      </c>
      <c r="C1216" s="1" t="n">
        <v>2</v>
      </c>
      <c r="D1216" s="1" t="s">
        <v>38</v>
      </c>
      <c r="E1216" s="1"/>
      <c r="F1216" s="1"/>
      <c r="G1216" s="1" t="n">
        <v>160</v>
      </c>
      <c r="H1216" s="2" t="n">
        <v>713000</v>
      </c>
      <c r="I1216" s="2" t="n">
        <f aca="false">(((H1216 / 800) / IF(ISBLANK(R1216), 1000000, IF(ISNA(VLOOKUP(R1216, Mileages!$A$2:$C$34, 2, 0)), R1216, VLOOKUP(R1216, Mileages!$A$2:$C$34, 2, 0)))) + (F1216 * IF(ISBLANK(P1216), 1, P1216) * IF(ISBLANK(T1216), 0, IF(ISNA(VLOOKUP(T1216, 'Fuel Costs'!$A$2:$C$42, 2, 0)), T1216, VLOOKUP(T1216, 'Fuel Costs'!$A$2:$C$42, 2, 0))) / IF(ISBLANK(O1216), 1, O1216))) * 100</f>
        <v>0.07427083333</v>
      </c>
      <c r="J1216" s="2" t="n">
        <f aca="false">((H1216 / 800) / (IF(ISBLANK(S1216), 100, IF(ISNA(VLOOKUP(S1216, Lives!$A$2:$C$35, 2, 0)), S1216, VLOOKUP(S1216, Lives!$A$2:$C$35, 2, 0))) * 12) + (IF(ISBLANK(Q1216), 0, IF(ISNA(VLOOKUP(Q1216, Wages!$A$2:$C$17, 2, 0)), Q1216, VLOOKUP(Q1216, Wages!$A$2:$C$17, 2, 0))) * IF(ISBLANK(N1216), 0, IF(ISNA(VLOOKUP(N1216, Crews!$A$2:$C$28, 2, 0)), N1216, VLOOKUP(N1216, Crews!$A$2:$C$28, 2, 0))))) * 400</f>
        <v>848.8095238</v>
      </c>
      <c r="K1216" s="3" t="s">
        <v>2466</v>
      </c>
      <c r="L1216" s="1" t="s">
        <v>2462</v>
      </c>
      <c r="M1216" s="1" t="n">
        <v>2</v>
      </c>
      <c r="N1216" s="1"/>
      <c r="O1216" s="1"/>
      <c r="P1216" s="1"/>
      <c r="Q1216" s="1"/>
      <c r="R1216" s="1" t="s">
        <v>689</v>
      </c>
      <c r="S1216" s="1" t="s">
        <v>856</v>
      </c>
      <c r="T1216" s="1"/>
    </row>
    <row r="1217" customFormat="false" ht="15" hidden="false" customHeight="true" outlineLevel="0" collapsed="false">
      <c r="A1217" s="1" t="s">
        <v>2467</v>
      </c>
      <c r="B1217" s="1" t="n">
        <v>1916</v>
      </c>
      <c r="C1217" s="1" t="n">
        <v>2</v>
      </c>
      <c r="D1217" s="1" t="s">
        <v>38</v>
      </c>
      <c r="E1217" s="1"/>
      <c r="F1217" s="1"/>
      <c r="G1217" s="1" t="n">
        <v>160</v>
      </c>
      <c r="H1217" s="2" t="n">
        <v>713000</v>
      </c>
      <c r="I1217" s="2" t="n">
        <f aca="false">(((H1217 / 800) / IF(ISBLANK(R1217), 1000000, IF(ISNA(VLOOKUP(R1217, Mileages!$A$2:$C$34, 2, 0)), R1217, VLOOKUP(R1217, Mileages!$A$2:$C$34, 2, 0)))) + (F1217 * IF(ISBLANK(P1217), 1, P1217) * IF(ISBLANK(T1217), 0, IF(ISNA(VLOOKUP(T1217, 'Fuel Costs'!$A$2:$C$42, 2, 0)), T1217, VLOOKUP(T1217, 'Fuel Costs'!$A$2:$C$42, 2, 0))) / IF(ISBLANK(O1217), 1, O1217))) * 100</f>
        <v>0.07427083333</v>
      </c>
      <c r="J1217" s="2" t="n">
        <f aca="false">((H1217 / 800) / (IF(ISBLANK(S1217), 100, IF(ISNA(VLOOKUP(S1217, Lives!$A$2:$C$35, 2, 0)), S1217, VLOOKUP(S1217, Lives!$A$2:$C$35, 2, 0))) * 12) + (IF(ISBLANK(Q1217), 0, IF(ISNA(VLOOKUP(Q1217, Wages!$A$2:$C$17, 2, 0)), Q1217, VLOOKUP(Q1217, Wages!$A$2:$C$17, 2, 0))) * IF(ISBLANK(N1217), 0, IF(ISNA(VLOOKUP(N1217, Crews!$A$2:$C$28, 2, 0)), N1217, VLOOKUP(N1217, Crews!$A$2:$C$28, 2, 0))))) * 400</f>
        <v>848.8095238</v>
      </c>
      <c r="K1217" s="3" t="s">
        <v>2466</v>
      </c>
      <c r="L1217" s="1" t="s">
        <v>2462</v>
      </c>
      <c r="M1217" s="1" t="n">
        <v>3</v>
      </c>
      <c r="N1217" s="1"/>
      <c r="O1217" s="1"/>
      <c r="P1217" s="1"/>
      <c r="Q1217" s="1"/>
      <c r="R1217" s="1" t="s">
        <v>689</v>
      </c>
      <c r="S1217" s="1" t="s">
        <v>856</v>
      </c>
      <c r="T1217" s="1"/>
    </row>
    <row r="1218" customFormat="false" ht="15" hidden="false" customHeight="true" outlineLevel="0" collapsed="false">
      <c r="A1218" s="1" t="s">
        <v>2468</v>
      </c>
      <c r="B1218" s="1" t="n">
        <v>1916</v>
      </c>
      <c r="C1218" s="1" t="n">
        <v>2</v>
      </c>
      <c r="D1218" s="1" t="s">
        <v>38</v>
      </c>
      <c r="E1218" s="1"/>
      <c r="F1218" s="1"/>
      <c r="G1218" s="1" t="n">
        <v>160</v>
      </c>
      <c r="H1218" s="2" t="n">
        <v>709000</v>
      </c>
      <c r="I1218" s="2" t="n">
        <f aca="false">(((H1218 / 800) / IF(ISBLANK(R1218), 1000000, IF(ISNA(VLOOKUP(R1218, Mileages!$A$2:$C$34, 2, 0)), R1218, VLOOKUP(R1218, Mileages!$A$2:$C$34, 2, 0)))) + (F1218 * IF(ISBLANK(P1218), 1, P1218) * IF(ISBLANK(T1218), 0, IF(ISNA(VLOOKUP(T1218, 'Fuel Costs'!$A$2:$C$42, 2, 0)), T1218, VLOOKUP(T1218, 'Fuel Costs'!$A$2:$C$42, 2, 0))) / IF(ISBLANK(O1218), 1, O1218))) * 100</f>
        <v>0.07385416667</v>
      </c>
      <c r="J1218" s="2" t="n">
        <f aca="false">((H1218 / 800) / (IF(ISBLANK(S1218), 100, IF(ISNA(VLOOKUP(S1218, Lives!$A$2:$C$35, 2, 0)), S1218, VLOOKUP(S1218, Lives!$A$2:$C$35, 2, 0))) * 12) + (IF(ISBLANK(Q1218), 0, IF(ISNA(VLOOKUP(Q1218, Wages!$A$2:$C$17, 2, 0)), Q1218, VLOOKUP(Q1218, Wages!$A$2:$C$17, 2, 0))) * IF(ISBLANK(N1218), 0, IF(ISNA(VLOOKUP(N1218, Crews!$A$2:$C$28, 2, 0)), N1218, VLOOKUP(N1218, Crews!$A$2:$C$28, 2, 0))))) * 400</f>
        <v>844.047619</v>
      </c>
      <c r="K1218" s="3" t="s">
        <v>2469</v>
      </c>
      <c r="L1218" s="1" t="s">
        <v>2462</v>
      </c>
      <c r="M1218" s="1" t="n">
        <v>4</v>
      </c>
      <c r="N1218" s="1"/>
      <c r="O1218" s="1"/>
      <c r="P1218" s="1"/>
      <c r="Q1218" s="1"/>
      <c r="R1218" s="1" t="s">
        <v>689</v>
      </c>
      <c r="S1218" s="1" t="s">
        <v>856</v>
      </c>
      <c r="T1218" s="1"/>
    </row>
    <row r="1219" customFormat="false" ht="15" hidden="false" customHeight="true" outlineLevel="0" collapsed="false">
      <c r="A1219" s="1" t="s">
        <v>2470</v>
      </c>
      <c r="B1219" s="1" t="n">
        <v>1916</v>
      </c>
      <c r="C1219" s="1" t="n">
        <v>2</v>
      </c>
      <c r="D1219" s="1" t="s">
        <v>38</v>
      </c>
      <c r="E1219" s="1"/>
      <c r="F1219" s="1"/>
      <c r="G1219" s="1" t="n">
        <v>160</v>
      </c>
      <c r="H1219" s="2" t="n">
        <v>709000</v>
      </c>
      <c r="I1219" s="2" t="n">
        <f aca="false">(((H1219 / 800) / IF(ISBLANK(R1219), 1000000, IF(ISNA(VLOOKUP(R1219, Mileages!$A$2:$C$34, 2, 0)), R1219, VLOOKUP(R1219, Mileages!$A$2:$C$34, 2, 0)))) + (F1219 * IF(ISBLANK(P1219), 1, P1219) * IF(ISBLANK(T1219), 0, IF(ISNA(VLOOKUP(T1219, 'Fuel Costs'!$A$2:$C$42, 2, 0)), T1219, VLOOKUP(T1219, 'Fuel Costs'!$A$2:$C$42, 2, 0))) / IF(ISBLANK(O1219), 1, O1219))) * 100</f>
        <v>0.07385416667</v>
      </c>
      <c r="J1219" s="2" t="n">
        <f aca="false">((H1219 / 800) / (IF(ISBLANK(S1219), 100, IF(ISNA(VLOOKUP(S1219, Lives!$A$2:$C$35, 2, 0)), S1219, VLOOKUP(S1219, Lives!$A$2:$C$35, 2, 0))) * 12) + (IF(ISBLANK(Q1219), 0, IF(ISNA(VLOOKUP(Q1219, Wages!$A$2:$C$17, 2, 0)), Q1219, VLOOKUP(Q1219, Wages!$A$2:$C$17, 2, 0))) * IF(ISBLANK(N1219), 0, IF(ISNA(VLOOKUP(N1219, Crews!$A$2:$C$28, 2, 0)), N1219, VLOOKUP(N1219, Crews!$A$2:$C$28, 2, 0))))) * 400</f>
        <v>844.047619</v>
      </c>
      <c r="K1219" s="3" t="s">
        <v>2469</v>
      </c>
      <c r="L1219" s="1" t="s">
        <v>2462</v>
      </c>
      <c r="M1219" s="1" t="n">
        <v>5</v>
      </c>
      <c r="N1219" s="1"/>
      <c r="O1219" s="1"/>
      <c r="P1219" s="1"/>
      <c r="Q1219" s="1"/>
      <c r="R1219" s="1" t="s">
        <v>689</v>
      </c>
      <c r="S1219" s="1" t="s">
        <v>856</v>
      </c>
      <c r="T1219" s="1"/>
    </row>
    <row r="1220" customFormat="false" ht="15" hidden="false" customHeight="true" outlineLevel="0" collapsed="false">
      <c r="A1220" s="1" t="s">
        <v>2471</v>
      </c>
      <c r="B1220" s="1" t="n">
        <v>1916</v>
      </c>
      <c r="C1220" s="1" t="n">
        <v>2</v>
      </c>
      <c r="D1220" s="1" t="s">
        <v>38</v>
      </c>
      <c r="E1220" s="1"/>
      <c r="F1220" s="1"/>
      <c r="G1220" s="1" t="n">
        <v>160</v>
      </c>
      <c r="H1220" s="2" t="n">
        <v>709000</v>
      </c>
      <c r="I1220" s="2" t="n">
        <f aca="false">(((H1220 / 800) / IF(ISBLANK(R1220), 1000000, IF(ISNA(VLOOKUP(R1220, Mileages!$A$2:$C$34, 2, 0)), R1220, VLOOKUP(R1220, Mileages!$A$2:$C$34, 2, 0)))) + (F1220 * IF(ISBLANK(P1220), 1, P1220) * IF(ISBLANK(T1220), 0, IF(ISNA(VLOOKUP(T1220, 'Fuel Costs'!$A$2:$C$42, 2, 0)), T1220, VLOOKUP(T1220, 'Fuel Costs'!$A$2:$C$42, 2, 0))) / IF(ISBLANK(O1220), 1, O1220))) * 100</f>
        <v>0.07385416667</v>
      </c>
      <c r="J1220" s="2" t="n">
        <f aca="false">((H1220 / 800) / (IF(ISBLANK(S1220), 100, IF(ISNA(VLOOKUP(S1220, Lives!$A$2:$C$35, 2, 0)), S1220, VLOOKUP(S1220, Lives!$A$2:$C$35, 2, 0))) * 12) + (IF(ISBLANK(Q1220), 0, IF(ISNA(VLOOKUP(Q1220, Wages!$A$2:$C$17, 2, 0)), Q1220, VLOOKUP(Q1220, Wages!$A$2:$C$17, 2, 0))) * IF(ISBLANK(N1220), 0, IF(ISNA(VLOOKUP(N1220, Crews!$A$2:$C$28, 2, 0)), N1220, VLOOKUP(N1220, Crews!$A$2:$C$28, 2, 0))))) * 400</f>
        <v>844.047619</v>
      </c>
      <c r="K1220" s="3" t="s">
        <v>2469</v>
      </c>
      <c r="L1220" s="1" t="s">
        <v>2462</v>
      </c>
      <c r="M1220" s="1" t="n">
        <v>6</v>
      </c>
      <c r="N1220" s="1"/>
      <c r="O1220" s="1"/>
      <c r="P1220" s="1"/>
      <c r="Q1220" s="1"/>
      <c r="R1220" s="1" t="s">
        <v>689</v>
      </c>
      <c r="S1220" s="1" t="s">
        <v>856</v>
      </c>
      <c r="T1220" s="1"/>
    </row>
    <row r="1221" customFormat="false" ht="15" hidden="false" customHeight="true" outlineLevel="0" collapsed="false">
      <c r="A1221" s="1" t="s">
        <v>2472</v>
      </c>
      <c r="B1221" s="1" t="n">
        <v>1916</v>
      </c>
      <c r="C1221" s="1" t="n">
        <v>2</v>
      </c>
      <c r="D1221" s="1" t="s">
        <v>38</v>
      </c>
      <c r="E1221" s="1"/>
      <c r="F1221" s="1"/>
      <c r="G1221" s="1" t="n">
        <v>160</v>
      </c>
      <c r="H1221" s="2" t="n">
        <v>709000</v>
      </c>
      <c r="I1221" s="2" t="n">
        <f aca="false">(((H1221 / 800) / IF(ISBLANK(R1221), 1000000, IF(ISNA(VLOOKUP(R1221, Mileages!$A$2:$C$34, 2, 0)), R1221, VLOOKUP(R1221, Mileages!$A$2:$C$34, 2, 0)))) + (F1221 * IF(ISBLANK(P1221), 1, P1221) * IF(ISBLANK(T1221), 0, IF(ISNA(VLOOKUP(T1221, 'Fuel Costs'!$A$2:$C$42, 2, 0)), T1221, VLOOKUP(T1221, 'Fuel Costs'!$A$2:$C$42, 2, 0))) / IF(ISBLANK(O1221), 1, O1221))) * 100</f>
        <v>0.07385416667</v>
      </c>
      <c r="J1221" s="2" t="n">
        <f aca="false">((H1221 / 800) / (IF(ISBLANK(S1221), 100, IF(ISNA(VLOOKUP(S1221, Lives!$A$2:$C$35, 2, 0)), S1221, VLOOKUP(S1221, Lives!$A$2:$C$35, 2, 0))) * 12) + (IF(ISBLANK(Q1221), 0, IF(ISNA(VLOOKUP(Q1221, Wages!$A$2:$C$17, 2, 0)), Q1221, VLOOKUP(Q1221, Wages!$A$2:$C$17, 2, 0))) * IF(ISBLANK(N1221), 0, IF(ISNA(VLOOKUP(N1221, Crews!$A$2:$C$28, 2, 0)), N1221, VLOOKUP(N1221, Crews!$A$2:$C$28, 2, 0))))) * 400</f>
        <v>844.047619</v>
      </c>
      <c r="K1221" s="3" t="s">
        <v>2469</v>
      </c>
      <c r="L1221" s="1" t="s">
        <v>2462</v>
      </c>
      <c r="M1221" s="1" t="n">
        <v>7</v>
      </c>
      <c r="N1221" s="1"/>
      <c r="O1221" s="1"/>
      <c r="P1221" s="1"/>
      <c r="Q1221" s="1"/>
      <c r="R1221" s="1" t="s">
        <v>689</v>
      </c>
      <c r="S1221" s="1" t="s">
        <v>856</v>
      </c>
      <c r="T1221" s="1"/>
    </row>
    <row r="1222" customFormat="false" ht="15" hidden="false" customHeight="true" outlineLevel="0" collapsed="false">
      <c r="A1222" s="1" t="s">
        <v>2473</v>
      </c>
      <c r="B1222" s="1" t="n">
        <v>1916</v>
      </c>
      <c r="C1222" s="1" t="n">
        <v>2</v>
      </c>
      <c r="D1222" s="1" t="s">
        <v>38</v>
      </c>
      <c r="E1222" s="1"/>
      <c r="F1222" s="1"/>
      <c r="G1222" s="1" t="n">
        <v>160</v>
      </c>
      <c r="H1222" s="2" t="n">
        <v>720000</v>
      </c>
      <c r="I1222" s="2" t="n">
        <f aca="false">(((H1222 / 800) / IF(ISBLANK(R1222), 1000000, IF(ISNA(VLOOKUP(R1222, Mileages!$A$2:$C$34, 2, 0)), R1222, VLOOKUP(R1222, Mileages!$A$2:$C$34, 2, 0)))) + (F1222 * IF(ISBLANK(P1222), 1, P1222) * IF(ISBLANK(T1222), 0, IF(ISNA(VLOOKUP(T1222, 'Fuel Costs'!$A$2:$C$42, 2, 0)), T1222, VLOOKUP(T1222, 'Fuel Costs'!$A$2:$C$42, 2, 0))) / IF(ISBLANK(O1222), 1, O1222))) * 100</f>
        <v>0.075</v>
      </c>
      <c r="J1222" s="2" t="n">
        <f aca="false">((H1222 / 800) / (IF(ISBLANK(S1222), 100, IF(ISNA(VLOOKUP(S1222, Lives!$A$2:$C$35, 2, 0)), S1222, VLOOKUP(S1222, Lives!$A$2:$C$35, 2, 0))) * 12) + (IF(ISBLANK(Q1222), 0, IF(ISNA(VLOOKUP(Q1222, Wages!$A$2:$C$17, 2, 0)), Q1222, VLOOKUP(Q1222, Wages!$A$2:$C$17, 2, 0))) * IF(ISBLANK(N1222), 0, IF(ISNA(VLOOKUP(N1222, Crews!$A$2:$C$28, 2, 0)), N1222, VLOOKUP(N1222, Crews!$A$2:$C$28, 2, 0))))) * 400</f>
        <v>857.1428571</v>
      </c>
      <c r="K1222" s="3" t="s">
        <v>2469</v>
      </c>
      <c r="L1222" s="1" t="s">
        <v>2462</v>
      </c>
      <c r="M1222" s="1" t="n">
        <v>8</v>
      </c>
      <c r="N1222" s="1"/>
      <c r="O1222" s="1"/>
      <c r="P1222" s="1"/>
      <c r="Q1222" s="1"/>
      <c r="R1222" s="1" t="s">
        <v>689</v>
      </c>
      <c r="S1222" s="1" t="s">
        <v>856</v>
      </c>
      <c r="T1222" s="1"/>
    </row>
    <row r="1223" customFormat="false" ht="15" hidden="false" customHeight="true" outlineLevel="0" collapsed="false">
      <c r="A1223" s="1" t="s">
        <v>2474</v>
      </c>
      <c r="B1223" s="1" t="n">
        <v>1916</v>
      </c>
      <c r="C1223" s="1" t="n">
        <v>2</v>
      </c>
      <c r="D1223" s="1" t="s">
        <v>38</v>
      </c>
      <c r="E1223" s="1"/>
      <c r="F1223" s="1"/>
      <c r="G1223" s="1" t="n">
        <v>160</v>
      </c>
      <c r="H1223" s="2" t="n">
        <v>720000</v>
      </c>
      <c r="I1223" s="2" t="n">
        <f aca="false">(((H1223 / 800) / IF(ISBLANK(R1223), 1000000, IF(ISNA(VLOOKUP(R1223, Mileages!$A$2:$C$34, 2, 0)), R1223, VLOOKUP(R1223, Mileages!$A$2:$C$34, 2, 0)))) + (F1223 * IF(ISBLANK(P1223), 1, P1223) * IF(ISBLANK(T1223), 0, IF(ISNA(VLOOKUP(T1223, 'Fuel Costs'!$A$2:$C$42, 2, 0)), T1223, VLOOKUP(T1223, 'Fuel Costs'!$A$2:$C$42, 2, 0))) / IF(ISBLANK(O1223), 1, O1223))) * 100</f>
        <v>0.075</v>
      </c>
      <c r="J1223" s="2" t="n">
        <f aca="false">((H1223 / 800) / (IF(ISBLANK(S1223), 100, IF(ISNA(VLOOKUP(S1223, Lives!$A$2:$C$35, 2, 0)), S1223, VLOOKUP(S1223, Lives!$A$2:$C$35, 2, 0))) * 12) + (IF(ISBLANK(Q1223), 0, IF(ISNA(VLOOKUP(Q1223, Wages!$A$2:$C$17, 2, 0)), Q1223, VLOOKUP(Q1223, Wages!$A$2:$C$17, 2, 0))) * IF(ISBLANK(N1223), 0, IF(ISNA(VLOOKUP(N1223, Crews!$A$2:$C$28, 2, 0)), N1223, VLOOKUP(N1223, Crews!$A$2:$C$28, 2, 0))))) * 400</f>
        <v>857.1428571</v>
      </c>
      <c r="K1223" s="3" t="s">
        <v>2469</v>
      </c>
      <c r="L1223" s="1" t="s">
        <v>2462</v>
      </c>
      <c r="M1223" s="1" t="n">
        <v>9</v>
      </c>
      <c r="N1223" s="1"/>
      <c r="O1223" s="1"/>
      <c r="P1223" s="1"/>
      <c r="Q1223" s="1"/>
      <c r="R1223" s="1" t="s">
        <v>689</v>
      </c>
      <c r="S1223" s="1" t="s">
        <v>856</v>
      </c>
      <c r="T1223" s="1"/>
    </row>
    <row r="1224" customFormat="false" ht="15" hidden="false" customHeight="true" outlineLevel="0" collapsed="false">
      <c r="A1224" s="1" t="s">
        <v>2475</v>
      </c>
      <c r="B1224" s="1" t="n">
        <v>1916</v>
      </c>
      <c r="C1224" s="1" t="n">
        <v>8</v>
      </c>
      <c r="D1224" s="1" t="s">
        <v>38</v>
      </c>
      <c r="E1224" s="1" t="s">
        <v>274</v>
      </c>
      <c r="F1224" s="1" t="n">
        <v>371</v>
      </c>
      <c r="G1224" s="1" t="n">
        <v>147</v>
      </c>
      <c r="H1224" s="2" t="n">
        <v>8967500</v>
      </c>
      <c r="I1224" s="2" t="n">
        <f aca="false">(((H1224 / 800) / IF(ISBLANK(R1224), 1000000, IF(ISNA(VLOOKUP(R1224, Mileages!$A$2:$C$34, 2, 0)), R1224, VLOOKUP(R1224, Mileages!$A$2:$C$34, 2, 0)))) + (F1224 * IF(ISBLANK(P1224), 1, P1224) * IF(ISBLANK(T1224), 0, IF(ISNA(VLOOKUP(T1224, 'Fuel Costs'!$A$2:$C$42, 2, 0)), T1224, VLOOKUP(T1224, 'Fuel Costs'!$A$2:$C$42, 2, 0))) / IF(ISBLANK(O1224), 1, O1224))) * 100</f>
        <v>213.1209375</v>
      </c>
      <c r="J1224" s="2" t="n">
        <f aca="false">((H1224 / 800) / (IF(ISBLANK(S1224), 100, IF(ISNA(VLOOKUP(S1224, Lives!$A$2:$C$35, 2, 0)), S1224, VLOOKUP(S1224, Lives!$A$2:$C$35, 2, 0))) * 12) + (IF(ISBLANK(Q1224), 0, IF(ISNA(VLOOKUP(Q1224, Wages!$A$2:$C$17, 2, 0)), Q1224, VLOOKUP(Q1224, Wages!$A$2:$C$17, 2, 0))) * IF(ISBLANK(N1224), 0, IF(ISNA(VLOOKUP(N1224, Crews!$A$2:$C$28, 2, 0)), N1224, VLOOKUP(N1224, Crews!$A$2:$C$28, 2, 0))))) * 400</f>
        <v>47472.91667</v>
      </c>
      <c r="K1224" s="1" t="s">
        <v>1692</v>
      </c>
      <c r="L1224" s="1" t="s">
        <v>2476</v>
      </c>
      <c r="M1224" s="1" t="n">
        <v>0</v>
      </c>
      <c r="N1224" s="1" t="s">
        <v>1705</v>
      </c>
      <c r="O1224" s="1" t="n">
        <v>0.7</v>
      </c>
      <c r="P1224" s="1"/>
      <c r="Q1224" s="5" t="s">
        <v>284</v>
      </c>
      <c r="R1224" s="1" t="s">
        <v>677</v>
      </c>
      <c r="S1224" s="1" t="s">
        <v>677</v>
      </c>
      <c r="T1224" s="1" t="s">
        <v>2252</v>
      </c>
    </row>
    <row r="1225" customFormat="false" ht="15" hidden="false" customHeight="true" outlineLevel="0" collapsed="false">
      <c r="A1225" s="1" t="s">
        <v>2477</v>
      </c>
      <c r="B1225" s="1" t="n">
        <v>1917</v>
      </c>
      <c r="C1225" s="1" t="n">
        <v>2</v>
      </c>
      <c r="D1225" s="1" t="s">
        <v>38</v>
      </c>
      <c r="E1225" s="1"/>
      <c r="F1225" s="1"/>
      <c r="G1225" s="1" t="n">
        <v>140</v>
      </c>
      <c r="H1225" s="2" t="n">
        <v>755000</v>
      </c>
      <c r="I1225" s="2" t="n">
        <f aca="false">(((H1225 / 800) / IF(ISBLANK(R1225), 1000000, IF(ISNA(VLOOKUP(R1225, Mileages!$A$2:$C$34, 2, 0)), R1225, VLOOKUP(R1225, Mileages!$A$2:$C$34, 2, 0)))) + (F1225 * IF(ISBLANK(P1225), 1, P1225) * IF(ISBLANK(T1225), 0, IF(ISNA(VLOOKUP(T1225, 'Fuel Costs'!$A$2:$C$42, 2, 0)), T1225, VLOOKUP(T1225, 'Fuel Costs'!$A$2:$C$42, 2, 0))) / IF(ISBLANK(O1225), 1, O1225))) * 100</f>
        <v>0.07864583333</v>
      </c>
      <c r="J1225" s="2" t="n">
        <f aca="false">((H1225 / 800) / (IF(ISBLANK(S1225), 100, IF(ISNA(VLOOKUP(S1225, Lives!$A$2:$C$35, 2, 0)), S1225, VLOOKUP(S1225, Lives!$A$2:$C$35, 2, 0))) * 12) + (IF(ISBLANK(Q1225), 0, IF(ISNA(VLOOKUP(Q1225, Wages!$A$2:$C$17, 2, 0)), Q1225, VLOOKUP(Q1225, Wages!$A$2:$C$17, 2, 0))) * IF(ISBLANK(N1225), 0, IF(ISNA(VLOOKUP(N1225, Crews!$A$2:$C$28, 2, 0)), N1225, VLOOKUP(N1225, Crews!$A$2:$C$28, 2, 0))))) * 400</f>
        <v>898.8095238</v>
      </c>
      <c r="K1225" s="1" t="s">
        <v>1727</v>
      </c>
      <c r="L1225" s="1" t="s">
        <v>2478</v>
      </c>
      <c r="M1225" s="1" t="n">
        <v>0</v>
      </c>
      <c r="N1225" s="1"/>
      <c r="O1225" s="1"/>
      <c r="P1225" s="1"/>
      <c r="Q1225" s="1"/>
      <c r="R1225" s="1" t="s">
        <v>689</v>
      </c>
      <c r="S1225" s="1" t="s">
        <v>856</v>
      </c>
      <c r="T1225" s="1"/>
    </row>
    <row r="1226" customFormat="false" ht="15" hidden="false" customHeight="true" outlineLevel="0" collapsed="false">
      <c r="A1226" s="1" t="s">
        <v>2479</v>
      </c>
      <c r="B1226" s="1" t="n">
        <v>1917</v>
      </c>
      <c r="C1226" s="1" t="n">
        <v>2</v>
      </c>
      <c r="D1226" s="1" t="s">
        <v>38</v>
      </c>
      <c r="E1226" s="1"/>
      <c r="F1226" s="1"/>
      <c r="G1226" s="1" t="n">
        <v>140</v>
      </c>
      <c r="H1226" s="2" t="n">
        <v>755000</v>
      </c>
      <c r="I1226" s="2" t="n">
        <f aca="false">(((H1226 / 800) / IF(ISBLANK(R1226), 1000000, IF(ISNA(VLOOKUP(R1226, Mileages!$A$2:$C$34, 2, 0)), R1226, VLOOKUP(R1226, Mileages!$A$2:$C$34, 2, 0)))) + (F1226 * IF(ISBLANK(P1226), 1, P1226) * IF(ISBLANK(T1226), 0, IF(ISNA(VLOOKUP(T1226, 'Fuel Costs'!$A$2:$C$42, 2, 0)), T1226, VLOOKUP(T1226, 'Fuel Costs'!$A$2:$C$42, 2, 0))) / IF(ISBLANK(O1226), 1, O1226))) * 100</f>
        <v>0.07864583333</v>
      </c>
      <c r="J1226" s="2" t="n">
        <f aca="false">((H1226 / 800) / (IF(ISBLANK(S1226), 100, IF(ISNA(VLOOKUP(S1226, Lives!$A$2:$C$35, 2, 0)), S1226, VLOOKUP(S1226, Lives!$A$2:$C$35, 2, 0))) * 12) + (IF(ISBLANK(Q1226), 0, IF(ISNA(VLOOKUP(Q1226, Wages!$A$2:$C$17, 2, 0)), Q1226, VLOOKUP(Q1226, Wages!$A$2:$C$17, 2, 0))) * IF(ISBLANK(N1226), 0, IF(ISNA(VLOOKUP(N1226, Crews!$A$2:$C$28, 2, 0)), N1226, VLOOKUP(N1226, Crews!$A$2:$C$28, 2, 0))))) * 400</f>
        <v>898.8095238</v>
      </c>
      <c r="K1226" s="1" t="s">
        <v>2480</v>
      </c>
      <c r="L1226" s="1" t="s">
        <v>2478</v>
      </c>
      <c r="M1226" s="1" t="n">
        <v>1</v>
      </c>
      <c r="N1226" s="1"/>
      <c r="O1226" s="1"/>
      <c r="P1226" s="1"/>
      <c r="Q1226" s="1"/>
      <c r="R1226" s="1" t="s">
        <v>689</v>
      </c>
      <c r="S1226" s="1" t="s">
        <v>856</v>
      </c>
      <c r="T1226" s="1"/>
    </row>
    <row r="1227" customFormat="false" ht="15" hidden="false" customHeight="true" outlineLevel="0" collapsed="false">
      <c r="A1227" s="1" t="s">
        <v>2481</v>
      </c>
      <c r="B1227" s="1" t="n">
        <v>1917</v>
      </c>
      <c r="C1227" s="1" t="n">
        <v>2</v>
      </c>
      <c r="D1227" s="1" t="s">
        <v>38</v>
      </c>
      <c r="E1227" s="1"/>
      <c r="F1227" s="1"/>
      <c r="G1227" s="1" t="n">
        <v>140</v>
      </c>
      <c r="H1227" s="2" t="n">
        <v>855000</v>
      </c>
      <c r="I1227" s="2" t="n">
        <f aca="false">(((H1227 / 800) / IF(ISBLANK(R1227), 1000000, IF(ISNA(VLOOKUP(R1227, Mileages!$A$2:$C$34, 2, 0)), R1227, VLOOKUP(R1227, Mileages!$A$2:$C$34, 2, 0)))) + (F1227 * IF(ISBLANK(P1227), 1, P1227) * IF(ISBLANK(T1227), 0, IF(ISNA(VLOOKUP(T1227, 'Fuel Costs'!$A$2:$C$42, 2, 0)), T1227, VLOOKUP(T1227, 'Fuel Costs'!$A$2:$C$42, 2, 0))) / IF(ISBLANK(O1227), 1, O1227))) * 100</f>
        <v>0.0890625</v>
      </c>
      <c r="J1227" s="2" t="n">
        <f aca="false">((H1227 / 800) / (IF(ISBLANK(S1227), 100, IF(ISNA(VLOOKUP(S1227, Lives!$A$2:$C$35, 2, 0)), S1227, VLOOKUP(S1227, Lives!$A$2:$C$35, 2, 0))) * 12) + (IF(ISBLANK(Q1227), 0, IF(ISNA(VLOOKUP(Q1227, Wages!$A$2:$C$17, 2, 0)), Q1227, VLOOKUP(Q1227, Wages!$A$2:$C$17, 2, 0))) * IF(ISBLANK(N1227), 0, IF(ISNA(VLOOKUP(N1227, Crews!$A$2:$C$28, 2, 0)), N1227, VLOOKUP(N1227, Crews!$A$2:$C$28, 2, 0))))) * 400</f>
        <v>1017.857143</v>
      </c>
      <c r="K1227" s="1"/>
      <c r="L1227" s="1" t="s">
        <v>2478</v>
      </c>
      <c r="M1227" s="1" t="n">
        <v>2</v>
      </c>
      <c r="N1227" s="1"/>
      <c r="O1227" s="1"/>
      <c r="P1227" s="1"/>
      <c r="Q1227" s="1"/>
      <c r="R1227" s="1" t="s">
        <v>689</v>
      </c>
      <c r="S1227" s="1" t="s">
        <v>856</v>
      </c>
      <c r="T1227" s="1"/>
    </row>
    <row r="1228" customFormat="false" ht="15" hidden="false" customHeight="true" outlineLevel="0" collapsed="false">
      <c r="A1228" s="1" t="s">
        <v>2482</v>
      </c>
      <c r="B1228" s="1" t="n">
        <v>1917</v>
      </c>
      <c r="C1228" s="1" t="n">
        <v>4</v>
      </c>
      <c r="D1228" s="1" t="s">
        <v>38</v>
      </c>
      <c r="E1228" s="1"/>
      <c r="F1228" s="1"/>
      <c r="G1228" s="1" t="n">
        <v>160</v>
      </c>
      <c r="H1228" s="2" t="n">
        <v>620000</v>
      </c>
      <c r="I1228" s="2" t="n">
        <f aca="false">(((H1228 / 800) / IF(ISBLANK(R1228), 1000000, IF(ISNA(VLOOKUP(R1228, Mileages!$A$2:$C$34, 2, 0)), R1228, VLOOKUP(R1228, Mileages!$A$2:$C$34, 2, 0)))) + (F1228 * IF(ISBLANK(P1228), 1, P1228) * IF(ISBLANK(T1228), 0, IF(ISNA(VLOOKUP(T1228, 'Fuel Costs'!$A$2:$C$42, 2, 0)), T1228, VLOOKUP(T1228, 'Fuel Costs'!$A$2:$C$42, 2, 0))) / IF(ISBLANK(O1228), 1, O1228))) * 100</f>
        <v>0.06458333333</v>
      </c>
      <c r="J1228" s="2" t="n">
        <f aca="false">((H1228 / 800) / (IF(ISBLANK(S1228), 100, IF(ISNA(VLOOKUP(S1228, Lives!$A$2:$C$35, 2, 0)), S1228, VLOOKUP(S1228, Lives!$A$2:$C$35, 2, 0))) * 12) + (IF(ISBLANK(Q1228), 0, IF(ISNA(VLOOKUP(Q1228, Wages!$A$2:$C$17, 2, 0)), Q1228, VLOOKUP(Q1228, Wages!$A$2:$C$17, 2, 0))) * IF(ISBLANK(N1228), 0, IF(ISNA(VLOOKUP(N1228, Crews!$A$2:$C$28, 2, 0)), N1228, VLOOKUP(N1228, Crews!$A$2:$C$28, 2, 0))))) * 400</f>
        <v>738.0952381</v>
      </c>
      <c r="K1228" s="3" t="s">
        <v>2483</v>
      </c>
      <c r="L1228" s="1" t="s">
        <v>2484</v>
      </c>
      <c r="M1228" s="1" t="n">
        <v>0</v>
      </c>
      <c r="N1228" s="1"/>
      <c r="O1228" s="1"/>
      <c r="P1228" s="1"/>
      <c r="Q1228" s="1"/>
      <c r="R1228" s="1" t="s">
        <v>689</v>
      </c>
      <c r="S1228" s="1" t="s">
        <v>856</v>
      </c>
      <c r="T1228" s="1"/>
    </row>
    <row r="1229" customFormat="false" ht="15" hidden="false" customHeight="true" outlineLevel="0" collapsed="false">
      <c r="A1229" s="1" t="s">
        <v>2485</v>
      </c>
      <c r="B1229" s="1" t="n">
        <v>1917</v>
      </c>
      <c r="C1229" s="1" t="n">
        <v>4</v>
      </c>
      <c r="D1229" s="1" t="s">
        <v>38</v>
      </c>
      <c r="E1229" s="1"/>
      <c r="F1229" s="1"/>
      <c r="G1229" s="1" t="n">
        <v>160</v>
      </c>
      <c r="H1229" s="2" t="n">
        <v>620000</v>
      </c>
      <c r="I1229" s="2" t="n">
        <f aca="false">(((H1229 / 800) / IF(ISBLANK(R1229), 1000000, IF(ISNA(VLOOKUP(R1229, Mileages!$A$2:$C$34, 2, 0)), R1229, VLOOKUP(R1229, Mileages!$A$2:$C$34, 2, 0)))) + (F1229 * IF(ISBLANK(P1229), 1, P1229) * IF(ISBLANK(T1229), 0, IF(ISNA(VLOOKUP(T1229, 'Fuel Costs'!$A$2:$C$42, 2, 0)), T1229, VLOOKUP(T1229, 'Fuel Costs'!$A$2:$C$42, 2, 0))) / IF(ISBLANK(O1229), 1, O1229))) * 100</f>
        <v>0.06458333333</v>
      </c>
      <c r="J1229" s="2" t="n">
        <f aca="false">((H1229 / 800) / (IF(ISBLANK(S1229), 100, IF(ISNA(VLOOKUP(S1229, Lives!$A$2:$C$35, 2, 0)), S1229, VLOOKUP(S1229, Lives!$A$2:$C$35, 2, 0))) * 12) + (IF(ISBLANK(Q1229), 0, IF(ISNA(VLOOKUP(Q1229, Wages!$A$2:$C$17, 2, 0)), Q1229, VLOOKUP(Q1229, Wages!$A$2:$C$17, 2, 0))) * IF(ISBLANK(N1229), 0, IF(ISNA(VLOOKUP(N1229, Crews!$A$2:$C$28, 2, 0)), N1229, VLOOKUP(N1229, Crews!$A$2:$C$28, 2, 0))))) * 400</f>
        <v>5538.095238</v>
      </c>
      <c r="K1229" s="3" t="s">
        <v>2483</v>
      </c>
      <c r="L1229" s="1" t="s">
        <v>2484</v>
      </c>
      <c r="M1229" s="1" t="n">
        <v>1</v>
      </c>
      <c r="N1229" s="1" t="s">
        <v>25</v>
      </c>
      <c r="O1229" s="1"/>
      <c r="P1229" s="1"/>
      <c r="Q1229" s="1" t="s">
        <v>378</v>
      </c>
      <c r="R1229" s="1" t="s">
        <v>689</v>
      </c>
      <c r="S1229" s="1" t="s">
        <v>856</v>
      </c>
      <c r="T1229" s="1"/>
    </row>
    <row r="1230" customFormat="false" ht="15" hidden="false" customHeight="true" outlineLevel="0" collapsed="false">
      <c r="A1230" s="1" t="s">
        <v>2486</v>
      </c>
      <c r="B1230" s="1" t="n">
        <v>1917</v>
      </c>
      <c r="C1230" s="1" t="n">
        <v>4</v>
      </c>
      <c r="D1230" s="1" t="s">
        <v>38</v>
      </c>
      <c r="E1230" s="1"/>
      <c r="F1230" s="1"/>
      <c r="G1230" s="1" t="n">
        <v>160</v>
      </c>
      <c r="H1230" s="2" t="n">
        <v>620000</v>
      </c>
      <c r="I1230" s="2" t="n">
        <f aca="false">(((H1230 / 800) / IF(ISBLANK(R1230), 1000000, IF(ISNA(VLOOKUP(R1230, Mileages!$A$2:$C$34, 2, 0)), R1230, VLOOKUP(R1230, Mileages!$A$2:$C$34, 2, 0)))) + (F1230 * IF(ISBLANK(P1230), 1, P1230) * IF(ISBLANK(T1230), 0, IF(ISNA(VLOOKUP(T1230, 'Fuel Costs'!$A$2:$C$42, 2, 0)), T1230, VLOOKUP(T1230, 'Fuel Costs'!$A$2:$C$42, 2, 0))) / IF(ISBLANK(O1230), 1, O1230))) * 100</f>
        <v>0.06458333333</v>
      </c>
      <c r="J1230" s="2" t="n">
        <f aca="false">((H1230 / 800) / (IF(ISBLANK(S1230), 100, IF(ISNA(VLOOKUP(S1230, Lives!$A$2:$C$35, 2, 0)), S1230, VLOOKUP(S1230, Lives!$A$2:$C$35, 2, 0))) * 12) + (IF(ISBLANK(Q1230), 0, IF(ISNA(VLOOKUP(Q1230, Wages!$A$2:$C$17, 2, 0)), Q1230, VLOOKUP(Q1230, Wages!$A$2:$C$17, 2, 0))) * IF(ISBLANK(N1230), 0, IF(ISNA(VLOOKUP(N1230, Crews!$A$2:$C$28, 2, 0)), N1230, VLOOKUP(N1230, Crews!$A$2:$C$28, 2, 0))))) * 400</f>
        <v>5538.095238</v>
      </c>
      <c r="K1230" s="3" t="s">
        <v>2483</v>
      </c>
      <c r="L1230" s="1" t="s">
        <v>2484</v>
      </c>
      <c r="M1230" s="1" t="n">
        <v>2</v>
      </c>
      <c r="N1230" s="1" t="s">
        <v>25</v>
      </c>
      <c r="O1230" s="1"/>
      <c r="P1230" s="1"/>
      <c r="Q1230" s="1" t="s">
        <v>378</v>
      </c>
      <c r="R1230" s="1" t="s">
        <v>689</v>
      </c>
      <c r="S1230" s="1" t="s">
        <v>856</v>
      </c>
      <c r="T1230" s="1"/>
    </row>
    <row r="1231" customFormat="false" ht="15" hidden="false" customHeight="true" outlineLevel="0" collapsed="false">
      <c r="A1231" s="1" t="s">
        <v>2487</v>
      </c>
      <c r="B1231" s="1" t="n">
        <v>1917</v>
      </c>
      <c r="C1231" s="1" t="n">
        <v>4</v>
      </c>
      <c r="D1231" s="1" t="s">
        <v>38</v>
      </c>
      <c r="E1231" s="1"/>
      <c r="F1231" s="1"/>
      <c r="G1231" s="1" t="n">
        <v>160</v>
      </c>
      <c r="H1231" s="2" t="n">
        <v>620000</v>
      </c>
      <c r="I1231" s="2" t="n">
        <f aca="false">(((H1231 / 800) / IF(ISBLANK(R1231), 1000000, IF(ISNA(VLOOKUP(R1231, Mileages!$A$2:$C$34, 2, 0)), R1231, VLOOKUP(R1231, Mileages!$A$2:$C$34, 2, 0)))) + (F1231 * IF(ISBLANK(P1231), 1, P1231) * IF(ISBLANK(T1231), 0, IF(ISNA(VLOOKUP(T1231, 'Fuel Costs'!$A$2:$C$42, 2, 0)), T1231, VLOOKUP(T1231, 'Fuel Costs'!$A$2:$C$42, 2, 0))) / IF(ISBLANK(O1231), 1, O1231))) * 100</f>
        <v>0.06458333333</v>
      </c>
      <c r="J1231" s="2" t="n">
        <f aca="false">((H1231 / 800) / (IF(ISBLANK(S1231), 100, IF(ISNA(VLOOKUP(S1231, Lives!$A$2:$C$35, 2, 0)), S1231, VLOOKUP(S1231, Lives!$A$2:$C$35, 2, 0))) * 12) + (IF(ISBLANK(Q1231), 0, IF(ISNA(VLOOKUP(Q1231, Wages!$A$2:$C$17, 2, 0)), Q1231, VLOOKUP(Q1231, Wages!$A$2:$C$17, 2, 0))) * IF(ISBLANK(N1231), 0, IF(ISNA(VLOOKUP(N1231, Crews!$A$2:$C$28, 2, 0)), N1231, VLOOKUP(N1231, Crews!$A$2:$C$28, 2, 0))))) * 400</f>
        <v>738.0952381</v>
      </c>
      <c r="K1231" s="1" t="s">
        <v>2488</v>
      </c>
      <c r="L1231" s="1" t="s">
        <v>2484</v>
      </c>
      <c r="M1231" s="1" t="n">
        <v>3</v>
      </c>
      <c r="N1231" s="1"/>
      <c r="O1231" s="1"/>
      <c r="P1231" s="1"/>
      <c r="Q1231" s="1"/>
      <c r="R1231" s="1" t="s">
        <v>689</v>
      </c>
      <c r="S1231" s="1" t="s">
        <v>856</v>
      </c>
      <c r="T1231" s="1"/>
    </row>
    <row r="1232" customFormat="false" ht="15" hidden="false" customHeight="true" outlineLevel="0" collapsed="false">
      <c r="A1232" s="1" t="s">
        <v>2489</v>
      </c>
      <c r="B1232" s="1" t="n">
        <v>1917</v>
      </c>
      <c r="C1232" s="1" t="n">
        <v>4</v>
      </c>
      <c r="D1232" s="1" t="s">
        <v>38</v>
      </c>
      <c r="E1232" s="1"/>
      <c r="F1232" s="1"/>
      <c r="G1232" s="1" t="n">
        <v>160</v>
      </c>
      <c r="H1232" s="2" t="n">
        <v>887000</v>
      </c>
      <c r="I1232" s="2" t="n">
        <f aca="false">(((H1232 / 800) / IF(ISBLANK(R1232), 1000000, IF(ISNA(VLOOKUP(R1232, Mileages!$A$2:$C$34, 2, 0)), R1232, VLOOKUP(R1232, Mileages!$A$2:$C$34, 2, 0)))) + (F1232 * IF(ISBLANK(P1232), 1, P1232) * IF(ISBLANK(T1232), 0, IF(ISNA(VLOOKUP(T1232, 'Fuel Costs'!$A$2:$C$42, 2, 0)), T1232, VLOOKUP(T1232, 'Fuel Costs'!$A$2:$C$42, 2, 0))) / IF(ISBLANK(O1232), 1, O1232))) * 100</f>
        <v>0.09239583333</v>
      </c>
      <c r="J1232" s="2" t="n">
        <f aca="false">((H1232 / 800) / (IF(ISBLANK(S1232), 100, IF(ISNA(VLOOKUP(S1232, Lives!$A$2:$C$35, 2, 0)), S1232, VLOOKUP(S1232, Lives!$A$2:$C$35, 2, 0))) * 12) + (IF(ISBLANK(Q1232), 0, IF(ISNA(VLOOKUP(Q1232, Wages!$A$2:$C$17, 2, 0)), Q1232, VLOOKUP(Q1232, Wages!$A$2:$C$17, 2, 0))) * IF(ISBLANK(N1232), 0, IF(ISNA(VLOOKUP(N1232, Crews!$A$2:$C$28, 2, 0)), N1232, VLOOKUP(N1232, Crews!$A$2:$C$28, 2, 0))))) * 400</f>
        <v>19055.95238</v>
      </c>
      <c r="K1232" s="3" t="s">
        <v>2490</v>
      </c>
      <c r="L1232" s="1" t="s">
        <v>2491</v>
      </c>
      <c r="M1232" s="1" t="n">
        <v>0</v>
      </c>
      <c r="N1232" s="1" t="s">
        <v>1481</v>
      </c>
      <c r="O1232" s="1"/>
      <c r="P1232" s="1"/>
      <c r="Q1232" s="1" t="s">
        <v>1481</v>
      </c>
      <c r="R1232" s="1" t="s">
        <v>689</v>
      </c>
      <c r="S1232" s="1" t="s">
        <v>856</v>
      </c>
      <c r="T1232" s="1"/>
    </row>
    <row r="1233" customFormat="false" ht="15" hidden="false" customHeight="true" outlineLevel="0" collapsed="false">
      <c r="A1233" s="1" t="s">
        <v>2492</v>
      </c>
      <c r="B1233" s="1" t="n">
        <v>1917</v>
      </c>
      <c r="C1233" s="1" t="n">
        <v>7</v>
      </c>
      <c r="D1233" s="1" t="s">
        <v>38</v>
      </c>
      <c r="E1233" s="1" t="s">
        <v>274</v>
      </c>
      <c r="F1233" s="1" t="n">
        <v>348</v>
      </c>
      <c r="G1233" s="1" t="n">
        <v>100</v>
      </c>
      <c r="H1233" s="2" t="n">
        <v>7650900</v>
      </c>
      <c r="I1233" s="2" t="n">
        <f aca="false">(((H1233 / 800) / IF(ISBLANK(R1233), 1000000, IF(ISNA(VLOOKUP(R1233, Mileages!$A$2:$C$34, 2, 0)), R1233, VLOOKUP(R1233, Mileages!$A$2:$C$34, 2, 0)))) + (F1233 * IF(ISBLANK(P1233), 1, P1233) * IF(ISBLANK(T1233), 0, IF(ISNA(VLOOKUP(T1233, 'Fuel Costs'!$A$2:$C$42, 2, 0)), T1233, VLOOKUP(T1233, 'Fuel Costs'!$A$2:$C$42, 2, 0))) / IF(ISBLANK(O1233), 1, O1233))) * 100</f>
        <v>199.8135054</v>
      </c>
      <c r="J1233" s="2" t="n">
        <f aca="false">((H1233 / 800) / (IF(ISBLANK(S1233), 100, IF(ISNA(VLOOKUP(S1233, Lives!$A$2:$C$35, 2, 0)), S1233, VLOOKUP(S1233, Lives!$A$2:$C$35, 2, 0))) * 12) + (IF(ISBLANK(Q1233), 0, IF(ISNA(VLOOKUP(Q1233, Wages!$A$2:$C$17, 2, 0)), Q1233, VLOOKUP(Q1233, Wages!$A$2:$C$17, 2, 0))) * IF(ISBLANK(N1233), 0, IF(ISNA(VLOOKUP(N1233, Crews!$A$2:$C$28, 2, 0)), N1233, VLOOKUP(N1233, Crews!$A$2:$C$28, 2, 0))))) * 400</f>
        <v>30375.75</v>
      </c>
      <c r="K1233" s="3" t="s">
        <v>2493</v>
      </c>
      <c r="L1233" s="1" t="s">
        <v>2494</v>
      </c>
      <c r="M1233" s="1" t="n">
        <v>0</v>
      </c>
      <c r="N1233" s="1" t="s">
        <v>590</v>
      </c>
      <c r="O1233" s="1" t="n">
        <v>0.7</v>
      </c>
      <c r="P1233" s="1"/>
      <c r="Q1233" s="5" t="s">
        <v>284</v>
      </c>
      <c r="R1233" s="1" t="s">
        <v>677</v>
      </c>
      <c r="S1233" s="1" t="s">
        <v>677</v>
      </c>
      <c r="T1233" s="1" t="s">
        <v>2252</v>
      </c>
    </row>
    <row r="1234" customFormat="false" ht="15" hidden="false" customHeight="true" outlineLevel="0" collapsed="false">
      <c r="A1234" s="1" t="s">
        <v>2495</v>
      </c>
      <c r="B1234" s="1" t="n">
        <v>1917</v>
      </c>
      <c r="C1234" s="1" t="n">
        <v>7</v>
      </c>
      <c r="D1234" s="1" t="s">
        <v>38</v>
      </c>
      <c r="E1234" s="1" t="s">
        <v>274</v>
      </c>
      <c r="F1234" s="1" t="n">
        <v>348</v>
      </c>
      <c r="G1234" s="1" t="n">
        <v>110</v>
      </c>
      <c r="H1234" s="2" t="n">
        <v>7400000</v>
      </c>
      <c r="I1234" s="2" t="n">
        <f aca="false">(((H1234 / 800) / IF(ISBLANK(R1234), 1000000, IF(ISNA(VLOOKUP(R1234, Mileages!$A$2:$C$34, 2, 0)), R1234, VLOOKUP(R1234, Mileages!$A$2:$C$34, 2, 0)))) + (F1234 * IF(ISBLANK(P1234), 1, P1234) * IF(ISBLANK(T1234), 0, IF(ISNA(VLOOKUP(T1234, 'Fuel Costs'!$A$2:$C$42, 2, 0)), T1234, VLOOKUP(T1234, 'Fuel Costs'!$A$2:$C$42, 2, 0))) / IF(ISBLANK(O1234), 1, O1234))) * 100</f>
        <v>199.7821429</v>
      </c>
      <c r="J1234" s="2" t="n">
        <f aca="false">((H1234 / 800) / (IF(ISBLANK(S1234), 100, IF(ISNA(VLOOKUP(S1234, Lives!$A$2:$C$35, 2, 0)), S1234, VLOOKUP(S1234, Lives!$A$2:$C$35, 2, 0))) * 12) + (IF(ISBLANK(Q1234), 0, IF(ISNA(VLOOKUP(Q1234, Wages!$A$2:$C$17, 2, 0)), Q1234, VLOOKUP(Q1234, Wages!$A$2:$C$17, 2, 0))) * IF(ISBLANK(N1234), 0, IF(ISNA(VLOOKUP(N1234, Crews!$A$2:$C$28, 2, 0)), N1234, VLOOKUP(N1234, Crews!$A$2:$C$28, 2, 0))))) * 400</f>
        <v>30166.66667</v>
      </c>
      <c r="K1234" s="3" t="s">
        <v>2496</v>
      </c>
      <c r="L1234" s="1" t="s">
        <v>2497</v>
      </c>
      <c r="M1234" s="1" t="n">
        <v>0</v>
      </c>
      <c r="N1234" s="1" t="s">
        <v>590</v>
      </c>
      <c r="O1234" s="1" t="n">
        <v>0.7</v>
      </c>
      <c r="P1234" s="1"/>
      <c r="Q1234" s="5" t="s">
        <v>284</v>
      </c>
      <c r="R1234" s="1" t="s">
        <v>677</v>
      </c>
      <c r="S1234" s="1" t="s">
        <v>677</v>
      </c>
      <c r="T1234" s="1" t="s">
        <v>2252</v>
      </c>
    </row>
    <row r="1235" customFormat="false" ht="15" hidden="false" customHeight="true" outlineLevel="0" collapsed="false">
      <c r="A1235" s="1" t="s">
        <v>2498</v>
      </c>
      <c r="B1235" s="1" t="n">
        <v>1917</v>
      </c>
      <c r="C1235" s="1" t="n">
        <v>7</v>
      </c>
      <c r="D1235" s="1" t="s">
        <v>38</v>
      </c>
      <c r="E1235" s="1"/>
      <c r="F1235" s="1" t="n">
        <v>0</v>
      </c>
      <c r="G1235" s="1" t="n">
        <v>110</v>
      </c>
      <c r="H1235" s="2" t="n">
        <v>0</v>
      </c>
      <c r="I1235" s="2" t="n">
        <f aca="false">(((H1235 / 800) / IF(ISBLANK(R1235), 1000000, IF(ISNA(VLOOKUP(R1235, Mileages!$A$2:$C$34, 2, 0)), R1235, VLOOKUP(R1235, Mileages!$A$2:$C$34, 2, 0)))) + (F1235 * IF(ISBLANK(P1235), 1, P1235) * IF(ISBLANK(T1235), 0, IF(ISNA(VLOOKUP(T1235, 'Fuel Costs'!$A$2:$C$42, 2, 0)), T1235, VLOOKUP(T1235, 'Fuel Costs'!$A$2:$C$42, 2, 0))) / IF(ISBLANK(O1235), 1, O1235))) * 100</f>
        <v>0</v>
      </c>
      <c r="J1235" s="2" t="n">
        <f aca="false">((H1235 / 800) / (IF(ISBLANK(S1235), 100, IF(ISNA(VLOOKUP(S1235, Lives!$A$2:$C$35, 2, 0)), S1235, VLOOKUP(S1235, Lives!$A$2:$C$35, 2, 0))) * 12) + (IF(ISBLANK(Q1235), 0, IF(ISNA(VLOOKUP(Q1235, Wages!$A$2:$C$17, 2, 0)), Q1235, VLOOKUP(Q1235, Wages!$A$2:$C$17, 2, 0))) * IF(ISBLANK(N1235), 0, IF(ISNA(VLOOKUP(N1235, Crews!$A$2:$C$28, 2, 0)), N1235, VLOOKUP(N1235, Crews!$A$2:$C$28, 2, 0))))) * 400</f>
        <v>0</v>
      </c>
      <c r="K1235" s="1"/>
      <c r="L1235" s="1" t="s">
        <v>2497</v>
      </c>
      <c r="M1235" s="1" t="n">
        <v>1</v>
      </c>
      <c r="N1235" s="1"/>
      <c r="O1235" s="1"/>
      <c r="P1235" s="1"/>
      <c r="Q1235" s="1"/>
      <c r="R1235" s="1"/>
      <c r="S1235" s="1"/>
      <c r="T1235" s="1"/>
    </row>
    <row r="1236" customFormat="false" ht="15" hidden="false" customHeight="true" outlineLevel="0" collapsed="false">
      <c r="A1236" s="1" t="s">
        <v>2499</v>
      </c>
      <c r="B1236" s="1" t="n">
        <v>1918</v>
      </c>
      <c r="C1236" s="1" t="n">
        <v>8</v>
      </c>
      <c r="D1236" s="1" t="s">
        <v>38</v>
      </c>
      <c r="E1236" s="1" t="s">
        <v>274</v>
      </c>
      <c r="F1236" s="1" t="n">
        <v>420</v>
      </c>
      <c r="G1236" s="1" t="n">
        <v>142</v>
      </c>
      <c r="H1236" s="2" t="n">
        <v>11486200</v>
      </c>
      <c r="I1236" s="2" t="n">
        <f aca="false">(((H1236 / 800) / IF(ISBLANK(R1236), 1000000, IF(ISNA(VLOOKUP(R1236, Mileages!$A$2:$C$34, 2, 0)), R1236, VLOOKUP(R1236, Mileages!$A$2:$C$34, 2, 0)))) + (F1236 * IF(ISBLANK(P1236), 1, P1236) * IF(ISBLANK(T1236), 0, IF(ISNA(VLOOKUP(T1236, 'Fuel Costs'!$A$2:$C$42, 2, 0)), T1236, VLOOKUP(T1236, 'Fuel Costs'!$A$2:$C$42, 2, 0))) / IF(ISBLANK(O1236), 1, O1236))) * 100</f>
        <v>241.435775</v>
      </c>
      <c r="J1236" s="2" t="n">
        <f aca="false">((H1236 / 800) / (IF(ISBLANK(S1236), 100, IF(ISNA(VLOOKUP(S1236, Lives!$A$2:$C$35, 2, 0)), S1236, VLOOKUP(S1236, Lives!$A$2:$C$35, 2, 0))) * 12) + (IF(ISBLANK(Q1236), 0, IF(ISNA(VLOOKUP(Q1236, Wages!$A$2:$C$17, 2, 0)), Q1236, VLOOKUP(Q1236, Wages!$A$2:$C$17, 2, 0))) * IF(ISBLANK(N1236), 0, IF(ISNA(VLOOKUP(N1236, Crews!$A$2:$C$28, 2, 0)), N1236, VLOOKUP(N1236, Crews!$A$2:$C$28, 2, 0))))) * 400</f>
        <v>49571.83333</v>
      </c>
      <c r="K1236" s="3" t="s">
        <v>2500</v>
      </c>
      <c r="L1236" s="1" t="s">
        <v>2501</v>
      </c>
      <c r="M1236" s="1" t="n">
        <v>0</v>
      </c>
      <c r="N1236" s="1" t="s">
        <v>1705</v>
      </c>
      <c r="O1236" s="1" t="n">
        <v>0.7</v>
      </c>
      <c r="P1236" s="1"/>
      <c r="Q1236" s="5" t="s">
        <v>284</v>
      </c>
      <c r="R1236" s="1" t="s">
        <v>677</v>
      </c>
      <c r="S1236" s="1" t="s">
        <v>677</v>
      </c>
      <c r="T1236" s="1" t="s">
        <v>2252</v>
      </c>
    </row>
    <row r="1237" customFormat="false" ht="15" hidden="false" customHeight="true" outlineLevel="0" collapsed="false">
      <c r="A1237" s="1" t="s">
        <v>2502</v>
      </c>
      <c r="B1237" s="1" t="n">
        <v>1918</v>
      </c>
      <c r="C1237" s="1" t="n">
        <v>8</v>
      </c>
      <c r="D1237" s="1" t="s">
        <v>38</v>
      </c>
      <c r="E1237" s="1"/>
      <c r="F1237" s="1" t="n">
        <v>0</v>
      </c>
      <c r="G1237" s="1" t="n">
        <v>142</v>
      </c>
      <c r="H1237" s="2" t="n">
        <v>0</v>
      </c>
      <c r="I1237" s="2" t="n">
        <f aca="false">(((H1237 / 800) / IF(ISBLANK(R1237), 1000000, IF(ISNA(VLOOKUP(R1237, Mileages!$A$2:$C$34, 2, 0)), R1237, VLOOKUP(R1237, Mileages!$A$2:$C$34, 2, 0)))) + (F1237 * IF(ISBLANK(P1237), 1, P1237) * IF(ISBLANK(T1237), 0, IF(ISNA(VLOOKUP(T1237, 'Fuel Costs'!$A$2:$C$42, 2, 0)), T1237, VLOOKUP(T1237, 'Fuel Costs'!$A$2:$C$42, 2, 0))) / IF(ISBLANK(O1237), 1, O1237))) * 100</f>
        <v>0</v>
      </c>
      <c r="J1237" s="2" t="n">
        <f aca="false">((H1237 / 800) / (IF(ISBLANK(S1237), 100, IF(ISNA(VLOOKUP(S1237, Lives!$A$2:$C$35, 2, 0)), S1237, VLOOKUP(S1237, Lives!$A$2:$C$35, 2, 0))) * 12) + (IF(ISBLANK(Q1237), 0, IF(ISNA(VLOOKUP(Q1237, Wages!$A$2:$C$17, 2, 0)), Q1237, VLOOKUP(Q1237, Wages!$A$2:$C$17, 2, 0))) * IF(ISBLANK(N1237), 0, IF(ISNA(VLOOKUP(N1237, Crews!$A$2:$C$28, 2, 0)), N1237, VLOOKUP(N1237, Crews!$A$2:$C$28, 2, 0))))) * 400</f>
        <v>0</v>
      </c>
      <c r="K1237" s="1"/>
      <c r="L1237" s="1" t="s">
        <v>2501</v>
      </c>
      <c r="M1237" s="1" t="n">
        <v>1</v>
      </c>
      <c r="N1237" s="1"/>
      <c r="O1237" s="1"/>
      <c r="P1237" s="1"/>
      <c r="Q1237" s="1"/>
      <c r="R1237" s="1"/>
      <c r="S1237" s="1"/>
      <c r="T1237" s="1"/>
    </row>
    <row r="1238" customFormat="false" ht="15" hidden="false" customHeight="true" outlineLevel="0" collapsed="false">
      <c r="A1238" s="1" t="s">
        <v>2503</v>
      </c>
      <c r="B1238" s="1" t="n">
        <v>1918</v>
      </c>
      <c r="C1238" s="1" t="n">
        <v>11</v>
      </c>
      <c r="D1238" s="1" t="s">
        <v>2225</v>
      </c>
      <c r="E1238" s="1" t="s">
        <v>1839</v>
      </c>
      <c r="F1238" s="1" t="n">
        <v>482</v>
      </c>
      <c r="G1238" s="1" t="n">
        <v>131</v>
      </c>
      <c r="H1238" s="2" t="n">
        <v>1000000</v>
      </c>
      <c r="I1238" s="2" t="n">
        <f aca="false">(((H1238 / 800) / IF(ISBLANK(R1238), 1000000, IF(ISNA(VLOOKUP(R1238, Mileages!$A$2:$C$34, 2, 0)), R1238, VLOOKUP(R1238, Mileages!$A$2:$C$34, 2, 0)))) + (F1238 * IF(ISBLANK(P1238), 1, P1238) * IF(ISBLANK(T1238), 0, IF(ISNA(VLOOKUP(T1238, 'Fuel Costs'!$A$2:$C$42, 2, 0)), T1238, VLOOKUP(T1238, 'Fuel Costs'!$A$2:$C$42, 2, 0))) / IF(ISBLANK(O1238), 1, O1238))) * 100</f>
        <v>38.585</v>
      </c>
      <c r="J1238" s="2" t="n">
        <f aca="false">((H1238 / 800) / (IF(ISBLANK(S1238), 100, IF(ISNA(VLOOKUP(S1238, Lives!$A$2:$C$35, 2, 0)), S1238, VLOOKUP(S1238, Lives!$A$2:$C$35, 2, 0))) * 12) + (IF(ISBLANK(Q1238), 0, IF(ISNA(VLOOKUP(Q1238, Wages!$A$2:$C$17, 2, 0)), Q1238, VLOOKUP(Q1238, Wages!$A$2:$C$17, 2, 0))) * IF(ISBLANK(N1238), 0, IF(ISNA(VLOOKUP(N1238, Crews!$A$2:$C$28, 2, 0)), N1238, VLOOKUP(N1238, Crews!$A$2:$C$28, 2, 0))))) * 400</f>
        <v>50694.44444</v>
      </c>
      <c r="K1238" s="3" t="s">
        <v>2504</v>
      </c>
      <c r="L1238" s="1" t="s">
        <v>2505</v>
      </c>
      <c r="M1238" s="1" t="n">
        <v>0</v>
      </c>
      <c r="N1238" s="1" t="s">
        <v>2342</v>
      </c>
      <c r="O1238" s="1"/>
      <c r="P1238" s="1" t="n">
        <v>0.1</v>
      </c>
      <c r="Q1238" s="1" t="s">
        <v>2229</v>
      </c>
      <c r="R1238" s="1" t="s">
        <v>2229</v>
      </c>
      <c r="S1238" s="1" t="s">
        <v>2229</v>
      </c>
      <c r="T1238" s="1" t="s">
        <v>2259</v>
      </c>
    </row>
    <row r="1239" customFormat="false" ht="15" hidden="false" customHeight="true" outlineLevel="0" collapsed="false">
      <c r="A1239" s="1" t="s">
        <v>2506</v>
      </c>
      <c r="B1239" s="1" t="n">
        <v>1918</v>
      </c>
      <c r="C1239" s="1" t="n">
        <v>11</v>
      </c>
      <c r="D1239" s="1" t="s">
        <v>2225</v>
      </c>
      <c r="E1239" s="1" t="s">
        <v>1839</v>
      </c>
      <c r="F1239" s="1" t="n">
        <v>482</v>
      </c>
      <c r="G1239" s="1" t="n">
        <v>131</v>
      </c>
      <c r="H1239" s="2" t="n">
        <v>1000000</v>
      </c>
      <c r="I1239" s="2" t="n">
        <f aca="false">(((H1239 / 800) / IF(ISBLANK(R1239), 1000000, IF(ISNA(VLOOKUP(R1239, Mileages!$A$2:$C$34, 2, 0)), R1239, VLOOKUP(R1239, Mileages!$A$2:$C$34, 2, 0)))) + (F1239 * IF(ISBLANK(P1239), 1, P1239) * IF(ISBLANK(T1239), 0, IF(ISNA(VLOOKUP(T1239, 'Fuel Costs'!$A$2:$C$42, 2, 0)), T1239, VLOOKUP(T1239, 'Fuel Costs'!$A$2:$C$42, 2, 0))) / IF(ISBLANK(O1239), 1, O1239))) * 100</f>
        <v>38.585</v>
      </c>
      <c r="J1239" s="2" t="n">
        <f aca="false">((H1239 / 800) / (IF(ISBLANK(S1239), 100, IF(ISNA(VLOOKUP(S1239, Lives!$A$2:$C$35, 2, 0)), S1239, VLOOKUP(S1239, Lives!$A$2:$C$35, 2, 0))) * 12) + (IF(ISBLANK(Q1239), 0, IF(ISNA(VLOOKUP(Q1239, Wages!$A$2:$C$17, 2, 0)), Q1239, VLOOKUP(Q1239, Wages!$A$2:$C$17, 2, 0))) * IF(ISBLANK(N1239), 0, IF(ISNA(VLOOKUP(N1239, Crews!$A$2:$C$28, 2, 0)), N1239, VLOOKUP(N1239, Crews!$A$2:$C$28, 2, 0))))) * 400</f>
        <v>10694.44444</v>
      </c>
      <c r="K1239" s="3" t="s">
        <v>2507</v>
      </c>
      <c r="L1239" s="1" t="s">
        <v>2508</v>
      </c>
      <c r="M1239" s="1" t="n">
        <v>0</v>
      </c>
      <c r="N1239" s="1" t="s">
        <v>25</v>
      </c>
      <c r="O1239" s="1"/>
      <c r="P1239" s="1" t="n">
        <v>0.1</v>
      </c>
      <c r="Q1239" s="1" t="s">
        <v>2229</v>
      </c>
      <c r="R1239" s="1" t="s">
        <v>2229</v>
      </c>
      <c r="S1239" s="1" t="s">
        <v>2229</v>
      </c>
      <c r="T1239" s="1" t="s">
        <v>2259</v>
      </c>
    </row>
    <row r="1240" customFormat="false" ht="15" hidden="false" customHeight="true" outlineLevel="0" collapsed="false">
      <c r="A1240" s="1" t="s">
        <v>2509</v>
      </c>
      <c r="B1240" s="1" t="n">
        <v>1918</v>
      </c>
      <c r="C1240" s="1" t="n">
        <v>12</v>
      </c>
      <c r="D1240" s="1" t="s">
        <v>876</v>
      </c>
      <c r="E1240" s="1" t="s">
        <v>1346</v>
      </c>
      <c r="F1240" s="1" t="n">
        <v>60</v>
      </c>
      <c r="G1240" s="1" t="n">
        <v>32</v>
      </c>
      <c r="H1240" s="2" t="n">
        <v>397500</v>
      </c>
      <c r="I1240" s="2" t="n">
        <f aca="false">(((H1240 / 800) / IF(ISBLANK(R1240), 1000000, IF(ISNA(VLOOKUP(R1240, Mileages!$A$2:$C$34, 2, 0)), R1240, VLOOKUP(R1240, Mileages!$A$2:$C$34, 2, 0)))) + (F1240 * IF(ISBLANK(P1240), 1, P1240) * IF(ISBLANK(T1240), 0, IF(ISNA(VLOOKUP(T1240, 'Fuel Costs'!$A$2:$C$42, 2, 0)), T1240, VLOOKUP(T1240, 'Fuel Costs'!$A$2:$C$42, 2, 0))) / IF(ISBLANK(O1240), 1, O1240))) * 100</f>
        <v>36.0496875</v>
      </c>
      <c r="J1240" s="2" t="n">
        <f aca="false">((H1240 / 800) / (IF(ISBLANK(S1240), 100, IF(ISNA(VLOOKUP(S1240, Lives!$A$2:$C$35, 2, 0)), S1240, VLOOKUP(S1240, Lives!$A$2:$C$35, 2, 0))) * 12) + (IF(ISBLANK(Q1240), 0, IF(ISNA(VLOOKUP(Q1240, Wages!$A$2:$C$17, 2, 0)), Q1240, VLOOKUP(Q1240, Wages!$A$2:$C$17, 2, 0))) * IF(ISBLANK(N1240), 0, IF(ISNA(VLOOKUP(N1240, Crews!$A$2:$C$28, 2, 0)), N1240, VLOOKUP(N1240, Crews!$A$2:$C$28, 2, 0))))) * 400</f>
        <v>6331.25</v>
      </c>
      <c r="K1240" s="3" t="s">
        <v>2510</v>
      </c>
      <c r="L1240" s="1" t="s">
        <v>2511</v>
      </c>
      <c r="M1240" s="1" t="n">
        <v>0</v>
      </c>
      <c r="N1240" s="1" t="s">
        <v>895</v>
      </c>
      <c r="O1240" s="1"/>
      <c r="P1240" s="1"/>
      <c r="Q1240" s="1" t="s">
        <v>895</v>
      </c>
      <c r="R1240" s="1" t="s">
        <v>1349</v>
      </c>
      <c r="S1240" s="1" t="s">
        <v>1350</v>
      </c>
      <c r="T1240" s="1" t="s">
        <v>1351</v>
      </c>
    </row>
    <row r="1241" customFormat="false" ht="15" hidden="false" customHeight="true" outlineLevel="0" collapsed="false">
      <c r="A1241" s="1" t="s">
        <v>2512</v>
      </c>
      <c r="B1241" s="1" t="n">
        <v>1919</v>
      </c>
      <c r="C1241" s="1" t="n">
        <v>1</v>
      </c>
      <c r="D1241" s="1" t="s">
        <v>38</v>
      </c>
      <c r="E1241" s="1"/>
      <c r="F1241" s="1"/>
      <c r="G1241" s="1" t="n">
        <v>160</v>
      </c>
      <c r="H1241" s="2" t="n">
        <v>580000</v>
      </c>
      <c r="I1241" s="2" t="n">
        <f aca="false">(((H1241 / 800) / IF(ISBLANK(R1241), 1000000, IF(ISNA(VLOOKUP(R1241, Mileages!$A$2:$C$34, 2, 0)), R1241, VLOOKUP(R1241, Mileages!$A$2:$C$34, 2, 0)))) + (F1241 * IF(ISBLANK(P1241), 1, P1241) * IF(ISBLANK(T1241), 0, IF(ISNA(VLOOKUP(T1241, 'Fuel Costs'!$A$2:$C$42, 2, 0)), T1241, VLOOKUP(T1241, 'Fuel Costs'!$A$2:$C$42, 2, 0))) / IF(ISBLANK(O1241), 1, O1241))) * 100</f>
        <v>0.06041666667</v>
      </c>
      <c r="J1241" s="2" t="n">
        <f aca="false">((H1241 / 800) / (IF(ISBLANK(S1241), 100, IF(ISNA(VLOOKUP(S1241, Lives!$A$2:$C$35, 2, 0)), S1241, VLOOKUP(S1241, Lives!$A$2:$C$35, 2, 0))) * 12) + (IF(ISBLANK(Q1241), 0, IF(ISNA(VLOOKUP(Q1241, Wages!$A$2:$C$17, 2, 0)), Q1241, VLOOKUP(Q1241, Wages!$A$2:$C$17, 2, 0))) * IF(ISBLANK(N1241), 0, IF(ISNA(VLOOKUP(N1241, Crews!$A$2:$C$28, 2, 0)), N1241, VLOOKUP(N1241, Crews!$A$2:$C$28, 2, 0))))) * 400</f>
        <v>690.4761905</v>
      </c>
      <c r="K1241" s="1" t="s">
        <v>2513</v>
      </c>
      <c r="L1241" s="1" t="s">
        <v>2514</v>
      </c>
      <c r="M1241" s="1" t="n">
        <v>0</v>
      </c>
      <c r="N1241" s="1"/>
      <c r="O1241" s="1"/>
      <c r="P1241" s="1"/>
      <c r="Q1241" s="1"/>
      <c r="R1241" s="1" t="s">
        <v>689</v>
      </c>
      <c r="S1241" s="1" t="s">
        <v>856</v>
      </c>
      <c r="T1241" s="1"/>
    </row>
    <row r="1242" customFormat="false" ht="15" hidden="false" customHeight="true" outlineLevel="0" collapsed="false">
      <c r="A1242" s="1" t="s">
        <v>2515</v>
      </c>
      <c r="B1242" s="1" t="n">
        <v>1919</v>
      </c>
      <c r="C1242" s="1" t="n">
        <v>5</v>
      </c>
      <c r="D1242" s="1" t="s">
        <v>21</v>
      </c>
      <c r="E1242" s="1" t="s">
        <v>274</v>
      </c>
      <c r="F1242" s="1" t="n">
        <v>46</v>
      </c>
      <c r="G1242" s="1" t="n">
        <v>20</v>
      </c>
      <c r="H1242" s="2" t="n">
        <v>95250</v>
      </c>
      <c r="I1242" s="2" t="n">
        <f aca="false">(((H1242 / 800) / IF(ISBLANK(R1242), 1000000, IF(ISNA(VLOOKUP(R1242, Mileages!$A$2:$C$34, 2, 0)), R1242, VLOOKUP(R1242, Mileages!$A$2:$C$34, 2, 0)))) + (F1242 * IF(ISBLANK(P1242), 1, P1242) * IF(ISBLANK(T1242), 0, IF(ISNA(VLOOKUP(T1242, 'Fuel Costs'!$A$2:$C$42, 2, 0)), T1242, VLOOKUP(T1242, 'Fuel Costs'!$A$2:$C$42, 2, 0))) / IF(ISBLANK(O1242), 1, O1242))) * 100</f>
        <v>33.47835795</v>
      </c>
      <c r="J1242" s="2" t="n">
        <f aca="false">((H1242 / 800) / (IF(ISBLANK(S1242), 100, IF(ISNA(VLOOKUP(S1242, Lives!$A$2:$C$35, 2, 0)), S1242, VLOOKUP(S1242, Lives!$A$2:$C$35, 2, 0))) * 12) + (IF(ISBLANK(Q1242), 0, IF(ISNA(VLOOKUP(Q1242, Wages!$A$2:$C$17, 2, 0)), Q1242, VLOOKUP(Q1242, Wages!$A$2:$C$17, 2, 0))) * IF(ISBLANK(N1242), 0, IF(ISNA(VLOOKUP(N1242, Crews!$A$2:$C$28, 2, 0)), N1242, VLOOKUP(N1242, Crews!$A$2:$C$28, 2, 0))))) * 400</f>
        <v>8049.609375</v>
      </c>
      <c r="K1242" s="3" t="s">
        <v>2516</v>
      </c>
      <c r="L1242" s="1" t="s">
        <v>2517</v>
      </c>
      <c r="M1242" s="1" t="n">
        <v>0</v>
      </c>
      <c r="N1242" s="1" t="s">
        <v>25</v>
      </c>
      <c r="O1242" s="1" t="n">
        <v>0.55</v>
      </c>
      <c r="P1242" s="1"/>
      <c r="Q1242" s="1" t="s">
        <v>1815</v>
      </c>
      <c r="R1242" s="1" t="s">
        <v>837</v>
      </c>
      <c r="S1242" s="1" t="s">
        <v>837</v>
      </c>
      <c r="T1242" s="1" t="s">
        <v>2252</v>
      </c>
    </row>
    <row r="1243" customFormat="false" ht="15" hidden="false" customHeight="true" outlineLevel="0" collapsed="false">
      <c r="A1243" s="1" t="s">
        <v>2518</v>
      </c>
      <c r="B1243" s="1" t="n">
        <v>1919</v>
      </c>
      <c r="C1243" s="1" t="n">
        <v>5</v>
      </c>
      <c r="D1243" s="1" t="s">
        <v>21</v>
      </c>
      <c r="E1243" s="1" t="s">
        <v>274</v>
      </c>
      <c r="F1243" s="1" t="n">
        <v>46</v>
      </c>
      <c r="G1243" s="1" t="n">
        <v>20</v>
      </c>
      <c r="H1243" s="2" t="n">
        <v>95250</v>
      </c>
      <c r="I1243" s="2" t="n">
        <f aca="false">(((H1243 / 800) / IF(ISBLANK(R1243), 1000000, IF(ISNA(VLOOKUP(R1243, Mileages!$A$2:$C$34, 2, 0)), R1243, VLOOKUP(R1243, Mileages!$A$2:$C$34, 2, 0)))) + (F1243 * IF(ISBLANK(P1243), 1, P1243) * IF(ISBLANK(T1243), 0, IF(ISNA(VLOOKUP(T1243, 'Fuel Costs'!$A$2:$C$42, 2, 0)), T1243, VLOOKUP(T1243, 'Fuel Costs'!$A$2:$C$42, 2, 0))) / IF(ISBLANK(O1243), 1, O1243))) * 100</f>
        <v>33.47835795</v>
      </c>
      <c r="J1243" s="2" t="n">
        <f aca="false">((H1243 / 800) / (IF(ISBLANK(S1243), 100, IF(ISNA(VLOOKUP(S1243, Lives!$A$2:$C$35, 2, 0)), S1243, VLOOKUP(S1243, Lives!$A$2:$C$35, 2, 0))) * 12) + (IF(ISBLANK(Q1243), 0, IF(ISNA(VLOOKUP(Q1243, Wages!$A$2:$C$17, 2, 0)), Q1243, VLOOKUP(Q1243, Wages!$A$2:$C$17, 2, 0))) * IF(ISBLANK(N1243), 0, IF(ISNA(VLOOKUP(N1243, Crews!$A$2:$C$28, 2, 0)), N1243, VLOOKUP(N1243, Crews!$A$2:$C$28, 2, 0))))) * 400</f>
        <v>8049.609375</v>
      </c>
      <c r="K1243" s="1"/>
      <c r="L1243" s="1" t="s">
        <v>2517</v>
      </c>
      <c r="M1243" s="1" t="n">
        <v>1</v>
      </c>
      <c r="N1243" s="1" t="s">
        <v>25</v>
      </c>
      <c r="O1243" s="1" t="n">
        <v>0.55</v>
      </c>
      <c r="P1243" s="1"/>
      <c r="Q1243" s="1" t="s">
        <v>1815</v>
      </c>
      <c r="R1243" s="1" t="s">
        <v>837</v>
      </c>
      <c r="S1243" s="1" t="s">
        <v>837</v>
      </c>
      <c r="T1243" s="1" t="s">
        <v>2252</v>
      </c>
    </row>
    <row r="1244" customFormat="false" ht="15" hidden="false" customHeight="true" outlineLevel="0" collapsed="false">
      <c r="A1244" s="1" t="s">
        <v>2519</v>
      </c>
      <c r="B1244" s="1" t="n">
        <v>1919</v>
      </c>
      <c r="C1244" s="1" t="n">
        <v>5</v>
      </c>
      <c r="D1244" s="1" t="s">
        <v>21</v>
      </c>
      <c r="E1244" s="1" t="s">
        <v>274</v>
      </c>
      <c r="F1244" s="1" t="n">
        <v>46</v>
      </c>
      <c r="G1244" s="1" t="n">
        <v>20</v>
      </c>
      <c r="H1244" s="2" t="n">
        <v>95250</v>
      </c>
      <c r="I1244" s="2" t="n">
        <f aca="false">(((H1244 / 800) / IF(ISBLANK(R1244), 1000000, IF(ISNA(VLOOKUP(R1244, Mileages!$A$2:$C$34, 2, 0)), R1244, VLOOKUP(R1244, Mileages!$A$2:$C$34, 2, 0)))) + (F1244 * IF(ISBLANK(P1244), 1, P1244) * IF(ISBLANK(T1244), 0, IF(ISNA(VLOOKUP(T1244, 'Fuel Costs'!$A$2:$C$42, 2, 0)), T1244, VLOOKUP(T1244, 'Fuel Costs'!$A$2:$C$42, 2, 0))) / IF(ISBLANK(O1244), 1, O1244))) * 100</f>
        <v>33.47835795</v>
      </c>
      <c r="J1244" s="2" t="n">
        <f aca="false">((H1244 / 800) / (IF(ISBLANK(S1244), 100, IF(ISNA(VLOOKUP(S1244, Lives!$A$2:$C$35, 2, 0)), S1244, VLOOKUP(S1244, Lives!$A$2:$C$35, 2, 0))) * 12) + (IF(ISBLANK(Q1244), 0, IF(ISNA(VLOOKUP(Q1244, Wages!$A$2:$C$17, 2, 0)), Q1244, VLOOKUP(Q1244, Wages!$A$2:$C$17, 2, 0))) * IF(ISBLANK(N1244), 0, IF(ISNA(VLOOKUP(N1244, Crews!$A$2:$C$28, 2, 0)), N1244, VLOOKUP(N1244, Crews!$A$2:$C$28, 2, 0))))) * 400</f>
        <v>8049.609375</v>
      </c>
      <c r="K1244" s="1"/>
      <c r="L1244" s="1" t="s">
        <v>2517</v>
      </c>
      <c r="M1244" s="1" t="n">
        <v>2</v>
      </c>
      <c r="N1244" s="1" t="s">
        <v>25</v>
      </c>
      <c r="O1244" s="1" t="n">
        <v>0.55</v>
      </c>
      <c r="P1244" s="1"/>
      <c r="Q1244" s="1" t="s">
        <v>1815</v>
      </c>
      <c r="R1244" s="1" t="s">
        <v>837</v>
      </c>
      <c r="S1244" s="1" t="s">
        <v>837</v>
      </c>
      <c r="T1244" s="1" t="s">
        <v>2252</v>
      </c>
    </row>
    <row r="1245" customFormat="false" ht="15" hidden="false" customHeight="true" outlineLevel="0" collapsed="false">
      <c r="A1245" s="1" t="s">
        <v>2520</v>
      </c>
      <c r="B1245" s="1" t="n">
        <v>1919</v>
      </c>
      <c r="C1245" s="1" t="n">
        <v>5</v>
      </c>
      <c r="D1245" s="1" t="s">
        <v>21</v>
      </c>
      <c r="E1245" s="1" t="s">
        <v>274</v>
      </c>
      <c r="F1245" s="1" t="n">
        <v>46</v>
      </c>
      <c r="G1245" s="1" t="n">
        <v>20</v>
      </c>
      <c r="H1245" s="2" t="n">
        <v>95250</v>
      </c>
      <c r="I1245" s="2" t="n">
        <f aca="false">(((H1245 / 800) / IF(ISBLANK(R1245), 1000000, IF(ISNA(VLOOKUP(R1245, Mileages!$A$2:$C$34, 2, 0)), R1245, VLOOKUP(R1245, Mileages!$A$2:$C$34, 2, 0)))) + (F1245 * IF(ISBLANK(P1245), 1, P1245) * IF(ISBLANK(T1245), 0, IF(ISNA(VLOOKUP(T1245, 'Fuel Costs'!$A$2:$C$42, 2, 0)), T1245, VLOOKUP(T1245, 'Fuel Costs'!$A$2:$C$42, 2, 0))) / IF(ISBLANK(O1245), 1, O1245))) * 100</f>
        <v>33.47835795</v>
      </c>
      <c r="J1245" s="2" t="n">
        <f aca="false">((H1245 / 800) / (IF(ISBLANK(S1245), 100, IF(ISNA(VLOOKUP(S1245, Lives!$A$2:$C$35, 2, 0)), S1245, VLOOKUP(S1245, Lives!$A$2:$C$35, 2, 0))) * 12) + (IF(ISBLANK(Q1245), 0, IF(ISNA(VLOOKUP(Q1245, Wages!$A$2:$C$17, 2, 0)), Q1245, VLOOKUP(Q1245, Wages!$A$2:$C$17, 2, 0))) * IF(ISBLANK(N1245), 0, IF(ISNA(VLOOKUP(N1245, Crews!$A$2:$C$28, 2, 0)), N1245, VLOOKUP(N1245, Crews!$A$2:$C$28, 2, 0))))) * 400</f>
        <v>8049.609375</v>
      </c>
      <c r="K1245" s="1"/>
      <c r="L1245" s="1" t="s">
        <v>2517</v>
      </c>
      <c r="M1245" s="1" t="n">
        <v>3</v>
      </c>
      <c r="N1245" s="1" t="s">
        <v>25</v>
      </c>
      <c r="O1245" s="1" t="n">
        <v>0.55</v>
      </c>
      <c r="P1245" s="1"/>
      <c r="Q1245" s="1" t="s">
        <v>1815</v>
      </c>
      <c r="R1245" s="1" t="s">
        <v>837</v>
      </c>
      <c r="S1245" s="1" t="s">
        <v>837</v>
      </c>
      <c r="T1245" s="1" t="s">
        <v>2252</v>
      </c>
    </row>
    <row r="1246" customFormat="false" ht="15" hidden="false" customHeight="true" outlineLevel="0" collapsed="false">
      <c r="A1246" s="1" t="s">
        <v>2521</v>
      </c>
      <c r="B1246" s="1" t="n">
        <v>1919</v>
      </c>
      <c r="C1246" s="1" t="n">
        <v>5</v>
      </c>
      <c r="D1246" s="1" t="s">
        <v>21</v>
      </c>
      <c r="E1246" s="1" t="s">
        <v>274</v>
      </c>
      <c r="F1246" s="1" t="n">
        <v>46</v>
      </c>
      <c r="G1246" s="1" t="n">
        <v>20</v>
      </c>
      <c r="H1246" s="2" t="n">
        <v>95250</v>
      </c>
      <c r="I1246" s="2" t="n">
        <f aca="false">(((H1246 / 800) / IF(ISBLANK(R1246), 1000000, IF(ISNA(VLOOKUP(R1246, Mileages!$A$2:$C$34, 2, 0)), R1246, VLOOKUP(R1246, Mileages!$A$2:$C$34, 2, 0)))) + (F1246 * IF(ISBLANK(P1246), 1, P1246) * IF(ISBLANK(T1246), 0, IF(ISNA(VLOOKUP(T1246, 'Fuel Costs'!$A$2:$C$42, 2, 0)), T1246, VLOOKUP(T1246, 'Fuel Costs'!$A$2:$C$42, 2, 0))) / IF(ISBLANK(O1246), 1, O1246))) * 100</f>
        <v>33.47835795</v>
      </c>
      <c r="J1246" s="2" t="n">
        <f aca="false">((H1246 / 800) / (IF(ISBLANK(S1246), 100, IF(ISNA(VLOOKUP(S1246, Lives!$A$2:$C$35, 2, 0)), S1246, VLOOKUP(S1246, Lives!$A$2:$C$35, 2, 0))) * 12) + (IF(ISBLANK(Q1246), 0, IF(ISNA(VLOOKUP(Q1246, Wages!$A$2:$C$17, 2, 0)), Q1246, VLOOKUP(Q1246, Wages!$A$2:$C$17, 2, 0))) * IF(ISBLANK(N1246), 0, IF(ISNA(VLOOKUP(N1246, Crews!$A$2:$C$28, 2, 0)), N1246, VLOOKUP(N1246, Crews!$A$2:$C$28, 2, 0))))) * 400</f>
        <v>8049.609375</v>
      </c>
      <c r="K1246" s="1"/>
      <c r="L1246" s="1" t="s">
        <v>2517</v>
      </c>
      <c r="M1246" s="1" t="n">
        <v>4</v>
      </c>
      <c r="N1246" s="1" t="s">
        <v>25</v>
      </c>
      <c r="O1246" s="1" t="n">
        <v>0.55</v>
      </c>
      <c r="P1246" s="1"/>
      <c r="Q1246" s="1" t="s">
        <v>1815</v>
      </c>
      <c r="R1246" s="1" t="s">
        <v>837</v>
      </c>
      <c r="S1246" s="1" t="s">
        <v>837</v>
      </c>
      <c r="T1246" s="1" t="s">
        <v>2252</v>
      </c>
    </row>
    <row r="1247" customFormat="false" ht="15" hidden="false" customHeight="true" outlineLevel="0" collapsed="false">
      <c r="A1247" s="1" t="s">
        <v>2522</v>
      </c>
      <c r="B1247" s="1" t="n">
        <v>1919</v>
      </c>
      <c r="C1247" s="1" t="n">
        <v>5</v>
      </c>
      <c r="D1247" s="1" t="s">
        <v>21</v>
      </c>
      <c r="E1247" s="1" t="s">
        <v>274</v>
      </c>
      <c r="F1247" s="1" t="n">
        <v>46</v>
      </c>
      <c r="G1247" s="1" t="n">
        <v>20</v>
      </c>
      <c r="H1247" s="2" t="n">
        <v>95250</v>
      </c>
      <c r="I1247" s="2" t="n">
        <f aca="false">(((H1247 / 800) / IF(ISBLANK(R1247), 1000000, IF(ISNA(VLOOKUP(R1247, Mileages!$A$2:$C$34, 2, 0)), R1247, VLOOKUP(R1247, Mileages!$A$2:$C$34, 2, 0)))) + (F1247 * IF(ISBLANK(P1247), 1, P1247) * IF(ISBLANK(T1247), 0, IF(ISNA(VLOOKUP(T1247, 'Fuel Costs'!$A$2:$C$42, 2, 0)), T1247, VLOOKUP(T1247, 'Fuel Costs'!$A$2:$C$42, 2, 0))) / IF(ISBLANK(O1247), 1, O1247))) * 100</f>
        <v>33.47835795</v>
      </c>
      <c r="J1247" s="2" t="n">
        <f aca="false">((H1247 / 800) / (IF(ISBLANK(S1247), 100, IF(ISNA(VLOOKUP(S1247, Lives!$A$2:$C$35, 2, 0)), S1247, VLOOKUP(S1247, Lives!$A$2:$C$35, 2, 0))) * 12) + (IF(ISBLANK(Q1247), 0, IF(ISNA(VLOOKUP(Q1247, Wages!$A$2:$C$17, 2, 0)), Q1247, VLOOKUP(Q1247, Wages!$A$2:$C$17, 2, 0))) * IF(ISBLANK(N1247), 0, IF(ISNA(VLOOKUP(N1247, Crews!$A$2:$C$28, 2, 0)), N1247, VLOOKUP(N1247, Crews!$A$2:$C$28, 2, 0))))) * 400</f>
        <v>8049.609375</v>
      </c>
      <c r="K1247" s="1"/>
      <c r="L1247" s="1" t="s">
        <v>2517</v>
      </c>
      <c r="M1247" s="1" t="n">
        <v>5</v>
      </c>
      <c r="N1247" s="1" t="s">
        <v>25</v>
      </c>
      <c r="O1247" s="1" t="n">
        <v>0.55</v>
      </c>
      <c r="P1247" s="1"/>
      <c r="Q1247" s="1" t="s">
        <v>1815</v>
      </c>
      <c r="R1247" s="1" t="s">
        <v>837</v>
      </c>
      <c r="S1247" s="1" t="s">
        <v>837</v>
      </c>
      <c r="T1247" s="1" t="s">
        <v>2252</v>
      </c>
    </row>
    <row r="1248" customFormat="false" ht="15" hidden="false" customHeight="true" outlineLevel="0" collapsed="false">
      <c r="A1248" s="1" t="s">
        <v>2523</v>
      </c>
      <c r="B1248" s="1" t="n">
        <v>1919</v>
      </c>
      <c r="C1248" s="1" t="n">
        <v>6</v>
      </c>
      <c r="D1248" s="1" t="s">
        <v>38</v>
      </c>
      <c r="E1248" s="1" t="s">
        <v>274</v>
      </c>
      <c r="F1248" s="1" t="n">
        <v>257</v>
      </c>
      <c r="G1248" s="1" t="n">
        <v>85</v>
      </c>
      <c r="H1248" s="2" t="n">
        <v>4650000</v>
      </c>
      <c r="I1248" s="2" t="n">
        <f aca="false">(((H1248 / 800) / IF(ISBLANK(R1248), 1000000, IF(ISNA(VLOOKUP(R1248, Mileages!$A$2:$C$34, 2, 0)), R1248, VLOOKUP(R1248, Mileages!$A$2:$C$34, 2, 0)))) + (F1248 * IF(ISBLANK(P1248), 1, P1248) * IF(ISBLANK(T1248), 0, IF(ISNA(VLOOKUP(T1248, 'Fuel Costs'!$A$2:$C$42, 2, 0)), T1248, VLOOKUP(T1248, 'Fuel Costs'!$A$2:$C$42, 2, 0))) / IF(ISBLANK(O1248), 1, O1248))) * 100</f>
        <v>147.4383929</v>
      </c>
      <c r="J1248" s="2" t="n">
        <f aca="false">((H1248 / 800) / (IF(ISBLANK(S1248), 100, IF(ISNA(VLOOKUP(S1248, Lives!$A$2:$C$35, 2, 0)), S1248, VLOOKUP(S1248, Lives!$A$2:$C$35, 2, 0))) * 12) + (IF(ISBLANK(Q1248), 0, IF(ISNA(VLOOKUP(Q1248, Wages!$A$2:$C$17, 2, 0)), Q1248, VLOOKUP(Q1248, Wages!$A$2:$C$17, 2, 0))) * IF(ISBLANK(N1248), 0, IF(ISNA(VLOOKUP(N1248, Crews!$A$2:$C$28, 2, 0)), N1248, VLOOKUP(N1248, Crews!$A$2:$C$28, 2, 0))))) * 400</f>
        <v>27875</v>
      </c>
      <c r="K1248" s="1" t="s">
        <v>1692</v>
      </c>
      <c r="L1248" s="1" t="s">
        <v>2524</v>
      </c>
      <c r="M1248" s="1" t="n">
        <v>0</v>
      </c>
      <c r="N1248" s="1" t="s">
        <v>590</v>
      </c>
      <c r="O1248" s="1" t="n">
        <v>0.7</v>
      </c>
      <c r="P1248" s="1"/>
      <c r="Q1248" s="5" t="s">
        <v>284</v>
      </c>
      <c r="R1248" s="1" t="s">
        <v>677</v>
      </c>
      <c r="S1248" s="1" t="s">
        <v>677</v>
      </c>
      <c r="T1248" s="1" t="s">
        <v>2252</v>
      </c>
    </row>
    <row r="1249" customFormat="false" ht="15" hidden="false" customHeight="true" outlineLevel="0" collapsed="false">
      <c r="A1249" s="1" t="s">
        <v>2525</v>
      </c>
      <c r="B1249" s="1" t="n">
        <v>1919</v>
      </c>
      <c r="C1249" s="1" t="n">
        <v>8</v>
      </c>
      <c r="D1249" s="1" t="s">
        <v>38</v>
      </c>
      <c r="E1249" s="1" t="s">
        <v>1346</v>
      </c>
      <c r="F1249" s="1" t="n">
        <v>120</v>
      </c>
      <c r="G1249" s="1" t="n">
        <v>60</v>
      </c>
      <c r="H1249" s="2" t="n">
        <v>950000</v>
      </c>
      <c r="I1249" s="2" t="n">
        <f aca="false">(((H1249 / 800) / IF(ISBLANK(R1249), 1000000, IF(ISNA(VLOOKUP(R1249, Mileages!$A$2:$C$34, 2, 0)), R1249, VLOOKUP(R1249, Mileages!$A$2:$C$34, 2, 0)))) + (F1249 * IF(ISBLANK(P1249), 1, P1249) * IF(ISBLANK(T1249), 0, IF(ISNA(VLOOKUP(T1249, 'Fuel Costs'!$A$2:$C$42, 2, 0)), T1249, VLOOKUP(T1249, 'Fuel Costs'!$A$2:$C$42, 2, 0))) / IF(ISBLANK(O1249), 1, O1249))) * 100</f>
        <v>72.15833333</v>
      </c>
      <c r="J1249" s="2" t="n">
        <f aca="false">((H1249 / 800) / (IF(ISBLANK(S1249), 100, IF(ISNA(VLOOKUP(S1249, Lives!$A$2:$C$35, 2, 0)), S1249, VLOOKUP(S1249, Lives!$A$2:$C$35, 2, 0))) * 12) + (IF(ISBLANK(Q1249), 0, IF(ISNA(VLOOKUP(Q1249, Wages!$A$2:$C$17, 2, 0)), Q1249, VLOOKUP(Q1249, Wages!$A$2:$C$17, 2, 0))) * IF(ISBLANK(N1249), 0, IF(ISNA(VLOOKUP(N1249, Crews!$A$2:$C$28, 2, 0)), N1249, VLOOKUP(N1249, Crews!$A$2:$C$28, 2, 0))))) * 400</f>
        <v>6791.666667</v>
      </c>
      <c r="K1249" s="3" t="s">
        <v>2526</v>
      </c>
      <c r="L1249" s="1" t="s">
        <v>2527</v>
      </c>
      <c r="M1249" s="1" t="n">
        <v>0</v>
      </c>
      <c r="N1249" s="1" t="s">
        <v>1512</v>
      </c>
      <c r="O1249" s="1" t="n">
        <v>1</v>
      </c>
      <c r="P1249" s="1"/>
      <c r="Q1249" s="1" t="str">
        <f aca="false">IF(ISBLANK('Pak128 Britain In'!$N1249),,'Pak128 Britain In'!$N1249)</f>
        <v>ElectricMultipleUnit</v>
      </c>
      <c r="R1249" s="1" t="s">
        <v>1489</v>
      </c>
      <c r="S1249" s="1" t="s">
        <v>1350</v>
      </c>
      <c r="T1249" s="1" t="s">
        <v>1351</v>
      </c>
    </row>
    <row r="1250" customFormat="false" ht="15" hidden="false" customHeight="true" outlineLevel="0" collapsed="false">
      <c r="A1250" s="1" t="s">
        <v>2528</v>
      </c>
      <c r="B1250" s="1" t="n">
        <v>1919</v>
      </c>
      <c r="C1250" s="1" t="n">
        <v>8</v>
      </c>
      <c r="D1250" s="1" t="s">
        <v>38</v>
      </c>
      <c r="E1250" s="1" t="s">
        <v>1346</v>
      </c>
      <c r="F1250" s="1"/>
      <c r="G1250" s="1" t="n">
        <v>60</v>
      </c>
      <c r="H1250" s="2" t="n">
        <v>350000</v>
      </c>
      <c r="I1250" s="2" t="n">
        <f aca="false">(((H1250 / 800) / IF(ISBLANK(R1250), 1000000, IF(ISNA(VLOOKUP(R1250, Mileages!$A$2:$C$34, 2, 0)), R1250, VLOOKUP(R1250, Mileages!$A$2:$C$34, 2, 0)))) + (F1250 * IF(ISBLANK(P1250), 1, P1250) * IF(ISBLANK(T1250), 0, IF(ISNA(VLOOKUP(T1250, 'Fuel Costs'!$A$2:$C$42, 2, 0)), T1250, VLOOKUP(T1250, 'Fuel Costs'!$A$2:$C$42, 2, 0))) / IF(ISBLANK(O1250), 1, O1250))) * 100</f>
        <v>0.03645833333</v>
      </c>
      <c r="J1250" s="2" t="n">
        <f aca="false">((H1250 / 800) / (IF(ISBLANK(S1250), 100, IF(ISNA(VLOOKUP(S1250, Lives!$A$2:$C$35, 2, 0)), S1250, VLOOKUP(S1250, Lives!$A$2:$C$35, 2, 0))) * 12) + (IF(ISBLANK(Q1250), 0, IF(ISNA(VLOOKUP(Q1250, Wages!$A$2:$C$17, 2, 0)), Q1250, VLOOKUP(Q1250, Wages!$A$2:$C$17, 2, 0))) * IF(ISBLANK(N1250), 0, IF(ISNA(VLOOKUP(N1250, Crews!$A$2:$C$28, 2, 0)), N1250, VLOOKUP(N1250, Crews!$A$2:$C$28, 2, 0))))) * 400</f>
        <v>416.6666667</v>
      </c>
      <c r="K1250" s="1"/>
      <c r="L1250" s="1" t="s">
        <v>2527</v>
      </c>
      <c r="M1250" s="1" t="n">
        <v>1</v>
      </c>
      <c r="N1250" s="1"/>
      <c r="O1250" s="1"/>
      <c r="P1250" s="1"/>
      <c r="Q1250" s="1"/>
      <c r="R1250" s="1" t="s">
        <v>689</v>
      </c>
      <c r="S1250" s="1" t="s">
        <v>856</v>
      </c>
      <c r="T1250" s="1"/>
    </row>
    <row r="1251" customFormat="false" ht="15" hidden="false" customHeight="true" outlineLevel="0" collapsed="false">
      <c r="A1251" s="1" t="s">
        <v>2529</v>
      </c>
      <c r="B1251" s="1" t="n">
        <v>1919</v>
      </c>
      <c r="C1251" s="1" t="n">
        <v>8</v>
      </c>
      <c r="D1251" s="1" t="s">
        <v>38</v>
      </c>
      <c r="E1251" s="1" t="s">
        <v>1346</v>
      </c>
      <c r="F1251" s="1" t="n">
        <v>120</v>
      </c>
      <c r="G1251" s="1" t="n">
        <v>60</v>
      </c>
      <c r="H1251" s="2" t="n">
        <v>950000</v>
      </c>
      <c r="I1251" s="2" t="n">
        <f aca="false">(((H1251 / 800) / IF(ISBLANK(R1251), 1000000, IF(ISNA(VLOOKUP(R1251, Mileages!$A$2:$C$34, 2, 0)), R1251, VLOOKUP(R1251, Mileages!$A$2:$C$34, 2, 0)))) + (F1251 * IF(ISBLANK(P1251), 1, P1251) * IF(ISBLANK(T1251), 0, IF(ISNA(VLOOKUP(T1251, 'Fuel Costs'!$A$2:$C$42, 2, 0)), T1251, VLOOKUP(T1251, 'Fuel Costs'!$A$2:$C$42, 2, 0))) / IF(ISBLANK(O1251), 1, O1251))) * 100</f>
        <v>72.15833333</v>
      </c>
      <c r="J1251" s="2" t="n">
        <f aca="false">((H1251 / 800) / (IF(ISBLANK(S1251), 100, IF(ISNA(VLOOKUP(S1251, Lives!$A$2:$C$35, 2, 0)), S1251, VLOOKUP(S1251, Lives!$A$2:$C$35, 2, 0))) * 12) + (IF(ISBLANK(Q1251), 0, IF(ISNA(VLOOKUP(Q1251, Wages!$A$2:$C$17, 2, 0)), Q1251, VLOOKUP(Q1251, Wages!$A$2:$C$17, 2, 0))) * IF(ISBLANK(N1251), 0, IF(ISNA(VLOOKUP(N1251, Crews!$A$2:$C$28, 2, 0)), N1251, VLOOKUP(N1251, Crews!$A$2:$C$28, 2, 0))))) * 400</f>
        <v>6791.666667</v>
      </c>
      <c r="K1251" s="1" t="s">
        <v>2530</v>
      </c>
      <c r="L1251" s="1" t="s">
        <v>2527</v>
      </c>
      <c r="M1251" s="1" t="n">
        <v>2</v>
      </c>
      <c r="N1251" s="1" t="s">
        <v>1512</v>
      </c>
      <c r="O1251" s="1" t="n">
        <v>1</v>
      </c>
      <c r="P1251" s="1"/>
      <c r="Q1251" s="1" t="str">
        <f aca="false">IF(ISBLANK('Pak128 Britain In'!$N1251),,'Pak128 Britain In'!$N1251)</f>
        <v>ElectricMultipleUnit</v>
      </c>
      <c r="R1251" s="1" t="s">
        <v>1489</v>
      </c>
      <c r="S1251" s="1" t="s">
        <v>1350</v>
      </c>
      <c r="T1251" s="1" t="s">
        <v>1351</v>
      </c>
    </row>
    <row r="1252" customFormat="false" ht="15" hidden="false" customHeight="true" outlineLevel="0" collapsed="false">
      <c r="A1252" s="1" t="s">
        <v>2531</v>
      </c>
      <c r="B1252" s="1" t="n">
        <v>1919</v>
      </c>
      <c r="C1252" s="1" t="n">
        <v>8</v>
      </c>
      <c r="D1252" s="1" t="s">
        <v>21</v>
      </c>
      <c r="E1252" s="1" t="s">
        <v>1839</v>
      </c>
      <c r="F1252" s="1" t="n">
        <v>22</v>
      </c>
      <c r="G1252" s="1" t="n">
        <v>20</v>
      </c>
      <c r="H1252" s="2" t="n">
        <v>90000</v>
      </c>
      <c r="I1252" s="2" t="n">
        <f aca="false">(((H1252 / 800) / IF(ISBLANK(R1252), 1000000, IF(ISNA(VLOOKUP(R1252, Mileages!$A$2:$C$34, 2, 0)), R1252, VLOOKUP(R1252, Mileages!$A$2:$C$34, 2, 0)))) + (F1252 * IF(ISBLANK(P1252), 1, P1252) * IF(ISBLANK(T1252), 0, IF(ISNA(VLOOKUP(T1252, 'Fuel Costs'!$A$2:$C$42, 2, 0)), T1252, VLOOKUP(T1252, 'Fuel Costs'!$A$2:$C$42, 2, 0))) / IF(ISBLANK(O1252), 1, O1252))) * 100</f>
        <v>22.0225</v>
      </c>
      <c r="J1252" s="2" t="n">
        <f aca="false">((H1252 / 800) / (IF(ISBLANK(S1252), 100, IF(ISNA(VLOOKUP(S1252, Lives!$A$2:$C$35, 2, 0)), S1252, VLOOKUP(S1252, Lives!$A$2:$C$35, 2, 0))) * 12) + (IF(ISBLANK(Q1252), 0, IF(ISNA(VLOOKUP(Q1252, Wages!$A$2:$C$17, 2, 0)), Q1252, VLOOKUP(Q1252, Wages!$A$2:$C$17, 2, 0))) * IF(ISBLANK(N1252), 0, IF(ISNA(VLOOKUP(N1252, Crews!$A$2:$C$28, 2, 0)), N1252, VLOOKUP(N1252, Crews!$A$2:$C$28, 2, 0))))) * 400</f>
        <v>8046.875</v>
      </c>
      <c r="K1252" s="3" t="s">
        <v>2532</v>
      </c>
      <c r="L1252" s="1" t="s">
        <v>2533</v>
      </c>
      <c r="M1252" s="1" t="n">
        <v>0</v>
      </c>
      <c r="N1252" s="1" t="s">
        <v>25</v>
      </c>
      <c r="O1252" s="1" t="n">
        <v>0.6</v>
      </c>
      <c r="P1252" s="1"/>
      <c r="Q1252" s="1" t="s">
        <v>1815</v>
      </c>
      <c r="R1252" s="1" t="s">
        <v>1842</v>
      </c>
      <c r="S1252" s="1" t="s">
        <v>1843</v>
      </c>
      <c r="T1252" s="1" t="s">
        <v>2534</v>
      </c>
    </row>
    <row r="1253" customFormat="false" ht="15" hidden="false" customHeight="true" outlineLevel="0" collapsed="false">
      <c r="A1253" s="1" t="s">
        <v>2535</v>
      </c>
      <c r="B1253" s="1" t="n">
        <v>1919</v>
      </c>
      <c r="C1253" s="1" t="n">
        <v>8</v>
      </c>
      <c r="D1253" s="1" t="s">
        <v>21</v>
      </c>
      <c r="E1253" s="1" t="s">
        <v>1839</v>
      </c>
      <c r="F1253" s="1" t="n">
        <v>22</v>
      </c>
      <c r="G1253" s="1" t="n">
        <v>20</v>
      </c>
      <c r="H1253" s="2" t="n">
        <v>85000</v>
      </c>
      <c r="I1253" s="2" t="n">
        <f aca="false">(((H1253 / 800) / IF(ISBLANK(R1253), 1000000, IF(ISNA(VLOOKUP(R1253, Mileages!$A$2:$C$34, 2, 0)), R1253, VLOOKUP(R1253, Mileages!$A$2:$C$34, 2, 0)))) + (F1253 * IF(ISBLANK(P1253), 1, P1253) * IF(ISBLANK(T1253), 0, IF(ISNA(VLOOKUP(T1253, 'Fuel Costs'!$A$2:$C$42, 2, 0)), T1253, VLOOKUP(T1253, 'Fuel Costs'!$A$2:$C$42, 2, 0))) / IF(ISBLANK(O1253), 1, O1253))) * 100</f>
        <v>22.02125</v>
      </c>
      <c r="J1253" s="2" t="n">
        <f aca="false">((H1253 / 800) / (IF(ISBLANK(S1253), 100, IF(ISNA(VLOOKUP(S1253, Lives!$A$2:$C$35, 2, 0)), S1253, VLOOKUP(S1253, Lives!$A$2:$C$35, 2, 0))) * 12) + (IF(ISBLANK(Q1253), 0, IF(ISNA(VLOOKUP(Q1253, Wages!$A$2:$C$17, 2, 0)), Q1253, VLOOKUP(Q1253, Wages!$A$2:$C$17, 2, 0))) * IF(ISBLANK(N1253), 0, IF(ISNA(VLOOKUP(N1253, Crews!$A$2:$C$28, 2, 0)), N1253, VLOOKUP(N1253, Crews!$A$2:$C$28, 2, 0))))) * 400</f>
        <v>8044.270833</v>
      </c>
      <c r="K1253" s="3" t="s">
        <v>2532</v>
      </c>
      <c r="L1253" s="1" t="s">
        <v>2536</v>
      </c>
      <c r="M1253" s="1" t="n">
        <v>0</v>
      </c>
      <c r="N1253" s="1" t="s">
        <v>25</v>
      </c>
      <c r="O1253" s="1" t="n">
        <v>0.6</v>
      </c>
      <c r="P1253" s="1"/>
      <c r="Q1253" s="1" t="s">
        <v>1815</v>
      </c>
      <c r="R1253" s="1" t="s">
        <v>1842</v>
      </c>
      <c r="S1253" s="1" t="s">
        <v>1843</v>
      </c>
      <c r="T1253" s="1" t="s">
        <v>2534</v>
      </c>
    </row>
    <row r="1254" customFormat="false" ht="15" hidden="false" customHeight="true" outlineLevel="0" collapsed="false">
      <c r="A1254" s="1" t="s">
        <v>2537</v>
      </c>
      <c r="B1254" s="1" t="n">
        <v>1919</v>
      </c>
      <c r="C1254" s="1" t="n">
        <v>9</v>
      </c>
      <c r="D1254" s="1" t="s">
        <v>38</v>
      </c>
      <c r="E1254" s="1" t="s">
        <v>1346</v>
      </c>
      <c r="F1254" s="1" t="n">
        <v>120</v>
      </c>
      <c r="G1254" s="1" t="n">
        <v>60</v>
      </c>
      <c r="H1254" s="2" t="n">
        <v>1050000</v>
      </c>
      <c r="I1254" s="2" t="n">
        <f aca="false">(((H1254 / 800) / IF(ISBLANK(R1254), 1000000, IF(ISNA(VLOOKUP(R1254, Mileages!$A$2:$C$34, 2, 0)), R1254, VLOOKUP(R1254, Mileages!$A$2:$C$34, 2, 0)))) + (F1254 * IF(ISBLANK(P1254), 1, P1254) * IF(ISBLANK(T1254), 0, IF(ISNA(VLOOKUP(T1254, 'Fuel Costs'!$A$2:$C$42, 2, 0)), T1254, VLOOKUP(T1254, 'Fuel Costs'!$A$2:$C$42, 2, 0))) / IF(ISBLANK(O1254), 1, O1254))) * 100</f>
        <v>72.175</v>
      </c>
      <c r="J1254" s="2" t="n">
        <f aca="false">((H1254 / 800) / (IF(ISBLANK(S1254), 100, IF(ISNA(VLOOKUP(S1254, Lives!$A$2:$C$35, 2, 0)), S1254, VLOOKUP(S1254, Lives!$A$2:$C$35, 2, 0))) * 12) + (IF(ISBLANK(Q1254), 0, IF(ISNA(VLOOKUP(Q1254, Wages!$A$2:$C$17, 2, 0)), Q1254, VLOOKUP(Q1254, Wages!$A$2:$C$17, 2, 0))) * IF(ISBLANK(N1254), 0, IF(ISNA(VLOOKUP(N1254, Crews!$A$2:$C$28, 2, 0)), N1254, VLOOKUP(N1254, Crews!$A$2:$C$28, 2, 0))))) * 400</f>
        <v>6875</v>
      </c>
      <c r="K1254" s="3" t="s">
        <v>2538</v>
      </c>
      <c r="L1254" s="1" t="s">
        <v>2539</v>
      </c>
      <c r="M1254" s="1" t="n">
        <v>0</v>
      </c>
      <c r="N1254" s="1" t="s">
        <v>1512</v>
      </c>
      <c r="O1254" s="1" t="n">
        <v>1</v>
      </c>
      <c r="P1254" s="1"/>
      <c r="Q1254" s="1" t="str">
        <f aca="false">IF(ISBLANK('Pak128 Britain In'!$N1254),,'Pak128 Britain In'!$N1254)</f>
        <v>ElectricMultipleUnit</v>
      </c>
      <c r="R1254" s="1" t="s">
        <v>1489</v>
      </c>
      <c r="S1254" s="1" t="s">
        <v>1350</v>
      </c>
      <c r="T1254" s="1" t="s">
        <v>1351</v>
      </c>
    </row>
    <row r="1255" customFormat="false" ht="15" hidden="false" customHeight="true" outlineLevel="0" collapsed="false">
      <c r="A1255" s="1" t="s">
        <v>2540</v>
      </c>
      <c r="B1255" s="1" t="n">
        <v>1919</v>
      </c>
      <c r="C1255" s="1" t="n">
        <v>9</v>
      </c>
      <c r="D1255" s="1" t="s">
        <v>38</v>
      </c>
      <c r="E1255" s="1" t="s">
        <v>1346</v>
      </c>
      <c r="F1255" s="1"/>
      <c r="G1255" s="1" t="n">
        <v>60</v>
      </c>
      <c r="H1255" s="2" t="n">
        <v>650000</v>
      </c>
      <c r="I1255" s="2" t="n">
        <f aca="false">(((H1255 / 800) / IF(ISBLANK(R1255), 1000000, IF(ISNA(VLOOKUP(R1255, Mileages!$A$2:$C$34, 2, 0)), R1255, VLOOKUP(R1255, Mileages!$A$2:$C$34, 2, 0)))) + (F1255 * IF(ISBLANK(P1255), 1, P1255) * IF(ISBLANK(T1255), 0, IF(ISNA(VLOOKUP(T1255, 'Fuel Costs'!$A$2:$C$42, 2, 0)), T1255, VLOOKUP(T1255, 'Fuel Costs'!$A$2:$C$42, 2, 0))) / IF(ISBLANK(O1255), 1, O1255))) * 100</f>
        <v>0.06770833333</v>
      </c>
      <c r="J1255" s="2" t="n">
        <f aca="false">((H1255 / 800) / (IF(ISBLANK(S1255), 100, IF(ISNA(VLOOKUP(S1255, Lives!$A$2:$C$35, 2, 0)), S1255, VLOOKUP(S1255, Lives!$A$2:$C$35, 2, 0))) * 12) + (IF(ISBLANK(Q1255), 0, IF(ISNA(VLOOKUP(Q1255, Wages!$A$2:$C$17, 2, 0)), Q1255, VLOOKUP(Q1255, Wages!$A$2:$C$17, 2, 0))) * IF(ISBLANK(N1255), 0, IF(ISNA(VLOOKUP(N1255, Crews!$A$2:$C$28, 2, 0)), N1255, VLOOKUP(N1255, Crews!$A$2:$C$28, 2, 0))))) * 400</f>
        <v>773.8095238</v>
      </c>
      <c r="K1255" s="1"/>
      <c r="L1255" s="1" t="s">
        <v>2539</v>
      </c>
      <c r="M1255" s="1" t="n">
        <v>1</v>
      </c>
      <c r="N1255" s="1"/>
      <c r="O1255" s="1"/>
      <c r="P1255" s="1"/>
      <c r="Q1255" s="1"/>
      <c r="R1255" s="1" t="s">
        <v>689</v>
      </c>
      <c r="S1255" s="1" t="s">
        <v>856</v>
      </c>
      <c r="T1255" s="1"/>
    </row>
    <row r="1256" customFormat="false" ht="15" hidden="false" customHeight="true" outlineLevel="0" collapsed="false">
      <c r="A1256" s="1" t="s">
        <v>2541</v>
      </c>
      <c r="B1256" s="1" t="n">
        <v>1919</v>
      </c>
      <c r="C1256" s="1" t="n">
        <v>9</v>
      </c>
      <c r="D1256" s="1" t="s">
        <v>38</v>
      </c>
      <c r="E1256" s="1" t="s">
        <v>1346</v>
      </c>
      <c r="F1256" s="1" t="n">
        <v>120</v>
      </c>
      <c r="G1256" s="1" t="n">
        <v>60</v>
      </c>
      <c r="H1256" s="2" t="n">
        <v>1050000</v>
      </c>
      <c r="I1256" s="2" t="n">
        <f aca="false">(((H1256 / 800) / IF(ISBLANK(R1256), 1000000, IF(ISNA(VLOOKUP(R1256, Mileages!$A$2:$C$34, 2, 0)), R1256, VLOOKUP(R1256, Mileages!$A$2:$C$34, 2, 0)))) + (F1256 * IF(ISBLANK(P1256), 1, P1256) * IF(ISBLANK(T1256), 0, IF(ISNA(VLOOKUP(T1256, 'Fuel Costs'!$A$2:$C$42, 2, 0)), T1256, VLOOKUP(T1256, 'Fuel Costs'!$A$2:$C$42, 2, 0))) / IF(ISBLANK(O1256), 1, O1256))) * 100</f>
        <v>72.175</v>
      </c>
      <c r="J1256" s="2" t="n">
        <f aca="false">((H1256 / 800) / (IF(ISBLANK(S1256), 100, IF(ISNA(VLOOKUP(S1256, Lives!$A$2:$C$35, 2, 0)), S1256, VLOOKUP(S1256, Lives!$A$2:$C$35, 2, 0))) * 12) + (IF(ISBLANK(Q1256), 0, IF(ISNA(VLOOKUP(Q1256, Wages!$A$2:$C$17, 2, 0)), Q1256, VLOOKUP(Q1256, Wages!$A$2:$C$17, 2, 0))) * IF(ISBLANK(N1256), 0, IF(ISNA(VLOOKUP(N1256, Crews!$A$2:$C$28, 2, 0)), N1256, VLOOKUP(N1256, Crews!$A$2:$C$28, 2, 0))))) * 400</f>
        <v>6875</v>
      </c>
      <c r="K1256" s="1"/>
      <c r="L1256" s="1" t="s">
        <v>2539</v>
      </c>
      <c r="M1256" s="1" t="n">
        <v>2</v>
      </c>
      <c r="N1256" s="1" t="s">
        <v>1512</v>
      </c>
      <c r="O1256" s="1" t="n">
        <v>1</v>
      </c>
      <c r="P1256" s="1"/>
      <c r="Q1256" s="1" t="str">
        <f aca="false">IF(ISBLANK('Pak128 Britain In'!$N1256),,'Pak128 Britain In'!$N1256)</f>
        <v>ElectricMultipleUnit</v>
      </c>
      <c r="R1256" s="1" t="s">
        <v>1489</v>
      </c>
      <c r="S1256" s="1" t="s">
        <v>1350</v>
      </c>
      <c r="T1256" s="1" t="s">
        <v>1351</v>
      </c>
    </row>
    <row r="1257" customFormat="false" ht="15" hidden="false" customHeight="true" outlineLevel="0" collapsed="false">
      <c r="A1257" s="1" t="s">
        <v>2542</v>
      </c>
      <c r="B1257" s="1" t="n">
        <v>1920</v>
      </c>
      <c r="C1257" s="1" t="n">
        <v>1</v>
      </c>
      <c r="D1257" s="1" t="s">
        <v>29</v>
      </c>
      <c r="E1257" s="1" t="s">
        <v>2039</v>
      </c>
      <c r="F1257" s="1" t="n">
        <v>30</v>
      </c>
      <c r="G1257" s="1" t="n">
        <v>8</v>
      </c>
      <c r="H1257" s="2" t="n">
        <v>250000</v>
      </c>
      <c r="I1257" s="2" t="n">
        <f aca="false">(((H1257 / 800) / IF(ISBLANK(R1257), 1000000, IF(ISNA(VLOOKUP(R1257, Mileages!$A$2:$C$34, 2, 0)), R1257, VLOOKUP(R1257, Mileages!$A$2:$C$34, 2, 0)))) + (F1257 * IF(ISBLANK(P1257), 1, P1257) * IF(ISBLANK(T1257), 0, IF(ISNA(VLOOKUP(T1257, 'Fuel Costs'!$A$2:$C$42, 2, 0)), T1257, VLOOKUP(T1257, 'Fuel Costs'!$A$2:$C$42, 2, 0))) / IF(ISBLANK(O1257), 1, O1257))) * 100</f>
        <v>6.0390625</v>
      </c>
      <c r="J1257" s="2" t="n">
        <f aca="false">((H1257 / 800) / (IF(ISBLANK(S1257), 100, IF(ISNA(VLOOKUP(S1257, Lives!$A$2:$C$35, 2, 0)), S1257, VLOOKUP(S1257, Lives!$A$2:$C$35, 2, 0))) * 12) + (IF(ISBLANK(Q1257), 0, IF(ISNA(VLOOKUP(Q1257, Wages!$A$2:$C$17, 2, 0)), Q1257, VLOOKUP(Q1257, Wages!$A$2:$C$17, 2, 0))) * IF(ISBLANK(N1257), 0, IF(ISNA(VLOOKUP(N1257, Crews!$A$2:$C$28, 2, 0)), N1257, VLOOKUP(N1257, Crews!$A$2:$C$28, 2, 0))))) * 400</f>
        <v>16173.61111</v>
      </c>
      <c r="K1257" s="3" t="s">
        <v>1439</v>
      </c>
      <c r="L1257" s="1" t="s">
        <v>2543</v>
      </c>
      <c r="M1257" s="1" t="n">
        <v>0</v>
      </c>
      <c r="N1257" s="1" t="s">
        <v>33</v>
      </c>
      <c r="O1257" s="1" t="n">
        <v>0.5</v>
      </c>
      <c r="P1257" s="1" t="n">
        <v>0.2</v>
      </c>
      <c r="Q1257" s="1" t="s">
        <v>34</v>
      </c>
      <c r="R1257" s="4" t="s">
        <v>35</v>
      </c>
      <c r="S1257" s="1" t="s">
        <v>35</v>
      </c>
      <c r="T1257" s="1" t="s">
        <v>2041</v>
      </c>
    </row>
    <row r="1258" customFormat="false" ht="15" hidden="false" customHeight="true" outlineLevel="0" collapsed="false">
      <c r="A1258" s="1" t="s">
        <v>2544</v>
      </c>
      <c r="B1258" s="1" t="n">
        <v>1920</v>
      </c>
      <c r="C1258" s="1" t="n">
        <v>1</v>
      </c>
      <c r="D1258" s="1" t="s">
        <v>29</v>
      </c>
      <c r="E1258" s="1" t="s">
        <v>2039</v>
      </c>
      <c r="F1258" s="1" t="n">
        <v>30</v>
      </c>
      <c r="G1258" s="1" t="n">
        <v>8</v>
      </c>
      <c r="H1258" s="2" t="n">
        <v>250000</v>
      </c>
      <c r="I1258" s="2" t="n">
        <f aca="false">(((H1258 / 800) / IF(ISBLANK(R1258), 1000000, IF(ISNA(VLOOKUP(R1258, Mileages!$A$2:$C$34, 2, 0)), R1258, VLOOKUP(R1258, Mileages!$A$2:$C$34, 2, 0)))) + (F1258 * IF(ISBLANK(P1258), 1, P1258) * IF(ISBLANK(T1258), 0, IF(ISNA(VLOOKUP(T1258, 'Fuel Costs'!$A$2:$C$42, 2, 0)), T1258, VLOOKUP(T1258, 'Fuel Costs'!$A$2:$C$42, 2, 0))) / IF(ISBLANK(O1258), 1, O1258))) * 100</f>
        <v>6.0390625</v>
      </c>
      <c r="J1258" s="2" t="n">
        <f aca="false">((H1258 / 800) / (IF(ISBLANK(S1258), 100, IF(ISNA(VLOOKUP(S1258, Lives!$A$2:$C$35, 2, 0)), S1258, VLOOKUP(S1258, Lives!$A$2:$C$35, 2, 0))) * 12) + (IF(ISBLANK(Q1258), 0, IF(ISNA(VLOOKUP(Q1258, Wages!$A$2:$C$17, 2, 0)), Q1258, VLOOKUP(Q1258, Wages!$A$2:$C$17, 2, 0))) * IF(ISBLANK(N1258), 0, IF(ISNA(VLOOKUP(N1258, Crews!$A$2:$C$28, 2, 0)), N1258, VLOOKUP(N1258, Crews!$A$2:$C$28, 2, 0))))) * 400</f>
        <v>16173.61111</v>
      </c>
      <c r="K1258" s="3" t="s">
        <v>1439</v>
      </c>
      <c r="L1258" s="1" t="s">
        <v>2543</v>
      </c>
      <c r="M1258" s="1" t="n">
        <v>1</v>
      </c>
      <c r="N1258" s="1" t="s">
        <v>33</v>
      </c>
      <c r="O1258" s="1" t="n">
        <v>0.5</v>
      </c>
      <c r="P1258" s="1" t="n">
        <v>0.2</v>
      </c>
      <c r="Q1258" s="1" t="s">
        <v>34</v>
      </c>
      <c r="R1258" s="4" t="s">
        <v>35</v>
      </c>
      <c r="S1258" s="1" t="s">
        <v>35</v>
      </c>
      <c r="T1258" s="1" t="s">
        <v>2041</v>
      </c>
    </row>
    <row r="1259" customFormat="false" ht="15" hidden="false" customHeight="true" outlineLevel="0" collapsed="false">
      <c r="A1259" s="1" t="s">
        <v>2545</v>
      </c>
      <c r="B1259" s="1" t="n">
        <v>1920</v>
      </c>
      <c r="C1259" s="1" t="n">
        <v>1</v>
      </c>
      <c r="D1259" s="1" t="s">
        <v>29</v>
      </c>
      <c r="E1259" s="1" t="s">
        <v>2039</v>
      </c>
      <c r="F1259" s="1" t="n">
        <v>30</v>
      </c>
      <c r="G1259" s="1" t="n">
        <v>8</v>
      </c>
      <c r="H1259" s="2" t="n">
        <v>250000</v>
      </c>
      <c r="I1259" s="2" t="n">
        <f aca="false">(((H1259 / 800) / IF(ISBLANK(R1259), 1000000, IF(ISNA(VLOOKUP(R1259, Mileages!$A$2:$C$34, 2, 0)), R1259, VLOOKUP(R1259, Mileages!$A$2:$C$34, 2, 0)))) + (F1259 * IF(ISBLANK(P1259), 1, P1259) * IF(ISBLANK(T1259), 0, IF(ISNA(VLOOKUP(T1259, 'Fuel Costs'!$A$2:$C$42, 2, 0)), T1259, VLOOKUP(T1259, 'Fuel Costs'!$A$2:$C$42, 2, 0))) / IF(ISBLANK(O1259), 1, O1259))) * 100</f>
        <v>6.0390625</v>
      </c>
      <c r="J1259" s="2" t="n">
        <f aca="false">((H1259 / 800) / (IF(ISBLANK(S1259), 100, IF(ISNA(VLOOKUP(S1259, Lives!$A$2:$C$35, 2, 0)), S1259, VLOOKUP(S1259, Lives!$A$2:$C$35, 2, 0))) * 12) + (IF(ISBLANK(Q1259), 0, IF(ISNA(VLOOKUP(Q1259, Wages!$A$2:$C$17, 2, 0)), Q1259, VLOOKUP(Q1259, Wages!$A$2:$C$17, 2, 0))) * IF(ISBLANK(N1259), 0, IF(ISNA(VLOOKUP(N1259, Crews!$A$2:$C$28, 2, 0)), N1259, VLOOKUP(N1259, Crews!$A$2:$C$28, 2, 0))))) * 400</f>
        <v>16173.61111</v>
      </c>
      <c r="K1259" s="3" t="s">
        <v>1439</v>
      </c>
      <c r="L1259" s="1" t="s">
        <v>2543</v>
      </c>
      <c r="M1259" s="1" t="n">
        <v>2</v>
      </c>
      <c r="N1259" s="1" t="s">
        <v>33</v>
      </c>
      <c r="O1259" s="1" t="n">
        <v>0.5</v>
      </c>
      <c r="P1259" s="1" t="n">
        <v>0.2</v>
      </c>
      <c r="Q1259" s="1" t="s">
        <v>34</v>
      </c>
      <c r="R1259" s="4" t="s">
        <v>35</v>
      </c>
      <c r="S1259" s="1" t="s">
        <v>35</v>
      </c>
      <c r="T1259" s="1" t="s">
        <v>2041</v>
      </c>
    </row>
    <row r="1260" customFormat="false" ht="15" hidden="false" customHeight="true" outlineLevel="0" collapsed="false">
      <c r="A1260" s="1" t="s">
        <v>2546</v>
      </c>
      <c r="B1260" s="1" t="n">
        <v>1920</v>
      </c>
      <c r="C1260" s="1" t="n">
        <v>1</v>
      </c>
      <c r="D1260" s="1" t="s">
        <v>29</v>
      </c>
      <c r="E1260" s="1" t="s">
        <v>2039</v>
      </c>
      <c r="F1260" s="1" t="n">
        <v>30</v>
      </c>
      <c r="G1260" s="1" t="n">
        <v>8</v>
      </c>
      <c r="H1260" s="2" t="n">
        <v>250000</v>
      </c>
      <c r="I1260" s="2" t="n">
        <f aca="false">(((H1260 / 800) / IF(ISBLANK(R1260), 1000000, IF(ISNA(VLOOKUP(R1260, Mileages!$A$2:$C$34, 2, 0)), R1260, VLOOKUP(R1260, Mileages!$A$2:$C$34, 2, 0)))) + (F1260 * IF(ISBLANK(P1260), 1, P1260) * IF(ISBLANK(T1260), 0, IF(ISNA(VLOOKUP(T1260, 'Fuel Costs'!$A$2:$C$42, 2, 0)), T1260, VLOOKUP(T1260, 'Fuel Costs'!$A$2:$C$42, 2, 0))) / IF(ISBLANK(O1260), 1, O1260))) * 100</f>
        <v>6.0390625</v>
      </c>
      <c r="J1260" s="2" t="n">
        <f aca="false">((H1260 / 800) / (IF(ISBLANK(S1260), 100, IF(ISNA(VLOOKUP(S1260, Lives!$A$2:$C$35, 2, 0)), S1260, VLOOKUP(S1260, Lives!$A$2:$C$35, 2, 0))) * 12) + (IF(ISBLANK(Q1260), 0, IF(ISNA(VLOOKUP(Q1260, Wages!$A$2:$C$17, 2, 0)), Q1260, VLOOKUP(Q1260, Wages!$A$2:$C$17, 2, 0))) * IF(ISBLANK(N1260), 0, IF(ISNA(VLOOKUP(N1260, Crews!$A$2:$C$28, 2, 0)), N1260, VLOOKUP(N1260, Crews!$A$2:$C$28, 2, 0))))) * 400</f>
        <v>16173.61111</v>
      </c>
      <c r="K1260" s="3" t="s">
        <v>1439</v>
      </c>
      <c r="L1260" s="1" t="s">
        <v>2543</v>
      </c>
      <c r="M1260" s="1" t="n">
        <v>3</v>
      </c>
      <c r="N1260" s="1" t="s">
        <v>33</v>
      </c>
      <c r="O1260" s="1" t="n">
        <v>0.5</v>
      </c>
      <c r="P1260" s="1" t="n">
        <v>0.2</v>
      </c>
      <c r="Q1260" s="1" t="s">
        <v>34</v>
      </c>
      <c r="R1260" s="4" t="s">
        <v>35</v>
      </c>
      <c r="S1260" s="1" t="s">
        <v>35</v>
      </c>
      <c r="T1260" s="1" t="s">
        <v>2041</v>
      </c>
    </row>
    <row r="1261" customFormat="false" ht="15" hidden="false" customHeight="true" outlineLevel="0" collapsed="false">
      <c r="A1261" s="1" t="s">
        <v>2547</v>
      </c>
      <c r="B1261" s="1" t="n">
        <v>1920</v>
      </c>
      <c r="C1261" s="1" t="n">
        <v>1</v>
      </c>
      <c r="D1261" s="1" t="s">
        <v>29</v>
      </c>
      <c r="E1261" s="1" t="s">
        <v>274</v>
      </c>
      <c r="F1261" s="1" t="n">
        <v>30</v>
      </c>
      <c r="G1261" s="1" t="n">
        <v>8</v>
      </c>
      <c r="H1261" s="2" t="n">
        <v>250000</v>
      </c>
      <c r="I1261" s="2" t="n">
        <f aca="false">(((H1261 / 800) / IF(ISBLANK(R1261), 1000000, IF(ISNA(VLOOKUP(R1261, Mileages!$A$2:$C$34, 2, 0)), R1261, VLOOKUP(R1261, Mileages!$A$2:$C$34, 2, 0)))) + (F1261 * IF(ISBLANK(P1261), 1, P1261) * IF(ISBLANK(T1261), 0, IF(ISNA(VLOOKUP(T1261, 'Fuel Costs'!$A$2:$C$42, 2, 0)), T1261, VLOOKUP(T1261, 'Fuel Costs'!$A$2:$C$42, 2, 0))) / IF(ISBLANK(O1261), 1, O1261))) * 100</f>
        <v>2.515625</v>
      </c>
      <c r="J1261" s="2" t="n">
        <f aca="false">((H1261 / 800) / (IF(ISBLANK(S1261), 100, IF(ISNA(VLOOKUP(S1261, Lives!$A$2:$C$35, 2, 0)), S1261, VLOOKUP(S1261, Lives!$A$2:$C$35, 2, 0))) * 12) + (IF(ISBLANK(Q1261), 0, IF(ISNA(VLOOKUP(Q1261, Wages!$A$2:$C$17, 2, 0)), Q1261, VLOOKUP(Q1261, Wages!$A$2:$C$17, 2, 0))) * IF(ISBLANK(N1261), 0, IF(ISNA(VLOOKUP(N1261, Crews!$A$2:$C$28, 2, 0)), N1261, VLOOKUP(N1261, Crews!$A$2:$C$28, 2, 0))))) * 400</f>
        <v>16104.16667</v>
      </c>
      <c r="K1261" s="3" t="s">
        <v>1439</v>
      </c>
      <c r="L1261" s="1" t="s">
        <v>2543</v>
      </c>
      <c r="M1261" s="1" t="n">
        <v>4</v>
      </c>
      <c r="N1261" s="1" t="s">
        <v>33</v>
      </c>
      <c r="O1261" s="1" t="n">
        <v>0.6</v>
      </c>
      <c r="P1261" s="1" t="n">
        <v>0.1</v>
      </c>
      <c r="Q1261" s="1" t="s">
        <v>34</v>
      </c>
      <c r="R1261" s="1" t="s">
        <v>574</v>
      </c>
      <c r="S1261" s="1" t="s">
        <v>574</v>
      </c>
      <c r="T1261" s="1" t="s">
        <v>2041</v>
      </c>
    </row>
    <row r="1262" customFormat="false" ht="15" hidden="false" customHeight="true" outlineLevel="0" collapsed="false">
      <c r="A1262" s="1" t="s">
        <v>2548</v>
      </c>
      <c r="B1262" s="1" t="n">
        <v>1920</v>
      </c>
      <c r="C1262" s="1" t="n">
        <v>1</v>
      </c>
      <c r="D1262" s="1" t="s">
        <v>29</v>
      </c>
      <c r="E1262" s="1" t="s">
        <v>2039</v>
      </c>
      <c r="F1262" s="1" t="n">
        <v>30</v>
      </c>
      <c r="G1262" s="1" t="n">
        <v>8</v>
      </c>
      <c r="H1262" s="2" t="n">
        <v>250000</v>
      </c>
      <c r="I1262" s="2" t="n">
        <f aca="false">(((H1262 / 800) / IF(ISBLANK(R1262), 1000000, IF(ISNA(VLOOKUP(R1262, Mileages!$A$2:$C$34, 2, 0)), R1262, VLOOKUP(R1262, Mileages!$A$2:$C$34, 2, 0)))) + (F1262 * IF(ISBLANK(P1262), 1, P1262) * IF(ISBLANK(T1262), 0, IF(ISNA(VLOOKUP(T1262, 'Fuel Costs'!$A$2:$C$42, 2, 0)), T1262, VLOOKUP(T1262, 'Fuel Costs'!$A$2:$C$42, 2, 0))) / IF(ISBLANK(O1262), 1, O1262))) * 100</f>
        <v>6.0390625</v>
      </c>
      <c r="J1262" s="2" t="n">
        <f aca="false">((H1262 / 800) / (IF(ISBLANK(S1262), 100, IF(ISNA(VLOOKUP(S1262, Lives!$A$2:$C$35, 2, 0)), S1262, VLOOKUP(S1262, Lives!$A$2:$C$35, 2, 0))) * 12) + (IF(ISBLANK(Q1262), 0, IF(ISNA(VLOOKUP(Q1262, Wages!$A$2:$C$17, 2, 0)), Q1262, VLOOKUP(Q1262, Wages!$A$2:$C$17, 2, 0))) * IF(ISBLANK(N1262), 0, IF(ISNA(VLOOKUP(N1262, Crews!$A$2:$C$28, 2, 0)), N1262, VLOOKUP(N1262, Crews!$A$2:$C$28, 2, 0))))) * 400</f>
        <v>16173.61111</v>
      </c>
      <c r="K1262" s="3" t="s">
        <v>1439</v>
      </c>
      <c r="L1262" s="1" t="s">
        <v>2543</v>
      </c>
      <c r="M1262" s="1" t="n">
        <v>5</v>
      </c>
      <c r="N1262" s="1" t="s">
        <v>33</v>
      </c>
      <c r="O1262" s="1" t="n">
        <v>0.5</v>
      </c>
      <c r="P1262" s="1" t="n">
        <v>0.2</v>
      </c>
      <c r="Q1262" s="1" t="s">
        <v>34</v>
      </c>
      <c r="R1262" s="4" t="s">
        <v>35</v>
      </c>
      <c r="S1262" s="1" t="s">
        <v>35</v>
      </c>
      <c r="T1262" s="1" t="s">
        <v>2041</v>
      </c>
    </row>
    <row r="1263" customFormat="false" ht="15" hidden="false" customHeight="true" outlineLevel="0" collapsed="false">
      <c r="A1263" s="1" t="s">
        <v>2549</v>
      </c>
      <c r="B1263" s="1" t="n">
        <v>1920</v>
      </c>
      <c r="C1263" s="1" t="n">
        <v>1</v>
      </c>
      <c r="D1263" s="1" t="s">
        <v>29</v>
      </c>
      <c r="E1263" s="1"/>
      <c r="F1263" s="1"/>
      <c r="G1263" s="1" t="n">
        <v>8</v>
      </c>
      <c r="H1263" s="2" t="n">
        <v>200000</v>
      </c>
      <c r="I1263" s="2" t="n">
        <f aca="false">(((H1263 / 800) / IF(ISBLANK(R1263), 1000000, IF(ISNA(VLOOKUP(R1263, Mileages!$A$2:$C$34, 2, 0)), R1263, VLOOKUP(R1263, Mileages!$A$2:$C$34, 2, 0)))) + (F1263 * IF(ISBLANK(P1263), 1, P1263) * IF(ISBLANK(T1263), 0, IF(ISNA(VLOOKUP(T1263, 'Fuel Costs'!$A$2:$C$42, 2, 0)), T1263, VLOOKUP(T1263, 'Fuel Costs'!$A$2:$C$42, 2, 0))) / IF(ISBLANK(O1263), 1, O1263))) * 100</f>
        <v>0.0125</v>
      </c>
      <c r="J1263" s="2" t="n">
        <f aca="false">((H1263 / 800) / (IF(ISBLANK(S1263), 100, IF(ISNA(VLOOKUP(S1263, Lives!$A$2:$C$35, 2, 0)), S1263, VLOOKUP(S1263, Lives!$A$2:$C$35, 2, 0))) * 12) + (IF(ISBLANK(Q1263), 0, IF(ISNA(VLOOKUP(Q1263, Wages!$A$2:$C$17, 2, 0)), Q1263, VLOOKUP(Q1263, Wages!$A$2:$C$17, 2, 0))) * IF(ISBLANK(N1263), 0, IF(ISNA(VLOOKUP(N1263, Crews!$A$2:$C$28, 2, 0)), N1263, VLOOKUP(N1263, Crews!$A$2:$C$28, 2, 0))))) * 400</f>
        <v>83.33333333</v>
      </c>
      <c r="K1263" s="3" t="s">
        <v>2550</v>
      </c>
      <c r="L1263" s="1" t="s">
        <v>2551</v>
      </c>
      <c r="M1263" s="1" t="n">
        <v>0</v>
      </c>
      <c r="N1263" s="1"/>
      <c r="O1263" s="1"/>
      <c r="P1263" s="1"/>
      <c r="Q1263" s="1"/>
      <c r="R1263" s="1" t="s">
        <v>574</v>
      </c>
      <c r="S1263" s="1" t="s">
        <v>574</v>
      </c>
      <c r="T1263" s="1"/>
    </row>
    <row r="1264" customFormat="false" ht="15" hidden="false" customHeight="true" outlineLevel="0" collapsed="false">
      <c r="A1264" s="1" t="s">
        <v>2552</v>
      </c>
      <c r="B1264" s="1" t="n">
        <v>1920</v>
      </c>
      <c r="C1264" s="1" t="n">
        <v>1</v>
      </c>
      <c r="D1264" s="1" t="s">
        <v>29</v>
      </c>
      <c r="E1264" s="1"/>
      <c r="F1264" s="1"/>
      <c r="G1264" s="1" t="n">
        <v>8</v>
      </c>
      <c r="H1264" s="2" t="n">
        <v>200000</v>
      </c>
      <c r="I1264" s="2" t="n">
        <f aca="false">(((H1264 / 800) / IF(ISBLANK(R1264), 1000000, IF(ISNA(VLOOKUP(R1264, Mileages!$A$2:$C$34, 2, 0)), R1264, VLOOKUP(R1264, Mileages!$A$2:$C$34, 2, 0)))) + (F1264 * IF(ISBLANK(P1264), 1, P1264) * IF(ISBLANK(T1264), 0, IF(ISNA(VLOOKUP(T1264, 'Fuel Costs'!$A$2:$C$42, 2, 0)), T1264, VLOOKUP(T1264, 'Fuel Costs'!$A$2:$C$42, 2, 0))) / IF(ISBLANK(O1264), 1, O1264))) * 100</f>
        <v>0.0125</v>
      </c>
      <c r="J1264" s="2" t="n">
        <f aca="false">((H1264 / 800) / (IF(ISBLANK(S1264), 100, IF(ISNA(VLOOKUP(S1264, Lives!$A$2:$C$35, 2, 0)), S1264, VLOOKUP(S1264, Lives!$A$2:$C$35, 2, 0))) * 12) + (IF(ISBLANK(Q1264), 0, IF(ISNA(VLOOKUP(Q1264, Wages!$A$2:$C$17, 2, 0)), Q1264, VLOOKUP(Q1264, Wages!$A$2:$C$17, 2, 0))) * IF(ISBLANK(N1264), 0, IF(ISNA(VLOOKUP(N1264, Crews!$A$2:$C$28, 2, 0)), N1264, VLOOKUP(N1264, Crews!$A$2:$C$28, 2, 0))))) * 400</f>
        <v>83.33333333</v>
      </c>
      <c r="K1264" s="3" t="s">
        <v>2550</v>
      </c>
      <c r="L1264" s="1" t="s">
        <v>2551</v>
      </c>
      <c r="M1264" s="1" t="n">
        <v>1</v>
      </c>
      <c r="N1264" s="1"/>
      <c r="O1264" s="1"/>
      <c r="P1264" s="1"/>
      <c r="Q1264" s="1"/>
      <c r="R1264" s="1" t="s">
        <v>574</v>
      </c>
      <c r="S1264" s="1" t="s">
        <v>574</v>
      </c>
      <c r="T1264" s="1"/>
    </row>
    <row r="1265" customFormat="false" ht="15" hidden="false" customHeight="true" outlineLevel="0" collapsed="false">
      <c r="A1265" s="1" t="s">
        <v>2553</v>
      </c>
      <c r="B1265" s="1" t="n">
        <v>1920</v>
      </c>
      <c r="C1265" s="1" t="n">
        <v>1</v>
      </c>
      <c r="D1265" s="1" t="s">
        <v>29</v>
      </c>
      <c r="E1265" s="1"/>
      <c r="F1265" s="1"/>
      <c r="G1265" s="1" t="n">
        <v>8</v>
      </c>
      <c r="H1265" s="2" t="n">
        <v>200000</v>
      </c>
      <c r="I1265" s="2" t="n">
        <f aca="false">(((H1265 / 800) / IF(ISBLANK(R1265), 1000000, IF(ISNA(VLOOKUP(R1265, Mileages!$A$2:$C$34, 2, 0)), R1265, VLOOKUP(R1265, Mileages!$A$2:$C$34, 2, 0)))) + (F1265 * IF(ISBLANK(P1265), 1, P1265) * IF(ISBLANK(T1265), 0, IF(ISNA(VLOOKUP(T1265, 'Fuel Costs'!$A$2:$C$42, 2, 0)), T1265, VLOOKUP(T1265, 'Fuel Costs'!$A$2:$C$42, 2, 0))) / IF(ISBLANK(O1265), 1, O1265))) * 100</f>
        <v>0.0125</v>
      </c>
      <c r="J1265" s="2" t="n">
        <f aca="false">((H1265 / 800) / (IF(ISBLANK(S1265), 100, IF(ISNA(VLOOKUP(S1265, Lives!$A$2:$C$35, 2, 0)), S1265, VLOOKUP(S1265, Lives!$A$2:$C$35, 2, 0))) * 12) + (IF(ISBLANK(Q1265), 0, IF(ISNA(VLOOKUP(Q1265, Wages!$A$2:$C$17, 2, 0)), Q1265, VLOOKUP(Q1265, Wages!$A$2:$C$17, 2, 0))) * IF(ISBLANK(N1265), 0, IF(ISNA(VLOOKUP(N1265, Crews!$A$2:$C$28, 2, 0)), N1265, VLOOKUP(N1265, Crews!$A$2:$C$28, 2, 0))))) * 400</f>
        <v>83.33333333</v>
      </c>
      <c r="K1265" s="3" t="s">
        <v>2550</v>
      </c>
      <c r="L1265" s="1" t="s">
        <v>2551</v>
      </c>
      <c r="M1265" s="1" t="n">
        <v>2</v>
      </c>
      <c r="N1265" s="1"/>
      <c r="O1265" s="1"/>
      <c r="P1265" s="1"/>
      <c r="Q1265" s="1"/>
      <c r="R1265" s="1" t="s">
        <v>574</v>
      </c>
      <c r="S1265" s="1" t="s">
        <v>574</v>
      </c>
      <c r="T1265" s="1"/>
    </row>
    <row r="1266" customFormat="false" ht="15" hidden="false" customHeight="true" outlineLevel="0" collapsed="false">
      <c r="A1266" s="1" t="s">
        <v>2554</v>
      </c>
      <c r="B1266" s="1" t="n">
        <v>1920</v>
      </c>
      <c r="C1266" s="1" t="n">
        <v>1</v>
      </c>
      <c r="D1266" s="1" t="s">
        <v>29</v>
      </c>
      <c r="E1266" s="1"/>
      <c r="F1266" s="1"/>
      <c r="G1266" s="1" t="n">
        <v>8</v>
      </c>
      <c r="H1266" s="2" t="n">
        <v>200000</v>
      </c>
      <c r="I1266" s="2" t="n">
        <f aca="false">(((H1266 / 800) / IF(ISBLANK(R1266), 1000000, IF(ISNA(VLOOKUP(R1266, Mileages!$A$2:$C$34, 2, 0)), R1266, VLOOKUP(R1266, Mileages!$A$2:$C$34, 2, 0)))) + (F1266 * IF(ISBLANK(P1266), 1, P1266) * IF(ISBLANK(T1266), 0, IF(ISNA(VLOOKUP(T1266, 'Fuel Costs'!$A$2:$C$42, 2, 0)), T1266, VLOOKUP(T1266, 'Fuel Costs'!$A$2:$C$42, 2, 0))) / IF(ISBLANK(O1266), 1, O1266))) * 100</f>
        <v>0.0125</v>
      </c>
      <c r="J1266" s="2" t="n">
        <f aca="false">((H1266 / 800) / (IF(ISBLANK(S1266), 100, IF(ISNA(VLOOKUP(S1266, Lives!$A$2:$C$35, 2, 0)), S1266, VLOOKUP(S1266, Lives!$A$2:$C$35, 2, 0))) * 12) + (IF(ISBLANK(Q1266), 0, IF(ISNA(VLOOKUP(Q1266, Wages!$A$2:$C$17, 2, 0)), Q1266, VLOOKUP(Q1266, Wages!$A$2:$C$17, 2, 0))) * IF(ISBLANK(N1266), 0, IF(ISNA(VLOOKUP(N1266, Crews!$A$2:$C$28, 2, 0)), N1266, VLOOKUP(N1266, Crews!$A$2:$C$28, 2, 0))))) * 400</f>
        <v>83.33333333</v>
      </c>
      <c r="K1266" s="3" t="s">
        <v>2550</v>
      </c>
      <c r="L1266" s="1" t="s">
        <v>2551</v>
      </c>
      <c r="M1266" s="1" t="n">
        <v>3</v>
      </c>
      <c r="N1266" s="1"/>
      <c r="O1266" s="1"/>
      <c r="P1266" s="1"/>
      <c r="Q1266" s="1"/>
      <c r="R1266" s="1" t="s">
        <v>574</v>
      </c>
      <c r="S1266" s="1" t="s">
        <v>574</v>
      </c>
      <c r="T1266" s="1"/>
    </row>
    <row r="1267" customFormat="false" ht="15" hidden="false" customHeight="true" outlineLevel="0" collapsed="false">
      <c r="A1267" s="1" t="s">
        <v>2555</v>
      </c>
      <c r="B1267" s="1" t="n">
        <v>1920</v>
      </c>
      <c r="C1267" s="1" t="n">
        <v>1</v>
      </c>
      <c r="D1267" s="1" t="s">
        <v>29</v>
      </c>
      <c r="E1267" s="1"/>
      <c r="F1267" s="1"/>
      <c r="G1267" s="1" t="n">
        <v>8</v>
      </c>
      <c r="H1267" s="2" t="n">
        <v>200000</v>
      </c>
      <c r="I1267" s="2" t="n">
        <f aca="false">(((H1267 / 800) / IF(ISBLANK(R1267), 1000000, IF(ISNA(VLOOKUP(R1267, Mileages!$A$2:$C$34, 2, 0)), R1267, VLOOKUP(R1267, Mileages!$A$2:$C$34, 2, 0)))) + (F1267 * IF(ISBLANK(P1267), 1, P1267) * IF(ISBLANK(T1267), 0, IF(ISNA(VLOOKUP(T1267, 'Fuel Costs'!$A$2:$C$42, 2, 0)), T1267, VLOOKUP(T1267, 'Fuel Costs'!$A$2:$C$42, 2, 0))) / IF(ISBLANK(O1267), 1, O1267))) * 100</f>
        <v>0.0125</v>
      </c>
      <c r="J1267" s="2" t="n">
        <f aca="false">((H1267 / 800) / (IF(ISBLANK(S1267), 100, IF(ISNA(VLOOKUP(S1267, Lives!$A$2:$C$35, 2, 0)), S1267, VLOOKUP(S1267, Lives!$A$2:$C$35, 2, 0))) * 12) + (IF(ISBLANK(Q1267), 0, IF(ISNA(VLOOKUP(Q1267, Wages!$A$2:$C$17, 2, 0)), Q1267, VLOOKUP(Q1267, Wages!$A$2:$C$17, 2, 0))) * IF(ISBLANK(N1267), 0, IF(ISNA(VLOOKUP(N1267, Crews!$A$2:$C$28, 2, 0)), N1267, VLOOKUP(N1267, Crews!$A$2:$C$28, 2, 0))))) * 400</f>
        <v>83.33333333</v>
      </c>
      <c r="K1267" s="3" t="s">
        <v>2550</v>
      </c>
      <c r="L1267" s="1" t="s">
        <v>2551</v>
      </c>
      <c r="M1267" s="1" t="n">
        <v>4</v>
      </c>
      <c r="N1267" s="1"/>
      <c r="O1267" s="1"/>
      <c r="P1267" s="1"/>
      <c r="Q1267" s="1"/>
      <c r="R1267" s="1" t="s">
        <v>574</v>
      </c>
      <c r="S1267" s="1" t="s">
        <v>574</v>
      </c>
      <c r="T1267" s="1"/>
    </row>
    <row r="1268" customFormat="false" ht="15" hidden="false" customHeight="true" outlineLevel="0" collapsed="false">
      <c r="A1268" s="1" t="s">
        <v>2556</v>
      </c>
      <c r="B1268" s="1" t="n">
        <v>1920</v>
      </c>
      <c r="C1268" s="1" t="n">
        <v>1</v>
      </c>
      <c r="D1268" s="1" t="s">
        <v>29</v>
      </c>
      <c r="E1268" s="1"/>
      <c r="F1268" s="1"/>
      <c r="G1268" s="1" t="n">
        <v>8</v>
      </c>
      <c r="H1268" s="2" t="n">
        <v>200000</v>
      </c>
      <c r="I1268" s="2" t="n">
        <f aca="false">(((H1268 / 800) / IF(ISBLANK(R1268), 1000000, IF(ISNA(VLOOKUP(R1268, Mileages!$A$2:$C$34, 2, 0)), R1268, VLOOKUP(R1268, Mileages!$A$2:$C$34, 2, 0)))) + (F1268 * IF(ISBLANK(P1268), 1, P1268) * IF(ISBLANK(T1268), 0, IF(ISNA(VLOOKUP(T1268, 'Fuel Costs'!$A$2:$C$42, 2, 0)), T1268, VLOOKUP(T1268, 'Fuel Costs'!$A$2:$C$42, 2, 0))) / IF(ISBLANK(O1268), 1, O1268))) * 100</f>
        <v>0.0125</v>
      </c>
      <c r="J1268" s="2" t="n">
        <f aca="false">((H1268 / 800) / (IF(ISBLANK(S1268), 100, IF(ISNA(VLOOKUP(S1268, Lives!$A$2:$C$35, 2, 0)), S1268, VLOOKUP(S1268, Lives!$A$2:$C$35, 2, 0))) * 12) + (IF(ISBLANK(Q1268), 0, IF(ISNA(VLOOKUP(Q1268, Wages!$A$2:$C$17, 2, 0)), Q1268, VLOOKUP(Q1268, Wages!$A$2:$C$17, 2, 0))) * IF(ISBLANK(N1268), 0, IF(ISNA(VLOOKUP(N1268, Crews!$A$2:$C$28, 2, 0)), N1268, VLOOKUP(N1268, Crews!$A$2:$C$28, 2, 0))))) * 400</f>
        <v>83.33333333</v>
      </c>
      <c r="K1268" s="3" t="s">
        <v>2550</v>
      </c>
      <c r="L1268" s="1" t="s">
        <v>2551</v>
      </c>
      <c r="M1268" s="1" t="n">
        <v>5</v>
      </c>
      <c r="N1268" s="1"/>
      <c r="O1268" s="1"/>
      <c r="P1268" s="1"/>
      <c r="Q1268" s="1"/>
      <c r="R1268" s="1" t="s">
        <v>574</v>
      </c>
      <c r="S1268" s="1" t="s">
        <v>574</v>
      </c>
      <c r="T1268" s="1"/>
    </row>
    <row r="1269" customFormat="false" ht="15" hidden="false" customHeight="true" outlineLevel="0" collapsed="false">
      <c r="A1269" s="1" t="s">
        <v>2557</v>
      </c>
      <c r="B1269" s="1" t="n">
        <v>1920</v>
      </c>
      <c r="C1269" s="1" t="n">
        <v>1</v>
      </c>
      <c r="D1269" s="1" t="s">
        <v>38</v>
      </c>
      <c r="E1269" s="1" t="s">
        <v>274</v>
      </c>
      <c r="F1269" s="1" t="n">
        <v>338</v>
      </c>
      <c r="G1269" s="1" t="n">
        <v>100</v>
      </c>
      <c r="H1269" s="2" t="n">
        <v>11000000</v>
      </c>
      <c r="I1269" s="2" t="n">
        <f aca="false">(((H1269 / 800) / IF(ISBLANK(R1269), 1000000, IF(ISNA(VLOOKUP(R1269, Mileages!$A$2:$C$34, 2, 0)), R1269, VLOOKUP(R1269, Mileages!$A$2:$C$34, 2, 0)))) + (F1269 * IF(ISBLANK(P1269), 1, P1269) * IF(ISBLANK(T1269), 0, IF(ISNA(VLOOKUP(T1269, 'Fuel Costs'!$A$2:$C$42, 2, 0)), T1269, VLOOKUP(T1269, 'Fuel Costs'!$A$2:$C$42, 2, 0))) / IF(ISBLANK(O1269), 1, O1269))) * 100</f>
        <v>194.5178571</v>
      </c>
      <c r="J1269" s="2" t="n">
        <f aca="false">((H1269 / 800) / (IF(ISBLANK(S1269), 100, IF(ISNA(VLOOKUP(S1269, Lives!$A$2:$C$35, 2, 0)), S1269, VLOOKUP(S1269, Lives!$A$2:$C$35, 2, 0))) * 12) + (IF(ISBLANK(Q1269), 0, IF(ISNA(VLOOKUP(Q1269, Wages!$A$2:$C$17, 2, 0)), Q1269, VLOOKUP(Q1269, Wages!$A$2:$C$17, 2, 0))) * IF(ISBLANK(N1269), 0, IF(ISNA(VLOOKUP(N1269, Crews!$A$2:$C$28, 2, 0)), N1269, VLOOKUP(N1269, Crews!$A$2:$C$28, 2, 0))))) * 400</f>
        <v>33166.66667</v>
      </c>
      <c r="K1269" s="3" t="s">
        <v>2558</v>
      </c>
      <c r="L1269" s="1" t="s">
        <v>2559</v>
      </c>
      <c r="M1269" s="1" t="n">
        <v>0</v>
      </c>
      <c r="N1269" s="1" t="s">
        <v>590</v>
      </c>
      <c r="O1269" s="1" t="n">
        <v>0.7</v>
      </c>
      <c r="P1269" s="1"/>
      <c r="Q1269" s="5" t="s">
        <v>284</v>
      </c>
      <c r="R1269" s="1" t="s">
        <v>677</v>
      </c>
      <c r="S1269" s="1" t="s">
        <v>677</v>
      </c>
      <c r="T1269" s="1" t="s">
        <v>2252</v>
      </c>
    </row>
    <row r="1270" customFormat="false" ht="15" hidden="false" customHeight="true" outlineLevel="0" collapsed="false">
      <c r="A1270" s="1" t="s">
        <v>2560</v>
      </c>
      <c r="B1270" s="1" t="n">
        <v>1920</v>
      </c>
      <c r="C1270" s="1" t="n">
        <v>2</v>
      </c>
      <c r="D1270" s="1" t="s">
        <v>38</v>
      </c>
      <c r="E1270" s="1" t="s">
        <v>274</v>
      </c>
      <c r="F1270" s="1" t="n">
        <v>420</v>
      </c>
      <c r="G1270" s="1" t="n">
        <v>90</v>
      </c>
      <c r="H1270" s="2" t="n">
        <v>11486000</v>
      </c>
      <c r="I1270" s="2" t="n">
        <f aca="false">(((H1270 / 800) / IF(ISBLANK(R1270), 1000000, IF(ISNA(VLOOKUP(R1270, Mileages!$A$2:$C$34, 2, 0)), R1270, VLOOKUP(R1270, Mileages!$A$2:$C$34, 2, 0)))) + (F1270 * IF(ISBLANK(P1270), 1, P1270) * IF(ISBLANK(T1270), 0, IF(ISNA(VLOOKUP(T1270, 'Fuel Costs'!$A$2:$C$42, 2, 0)), T1270, VLOOKUP(T1270, 'Fuel Costs'!$A$2:$C$42, 2, 0))) / IF(ISBLANK(O1270), 1, O1270))) * 100</f>
        <v>241.43575</v>
      </c>
      <c r="J1270" s="2" t="n">
        <f aca="false">((H1270 / 800) / (IF(ISBLANK(S1270), 100, IF(ISNA(VLOOKUP(S1270, Lives!$A$2:$C$35, 2, 0)), S1270, VLOOKUP(S1270, Lives!$A$2:$C$35, 2, 0))) * 12) + (IF(ISBLANK(Q1270), 0, IF(ISNA(VLOOKUP(Q1270, Wages!$A$2:$C$17, 2, 0)), Q1270, VLOOKUP(Q1270, Wages!$A$2:$C$17, 2, 0))) * IF(ISBLANK(N1270), 0, IF(ISNA(VLOOKUP(N1270, Crews!$A$2:$C$28, 2, 0)), N1270, VLOOKUP(N1270, Crews!$A$2:$C$28, 2, 0))))) * 400</f>
        <v>49571.66667</v>
      </c>
      <c r="K1270" s="3" t="s">
        <v>2561</v>
      </c>
      <c r="L1270" s="1" t="s">
        <v>2426</v>
      </c>
      <c r="M1270" s="1" t="n">
        <v>0</v>
      </c>
      <c r="N1270" s="1" t="s">
        <v>1705</v>
      </c>
      <c r="O1270" s="1" t="n">
        <v>0.7</v>
      </c>
      <c r="P1270" s="1"/>
      <c r="Q1270" s="5" t="s">
        <v>284</v>
      </c>
      <c r="R1270" s="1" t="s">
        <v>677</v>
      </c>
      <c r="S1270" s="1" t="s">
        <v>677</v>
      </c>
      <c r="T1270" s="1" t="s">
        <v>2252</v>
      </c>
    </row>
    <row r="1271" customFormat="false" ht="15" hidden="false" customHeight="true" outlineLevel="0" collapsed="false">
      <c r="A1271" s="1" t="s">
        <v>2562</v>
      </c>
      <c r="B1271" s="1" t="n">
        <v>1920</v>
      </c>
      <c r="C1271" s="1" t="n">
        <v>3</v>
      </c>
      <c r="D1271" s="1" t="s">
        <v>38</v>
      </c>
      <c r="E1271" s="1" t="s">
        <v>274</v>
      </c>
      <c r="F1271" s="1" t="n">
        <v>325</v>
      </c>
      <c r="G1271" s="1" t="n">
        <v>130</v>
      </c>
      <c r="H1271" s="2" t="n">
        <v>6520000</v>
      </c>
      <c r="I1271" s="2" t="n">
        <f aca="false">(((H1271 / 800) / IF(ISBLANK(R1271), 1000000, IF(ISNA(VLOOKUP(R1271, Mileages!$A$2:$C$34, 2, 0)), R1271, VLOOKUP(R1271, Mileages!$A$2:$C$34, 2, 0)))) + (F1271 * IF(ISBLANK(P1271), 1, P1271) * IF(ISBLANK(T1271), 0, IF(ISNA(VLOOKUP(T1271, 'Fuel Costs'!$A$2:$C$42, 2, 0)), T1271, VLOOKUP(T1271, 'Fuel Costs'!$A$2:$C$42, 2, 0))) / IF(ISBLANK(O1271), 1, O1271))) * 100</f>
        <v>186.5292857</v>
      </c>
      <c r="J1271" s="2" t="n">
        <f aca="false">((H1271 / 800) / (IF(ISBLANK(S1271), 100, IF(ISNA(VLOOKUP(S1271, Lives!$A$2:$C$35, 2, 0)), S1271, VLOOKUP(S1271, Lives!$A$2:$C$35, 2, 0))) * 12) + (IF(ISBLANK(Q1271), 0, IF(ISNA(VLOOKUP(Q1271, Wages!$A$2:$C$17, 2, 0)), Q1271, VLOOKUP(Q1271, Wages!$A$2:$C$17, 2, 0))) * IF(ISBLANK(N1271), 0, IF(ISNA(VLOOKUP(N1271, Crews!$A$2:$C$28, 2, 0)), N1271, VLOOKUP(N1271, Crews!$A$2:$C$28, 2, 0))))) * 400</f>
        <v>29433.33333</v>
      </c>
      <c r="K1271" s="1" t="s">
        <v>1692</v>
      </c>
      <c r="L1271" s="1" t="s">
        <v>2563</v>
      </c>
      <c r="M1271" s="1" t="n">
        <v>0</v>
      </c>
      <c r="N1271" s="1" t="s">
        <v>590</v>
      </c>
      <c r="O1271" s="1" t="n">
        <v>0.7</v>
      </c>
      <c r="P1271" s="1"/>
      <c r="Q1271" s="5" t="s">
        <v>284</v>
      </c>
      <c r="R1271" s="1" t="s">
        <v>677</v>
      </c>
      <c r="S1271" s="1" t="s">
        <v>677</v>
      </c>
      <c r="T1271" s="1" t="s">
        <v>2252</v>
      </c>
    </row>
    <row r="1272" customFormat="false" ht="15" hidden="false" customHeight="true" outlineLevel="0" collapsed="false">
      <c r="A1272" s="1" t="s">
        <v>2564</v>
      </c>
      <c r="B1272" s="1" t="n">
        <v>1920</v>
      </c>
      <c r="C1272" s="1" t="n">
        <v>3</v>
      </c>
      <c r="D1272" s="1" t="s">
        <v>38</v>
      </c>
      <c r="E1272" s="1" t="s">
        <v>274</v>
      </c>
      <c r="F1272" s="1" t="n">
        <v>294</v>
      </c>
      <c r="G1272" s="1" t="n">
        <v>85</v>
      </c>
      <c r="H1272" s="2" t="n">
        <v>3659000</v>
      </c>
      <c r="I1272" s="2" t="n">
        <f aca="false">(((H1272 / 800) / IF(ISBLANK(R1272), 1000000, IF(ISNA(VLOOKUP(R1272, Mileages!$A$2:$C$34, 2, 0)), R1272, VLOOKUP(R1272, Mileages!$A$2:$C$34, 2, 0)))) + (F1272 * IF(ISBLANK(P1272), 1, P1272) * IF(ISBLANK(T1272), 0, IF(ISNA(VLOOKUP(T1272, 'Fuel Costs'!$A$2:$C$42, 2, 0)), T1272, VLOOKUP(T1272, 'Fuel Costs'!$A$2:$C$42, 2, 0))) / IF(ISBLANK(O1272), 1, O1272))) * 100</f>
        <v>168.457375</v>
      </c>
      <c r="J1272" s="2" t="n">
        <f aca="false">((H1272 / 800) / (IF(ISBLANK(S1272), 100, IF(ISNA(VLOOKUP(S1272, Lives!$A$2:$C$35, 2, 0)), S1272, VLOOKUP(S1272, Lives!$A$2:$C$35, 2, 0))) * 12) + (IF(ISBLANK(Q1272), 0, IF(ISNA(VLOOKUP(Q1272, Wages!$A$2:$C$17, 2, 0)), Q1272, VLOOKUP(Q1272, Wages!$A$2:$C$17, 2, 0))) * IF(ISBLANK(N1272), 0, IF(ISNA(VLOOKUP(N1272, Crews!$A$2:$C$28, 2, 0)), N1272, VLOOKUP(N1272, Crews!$A$2:$C$28, 2, 0))))) * 400</f>
        <v>27049.16667</v>
      </c>
      <c r="K1272" s="3" t="s">
        <v>2565</v>
      </c>
      <c r="L1272" s="1" t="s">
        <v>2155</v>
      </c>
      <c r="M1272" s="1" t="n">
        <v>1</v>
      </c>
      <c r="N1272" s="1" t="s">
        <v>590</v>
      </c>
      <c r="O1272" s="1" t="n">
        <v>0.7</v>
      </c>
      <c r="P1272" s="1"/>
      <c r="Q1272" s="5" t="s">
        <v>284</v>
      </c>
      <c r="R1272" s="1" t="s">
        <v>677</v>
      </c>
      <c r="S1272" s="1" t="s">
        <v>677</v>
      </c>
      <c r="T1272" s="1" t="s">
        <v>2252</v>
      </c>
    </row>
    <row r="1273" customFormat="false" ht="15" hidden="false" customHeight="true" outlineLevel="0" collapsed="false">
      <c r="A1273" s="1" t="s">
        <v>2566</v>
      </c>
      <c r="B1273" s="1" t="n">
        <v>1920</v>
      </c>
      <c r="C1273" s="1" t="n">
        <v>4</v>
      </c>
      <c r="D1273" s="1" t="s">
        <v>21</v>
      </c>
      <c r="E1273" s="1" t="s">
        <v>1839</v>
      </c>
      <c r="F1273" s="1" t="n">
        <v>36</v>
      </c>
      <c r="G1273" s="1" t="n">
        <v>20</v>
      </c>
      <c r="H1273" s="2" t="n">
        <v>100000</v>
      </c>
      <c r="I1273" s="2" t="n">
        <f aca="false">(((H1273 / 800) / IF(ISBLANK(R1273), 1000000, IF(ISNA(VLOOKUP(R1273, Mileages!$A$2:$C$34, 2, 0)), R1273, VLOOKUP(R1273, Mileages!$A$2:$C$34, 2, 0)))) + (F1273 * IF(ISBLANK(P1273), 1, P1273) * IF(ISBLANK(T1273), 0, IF(ISNA(VLOOKUP(T1273, 'Fuel Costs'!$A$2:$C$42, 2, 0)), T1273, VLOOKUP(T1273, 'Fuel Costs'!$A$2:$C$42, 2, 0))) / IF(ISBLANK(O1273), 1, O1273))) * 100</f>
        <v>36.025</v>
      </c>
      <c r="J1273" s="2" t="n">
        <f aca="false">((H1273 / 800) / (IF(ISBLANK(S1273), 100, IF(ISNA(VLOOKUP(S1273, Lives!$A$2:$C$35, 2, 0)), S1273, VLOOKUP(S1273, Lives!$A$2:$C$35, 2, 0))) * 12) + (IF(ISBLANK(Q1273), 0, IF(ISNA(VLOOKUP(Q1273, Wages!$A$2:$C$17, 2, 0)), Q1273, VLOOKUP(Q1273, Wages!$A$2:$C$17, 2, 0))) * IF(ISBLANK(N1273), 0, IF(ISNA(VLOOKUP(N1273, Crews!$A$2:$C$28, 2, 0)), N1273, VLOOKUP(N1273, Crews!$A$2:$C$28, 2, 0))))) * 400</f>
        <v>8052.083333</v>
      </c>
      <c r="K1273" s="3" t="s">
        <v>2567</v>
      </c>
      <c r="L1273" s="1" t="s">
        <v>2568</v>
      </c>
      <c r="M1273" s="1" t="n">
        <v>0</v>
      </c>
      <c r="N1273" s="1" t="s">
        <v>25</v>
      </c>
      <c r="O1273" s="1" t="n">
        <v>0.6</v>
      </c>
      <c r="P1273" s="1"/>
      <c r="Q1273" s="1" t="s">
        <v>1815</v>
      </c>
      <c r="R1273" s="1" t="s">
        <v>1842</v>
      </c>
      <c r="S1273" s="1" t="s">
        <v>1843</v>
      </c>
      <c r="T1273" s="1" t="s">
        <v>2534</v>
      </c>
    </row>
    <row r="1274" customFormat="false" ht="15" hidden="false" customHeight="true" outlineLevel="0" collapsed="false">
      <c r="A1274" s="1" t="s">
        <v>2569</v>
      </c>
      <c r="B1274" s="1" t="n">
        <v>1920</v>
      </c>
      <c r="C1274" s="1" t="n">
        <v>4</v>
      </c>
      <c r="D1274" s="1" t="s">
        <v>2225</v>
      </c>
      <c r="E1274" s="1" t="s">
        <v>1839</v>
      </c>
      <c r="F1274" s="1" t="n">
        <v>126</v>
      </c>
      <c r="G1274" s="1" t="n">
        <v>160</v>
      </c>
      <c r="H1274" s="2" t="n">
        <v>1000000</v>
      </c>
      <c r="I1274" s="2" t="n">
        <f aca="false">(((H1274 / 800) / IF(ISBLANK(R1274), 1000000, IF(ISNA(VLOOKUP(R1274, Mileages!$A$2:$C$34, 2, 0)), R1274, VLOOKUP(R1274, Mileages!$A$2:$C$34, 2, 0)))) + (F1274 * IF(ISBLANK(P1274), 1, P1274) * IF(ISBLANK(T1274), 0, IF(ISNA(VLOOKUP(T1274, 'Fuel Costs'!$A$2:$C$42, 2, 0)), T1274, VLOOKUP(T1274, 'Fuel Costs'!$A$2:$C$42, 2, 0))) / IF(ISBLANK(O1274), 1, O1274))) * 100</f>
        <v>6.325</v>
      </c>
      <c r="J1274" s="2" t="n">
        <f aca="false">((H1274 / 800) / (IF(ISBLANK(S1274), 100, IF(ISNA(VLOOKUP(S1274, Lives!$A$2:$C$35, 2, 0)), S1274, VLOOKUP(S1274, Lives!$A$2:$C$35, 2, 0))) * 12) + (IF(ISBLANK(Q1274), 0, IF(ISNA(VLOOKUP(Q1274, Wages!$A$2:$C$17, 2, 0)), Q1274, VLOOKUP(Q1274, Wages!$A$2:$C$17, 2, 0))) * IF(ISBLANK(N1274), 0, IF(ISNA(VLOOKUP(N1274, Crews!$A$2:$C$28, 2, 0)), N1274, VLOOKUP(N1274, Crews!$A$2:$C$28, 2, 0))))) * 400</f>
        <v>50694.44444</v>
      </c>
      <c r="K1274" s="3" t="s">
        <v>2570</v>
      </c>
      <c r="L1274" s="1" t="s">
        <v>2571</v>
      </c>
      <c r="M1274" s="1" t="n">
        <v>0</v>
      </c>
      <c r="N1274" s="1" t="s">
        <v>2342</v>
      </c>
      <c r="O1274" s="1"/>
      <c r="P1274" s="1" t="n">
        <v>0.1</v>
      </c>
      <c r="Q1274" s="1" t="s">
        <v>2229</v>
      </c>
      <c r="R1274" s="1" t="s">
        <v>2229</v>
      </c>
      <c r="S1274" s="1" t="s">
        <v>2229</v>
      </c>
      <c r="T1274" s="1" t="s">
        <v>2572</v>
      </c>
    </row>
    <row r="1275" customFormat="false" ht="15" hidden="false" customHeight="true" outlineLevel="0" collapsed="false">
      <c r="A1275" s="1" t="s">
        <v>2573</v>
      </c>
      <c r="B1275" s="1" t="n">
        <v>1920</v>
      </c>
      <c r="C1275" s="1" t="n">
        <v>4</v>
      </c>
      <c r="D1275" s="1" t="s">
        <v>2225</v>
      </c>
      <c r="E1275" s="1" t="s">
        <v>1839</v>
      </c>
      <c r="F1275" s="1" t="n">
        <v>126</v>
      </c>
      <c r="G1275" s="1" t="n">
        <v>160</v>
      </c>
      <c r="H1275" s="2" t="n">
        <v>1000000</v>
      </c>
      <c r="I1275" s="2" t="n">
        <f aca="false">(((H1275 / 800) / IF(ISBLANK(R1275), 1000000, IF(ISNA(VLOOKUP(R1275, Mileages!$A$2:$C$34, 2, 0)), R1275, VLOOKUP(R1275, Mileages!$A$2:$C$34, 2, 0)))) + (F1275 * IF(ISBLANK(P1275), 1, P1275) * IF(ISBLANK(T1275), 0, IF(ISNA(VLOOKUP(T1275, 'Fuel Costs'!$A$2:$C$42, 2, 0)), T1275, VLOOKUP(T1275, 'Fuel Costs'!$A$2:$C$42, 2, 0))) / IF(ISBLANK(O1275), 1, O1275))) * 100</f>
        <v>6.325</v>
      </c>
      <c r="J1275" s="2" t="n">
        <f aca="false">((H1275 / 800) / (IF(ISBLANK(S1275), 100, IF(ISNA(VLOOKUP(S1275, Lives!$A$2:$C$35, 2, 0)), S1275, VLOOKUP(S1275, Lives!$A$2:$C$35, 2, 0))) * 12) + (IF(ISBLANK(Q1275), 0, IF(ISNA(VLOOKUP(Q1275, Wages!$A$2:$C$17, 2, 0)), Q1275, VLOOKUP(Q1275, Wages!$A$2:$C$17, 2, 0))) * IF(ISBLANK(N1275), 0, IF(ISNA(VLOOKUP(N1275, Crews!$A$2:$C$28, 2, 0)), N1275, VLOOKUP(N1275, Crews!$A$2:$C$28, 2, 0))))) * 400</f>
        <v>10694.44444</v>
      </c>
      <c r="K1275" s="3" t="s">
        <v>2574</v>
      </c>
      <c r="L1275" s="1" t="s">
        <v>2571</v>
      </c>
      <c r="M1275" s="1" t="n">
        <v>1</v>
      </c>
      <c r="N1275" s="1" t="s">
        <v>25</v>
      </c>
      <c r="O1275" s="1"/>
      <c r="P1275" s="1" t="n">
        <v>0.1</v>
      </c>
      <c r="Q1275" s="1" t="s">
        <v>2229</v>
      </c>
      <c r="R1275" s="1" t="s">
        <v>2229</v>
      </c>
      <c r="S1275" s="1" t="s">
        <v>2229</v>
      </c>
      <c r="T1275" s="1" t="s">
        <v>2572</v>
      </c>
    </row>
    <row r="1276" customFormat="false" ht="15" hidden="false" customHeight="true" outlineLevel="0" collapsed="false">
      <c r="A1276" s="1" t="s">
        <v>2575</v>
      </c>
      <c r="B1276" s="1" t="n">
        <v>1920</v>
      </c>
      <c r="C1276" s="1" t="n">
        <v>8</v>
      </c>
      <c r="D1276" s="1" t="s">
        <v>38</v>
      </c>
      <c r="E1276" s="1"/>
      <c r="F1276" s="1"/>
      <c r="G1276" s="1" t="n">
        <v>100</v>
      </c>
      <c r="H1276" s="2" t="n">
        <v>0</v>
      </c>
      <c r="I1276" s="2" t="n">
        <f aca="false">(((H1276 / 800) / IF(ISBLANK(R1276), 1000000, IF(ISNA(VLOOKUP(R1276, Mileages!$A$2:$C$34, 2, 0)), R1276, VLOOKUP(R1276, Mileages!$A$2:$C$34, 2, 0)))) + (F1276 * IF(ISBLANK(P1276), 1, P1276) * IF(ISBLANK(T1276), 0, IF(ISNA(VLOOKUP(T1276, 'Fuel Costs'!$A$2:$C$42, 2, 0)), T1276, VLOOKUP(T1276, 'Fuel Costs'!$A$2:$C$42, 2, 0))) / IF(ISBLANK(O1276), 1, O1276))) * 100</f>
        <v>0</v>
      </c>
      <c r="J1276" s="2" t="n">
        <f aca="false">((H1276 / 800) / (IF(ISBLANK(S1276), 100, IF(ISNA(VLOOKUP(S1276, Lives!$A$2:$C$35, 2, 0)), S1276, VLOOKUP(S1276, Lives!$A$2:$C$35, 2, 0))) * 12) + (IF(ISBLANK(Q1276), 0, IF(ISNA(VLOOKUP(Q1276, Wages!$A$2:$C$17, 2, 0)), Q1276, VLOOKUP(Q1276, Wages!$A$2:$C$17, 2, 0))) * IF(ISBLANK(N1276), 0, IF(ISNA(VLOOKUP(N1276, Crews!$A$2:$C$28, 2, 0)), N1276, VLOOKUP(N1276, Crews!$A$2:$C$28, 2, 0))))) * 400</f>
        <v>0</v>
      </c>
      <c r="K1276" s="3" t="s">
        <v>1766</v>
      </c>
      <c r="L1276" s="1" t="s">
        <v>2576</v>
      </c>
      <c r="M1276" s="1" t="n">
        <v>0</v>
      </c>
      <c r="N1276" s="1"/>
      <c r="O1276" s="1"/>
      <c r="P1276" s="1"/>
      <c r="Q1276" s="1"/>
      <c r="R1276" s="1"/>
      <c r="S1276" s="1"/>
      <c r="T1276" s="1"/>
    </row>
    <row r="1277" customFormat="false" ht="15" hidden="false" customHeight="true" outlineLevel="0" collapsed="false">
      <c r="A1277" s="1" t="s">
        <v>2577</v>
      </c>
      <c r="B1277" s="1" t="n">
        <v>1920</v>
      </c>
      <c r="C1277" s="1" t="n">
        <v>10</v>
      </c>
      <c r="D1277" s="1" t="s">
        <v>38</v>
      </c>
      <c r="E1277" s="1" t="s">
        <v>1346</v>
      </c>
      <c r="F1277" s="1" t="n">
        <v>440</v>
      </c>
      <c r="G1277" s="1" t="n">
        <v>72</v>
      </c>
      <c r="H1277" s="2" t="n">
        <v>8000000</v>
      </c>
      <c r="I1277" s="2" t="n">
        <f aca="false">(((H1277 / 800) / IF(ISBLANK(R1277), 1000000, IF(ISNA(VLOOKUP(R1277, Mileages!$A$2:$C$34, 2, 0)), R1277, VLOOKUP(R1277, Mileages!$A$2:$C$34, 2, 0)))) + (F1277 * IF(ISBLANK(P1277), 1, P1277) * IF(ISBLANK(T1277), 0, IF(ISNA(VLOOKUP(T1277, 'Fuel Costs'!$A$2:$C$42, 2, 0)), T1277, VLOOKUP(T1277, 'Fuel Costs'!$A$2:$C$42, 2, 0))) / IF(ISBLANK(O1277), 1, O1277))) * 100</f>
        <v>177</v>
      </c>
      <c r="J1277" s="2" t="n">
        <f aca="false">((H1277 / 800) / (IF(ISBLANK(S1277), 100, IF(ISNA(VLOOKUP(S1277, Lives!$A$2:$C$35, 2, 0)), S1277, VLOOKUP(S1277, Lives!$A$2:$C$35, 2, 0))) * 12) + (IF(ISBLANK(Q1277), 0, IF(ISNA(VLOOKUP(Q1277, Wages!$A$2:$C$17, 2, 0)), Q1277, VLOOKUP(Q1277, Wages!$A$2:$C$17, 2, 0))) * IF(ISBLANK(N1277), 0, IF(ISNA(VLOOKUP(N1277, Crews!$A$2:$C$28, 2, 0)), N1277, VLOOKUP(N1277, Crews!$A$2:$C$28, 2, 0))))) * 400</f>
        <v>12666.66667</v>
      </c>
      <c r="K1277" s="1" t="s">
        <v>2578</v>
      </c>
      <c r="L1277" s="1" t="s">
        <v>2579</v>
      </c>
      <c r="M1277" s="1" t="n">
        <v>0</v>
      </c>
      <c r="N1277" s="1" t="s">
        <v>1512</v>
      </c>
      <c r="O1277" s="1" t="n">
        <v>1</v>
      </c>
      <c r="P1277" s="1"/>
      <c r="Q1277" s="1" t="str">
        <f aca="false">IF(ISBLANK('Pak128 Britain In'!$N1277),,'Pak128 Britain In'!$N1277)</f>
        <v>ElectricMultipleUnit</v>
      </c>
      <c r="R1277" s="1" t="s">
        <v>1349</v>
      </c>
      <c r="S1277" s="1" t="s">
        <v>1350</v>
      </c>
      <c r="T1277" s="1" t="s">
        <v>2580</v>
      </c>
    </row>
    <row r="1278" customFormat="false" ht="15" hidden="false" customHeight="true" outlineLevel="0" collapsed="false">
      <c r="A1278" s="1" t="s">
        <v>2581</v>
      </c>
      <c r="B1278" s="1" t="n">
        <v>1920</v>
      </c>
      <c r="C1278" s="1" t="n">
        <v>10</v>
      </c>
      <c r="D1278" s="1" t="s">
        <v>38</v>
      </c>
      <c r="E1278" s="1" t="s">
        <v>1346</v>
      </c>
      <c r="F1278" s="1"/>
      <c r="G1278" s="1" t="n">
        <v>72</v>
      </c>
      <c r="H1278" s="2" t="n">
        <v>1400000</v>
      </c>
      <c r="I1278" s="2" t="n">
        <f aca="false">(((H1278 / 800) / IF(ISBLANK(R1278), 1000000, IF(ISNA(VLOOKUP(R1278, Mileages!$A$2:$C$34, 2, 0)), R1278, VLOOKUP(R1278, Mileages!$A$2:$C$34, 2, 0)))) + (F1278 * IF(ISBLANK(P1278), 1, P1278) * IF(ISBLANK(T1278), 0, IF(ISNA(VLOOKUP(T1278, 'Fuel Costs'!$A$2:$C$42, 2, 0)), T1278, VLOOKUP(T1278, 'Fuel Costs'!$A$2:$C$42, 2, 0))) / IF(ISBLANK(O1278), 1, O1278))) * 100</f>
        <v>0.1458333333</v>
      </c>
      <c r="J1278" s="2" t="n">
        <f aca="false">((H1278 / 800) / (IF(ISBLANK(S1278), 100, IF(ISNA(VLOOKUP(S1278, Lives!$A$2:$C$35, 2, 0)), S1278, VLOOKUP(S1278, Lives!$A$2:$C$35, 2, 0))) * 12) + (IF(ISBLANK(Q1278), 0, IF(ISNA(VLOOKUP(Q1278, Wages!$A$2:$C$17, 2, 0)), Q1278, VLOOKUP(Q1278, Wages!$A$2:$C$17, 2, 0))) * IF(ISBLANK(N1278), 0, IF(ISNA(VLOOKUP(N1278, Crews!$A$2:$C$28, 2, 0)), N1278, VLOOKUP(N1278, Crews!$A$2:$C$28, 2, 0))))) * 400</f>
        <v>1666.666667</v>
      </c>
      <c r="K1278" s="1" t="s">
        <v>2582</v>
      </c>
      <c r="L1278" s="1" t="s">
        <v>2579</v>
      </c>
      <c r="M1278" s="1" t="n">
        <v>1</v>
      </c>
      <c r="N1278" s="1"/>
      <c r="O1278" s="1"/>
      <c r="P1278" s="1"/>
      <c r="Q1278" s="1"/>
      <c r="R1278" s="1" t="s">
        <v>689</v>
      </c>
      <c r="S1278" s="1" t="s">
        <v>856</v>
      </c>
      <c r="T1278" s="1"/>
    </row>
    <row r="1279" customFormat="false" ht="15" hidden="false" customHeight="true" outlineLevel="0" collapsed="false">
      <c r="A1279" s="1" t="s">
        <v>2583</v>
      </c>
      <c r="B1279" s="1" t="n">
        <v>1920</v>
      </c>
      <c r="C1279" s="1" t="n">
        <v>10</v>
      </c>
      <c r="D1279" s="1" t="s">
        <v>38</v>
      </c>
      <c r="E1279" s="1" t="s">
        <v>1346</v>
      </c>
      <c r="F1279" s="1"/>
      <c r="G1279" s="1" t="n">
        <v>72</v>
      </c>
      <c r="H1279" s="2" t="n">
        <v>1600000</v>
      </c>
      <c r="I1279" s="2" t="n">
        <f aca="false">(((H1279 / 800) / IF(ISBLANK(R1279), 1000000, IF(ISNA(VLOOKUP(R1279, Mileages!$A$2:$C$34, 2, 0)), R1279, VLOOKUP(R1279, Mileages!$A$2:$C$34, 2, 0)))) + (F1279 * IF(ISBLANK(P1279), 1, P1279) * IF(ISBLANK(T1279), 0, IF(ISNA(VLOOKUP(T1279, 'Fuel Costs'!$A$2:$C$42, 2, 0)), T1279, VLOOKUP(T1279, 'Fuel Costs'!$A$2:$C$42, 2, 0))) / IF(ISBLANK(O1279), 1, O1279))) * 100</f>
        <v>0.1666666667</v>
      </c>
      <c r="J1279" s="2" t="n">
        <f aca="false">((H1279 / 800) / (IF(ISBLANK(S1279), 100, IF(ISNA(VLOOKUP(S1279, Lives!$A$2:$C$35, 2, 0)), S1279, VLOOKUP(S1279, Lives!$A$2:$C$35, 2, 0))) * 12) + (IF(ISBLANK(Q1279), 0, IF(ISNA(VLOOKUP(Q1279, Wages!$A$2:$C$17, 2, 0)), Q1279, VLOOKUP(Q1279, Wages!$A$2:$C$17, 2, 0))) * IF(ISBLANK(N1279), 0, IF(ISNA(VLOOKUP(N1279, Crews!$A$2:$C$28, 2, 0)), N1279, VLOOKUP(N1279, Crews!$A$2:$C$28, 2, 0))))) * 400</f>
        <v>1904.761905</v>
      </c>
      <c r="K1279" s="1"/>
      <c r="L1279" s="1" t="s">
        <v>2579</v>
      </c>
      <c r="M1279" s="1" t="n">
        <v>2</v>
      </c>
      <c r="N1279" s="1"/>
      <c r="O1279" s="1"/>
      <c r="P1279" s="1"/>
      <c r="Q1279" s="1"/>
      <c r="R1279" s="1" t="s">
        <v>689</v>
      </c>
      <c r="S1279" s="1" t="s">
        <v>856</v>
      </c>
      <c r="T1279" s="1"/>
    </row>
    <row r="1280" customFormat="false" ht="15" hidden="false" customHeight="true" outlineLevel="0" collapsed="false">
      <c r="A1280" s="1" t="s">
        <v>2584</v>
      </c>
      <c r="B1280" s="1" t="n">
        <v>1920</v>
      </c>
      <c r="C1280" s="1" t="n">
        <v>10</v>
      </c>
      <c r="D1280" s="1" t="s">
        <v>38</v>
      </c>
      <c r="E1280" s="1" t="s">
        <v>1346</v>
      </c>
      <c r="F1280" s="1" t="n">
        <v>440</v>
      </c>
      <c r="G1280" s="1" t="n">
        <v>72</v>
      </c>
      <c r="H1280" s="2" t="n">
        <v>8000000</v>
      </c>
      <c r="I1280" s="2" t="n">
        <f aca="false">(((H1280 / 800) / IF(ISBLANK(R1280), 1000000, IF(ISNA(VLOOKUP(R1280, Mileages!$A$2:$C$34, 2, 0)), R1280, VLOOKUP(R1280, Mileages!$A$2:$C$34, 2, 0)))) + (F1280 * IF(ISBLANK(P1280), 1, P1280) * IF(ISBLANK(T1280), 0, IF(ISNA(VLOOKUP(T1280, 'Fuel Costs'!$A$2:$C$42, 2, 0)), T1280, VLOOKUP(T1280, 'Fuel Costs'!$A$2:$C$42, 2, 0))) / IF(ISBLANK(O1280), 1, O1280))) * 100</f>
        <v>177</v>
      </c>
      <c r="J1280" s="2" t="n">
        <f aca="false">((H1280 / 800) / (IF(ISBLANK(S1280), 100, IF(ISNA(VLOOKUP(S1280, Lives!$A$2:$C$35, 2, 0)), S1280, VLOOKUP(S1280, Lives!$A$2:$C$35, 2, 0))) * 12) + (IF(ISBLANK(Q1280), 0, IF(ISNA(VLOOKUP(Q1280, Wages!$A$2:$C$17, 2, 0)), Q1280, VLOOKUP(Q1280, Wages!$A$2:$C$17, 2, 0))) * IF(ISBLANK(N1280), 0, IF(ISNA(VLOOKUP(N1280, Crews!$A$2:$C$28, 2, 0)), N1280, VLOOKUP(N1280, Crews!$A$2:$C$28, 2, 0))))) * 400</f>
        <v>12666.66667</v>
      </c>
      <c r="K1280" s="1"/>
      <c r="L1280" s="1" t="s">
        <v>2579</v>
      </c>
      <c r="M1280" s="1" t="n">
        <v>3</v>
      </c>
      <c r="N1280" s="1" t="s">
        <v>1512</v>
      </c>
      <c r="O1280" s="1" t="n">
        <v>1</v>
      </c>
      <c r="P1280" s="1"/>
      <c r="Q1280" s="1" t="str">
        <f aca="false">IF(ISBLANK('Pak128 Britain In'!$N1280),,'Pak128 Britain In'!$N1280)</f>
        <v>ElectricMultipleUnit</v>
      </c>
      <c r="R1280" s="1" t="s">
        <v>1349</v>
      </c>
      <c r="S1280" s="1" t="s">
        <v>1350</v>
      </c>
      <c r="T1280" s="1" t="s">
        <v>2580</v>
      </c>
    </row>
    <row r="1281" customFormat="false" ht="15" hidden="false" customHeight="true" outlineLevel="0" collapsed="false">
      <c r="A1281" s="1" t="s">
        <v>2585</v>
      </c>
      <c r="B1281" s="1" t="n">
        <v>1920</v>
      </c>
      <c r="C1281" s="1" t="n">
        <v>12</v>
      </c>
      <c r="D1281" s="1" t="s">
        <v>21</v>
      </c>
      <c r="E1281" s="1" t="s">
        <v>1839</v>
      </c>
      <c r="F1281" s="1" t="n">
        <v>26</v>
      </c>
      <c r="G1281" s="1" t="n">
        <v>20</v>
      </c>
      <c r="H1281" s="2" t="n">
        <v>107500</v>
      </c>
      <c r="I1281" s="2" t="n">
        <f aca="false">(((H1281 / 800) / IF(ISBLANK(R1281), 1000000, IF(ISNA(VLOOKUP(R1281, Mileages!$A$2:$C$34, 2, 0)), R1281, VLOOKUP(R1281, Mileages!$A$2:$C$34, 2, 0)))) + (F1281 * IF(ISBLANK(P1281), 1, P1281) * IF(ISBLANK(T1281), 0, IF(ISNA(VLOOKUP(T1281, 'Fuel Costs'!$A$2:$C$42, 2, 0)), T1281, VLOOKUP(T1281, 'Fuel Costs'!$A$2:$C$42, 2, 0))) / IF(ISBLANK(O1281), 1, O1281))) * 100</f>
        <v>26.026875</v>
      </c>
      <c r="J1281" s="2" t="n">
        <f aca="false">((H1281 / 800) / (IF(ISBLANK(S1281), 100, IF(ISNA(VLOOKUP(S1281, Lives!$A$2:$C$35, 2, 0)), S1281, VLOOKUP(S1281, Lives!$A$2:$C$35, 2, 0))) * 12) + (IF(ISBLANK(Q1281), 0, IF(ISNA(VLOOKUP(Q1281, Wages!$A$2:$C$17, 2, 0)), Q1281, VLOOKUP(Q1281, Wages!$A$2:$C$17, 2, 0))) * IF(ISBLANK(N1281), 0, IF(ISNA(VLOOKUP(N1281, Crews!$A$2:$C$28, 2, 0)), N1281, VLOOKUP(N1281, Crews!$A$2:$C$28, 2, 0))))) * 400</f>
        <v>8055.989583</v>
      </c>
      <c r="K1281" s="3" t="s">
        <v>2586</v>
      </c>
      <c r="L1281" s="1" t="s">
        <v>2587</v>
      </c>
      <c r="M1281" s="1" t="n">
        <v>0</v>
      </c>
      <c r="N1281" s="1" t="s">
        <v>25</v>
      </c>
      <c r="O1281" s="1" t="n">
        <v>0.6</v>
      </c>
      <c r="P1281" s="1"/>
      <c r="Q1281" s="1" t="s">
        <v>1815</v>
      </c>
      <c r="R1281" s="1" t="s">
        <v>1842</v>
      </c>
      <c r="S1281" s="1" t="s">
        <v>1843</v>
      </c>
      <c r="T1281" s="1" t="s">
        <v>2534</v>
      </c>
    </row>
    <row r="1282" customFormat="false" ht="15" hidden="false" customHeight="true" outlineLevel="0" collapsed="false">
      <c r="A1282" s="1" t="s">
        <v>2588</v>
      </c>
      <c r="B1282" s="1" t="n">
        <v>1920</v>
      </c>
      <c r="C1282" s="1" t="n">
        <v>12</v>
      </c>
      <c r="D1282" s="1" t="s">
        <v>21</v>
      </c>
      <c r="E1282" s="1" t="s">
        <v>1839</v>
      </c>
      <c r="F1282" s="1" t="n">
        <v>26</v>
      </c>
      <c r="G1282" s="1" t="n">
        <v>20</v>
      </c>
      <c r="H1282" s="2" t="n">
        <v>120000</v>
      </c>
      <c r="I1282" s="2" t="n">
        <f aca="false">(((H1282 / 800) / IF(ISBLANK(R1282), 1000000, IF(ISNA(VLOOKUP(R1282, Mileages!$A$2:$C$34, 2, 0)), R1282, VLOOKUP(R1282, Mileages!$A$2:$C$34, 2, 0)))) + (F1282 * IF(ISBLANK(P1282), 1, P1282) * IF(ISBLANK(T1282), 0, IF(ISNA(VLOOKUP(T1282, 'Fuel Costs'!$A$2:$C$42, 2, 0)), T1282, VLOOKUP(T1282, 'Fuel Costs'!$A$2:$C$42, 2, 0))) / IF(ISBLANK(O1282), 1, O1282))) * 100</f>
        <v>26.03</v>
      </c>
      <c r="J1282" s="2" t="n">
        <f aca="false">((H1282 / 800) / (IF(ISBLANK(S1282), 100, IF(ISNA(VLOOKUP(S1282, Lives!$A$2:$C$35, 2, 0)), S1282, VLOOKUP(S1282, Lives!$A$2:$C$35, 2, 0))) * 12) + (IF(ISBLANK(Q1282), 0, IF(ISNA(VLOOKUP(Q1282, Wages!$A$2:$C$17, 2, 0)), Q1282, VLOOKUP(Q1282, Wages!$A$2:$C$17, 2, 0))) * IF(ISBLANK(N1282), 0, IF(ISNA(VLOOKUP(N1282, Crews!$A$2:$C$28, 2, 0)), N1282, VLOOKUP(N1282, Crews!$A$2:$C$28, 2, 0))))) * 400</f>
        <v>8062.5</v>
      </c>
      <c r="K1282" s="3" t="s">
        <v>2589</v>
      </c>
      <c r="L1282" s="1" t="s">
        <v>2590</v>
      </c>
      <c r="M1282" s="1" t="n">
        <v>0</v>
      </c>
      <c r="N1282" s="1" t="s">
        <v>25</v>
      </c>
      <c r="O1282" s="1" t="n">
        <v>0.6</v>
      </c>
      <c r="P1282" s="1"/>
      <c r="Q1282" s="1" t="s">
        <v>1815</v>
      </c>
      <c r="R1282" s="1" t="s">
        <v>1842</v>
      </c>
      <c r="S1282" s="1" t="s">
        <v>1843</v>
      </c>
      <c r="T1282" s="1" t="s">
        <v>2534</v>
      </c>
    </row>
    <row r="1283" customFormat="false" ht="15" hidden="false" customHeight="true" outlineLevel="0" collapsed="false">
      <c r="A1283" s="1" t="s">
        <v>2591</v>
      </c>
      <c r="B1283" s="1" t="n">
        <v>1921</v>
      </c>
      <c r="C1283" s="1" t="n">
        <v>1</v>
      </c>
      <c r="D1283" s="1" t="s">
        <v>38</v>
      </c>
      <c r="E1283" s="1" t="s">
        <v>274</v>
      </c>
      <c r="F1283" s="1" t="n">
        <v>421</v>
      </c>
      <c r="G1283" s="1" t="n">
        <v>143</v>
      </c>
      <c r="H1283" s="2" t="n">
        <v>9552500</v>
      </c>
      <c r="I1283" s="2" t="n">
        <f aca="false">(((H1283 / 800) / IF(ISBLANK(R1283), 1000000, IF(ISNA(VLOOKUP(R1283, Mileages!$A$2:$C$34, 2, 0)), R1283, VLOOKUP(R1283, Mileages!$A$2:$C$34, 2, 0)))) + (F1283 * IF(ISBLANK(P1283), 1, P1283) * IF(ISBLANK(T1283), 0, IF(ISNA(VLOOKUP(T1283, 'Fuel Costs'!$A$2:$C$42, 2, 0)), T1283, VLOOKUP(T1283, 'Fuel Costs'!$A$2:$C$42, 2, 0))) / IF(ISBLANK(O1283), 1, O1283))) * 100</f>
        <v>241.7654911</v>
      </c>
      <c r="J1283" s="2" t="n">
        <f aca="false">((H1283 / 800) / (IF(ISBLANK(S1283), 100, IF(ISNA(VLOOKUP(S1283, Lives!$A$2:$C$35, 2, 0)), S1283, VLOOKUP(S1283, Lives!$A$2:$C$35, 2, 0))) * 12) + (IF(ISBLANK(Q1283), 0, IF(ISNA(VLOOKUP(Q1283, Wages!$A$2:$C$17, 2, 0)), Q1283, VLOOKUP(Q1283, Wages!$A$2:$C$17, 2, 0))) * IF(ISBLANK(N1283), 0, IF(ISNA(VLOOKUP(N1283, Crews!$A$2:$C$28, 2, 0)), N1283, VLOOKUP(N1283, Crews!$A$2:$C$28, 2, 0))))) * 400</f>
        <v>47960.41667</v>
      </c>
      <c r="K1283" s="1" t="s">
        <v>1692</v>
      </c>
      <c r="L1283" s="1" t="s">
        <v>2592</v>
      </c>
      <c r="M1283" s="1" t="n">
        <v>0</v>
      </c>
      <c r="N1283" s="1" t="s">
        <v>1705</v>
      </c>
      <c r="O1283" s="1" t="n">
        <v>0.7</v>
      </c>
      <c r="P1283" s="1"/>
      <c r="Q1283" s="5" t="s">
        <v>284</v>
      </c>
      <c r="R1283" s="1" t="s">
        <v>677</v>
      </c>
      <c r="S1283" s="1" t="s">
        <v>677</v>
      </c>
      <c r="T1283" s="1" t="s">
        <v>2252</v>
      </c>
    </row>
    <row r="1284" customFormat="false" ht="15" hidden="false" customHeight="true" outlineLevel="0" collapsed="false">
      <c r="A1284" s="1" t="s">
        <v>2593</v>
      </c>
      <c r="B1284" s="1" t="n">
        <v>1921</v>
      </c>
      <c r="C1284" s="1" t="n">
        <v>1</v>
      </c>
      <c r="D1284" s="1" t="s">
        <v>2225</v>
      </c>
      <c r="E1284" s="1" t="s">
        <v>1839</v>
      </c>
      <c r="F1284" s="1" t="n">
        <v>482</v>
      </c>
      <c r="G1284" s="1" t="n">
        <v>137</v>
      </c>
      <c r="H1284" s="2" t="n">
        <v>1100000</v>
      </c>
      <c r="I1284" s="2" t="n">
        <f aca="false">(((H1284 / 800) / IF(ISBLANK(R1284), 1000000, IF(ISNA(VLOOKUP(R1284, Mileages!$A$2:$C$34, 2, 0)), R1284, VLOOKUP(R1284, Mileages!$A$2:$C$34, 2, 0)))) + (F1284 * IF(ISBLANK(P1284), 1, P1284) * IF(ISBLANK(T1284), 0, IF(ISNA(VLOOKUP(T1284, 'Fuel Costs'!$A$2:$C$42, 2, 0)), T1284, VLOOKUP(T1284, 'Fuel Costs'!$A$2:$C$42, 2, 0))) / IF(ISBLANK(O1284), 1, O1284))) * 100</f>
        <v>24.1275</v>
      </c>
      <c r="J1284" s="2" t="n">
        <f aca="false">((H1284 / 800) / (IF(ISBLANK(S1284), 100, IF(ISNA(VLOOKUP(S1284, Lives!$A$2:$C$35, 2, 0)), S1284, VLOOKUP(S1284, Lives!$A$2:$C$35, 2, 0))) * 12) + (IF(ISBLANK(Q1284), 0, IF(ISNA(VLOOKUP(Q1284, Wages!$A$2:$C$17, 2, 0)), Q1284, VLOOKUP(Q1284, Wages!$A$2:$C$17, 2, 0))) * IF(ISBLANK(N1284), 0, IF(ISNA(VLOOKUP(N1284, Crews!$A$2:$C$28, 2, 0)), N1284, VLOOKUP(N1284, Crews!$A$2:$C$28, 2, 0))))) * 400</f>
        <v>50763.88889</v>
      </c>
      <c r="K1284" s="3" t="s">
        <v>2504</v>
      </c>
      <c r="L1284" s="1" t="s">
        <v>2594</v>
      </c>
      <c r="M1284" s="1" t="n">
        <v>0</v>
      </c>
      <c r="N1284" s="1" t="s">
        <v>2342</v>
      </c>
      <c r="O1284" s="1"/>
      <c r="P1284" s="1" t="n">
        <v>0.1</v>
      </c>
      <c r="Q1284" s="1" t="s">
        <v>2229</v>
      </c>
      <c r="R1284" s="1" t="s">
        <v>2229</v>
      </c>
      <c r="S1284" s="1" t="s">
        <v>2229</v>
      </c>
      <c r="T1284" s="1" t="s">
        <v>2572</v>
      </c>
    </row>
    <row r="1285" customFormat="false" ht="15" hidden="false" customHeight="true" outlineLevel="0" collapsed="false">
      <c r="A1285" s="1" t="s">
        <v>2595</v>
      </c>
      <c r="B1285" s="1" t="n">
        <v>1921</v>
      </c>
      <c r="C1285" s="1" t="n">
        <v>1</v>
      </c>
      <c r="D1285" s="1" t="s">
        <v>2225</v>
      </c>
      <c r="E1285" s="1" t="s">
        <v>1839</v>
      </c>
      <c r="F1285" s="1" t="n">
        <v>482</v>
      </c>
      <c r="G1285" s="1" t="n">
        <v>137</v>
      </c>
      <c r="H1285" s="2" t="n">
        <v>1000000</v>
      </c>
      <c r="I1285" s="2" t="n">
        <f aca="false">(((H1285 / 800) / IF(ISBLANK(R1285), 1000000, IF(ISNA(VLOOKUP(R1285, Mileages!$A$2:$C$34, 2, 0)), R1285, VLOOKUP(R1285, Mileages!$A$2:$C$34, 2, 0)))) + (F1285 * IF(ISBLANK(P1285), 1, P1285) * IF(ISBLANK(T1285), 0, IF(ISNA(VLOOKUP(T1285, 'Fuel Costs'!$A$2:$C$42, 2, 0)), T1285, VLOOKUP(T1285, 'Fuel Costs'!$A$2:$C$42, 2, 0))) / IF(ISBLANK(O1285), 1, O1285))) * 100</f>
        <v>24.125</v>
      </c>
      <c r="J1285" s="2" t="n">
        <f aca="false">((H1285 / 800) / (IF(ISBLANK(S1285), 100, IF(ISNA(VLOOKUP(S1285, Lives!$A$2:$C$35, 2, 0)), S1285, VLOOKUP(S1285, Lives!$A$2:$C$35, 2, 0))) * 12) + (IF(ISBLANK(Q1285), 0, IF(ISNA(VLOOKUP(Q1285, Wages!$A$2:$C$17, 2, 0)), Q1285, VLOOKUP(Q1285, Wages!$A$2:$C$17, 2, 0))) * IF(ISBLANK(N1285), 0, IF(ISNA(VLOOKUP(N1285, Crews!$A$2:$C$28, 2, 0)), N1285, VLOOKUP(N1285, Crews!$A$2:$C$28, 2, 0))))) * 400</f>
        <v>10694.44444</v>
      </c>
      <c r="K1285" s="3" t="s">
        <v>2507</v>
      </c>
      <c r="L1285" s="1" t="s">
        <v>2596</v>
      </c>
      <c r="M1285" s="1" t="n">
        <v>0</v>
      </c>
      <c r="N1285" s="1" t="s">
        <v>25</v>
      </c>
      <c r="O1285" s="1"/>
      <c r="P1285" s="1" t="n">
        <v>0.1</v>
      </c>
      <c r="Q1285" s="1" t="s">
        <v>2229</v>
      </c>
      <c r="R1285" s="1" t="s">
        <v>2229</v>
      </c>
      <c r="S1285" s="1" t="s">
        <v>2229</v>
      </c>
      <c r="T1285" s="1" t="s">
        <v>2572</v>
      </c>
    </row>
    <row r="1286" customFormat="false" ht="15" hidden="false" customHeight="true" outlineLevel="0" collapsed="false">
      <c r="A1286" s="1" t="s">
        <v>2597</v>
      </c>
      <c r="B1286" s="1" t="n">
        <v>1921</v>
      </c>
      <c r="C1286" s="1" t="n">
        <v>5</v>
      </c>
      <c r="D1286" s="1" t="s">
        <v>38</v>
      </c>
      <c r="E1286" s="1"/>
      <c r="F1286" s="1"/>
      <c r="G1286" s="1" t="n">
        <v>160</v>
      </c>
      <c r="H1286" s="2" t="n">
        <v>633000</v>
      </c>
      <c r="I1286" s="2" t="n">
        <f aca="false">(((H1286 / 800) / IF(ISBLANK(R1286), 1000000, IF(ISNA(VLOOKUP(R1286, Mileages!$A$2:$C$34, 2, 0)), R1286, VLOOKUP(R1286, Mileages!$A$2:$C$34, 2, 0)))) + (F1286 * IF(ISBLANK(P1286), 1, P1286) * IF(ISBLANK(T1286), 0, IF(ISNA(VLOOKUP(T1286, 'Fuel Costs'!$A$2:$C$42, 2, 0)), T1286, VLOOKUP(T1286, 'Fuel Costs'!$A$2:$C$42, 2, 0))) / IF(ISBLANK(O1286), 1, O1286))) * 100</f>
        <v>0.0659375</v>
      </c>
      <c r="J1286" s="2" t="n">
        <f aca="false">((H1286 / 800) / (IF(ISBLANK(S1286), 100, IF(ISNA(VLOOKUP(S1286, Lives!$A$2:$C$35, 2, 0)), S1286, VLOOKUP(S1286, Lives!$A$2:$C$35, 2, 0))) * 12) + (IF(ISBLANK(Q1286), 0, IF(ISNA(VLOOKUP(Q1286, Wages!$A$2:$C$17, 2, 0)), Q1286, VLOOKUP(Q1286, Wages!$A$2:$C$17, 2, 0))) * IF(ISBLANK(N1286), 0, IF(ISNA(VLOOKUP(N1286, Crews!$A$2:$C$28, 2, 0)), N1286, VLOOKUP(N1286, Crews!$A$2:$C$28, 2, 0))))) * 400</f>
        <v>753.5714286</v>
      </c>
      <c r="K1286" s="1"/>
      <c r="L1286" s="1" t="s">
        <v>2598</v>
      </c>
      <c r="M1286" s="1" t="n">
        <v>0</v>
      </c>
      <c r="N1286" s="1"/>
      <c r="O1286" s="1"/>
      <c r="P1286" s="1"/>
      <c r="Q1286" s="1"/>
      <c r="R1286" s="1" t="s">
        <v>689</v>
      </c>
      <c r="S1286" s="1" t="s">
        <v>856</v>
      </c>
      <c r="T1286" s="1"/>
    </row>
    <row r="1287" customFormat="false" ht="15" hidden="false" customHeight="true" outlineLevel="0" collapsed="false">
      <c r="A1287" s="1" t="s">
        <v>2599</v>
      </c>
      <c r="B1287" s="1" t="n">
        <v>1921</v>
      </c>
      <c r="C1287" s="1" t="n">
        <v>5</v>
      </c>
      <c r="D1287" s="1" t="s">
        <v>38</v>
      </c>
      <c r="E1287" s="1"/>
      <c r="F1287" s="1"/>
      <c r="G1287" s="1" t="n">
        <v>160</v>
      </c>
      <c r="H1287" s="2" t="n">
        <v>646000</v>
      </c>
      <c r="I1287" s="2" t="n">
        <f aca="false">(((H1287 / 800) / IF(ISBLANK(R1287), 1000000, IF(ISNA(VLOOKUP(R1287, Mileages!$A$2:$C$34, 2, 0)), R1287, VLOOKUP(R1287, Mileages!$A$2:$C$34, 2, 0)))) + (F1287 * IF(ISBLANK(P1287), 1, P1287) * IF(ISBLANK(T1287), 0, IF(ISNA(VLOOKUP(T1287, 'Fuel Costs'!$A$2:$C$42, 2, 0)), T1287, VLOOKUP(T1287, 'Fuel Costs'!$A$2:$C$42, 2, 0))) / IF(ISBLANK(O1287), 1, O1287))) * 100</f>
        <v>0.06729166667</v>
      </c>
      <c r="J1287" s="2" t="n">
        <f aca="false">((H1287 / 800) / (IF(ISBLANK(S1287), 100, IF(ISNA(VLOOKUP(S1287, Lives!$A$2:$C$35, 2, 0)), S1287, VLOOKUP(S1287, Lives!$A$2:$C$35, 2, 0))) * 12) + (IF(ISBLANK(Q1287), 0, IF(ISNA(VLOOKUP(Q1287, Wages!$A$2:$C$17, 2, 0)), Q1287, VLOOKUP(Q1287, Wages!$A$2:$C$17, 2, 0))) * IF(ISBLANK(N1287), 0, IF(ISNA(VLOOKUP(N1287, Crews!$A$2:$C$28, 2, 0)), N1287, VLOOKUP(N1287, Crews!$A$2:$C$28, 2, 0))))) * 400</f>
        <v>6769.047619</v>
      </c>
      <c r="K1287" s="3" t="s">
        <v>2600</v>
      </c>
      <c r="L1287" s="1" t="s">
        <v>2598</v>
      </c>
      <c r="M1287" s="1" t="n">
        <v>2</v>
      </c>
      <c r="N1287" s="1" t="s">
        <v>2131</v>
      </c>
      <c r="O1287" s="1"/>
      <c r="P1287" s="1"/>
      <c r="Q1287" s="1" t="s">
        <v>1481</v>
      </c>
      <c r="R1287" s="1" t="s">
        <v>689</v>
      </c>
      <c r="S1287" s="1" t="s">
        <v>856</v>
      </c>
      <c r="T1287" s="1"/>
    </row>
    <row r="1288" customFormat="false" ht="15" hidden="false" customHeight="true" outlineLevel="0" collapsed="false">
      <c r="A1288" s="1" t="s">
        <v>2601</v>
      </c>
      <c r="B1288" s="1" t="n">
        <v>1921</v>
      </c>
      <c r="C1288" s="1" t="n">
        <v>5</v>
      </c>
      <c r="D1288" s="1" t="s">
        <v>38</v>
      </c>
      <c r="E1288" s="1"/>
      <c r="F1288" s="1"/>
      <c r="G1288" s="1" t="n">
        <v>160</v>
      </c>
      <c r="H1288" s="2" t="n">
        <v>633000</v>
      </c>
      <c r="I1288" s="2" t="n">
        <f aca="false">(((H1288 / 800) / IF(ISBLANK(R1288), 1000000, IF(ISNA(VLOOKUP(R1288, Mileages!$A$2:$C$34, 2, 0)), R1288, VLOOKUP(R1288, Mileages!$A$2:$C$34, 2, 0)))) + (F1288 * IF(ISBLANK(P1288), 1, P1288) * IF(ISBLANK(T1288), 0, IF(ISNA(VLOOKUP(T1288, 'Fuel Costs'!$A$2:$C$42, 2, 0)), T1288, VLOOKUP(T1288, 'Fuel Costs'!$A$2:$C$42, 2, 0))) / IF(ISBLANK(O1288), 1, O1288))) * 100</f>
        <v>0.0659375</v>
      </c>
      <c r="J1288" s="2" t="n">
        <f aca="false">((H1288 / 800) / (IF(ISBLANK(S1288), 100, IF(ISNA(VLOOKUP(S1288, Lives!$A$2:$C$35, 2, 0)), S1288, VLOOKUP(S1288, Lives!$A$2:$C$35, 2, 0))) * 12) + (IF(ISBLANK(Q1288), 0, IF(ISNA(VLOOKUP(Q1288, Wages!$A$2:$C$17, 2, 0)), Q1288, VLOOKUP(Q1288, Wages!$A$2:$C$17, 2, 0))) * IF(ISBLANK(N1288), 0, IF(ISNA(VLOOKUP(N1288, Crews!$A$2:$C$28, 2, 0)), N1288, VLOOKUP(N1288, Crews!$A$2:$C$28, 2, 0))))) * 400</f>
        <v>5553.571429</v>
      </c>
      <c r="K1288" s="1"/>
      <c r="L1288" s="1" t="s">
        <v>2598</v>
      </c>
      <c r="M1288" s="1" t="n">
        <v>3</v>
      </c>
      <c r="N1288" s="1" t="s">
        <v>25</v>
      </c>
      <c r="O1288" s="1"/>
      <c r="P1288" s="1"/>
      <c r="Q1288" s="1" t="s">
        <v>378</v>
      </c>
      <c r="R1288" s="1" t="s">
        <v>689</v>
      </c>
      <c r="S1288" s="1" t="s">
        <v>856</v>
      </c>
      <c r="T1288" s="1"/>
    </row>
    <row r="1289" customFormat="false" ht="15" hidden="false" customHeight="true" outlineLevel="0" collapsed="false">
      <c r="A1289" s="1" t="s">
        <v>2602</v>
      </c>
      <c r="B1289" s="1" t="n">
        <v>1921</v>
      </c>
      <c r="C1289" s="1" t="n">
        <v>5</v>
      </c>
      <c r="D1289" s="1" t="s">
        <v>38</v>
      </c>
      <c r="E1289" s="1"/>
      <c r="F1289" s="1"/>
      <c r="G1289" s="1" t="n">
        <v>160</v>
      </c>
      <c r="H1289" s="2" t="n">
        <v>633000</v>
      </c>
      <c r="I1289" s="2" t="n">
        <f aca="false">(((H1289 / 800) / IF(ISBLANK(R1289), 1000000, IF(ISNA(VLOOKUP(R1289, Mileages!$A$2:$C$34, 2, 0)), R1289, VLOOKUP(R1289, Mileages!$A$2:$C$34, 2, 0)))) + (F1289 * IF(ISBLANK(P1289), 1, P1289) * IF(ISBLANK(T1289), 0, IF(ISNA(VLOOKUP(T1289, 'Fuel Costs'!$A$2:$C$42, 2, 0)), T1289, VLOOKUP(T1289, 'Fuel Costs'!$A$2:$C$42, 2, 0))) / IF(ISBLANK(O1289), 1, O1289))) * 100</f>
        <v>0.0659375</v>
      </c>
      <c r="J1289" s="2" t="n">
        <f aca="false">((H1289 / 800) / (IF(ISBLANK(S1289), 100, IF(ISNA(VLOOKUP(S1289, Lives!$A$2:$C$35, 2, 0)), S1289, VLOOKUP(S1289, Lives!$A$2:$C$35, 2, 0))) * 12) + (IF(ISBLANK(Q1289), 0, IF(ISNA(VLOOKUP(Q1289, Wages!$A$2:$C$17, 2, 0)), Q1289, VLOOKUP(Q1289, Wages!$A$2:$C$17, 2, 0))) * IF(ISBLANK(N1289), 0, IF(ISNA(VLOOKUP(N1289, Crews!$A$2:$C$28, 2, 0)), N1289, VLOOKUP(N1289, Crews!$A$2:$C$28, 2, 0))))) * 400</f>
        <v>5553.571429</v>
      </c>
      <c r="K1289" s="1"/>
      <c r="L1289" s="1" t="s">
        <v>2598</v>
      </c>
      <c r="M1289" s="1" t="n">
        <v>4</v>
      </c>
      <c r="N1289" s="1" t="s">
        <v>25</v>
      </c>
      <c r="O1289" s="1"/>
      <c r="P1289" s="1"/>
      <c r="Q1289" s="1" t="s">
        <v>378</v>
      </c>
      <c r="R1289" s="1" t="s">
        <v>689</v>
      </c>
      <c r="S1289" s="1" t="s">
        <v>856</v>
      </c>
      <c r="T1289" s="1"/>
    </row>
    <row r="1290" customFormat="false" ht="15" hidden="false" customHeight="true" outlineLevel="0" collapsed="false">
      <c r="A1290" s="1" t="s">
        <v>2603</v>
      </c>
      <c r="B1290" s="1" t="n">
        <v>1921</v>
      </c>
      <c r="C1290" s="1" t="n">
        <v>5</v>
      </c>
      <c r="D1290" s="1" t="s">
        <v>38</v>
      </c>
      <c r="E1290" s="1"/>
      <c r="F1290" s="1"/>
      <c r="G1290" s="1" t="n">
        <v>160</v>
      </c>
      <c r="H1290" s="2" t="n">
        <v>633000</v>
      </c>
      <c r="I1290" s="2" t="n">
        <f aca="false">(((H1290 / 800) / IF(ISBLANK(R1290), 1000000, IF(ISNA(VLOOKUP(R1290, Mileages!$A$2:$C$34, 2, 0)), R1290, VLOOKUP(R1290, Mileages!$A$2:$C$34, 2, 0)))) + (F1290 * IF(ISBLANK(P1290), 1, P1290) * IF(ISBLANK(T1290), 0, IF(ISNA(VLOOKUP(T1290, 'Fuel Costs'!$A$2:$C$42, 2, 0)), T1290, VLOOKUP(T1290, 'Fuel Costs'!$A$2:$C$42, 2, 0))) / IF(ISBLANK(O1290), 1, O1290))) * 100</f>
        <v>0.0659375</v>
      </c>
      <c r="J1290" s="2" t="n">
        <f aca="false">((H1290 / 800) / (IF(ISBLANK(S1290), 100, IF(ISNA(VLOOKUP(S1290, Lives!$A$2:$C$35, 2, 0)), S1290, VLOOKUP(S1290, Lives!$A$2:$C$35, 2, 0))) * 12) + (IF(ISBLANK(Q1290), 0, IF(ISNA(VLOOKUP(Q1290, Wages!$A$2:$C$17, 2, 0)), Q1290, VLOOKUP(Q1290, Wages!$A$2:$C$17, 2, 0))) * IF(ISBLANK(N1290), 0, IF(ISNA(VLOOKUP(N1290, Crews!$A$2:$C$28, 2, 0)), N1290, VLOOKUP(N1290, Crews!$A$2:$C$28, 2, 0))))) * 400</f>
        <v>263.75</v>
      </c>
      <c r="K1290" s="1"/>
      <c r="L1290" s="1" t="s">
        <v>2598</v>
      </c>
      <c r="M1290" s="1" t="n">
        <v>5</v>
      </c>
      <c r="N1290" s="1"/>
      <c r="O1290" s="1"/>
      <c r="P1290" s="1"/>
      <c r="Q1290" s="1"/>
      <c r="R1290" s="1" t="s">
        <v>689</v>
      </c>
      <c r="S1290" s="5" t="s">
        <v>389</v>
      </c>
      <c r="T1290" s="1"/>
    </row>
    <row r="1291" customFormat="false" ht="15" hidden="false" customHeight="true" outlineLevel="0" collapsed="false">
      <c r="A1291" s="1" t="s">
        <v>2604</v>
      </c>
      <c r="B1291" s="1" t="n">
        <v>1921</v>
      </c>
      <c r="C1291" s="1" t="n">
        <v>5</v>
      </c>
      <c r="D1291" s="1" t="s">
        <v>38</v>
      </c>
      <c r="E1291" s="1"/>
      <c r="F1291" s="1"/>
      <c r="G1291" s="1" t="n">
        <v>160</v>
      </c>
      <c r="H1291" s="2" t="n">
        <v>675000</v>
      </c>
      <c r="I1291" s="2" t="n">
        <f aca="false">(((H1291 / 800) / IF(ISBLANK(R1291), 1000000, IF(ISNA(VLOOKUP(R1291, Mileages!$A$2:$C$34, 2, 0)), R1291, VLOOKUP(R1291, Mileages!$A$2:$C$34, 2, 0)))) + (F1291 * IF(ISBLANK(P1291), 1, P1291) * IF(ISBLANK(T1291), 0, IF(ISNA(VLOOKUP(T1291, 'Fuel Costs'!$A$2:$C$42, 2, 0)), T1291, VLOOKUP(T1291, 'Fuel Costs'!$A$2:$C$42, 2, 0))) / IF(ISBLANK(O1291), 1, O1291))) * 100</f>
        <v>0.0703125</v>
      </c>
      <c r="J1291" s="2" t="n">
        <f aca="false">((H1291 / 800) / (IF(ISBLANK(S1291), 100, IF(ISNA(VLOOKUP(S1291, Lives!$A$2:$C$35, 2, 0)), S1291, VLOOKUP(S1291, Lives!$A$2:$C$35, 2, 0))) * 12) + (IF(ISBLANK(Q1291), 0, IF(ISNA(VLOOKUP(Q1291, Wages!$A$2:$C$17, 2, 0)), Q1291, VLOOKUP(Q1291, Wages!$A$2:$C$17, 2, 0))) * IF(ISBLANK(N1291), 0, IF(ISNA(VLOOKUP(N1291, Crews!$A$2:$C$28, 2, 0)), N1291, VLOOKUP(N1291, Crews!$A$2:$C$28, 2, 0))))) * 400</f>
        <v>24281.25</v>
      </c>
      <c r="K1291" s="1"/>
      <c r="L1291" s="1" t="s">
        <v>2598</v>
      </c>
      <c r="M1291" s="1" t="n">
        <v>6</v>
      </c>
      <c r="N1291" s="1" t="s">
        <v>551</v>
      </c>
      <c r="O1291" s="1"/>
      <c r="P1291" s="1"/>
      <c r="Q1291" s="1" t="s">
        <v>551</v>
      </c>
      <c r="R1291" s="1" t="s">
        <v>689</v>
      </c>
      <c r="S1291" s="1" t="s">
        <v>389</v>
      </c>
      <c r="T1291" s="1"/>
    </row>
    <row r="1292" customFormat="false" ht="15" hidden="false" customHeight="true" outlineLevel="0" collapsed="false">
      <c r="A1292" s="1" t="s">
        <v>2605</v>
      </c>
      <c r="B1292" s="1" t="n">
        <v>1921</v>
      </c>
      <c r="C1292" s="1" t="n">
        <v>8</v>
      </c>
      <c r="D1292" s="1" t="s">
        <v>38</v>
      </c>
      <c r="E1292" s="1" t="s">
        <v>1346</v>
      </c>
      <c r="F1292" s="1" t="n">
        <v>600</v>
      </c>
      <c r="G1292" s="1" t="n">
        <v>67</v>
      </c>
      <c r="H1292" s="2" t="n">
        <v>8000000</v>
      </c>
      <c r="I1292" s="2" t="n">
        <f aca="false">(((H1292 / 800) / IF(ISBLANK(R1292), 1000000, IF(ISNA(VLOOKUP(R1292, Mileages!$A$2:$C$34, 2, 0)), R1292, VLOOKUP(R1292, Mileages!$A$2:$C$34, 2, 0)))) + (F1292 * IF(ISBLANK(P1292), 1, P1292) * IF(ISBLANK(T1292), 0, IF(ISNA(VLOOKUP(T1292, 'Fuel Costs'!$A$2:$C$42, 2, 0)), T1292, VLOOKUP(T1292, 'Fuel Costs'!$A$2:$C$42, 2, 0))) / IF(ISBLANK(O1292), 1, O1292))) * 100</f>
        <v>241</v>
      </c>
      <c r="J1292" s="2" t="n">
        <f aca="false">((H1292 / 800) / (IF(ISBLANK(S1292), 100, IF(ISNA(VLOOKUP(S1292, Lives!$A$2:$C$35, 2, 0)), S1292, VLOOKUP(S1292, Lives!$A$2:$C$35, 2, 0))) * 12) + (IF(ISBLANK(Q1292), 0, IF(ISNA(VLOOKUP(Q1292, Wages!$A$2:$C$17, 2, 0)), Q1292, VLOOKUP(Q1292, Wages!$A$2:$C$17, 2, 0))) * IF(ISBLANK(N1292), 0, IF(ISNA(VLOOKUP(N1292, Crews!$A$2:$C$28, 2, 0)), N1292, VLOOKUP(N1292, Crews!$A$2:$C$28, 2, 0))))) * 400</f>
        <v>12666.66667</v>
      </c>
      <c r="K1292" s="3" t="s">
        <v>2606</v>
      </c>
      <c r="L1292" s="1" t="s">
        <v>2607</v>
      </c>
      <c r="M1292" s="1" t="n">
        <v>0</v>
      </c>
      <c r="N1292" s="1" t="s">
        <v>1512</v>
      </c>
      <c r="O1292" s="1" t="n">
        <v>1</v>
      </c>
      <c r="P1292" s="1"/>
      <c r="Q1292" s="1" t="str">
        <f aca="false">IF(ISBLANK('Pak128 Britain In'!$N1292),,'Pak128 Britain In'!$N1292)</f>
        <v>ElectricMultipleUnit</v>
      </c>
      <c r="R1292" s="1" t="s">
        <v>1349</v>
      </c>
      <c r="S1292" s="1" t="s">
        <v>1350</v>
      </c>
      <c r="T1292" s="1" t="s">
        <v>2580</v>
      </c>
    </row>
    <row r="1293" customFormat="false" ht="15" hidden="false" customHeight="true" outlineLevel="0" collapsed="false">
      <c r="A1293" s="1" t="s">
        <v>2608</v>
      </c>
      <c r="B1293" s="1" t="n">
        <v>1921</v>
      </c>
      <c r="C1293" s="1" t="n">
        <v>8</v>
      </c>
      <c r="D1293" s="1" t="s">
        <v>38</v>
      </c>
      <c r="E1293" s="1" t="s">
        <v>1346</v>
      </c>
      <c r="F1293" s="1"/>
      <c r="G1293" s="1" t="n">
        <v>67</v>
      </c>
      <c r="H1293" s="2" t="n">
        <v>1400000</v>
      </c>
      <c r="I1293" s="2" t="n">
        <f aca="false">(((H1293 / 800) / IF(ISBLANK(R1293), 1000000, IF(ISNA(VLOOKUP(R1293, Mileages!$A$2:$C$34, 2, 0)), R1293, VLOOKUP(R1293, Mileages!$A$2:$C$34, 2, 0)))) + (F1293 * IF(ISBLANK(P1293), 1, P1293) * IF(ISBLANK(T1293), 0, IF(ISNA(VLOOKUP(T1293, 'Fuel Costs'!$A$2:$C$42, 2, 0)), T1293, VLOOKUP(T1293, 'Fuel Costs'!$A$2:$C$42, 2, 0))) / IF(ISBLANK(O1293), 1, O1293))) * 100</f>
        <v>0.1458333333</v>
      </c>
      <c r="J1293" s="2" t="n">
        <f aca="false">((H1293 / 800) / (IF(ISBLANK(S1293), 100, IF(ISNA(VLOOKUP(S1293, Lives!$A$2:$C$35, 2, 0)), S1293, VLOOKUP(S1293, Lives!$A$2:$C$35, 2, 0))) * 12) + (IF(ISBLANK(Q1293), 0, IF(ISNA(VLOOKUP(Q1293, Wages!$A$2:$C$17, 2, 0)), Q1293, VLOOKUP(Q1293, Wages!$A$2:$C$17, 2, 0))) * IF(ISBLANK(N1293), 0, IF(ISNA(VLOOKUP(N1293, Crews!$A$2:$C$28, 2, 0)), N1293, VLOOKUP(N1293, Crews!$A$2:$C$28, 2, 0))))) * 400</f>
        <v>1666.666667</v>
      </c>
      <c r="K1293" s="1"/>
      <c r="L1293" s="1" t="s">
        <v>2607</v>
      </c>
      <c r="M1293" s="1" t="n">
        <v>1</v>
      </c>
      <c r="N1293" s="1"/>
      <c r="O1293" s="1"/>
      <c r="P1293" s="1"/>
      <c r="Q1293" s="1"/>
      <c r="R1293" s="1" t="s">
        <v>689</v>
      </c>
      <c r="S1293" s="1" t="s">
        <v>856</v>
      </c>
      <c r="T1293" s="1"/>
    </row>
    <row r="1294" customFormat="false" ht="15" hidden="false" customHeight="true" outlineLevel="0" collapsed="false">
      <c r="A1294" s="1" t="s">
        <v>2609</v>
      </c>
      <c r="B1294" s="1" t="n">
        <v>1921</v>
      </c>
      <c r="C1294" s="1" t="n">
        <v>8</v>
      </c>
      <c r="D1294" s="1" t="s">
        <v>38</v>
      </c>
      <c r="E1294" s="1" t="s">
        <v>1346</v>
      </c>
      <c r="F1294" s="1" t="n">
        <v>600</v>
      </c>
      <c r="G1294" s="1" t="n">
        <v>67</v>
      </c>
      <c r="H1294" s="2" t="n">
        <v>8000000</v>
      </c>
      <c r="I1294" s="2" t="n">
        <f aca="false">(((H1294 / 800) / IF(ISBLANK(R1294), 1000000, IF(ISNA(VLOOKUP(R1294, Mileages!$A$2:$C$34, 2, 0)), R1294, VLOOKUP(R1294, Mileages!$A$2:$C$34, 2, 0)))) + (F1294 * IF(ISBLANK(P1294), 1, P1294) * IF(ISBLANK(T1294), 0, IF(ISNA(VLOOKUP(T1294, 'Fuel Costs'!$A$2:$C$42, 2, 0)), T1294, VLOOKUP(T1294, 'Fuel Costs'!$A$2:$C$42, 2, 0))) / IF(ISBLANK(O1294), 1, O1294))) * 100</f>
        <v>241</v>
      </c>
      <c r="J1294" s="2" t="n">
        <f aca="false">((H1294 / 800) / (IF(ISBLANK(S1294), 100, IF(ISNA(VLOOKUP(S1294, Lives!$A$2:$C$35, 2, 0)), S1294, VLOOKUP(S1294, Lives!$A$2:$C$35, 2, 0))) * 12) + (IF(ISBLANK(Q1294), 0, IF(ISNA(VLOOKUP(Q1294, Wages!$A$2:$C$17, 2, 0)), Q1294, VLOOKUP(Q1294, Wages!$A$2:$C$17, 2, 0))) * IF(ISBLANK(N1294), 0, IF(ISNA(VLOOKUP(N1294, Crews!$A$2:$C$28, 2, 0)), N1294, VLOOKUP(N1294, Crews!$A$2:$C$28, 2, 0))))) * 400</f>
        <v>12666.66667</v>
      </c>
      <c r="K1294" s="1"/>
      <c r="L1294" s="1" t="s">
        <v>2607</v>
      </c>
      <c r="M1294" s="1" t="n">
        <v>2</v>
      </c>
      <c r="N1294" s="1" t="s">
        <v>1512</v>
      </c>
      <c r="O1294" s="1" t="n">
        <v>1</v>
      </c>
      <c r="P1294" s="1"/>
      <c r="Q1294" s="1" t="str">
        <f aca="false">IF(ISBLANK('Pak128 Britain In'!$N1294),,'Pak128 Britain In'!$N1294)</f>
        <v>ElectricMultipleUnit</v>
      </c>
      <c r="R1294" s="1" t="s">
        <v>1349</v>
      </c>
      <c r="S1294" s="1" t="s">
        <v>1350</v>
      </c>
      <c r="T1294" s="1" t="s">
        <v>2580</v>
      </c>
    </row>
    <row r="1295" customFormat="false" ht="15" hidden="false" customHeight="true" outlineLevel="0" collapsed="false">
      <c r="A1295" s="1" t="s">
        <v>2610</v>
      </c>
      <c r="B1295" s="1" t="n">
        <v>1922</v>
      </c>
      <c r="C1295" s="1" t="n">
        <v>2</v>
      </c>
      <c r="D1295" s="1" t="s">
        <v>38</v>
      </c>
      <c r="E1295" s="1" t="s">
        <v>274</v>
      </c>
      <c r="F1295" s="1" t="n">
        <v>309</v>
      </c>
      <c r="G1295" s="1" t="n">
        <v>148</v>
      </c>
      <c r="H1295" s="2" t="n">
        <v>6650000</v>
      </c>
      <c r="I1295" s="2" t="n">
        <f aca="false">(((H1295 / 800) / IF(ISBLANK(R1295), 1000000, IF(ISNA(VLOOKUP(R1295, Mileages!$A$2:$C$34, 2, 0)), R1295, VLOOKUP(R1295, Mileages!$A$2:$C$34, 2, 0)))) + (F1295 * IF(ISBLANK(P1295), 1, P1295) * IF(ISBLANK(T1295), 0, IF(ISNA(VLOOKUP(T1295, 'Fuel Costs'!$A$2:$C$42, 2, 0)), T1295, VLOOKUP(T1295, 'Fuel Costs'!$A$2:$C$42, 2, 0))) / IF(ISBLANK(O1295), 1, O1295))) * 100</f>
        <v>177.4026786</v>
      </c>
      <c r="J1295" s="2" t="n">
        <f aca="false">((H1295 / 800) / (IF(ISBLANK(S1295), 100, IF(ISNA(VLOOKUP(S1295, Lives!$A$2:$C$35, 2, 0)), S1295, VLOOKUP(S1295, Lives!$A$2:$C$35, 2, 0))) * 12) + (IF(ISBLANK(Q1295), 0, IF(ISNA(VLOOKUP(Q1295, Wages!$A$2:$C$17, 2, 0)), Q1295, VLOOKUP(Q1295, Wages!$A$2:$C$17, 2, 0))) * IF(ISBLANK(N1295), 0, IF(ISNA(VLOOKUP(N1295, Crews!$A$2:$C$28, 2, 0)), N1295, VLOOKUP(N1295, Crews!$A$2:$C$28, 2, 0))))) * 400</f>
        <v>29541.66667</v>
      </c>
      <c r="K1295" s="3" t="s">
        <v>1929</v>
      </c>
      <c r="L1295" s="1" t="s">
        <v>2611</v>
      </c>
      <c r="M1295" s="1" t="n">
        <v>0</v>
      </c>
      <c r="N1295" s="1" t="s">
        <v>590</v>
      </c>
      <c r="O1295" s="1" t="n">
        <v>0.7</v>
      </c>
      <c r="P1295" s="1"/>
      <c r="Q1295" s="5" t="s">
        <v>284</v>
      </c>
      <c r="R1295" s="1" t="s">
        <v>677</v>
      </c>
      <c r="S1295" s="1" t="s">
        <v>677</v>
      </c>
      <c r="T1295" s="1" t="s">
        <v>2252</v>
      </c>
    </row>
    <row r="1296" customFormat="false" ht="15" hidden="false" customHeight="true" outlineLevel="0" collapsed="false">
      <c r="A1296" s="1" t="s">
        <v>2612</v>
      </c>
      <c r="B1296" s="1" t="n">
        <v>1922</v>
      </c>
      <c r="C1296" s="1" t="n">
        <v>2</v>
      </c>
      <c r="D1296" s="1" t="s">
        <v>38</v>
      </c>
      <c r="E1296" s="1" t="s">
        <v>1346</v>
      </c>
      <c r="F1296" s="1" t="n">
        <v>890</v>
      </c>
      <c r="G1296" s="1" t="n">
        <v>105</v>
      </c>
      <c r="H1296" s="2" t="n">
        <v>8928000</v>
      </c>
      <c r="I1296" s="2" t="n">
        <f aca="false">(((H1296 / 800) / IF(ISBLANK(R1296), 1000000, IF(ISNA(VLOOKUP(R1296, Mileages!$A$2:$C$34, 2, 0)), R1296, VLOOKUP(R1296, Mileages!$A$2:$C$34, 2, 0)))) + (F1296 * IF(ISBLANK(P1296), 1, P1296) * IF(ISBLANK(T1296), 0, IF(ISNA(VLOOKUP(T1296, 'Fuel Costs'!$A$2:$C$42, 2, 0)), T1296, VLOOKUP(T1296, 'Fuel Costs'!$A$2:$C$42, 2, 0))) / IF(ISBLANK(O1296), 1, O1296))) * 100</f>
        <v>357.116</v>
      </c>
      <c r="J1296" s="2" t="n">
        <f aca="false">((H1296 / 800) / (IF(ISBLANK(S1296), 100, IF(ISNA(VLOOKUP(S1296, Lives!$A$2:$C$35, 2, 0)), S1296, VLOOKUP(S1296, Lives!$A$2:$C$35, 2, 0))) * 12) + (IF(ISBLANK(Q1296), 0, IF(ISNA(VLOOKUP(Q1296, Wages!$A$2:$C$17, 2, 0)), Q1296, VLOOKUP(Q1296, Wages!$A$2:$C$17, 2, 0))) * IF(ISBLANK(N1296), 0, IF(ISNA(VLOOKUP(N1296, Crews!$A$2:$C$28, 2, 0)), N1296, VLOOKUP(N1296, Crews!$A$2:$C$28, 2, 0))))) * 400</f>
        <v>13440</v>
      </c>
      <c r="K1296" s="3" t="s">
        <v>2613</v>
      </c>
      <c r="L1296" s="1" t="s">
        <v>2614</v>
      </c>
      <c r="M1296" s="1" t="n">
        <v>0</v>
      </c>
      <c r="N1296" s="1" t="s">
        <v>1512</v>
      </c>
      <c r="O1296" s="1" t="n">
        <v>1</v>
      </c>
      <c r="P1296" s="1"/>
      <c r="Q1296" s="1" t="str">
        <f aca="false">IF(ISBLANK('Pak128 Britain In'!$N1296),,'Pak128 Britain In'!$N1296)</f>
        <v>ElectricMultipleUnit</v>
      </c>
      <c r="R1296" s="1" t="s">
        <v>1349</v>
      </c>
      <c r="S1296" s="1" t="s">
        <v>1350</v>
      </c>
      <c r="T1296" s="1" t="s">
        <v>2580</v>
      </c>
    </row>
    <row r="1297" customFormat="false" ht="15" hidden="false" customHeight="true" outlineLevel="0" collapsed="false">
      <c r="A1297" s="1" t="s">
        <v>2615</v>
      </c>
      <c r="B1297" s="1" t="n">
        <v>1922</v>
      </c>
      <c r="C1297" s="1" t="n">
        <v>4</v>
      </c>
      <c r="D1297" s="1" t="s">
        <v>38</v>
      </c>
      <c r="E1297" s="1" t="s">
        <v>274</v>
      </c>
      <c r="F1297" s="1" t="n">
        <v>2000</v>
      </c>
      <c r="G1297" s="1" t="n">
        <v>160</v>
      </c>
      <c r="H1297" s="2" t="n">
        <v>11718000</v>
      </c>
      <c r="I1297" s="2" t="n">
        <f aca="false">(((H1297 / 800) / IF(ISBLANK(R1297), 1000000, IF(ISNA(VLOOKUP(R1297, Mileages!$A$2:$C$34, 2, 0)), R1297, VLOOKUP(R1297, Mileages!$A$2:$C$34, 2, 0)))) + (F1297 * IF(ISBLANK(P1297), 1, P1297) * IF(ISBLANK(T1297), 0, IF(ISNA(VLOOKUP(T1297, 'Fuel Costs'!$A$2:$C$42, 2, 0)), T1297, VLOOKUP(T1297, 'Fuel Costs'!$A$2:$C$42, 2, 0))) / IF(ISBLANK(O1297), 1, O1297))) * 100</f>
        <v>1002.44125</v>
      </c>
      <c r="J1297" s="2" t="n">
        <f aca="false">((H1297 / 800) / (IF(ISBLANK(S1297), 100, IF(ISNA(VLOOKUP(S1297, Lives!$A$2:$C$35, 2, 0)), S1297, VLOOKUP(S1297, Lives!$A$2:$C$35, 2, 0))) * 12) + (IF(ISBLANK(Q1297), 0, IF(ISNA(VLOOKUP(Q1297, Wages!$A$2:$C$17, 2, 0)), Q1297, VLOOKUP(Q1297, Wages!$A$2:$C$17, 2, 0))) * IF(ISBLANK(N1297), 0, IF(ISNA(VLOOKUP(N1297, Crews!$A$2:$C$28, 2, 0)), N1297, VLOOKUP(N1297, Crews!$A$2:$C$28, 2, 0))))) * 400</f>
        <v>64412.5</v>
      </c>
      <c r="K1297" s="1"/>
      <c r="L1297" s="1" t="s">
        <v>2616</v>
      </c>
      <c r="M1297" s="1" t="n">
        <v>0</v>
      </c>
      <c r="N1297" s="1" t="s">
        <v>1705</v>
      </c>
      <c r="O1297" s="1" t="n">
        <v>0.8</v>
      </c>
      <c r="P1297" s="1"/>
      <c r="Q1297" s="5" t="s">
        <v>284</v>
      </c>
      <c r="R1297" s="1" t="s">
        <v>2617</v>
      </c>
      <c r="S1297" s="1" t="s">
        <v>2617</v>
      </c>
      <c r="T1297" s="1" t="s">
        <v>2252</v>
      </c>
    </row>
    <row r="1298" customFormat="false" ht="15" hidden="false" customHeight="true" outlineLevel="0" collapsed="false">
      <c r="A1298" s="1" t="s">
        <v>2618</v>
      </c>
      <c r="B1298" s="1" t="n">
        <v>1922</v>
      </c>
      <c r="C1298" s="1" t="n">
        <v>4</v>
      </c>
      <c r="D1298" s="1" t="s">
        <v>38</v>
      </c>
      <c r="E1298" s="1" t="s">
        <v>274</v>
      </c>
      <c r="F1298" s="1" t="n">
        <v>2000</v>
      </c>
      <c r="G1298" s="1" t="n">
        <v>160</v>
      </c>
      <c r="H1298" s="2" t="n">
        <v>11718000</v>
      </c>
      <c r="I1298" s="2" t="n">
        <f aca="false">(((H1298 / 800) / IF(ISBLANK(R1298), 1000000, IF(ISNA(VLOOKUP(R1298, Mileages!$A$2:$C$34, 2, 0)), R1298, VLOOKUP(R1298, Mileages!$A$2:$C$34, 2, 0)))) + (F1298 * IF(ISBLANK(P1298), 1, P1298) * IF(ISBLANK(T1298), 0, IF(ISNA(VLOOKUP(T1298, 'Fuel Costs'!$A$2:$C$42, 2, 0)), T1298, VLOOKUP(T1298, 'Fuel Costs'!$A$2:$C$42, 2, 0))) / IF(ISBLANK(O1298), 1, O1298))) * 100</f>
        <v>1002.44125</v>
      </c>
      <c r="J1298" s="2" t="n">
        <f aca="false">((H1298 / 800) / (IF(ISBLANK(S1298), 100, IF(ISNA(VLOOKUP(S1298, Lives!$A$2:$C$35, 2, 0)), S1298, VLOOKUP(S1298, Lives!$A$2:$C$35, 2, 0))) * 12) + (IF(ISBLANK(Q1298), 0, IF(ISNA(VLOOKUP(Q1298, Wages!$A$2:$C$17, 2, 0)), Q1298, VLOOKUP(Q1298, Wages!$A$2:$C$17, 2, 0))) * IF(ISBLANK(N1298), 0, IF(ISNA(VLOOKUP(N1298, Crews!$A$2:$C$28, 2, 0)), N1298, VLOOKUP(N1298, Crews!$A$2:$C$28, 2, 0))))) * 400</f>
        <v>64412.5</v>
      </c>
      <c r="K1298" s="1"/>
      <c r="L1298" s="1" t="s">
        <v>2616</v>
      </c>
      <c r="M1298" s="1" t="n">
        <v>1</v>
      </c>
      <c r="N1298" s="1" t="s">
        <v>1705</v>
      </c>
      <c r="O1298" s="1" t="n">
        <v>0.8</v>
      </c>
      <c r="P1298" s="1"/>
      <c r="Q1298" s="5" t="s">
        <v>284</v>
      </c>
      <c r="R1298" s="1" t="s">
        <v>2617</v>
      </c>
      <c r="S1298" s="1" t="s">
        <v>2617</v>
      </c>
      <c r="T1298" s="1" t="s">
        <v>2252</v>
      </c>
    </row>
    <row r="1299" customFormat="false" ht="15" hidden="false" customHeight="true" outlineLevel="0" collapsed="false">
      <c r="A1299" s="1" t="s">
        <v>2619</v>
      </c>
      <c r="B1299" s="1" t="n">
        <v>1922</v>
      </c>
      <c r="C1299" s="1" t="n">
        <v>4</v>
      </c>
      <c r="D1299" s="1" t="s">
        <v>38</v>
      </c>
      <c r="E1299" s="1" t="s">
        <v>274</v>
      </c>
      <c r="F1299" s="1" t="n">
        <v>2000</v>
      </c>
      <c r="G1299" s="1" t="n">
        <v>160</v>
      </c>
      <c r="H1299" s="2" t="n">
        <v>11718000</v>
      </c>
      <c r="I1299" s="2" t="n">
        <f aca="false">(((H1299 / 800) / IF(ISBLANK(R1299), 1000000, IF(ISNA(VLOOKUP(R1299, Mileages!$A$2:$C$34, 2, 0)), R1299, VLOOKUP(R1299, Mileages!$A$2:$C$34, 2, 0)))) + (F1299 * IF(ISBLANK(P1299), 1, P1299) * IF(ISBLANK(T1299), 0, IF(ISNA(VLOOKUP(T1299, 'Fuel Costs'!$A$2:$C$42, 2, 0)), T1299, VLOOKUP(T1299, 'Fuel Costs'!$A$2:$C$42, 2, 0))) / IF(ISBLANK(O1299), 1, O1299))) * 100</f>
        <v>1002.44125</v>
      </c>
      <c r="J1299" s="2" t="n">
        <f aca="false">((H1299 / 800) / (IF(ISBLANK(S1299), 100, IF(ISNA(VLOOKUP(S1299, Lives!$A$2:$C$35, 2, 0)), S1299, VLOOKUP(S1299, Lives!$A$2:$C$35, 2, 0))) * 12) + (IF(ISBLANK(Q1299), 0, IF(ISNA(VLOOKUP(Q1299, Wages!$A$2:$C$17, 2, 0)), Q1299, VLOOKUP(Q1299, Wages!$A$2:$C$17, 2, 0))) * IF(ISBLANK(N1299), 0, IF(ISNA(VLOOKUP(N1299, Crews!$A$2:$C$28, 2, 0)), N1299, VLOOKUP(N1299, Crews!$A$2:$C$28, 2, 0))))) * 400</f>
        <v>64412.5</v>
      </c>
      <c r="K1299" s="1"/>
      <c r="L1299" s="1" t="s">
        <v>2616</v>
      </c>
      <c r="M1299" s="1" t="n">
        <v>2</v>
      </c>
      <c r="N1299" s="1" t="s">
        <v>1705</v>
      </c>
      <c r="O1299" s="1" t="n">
        <v>0.8</v>
      </c>
      <c r="P1299" s="1"/>
      <c r="Q1299" s="5" t="s">
        <v>284</v>
      </c>
      <c r="R1299" s="1" t="s">
        <v>2617</v>
      </c>
      <c r="S1299" s="1" t="s">
        <v>2617</v>
      </c>
      <c r="T1299" s="1" t="s">
        <v>2252</v>
      </c>
    </row>
    <row r="1300" customFormat="false" ht="15" hidden="false" customHeight="true" outlineLevel="0" collapsed="false">
      <c r="A1300" s="1" t="s">
        <v>2620</v>
      </c>
      <c r="B1300" s="1" t="n">
        <v>1922</v>
      </c>
      <c r="C1300" s="1" t="n">
        <v>4</v>
      </c>
      <c r="D1300" s="1" t="s">
        <v>38</v>
      </c>
      <c r="E1300" s="1"/>
      <c r="F1300" s="1" t="n">
        <v>0</v>
      </c>
      <c r="G1300" s="1" t="n">
        <v>145</v>
      </c>
      <c r="H1300" s="2" t="n">
        <v>0</v>
      </c>
      <c r="I1300" s="2" t="n">
        <f aca="false">(((H1300 / 800) / IF(ISBLANK(R1300), 1000000, IF(ISNA(VLOOKUP(R1300, Mileages!$A$2:$C$34, 2, 0)), R1300, VLOOKUP(R1300, Mileages!$A$2:$C$34, 2, 0)))) + (F1300 * IF(ISBLANK(P1300), 1, P1300) * IF(ISBLANK(T1300), 0, IF(ISNA(VLOOKUP(T1300, 'Fuel Costs'!$A$2:$C$42, 2, 0)), T1300, VLOOKUP(T1300, 'Fuel Costs'!$A$2:$C$42, 2, 0))) / IF(ISBLANK(O1300), 1, O1300))) * 100</f>
        <v>0</v>
      </c>
      <c r="J1300" s="2" t="n">
        <f aca="false">((H1300 / 800) / (IF(ISBLANK(S1300), 100, IF(ISNA(VLOOKUP(S1300, Lives!$A$2:$C$35, 2, 0)), S1300, VLOOKUP(S1300, Lives!$A$2:$C$35, 2, 0))) * 12) + (IF(ISBLANK(Q1300), 0, IF(ISNA(VLOOKUP(Q1300, Wages!$A$2:$C$17, 2, 0)), Q1300, VLOOKUP(Q1300, Wages!$A$2:$C$17, 2, 0))) * IF(ISBLANK(N1300), 0, IF(ISNA(VLOOKUP(N1300, Crews!$A$2:$C$28, 2, 0)), N1300, VLOOKUP(N1300, Crews!$A$2:$C$28, 2, 0))))) * 400</f>
        <v>0</v>
      </c>
      <c r="K1300" s="1"/>
      <c r="L1300" s="1" t="s">
        <v>2621</v>
      </c>
      <c r="M1300" s="1" t="n">
        <v>0</v>
      </c>
      <c r="N1300" s="1"/>
      <c r="O1300" s="1"/>
      <c r="P1300" s="1"/>
      <c r="Q1300" s="1"/>
      <c r="R1300" s="1"/>
      <c r="S1300" s="1"/>
      <c r="T1300" s="1"/>
    </row>
    <row r="1301" customFormat="false" ht="15" hidden="false" customHeight="true" outlineLevel="0" collapsed="false">
      <c r="A1301" s="1" t="s">
        <v>2622</v>
      </c>
      <c r="B1301" s="1" t="n">
        <v>1922</v>
      </c>
      <c r="C1301" s="1" t="n">
        <v>4</v>
      </c>
      <c r="D1301" s="1" t="s">
        <v>38</v>
      </c>
      <c r="E1301" s="1"/>
      <c r="F1301" s="1" t="n">
        <v>0</v>
      </c>
      <c r="G1301" s="1" t="n">
        <v>160</v>
      </c>
      <c r="H1301" s="2" t="n">
        <v>0</v>
      </c>
      <c r="I1301" s="2" t="n">
        <f aca="false">(((H1301 / 800) / IF(ISBLANK(R1301), 1000000, IF(ISNA(VLOOKUP(R1301, Mileages!$A$2:$C$34, 2, 0)), R1301, VLOOKUP(R1301, Mileages!$A$2:$C$34, 2, 0)))) + (F1301 * IF(ISBLANK(P1301), 1, P1301) * IF(ISBLANK(T1301), 0, IF(ISNA(VLOOKUP(T1301, 'Fuel Costs'!$A$2:$C$42, 2, 0)), T1301, VLOOKUP(T1301, 'Fuel Costs'!$A$2:$C$42, 2, 0))) / IF(ISBLANK(O1301), 1, O1301))) * 100</f>
        <v>0</v>
      </c>
      <c r="J1301" s="2" t="n">
        <f aca="false">((H1301 / 800) / (IF(ISBLANK(S1301), 100, IF(ISNA(VLOOKUP(S1301, Lives!$A$2:$C$35, 2, 0)), S1301, VLOOKUP(S1301, Lives!$A$2:$C$35, 2, 0))) * 12) + (IF(ISBLANK(Q1301), 0, IF(ISNA(VLOOKUP(Q1301, Wages!$A$2:$C$17, 2, 0)), Q1301, VLOOKUP(Q1301, Wages!$A$2:$C$17, 2, 0))) * IF(ISBLANK(N1301), 0, IF(ISNA(VLOOKUP(N1301, Crews!$A$2:$C$28, 2, 0)), N1301, VLOOKUP(N1301, Crews!$A$2:$C$28, 2, 0))))) * 400</f>
        <v>0</v>
      </c>
      <c r="K1301" s="1"/>
      <c r="L1301" s="1" t="s">
        <v>2623</v>
      </c>
      <c r="M1301" s="1" t="n">
        <v>0</v>
      </c>
      <c r="N1301" s="1"/>
      <c r="O1301" s="1"/>
      <c r="P1301" s="1"/>
      <c r="Q1301" s="1"/>
      <c r="R1301" s="1"/>
      <c r="S1301" s="1"/>
      <c r="T1301" s="1"/>
    </row>
    <row r="1302" customFormat="false" ht="15" hidden="false" customHeight="true" outlineLevel="0" collapsed="false">
      <c r="A1302" s="1" t="s">
        <v>2624</v>
      </c>
      <c r="B1302" s="1" t="n">
        <v>1922</v>
      </c>
      <c r="C1302" s="1" t="n">
        <v>4</v>
      </c>
      <c r="D1302" s="1" t="s">
        <v>38</v>
      </c>
      <c r="E1302" s="1" t="s">
        <v>274</v>
      </c>
      <c r="F1302" s="1" t="n">
        <v>433</v>
      </c>
      <c r="G1302" s="1" t="n">
        <v>142</v>
      </c>
      <c r="H1302" s="2" t="n">
        <v>11491200</v>
      </c>
      <c r="I1302" s="2" t="n">
        <f aca="false">(((H1302 / 800) / IF(ISBLANK(R1302), 1000000, IF(ISNA(VLOOKUP(R1302, Mileages!$A$2:$C$34, 2, 0)), R1302, VLOOKUP(R1302, Mileages!$A$2:$C$34, 2, 0)))) + (F1302 * IF(ISBLANK(P1302), 1, P1302) * IF(ISBLANK(T1302), 0, IF(ISNA(VLOOKUP(T1302, 'Fuel Costs'!$A$2:$C$42, 2, 0)), T1302, VLOOKUP(T1302, 'Fuel Costs'!$A$2:$C$42, 2, 0))) / IF(ISBLANK(O1302), 1, O1302))) * 100</f>
        <v>248.8649714</v>
      </c>
      <c r="J1302" s="2" t="n">
        <f aca="false">((H1302 / 800) / (IF(ISBLANK(S1302), 100, IF(ISNA(VLOOKUP(S1302, Lives!$A$2:$C$35, 2, 0)), S1302, VLOOKUP(S1302, Lives!$A$2:$C$35, 2, 0))) * 12) + (IF(ISBLANK(Q1302), 0, IF(ISNA(VLOOKUP(Q1302, Wages!$A$2:$C$17, 2, 0)), Q1302, VLOOKUP(Q1302, Wages!$A$2:$C$17, 2, 0))) * IF(ISBLANK(N1302), 0, IF(ISNA(VLOOKUP(N1302, Crews!$A$2:$C$28, 2, 0)), N1302, VLOOKUP(N1302, Crews!$A$2:$C$28, 2, 0))))) * 400</f>
        <v>49576</v>
      </c>
      <c r="K1302" s="1" t="s">
        <v>1692</v>
      </c>
      <c r="L1302" s="1" t="s">
        <v>2625</v>
      </c>
      <c r="M1302" s="1" t="n">
        <v>0</v>
      </c>
      <c r="N1302" s="1" t="s">
        <v>1705</v>
      </c>
      <c r="O1302" s="1" t="n">
        <v>0.7</v>
      </c>
      <c r="P1302" s="1"/>
      <c r="Q1302" s="5" t="s">
        <v>284</v>
      </c>
      <c r="R1302" s="1" t="s">
        <v>677</v>
      </c>
      <c r="S1302" s="1" t="s">
        <v>677</v>
      </c>
      <c r="T1302" s="1" t="s">
        <v>2252</v>
      </c>
    </row>
    <row r="1303" customFormat="false" ht="15" hidden="false" customHeight="true" outlineLevel="0" collapsed="false">
      <c r="A1303" s="1" t="s">
        <v>2626</v>
      </c>
      <c r="B1303" s="1" t="n">
        <v>1922</v>
      </c>
      <c r="C1303" s="1" t="n">
        <v>4</v>
      </c>
      <c r="D1303" s="1" t="s">
        <v>38</v>
      </c>
      <c r="E1303" s="1" t="s">
        <v>274</v>
      </c>
      <c r="F1303" s="1" t="n">
        <v>582</v>
      </c>
      <c r="G1303" s="1" t="n">
        <v>155</v>
      </c>
      <c r="H1303" s="2" t="n">
        <v>11276400</v>
      </c>
      <c r="I1303" s="2" t="n">
        <f aca="false">(((H1303 / 800) / IF(ISBLANK(R1303), 1000000, IF(ISNA(VLOOKUP(R1303, Mileages!$A$2:$C$34, 2, 0)), R1303, VLOOKUP(R1303, Mileages!$A$2:$C$34, 2, 0)))) + (F1303 * IF(ISBLANK(P1303), 1, P1303) * IF(ISBLANK(T1303), 0, IF(ISNA(VLOOKUP(T1303, 'Fuel Costs'!$A$2:$C$42, 2, 0)), T1303, VLOOKUP(T1303, 'Fuel Costs'!$A$2:$C$42, 2, 0))) / IF(ISBLANK(O1303), 1, O1303))) * 100</f>
        <v>334.9206786</v>
      </c>
      <c r="J1303" s="2" t="n">
        <f aca="false">((H1303 / 800) / (IF(ISBLANK(S1303), 100, IF(ISNA(VLOOKUP(S1303, Lives!$A$2:$C$35, 2, 0)), S1303, VLOOKUP(S1303, Lives!$A$2:$C$35, 2, 0))) * 12) + (IF(ISBLANK(Q1303), 0, IF(ISNA(VLOOKUP(Q1303, Wages!$A$2:$C$17, 2, 0)), Q1303, VLOOKUP(Q1303, Wages!$A$2:$C$17, 2, 0))) * IF(ISBLANK(N1303), 0, IF(ISNA(VLOOKUP(N1303, Crews!$A$2:$C$28, 2, 0)), N1303, VLOOKUP(N1303, Crews!$A$2:$C$28, 2, 0))))) * 400</f>
        <v>63492.5</v>
      </c>
      <c r="K1303" s="3" t="s">
        <v>2627</v>
      </c>
      <c r="L1303" s="1" t="s">
        <v>2628</v>
      </c>
      <c r="M1303" s="1" t="n">
        <v>0</v>
      </c>
      <c r="N1303" s="1" t="s">
        <v>1705</v>
      </c>
      <c r="O1303" s="1" t="n">
        <v>0.7</v>
      </c>
      <c r="P1303" s="1"/>
      <c r="Q1303" s="5" t="s">
        <v>284</v>
      </c>
      <c r="R1303" s="1" t="s">
        <v>2617</v>
      </c>
      <c r="S1303" s="1" t="s">
        <v>2617</v>
      </c>
      <c r="T1303" s="1" t="s">
        <v>2252</v>
      </c>
    </row>
    <row r="1304" customFormat="false" ht="15" hidden="false" customHeight="true" outlineLevel="0" collapsed="false">
      <c r="A1304" s="1" t="s">
        <v>2629</v>
      </c>
      <c r="B1304" s="1" t="n">
        <v>1922</v>
      </c>
      <c r="C1304" s="1" t="n">
        <v>5</v>
      </c>
      <c r="D1304" s="1" t="s">
        <v>38</v>
      </c>
      <c r="E1304" s="1" t="s">
        <v>1346</v>
      </c>
      <c r="F1304" s="1" t="n">
        <v>1342</v>
      </c>
      <c r="G1304" s="1" t="n">
        <v>105</v>
      </c>
      <c r="H1304" s="2" t="n">
        <v>6570000</v>
      </c>
      <c r="I1304" s="2" t="n">
        <f aca="false">(((H1304 / 800) / IF(ISBLANK(R1304), 1000000, IF(ISNA(VLOOKUP(R1304, Mileages!$A$2:$C$34, 2, 0)), R1304, VLOOKUP(R1304, Mileages!$A$2:$C$34, 2, 0)))) + (F1304 * IF(ISBLANK(P1304), 1, P1304) * IF(ISBLANK(T1304), 0, IF(ISNA(VLOOKUP(T1304, 'Fuel Costs'!$A$2:$C$42, 2, 0)), T1304, VLOOKUP(T1304, 'Fuel Costs'!$A$2:$C$42, 2, 0))) / IF(ISBLANK(O1304), 1, O1304))) * 100</f>
        <v>537.62125</v>
      </c>
      <c r="J1304" s="2" t="n">
        <f aca="false">((H1304 / 800) / (IF(ISBLANK(S1304), 100, IF(ISNA(VLOOKUP(S1304, Lives!$A$2:$C$35, 2, 0)), S1304, VLOOKUP(S1304, Lives!$A$2:$C$35, 2, 0))) * 12) + (IF(ISBLANK(Q1304), 0, IF(ISNA(VLOOKUP(Q1304, Wages!$A$2:$C$17, 2, 0)), Q1304, VLOOKUP(Q1304, Wages!$A$2:$C$17, 2, 0))) * IF(ISBLANK(N1304), 0, IF(ISNA(VLOOKUP(N1304, Crews!$A$2:$C$28, 2, 0)), N1304, VLOOKUP(N1304, Crews!$A$2:$C$28, 2, 0))))) * 400</f>
        <v>14562.5</v>
      </c>
      <c r="K1304" s="1" t="s">
        <v>2048</v>
      </c>
      <c r="L1304" s="1" t="s">
        <v>2630</v>
      </c>
      <c r="M1304" s="1" t="n">
        <v>0</v>
      </c>
      <c r="N1304" s="1" t="s">
        <v>1488</v>
      </c>
      <c r="O1304" s="1" t="n">
        <v>1</v>
      </c>
      <c r="P1304" s="1"/>
      <c r="Q1304" s="1" t="str">
        <f aca="false">IF(ISBLANK('Pak128 Britain In'!$N1304),,'Pak128 Britain In'!$N1304)</f>
        <v>ElectricDriverRail</v>
      </c>
      <c r="R1304" s="1" t="s">
        <v>1349</v>
      </c>
      <c r="S1304" s="1" t="s">
        <v>1349</v>
      </c>
      <c r="T1304" s="1" t="s">
        <v>2580</v>
      </c>
    </row>
    <row r="1305" customFormat="false" ht="15" hidden="false" customHeight="true" outlineLevel="0" collapsed="false">
      <c r="A1305" s="1" t="s">
        <v>2631</v>
      </c>
      <c r="B1305" s="1" t="n">
        <v>1922</v>
      </c>
      <c r="C1305" s="1" t="n">
        <v>6</v>
      </c>
      <c r="D1305" s="1" t="s">
        <v>38</v>
      </c>
      <c r="E1305" s="1"/>
      <c r="F1305" s="1"/>
      <c r="G1305" s="1" t="n">
        <v>160</v>
      </c>
      <c r="H1305" s="2" t="n">
        <v>675000</v>
      </c>
      <c r="I1305" s="2" t="n">
        <f aca="false">(((H1305 / 800) / IF(ISBLANK(R1305), 1000000, IF(ISNA(VLOOKUP(R1305, Mileages!$A$2:$C$34, 2, 0)), R1305, VLOOKUP(R1305, Mileages!$A$2:$C$34, 2, 0)))) + (F1305 * IF(ISBLANK(P1305), 1, P1305) * IF(ISBLANK(T1305), 0, IF(ISNA(VLOOKUP(T1305, 'Fuel Costs'!$A$2:$C$42, 2, 0)), T1305, VLOOKUP(T1305, 'Fuel Costs'!$A$2:$C$42, 2, 0))) / IF(ISBLANK(O1305), 1, O1305))) * 100</f>
        <v>0.0703125</v>
      </c>
      <c r="J1305" s="2" t="n">
        <f aca="false">((H1305 / 800) / (IF(ISBLANK(S1305), 100, IF(ISNA(VLOOKUP(S1305, Lives!$A$2:$C$35, 2, 0)), S1305, VLOOKUP(S1305, Lives!$A$2:$C$35, 2, 0))) * 12) + (IF(ISBLANK(Q1305), 0, IF(ISNA(VLOOKUP(Q1305, Wages!$A$2:$C$17, 2, 0)), Q1305, VLOOKUP(Q1305, Wages!$A$2:$C$17, 2, 0))) * IF(ISBLANK(N1305), 0, IF(ISNA(VLOOKUP(N1305, Crews!$A$2:$C$28, 2, 0)), N1305, VLOOKUP(N1305, Crews!$A$2:$C$28, 2, 0))))) * 400</f>
        <v>18803.57143</v>
      </c>
      <c r="K1305" s="1"/>
      <c r="L1305" s="1" t="s">
        <v>2598</v>
      </c>
      <c r="M1305" s="1" t="n">
        <v>1</v>
      </c>
      <c r="N1305" s="1" t="s">
        <v>1481</v>
      </c>
      <c r="O1305" s="1"/>
      <c r="P1305" s="1"/>
      <c r="Q1305" s="1" t="s">
        <v>1481</v>
      </c>
      <c r="R1305" s="1" t="s">
        <v>689</v>
      </c>
      <c r="S1305" s="1" t="s">
        <v>856</v>
      </c>
      <c r="T1305" s="1"/>
    </row>
    <row r="1306" customFormat="false" ht="15" hidden="false" customHeight="true" outlineLevel="0" collapsed="false">
      <c r="A1306" s="1" t="s">
        <v>2632</v>
      </c>
      <c r="B1306" s="1" t="n">
        <v>1922</v>
      </c>
      <c r="C1306" s="1" t="n">
        <v>8</v>
      </c>
      <c r="D1306" s="1" t="s">
        <v>38</v>
      </c>
      <c r="E1306" s="1" t="s">
        <v>274</v>
      </c>
      <c r="F1306" s="1" t="n">
        <v>360</v>
      </c>
      <c r="G1306" s="1" t="n">
        <v>150</v>
      </c>
      <c r="H1306" s="2" t="n">
        <v>5900000</v>
      </c>
      <c r="I1306" s="2" t="n">
        <f aca="false">(((H1306 / 800) / IF(ISBLANK(R1306), 1000000, IF(ISNA(VLOOKUP(R1306, Mileages!$A$2:$C$34, 2, 0)), R1306, VLOOKUP(R1306, Mileages!$A$2:$C$34, 2, 0)))) + (F1306 * IF(ISBLANK(P1306), 1, P1306) * IF(ISBLANK(T1306), 0, IF(ISNA(VLOOKUP(T1306, 'Fuel Costs'!$A$2:$C$42, 2, 0)), T1306, VLOOKUP(T1306, 'Fuel Costs'!$A$2:$C$42, 2, 0))) / IF(ISBLANK(O1306), 1, O1306))) * 100</f>
        <v>206.4517857</v>
      </c>
      <c r="J1306" s="2" t="n">
        <f aca="false">((H1306 / 800) / (IF(ISBLANK(S1306), 100, IF(ISNA(VLOOKUP(S1306, Lives!$A$2:$C$35, 2, 0)), S1306, VLOOKUP(S1306, Lives!$A$2:$C$35, 2, 0))) * 12) + (IF(ISBLANK(Q1306), 0, IF(ISNA(VLOOKUP(Q1306, Wages!$A$2:$C$17, 2, 0)), Q1306, VLOOKUP(Q1306, Wages!$A$2:$C$17, 2, 0))) * IF(ISBLANK(N1306), 0, IF(ISNA(VLOOKUP(N1306, Crews!$A$2:$C$28, 2, 0)), N1306, VLOOKUP(N1306, Crews!$A$2:$C$28, 2, 0))))) * 400</f>
        <v>44916.66667</v>
      </c>
      <c r="K1306" s="3" t="s">
        <v>2633</v>
      </c>
      <c r="L1306" s="1" t="s">
        <v>2634</v>
      </c>
      <c r="M1306" s="1" t="n">
        <v>0</v>
      </c>
      <c r="N1306" s="1" t="s">
        <v>1705</v>
      </c>
      <c r="O1306" s="1" t="n">
        <v>0.7</v>
      </c>
      <c r="P1306" s="1"/>
      <c r="Q1306" s="5" t="s">
        <v>284</v>
      </c>
      <c r="R1306" s="1" t="s">
        <v>677</v>
      </c>
      <c r="S1306" s="1" t="s">
        <v>677</v>
      </c>
      <c r="T1306" s="1" t="s">
        <v>2252</v>
      </c>
    </row>
    <row r="1307" customFormat="false" ht="15" hidden="false" customHeight="true" outlineLevel="0" collapsed="false">
      <c r="A1307" s="1" t="s">
        <v>2635</v>
      </c>
      <c r="B1307" s="1" t="n">
        <v>1922</v>
      </c>
      <c r="C1307" s="1" t="n">
        <v>8</v>
      </c>
      <c r="D1307" s="1" t="s">
        <v>38</v>
      </c>
      <c r="E1307" s="1"/>
      <c r="F1307" s="1" t="n">
        <v>0</v>
      </c>
      <c r="G1307" s="1" t="n">
        <v>160</v>
      </c>
      <c r="H1307" s="2" t="n">
        <v>0</v>
      </c>
      <c r="I1307" s="2" t="n">
        <f aca="false">(((H1307 / 800) / IF(ISBLANK(R1307), 1000000, IF(ISNA(VLOOKUP(R1307, Mileages!$A$2:$C$34, 2, 0)), R1307, VLOOKUP(R1307, Mileages!$A$2:$C$34, 2, 0)))) + (F1307 * IF(ISBLANK(P1307), 1, P1307) * IF(ISBLANK(T1307), 0, IF(ISNA(VLOOKUP(T1307, 'Fuel Costs'!$A$2:$C$42, 2, 0)), T1307, VLOOKUP(T1307, 'Fuel Costs'!$A$2:$C$42, 2, 0))) / IF(ISBLANK(O1307), 1, O1307))) * 100</f>
        <v>0</v>
      </c>
      <c r="J1307" s="2" t="n">
        <f aca="false">((H1307 / 800) / (IF(ISBLANK(S1307), 100, IF(ISNA(VLOOKUP(S1307, Lives!$A$2:$C$35, 2, 0)), S1307, VLOOKUP(S1307, Lives!$A$2:$C$35, 2, 0))) * 12) + (IF(ISBLANK(Q1307), 0, IF(ISNA(VLOOKUP(Q1307, Wages!$A$2:$C$17, 2, 0)), Q1307, VLOOKUP(Q1307, Wages!$A$2:$C$17, 2, 0))) * IF(ISBLANK(N1307), 0, IF(ISNA(VLOOKUP(N1307, Crews!$A$2:$C$28, 2, 0)), N1307, VLOOKUP(N1307, Crews!$A$2:$C$28, 2, 0))))) * 400</f>
        <v>0</v>
      </c>
      <c r="K1307" s="1"/>
      <c r="L1307" s="1" t="s">
        <v>2636</v>
      </c>
      <c r="M1307" s="1" t="n">
        <v>0</v>
      </c>
      <c r="N1307" s="1"/>
      <c r="O1307" s="1"/>
      <c r="P1307" s="1"/>
      <c r="Q1307" s="1"/>
      <c r="R1307" s="1"/>
      <c r="S1307" s="1"/>
      <c r="T1307" s="1"/>
    </row>
    <row r="1308" customFormat="false" ht="15" hidden="false" customHeight="true" outlineLevel="0" collapsed="false">
      <c r="A1308" s="1" t="s">
        <v>2637</v>
      </c>
      <c r="B1308" s="1" t="n">
        <v>1922</v>
      </c>
      <c r="C1308" s="1" t="n">
        <v>8</v>
      </c>
      <c r="D1308" s="1" t="s">
        <v>38</v>
      </c>
      <c r="E1308" s="1"/>
      <c r="F1308" s="1" t="n">
        <v>0</v>
      </c>
      <c r="G1308" s="1" t="n">
        <v>160</v>
      </c>
      <c r="H1308" s="2" t="n">
        <v>0</v>
      </c>
      <c r="I1308" s="2" t="n">
        <f aca="false">(((H1308 / 800) / IF(ISBLANK(R1308), 1000000, IF(ISNA(VLOOKUP(R1308, Mileages!$A$2:$C$34, 2, 0)), R1308, VLOOKUP(R1308, Mileages!$A$2:$C$34, 2, 0)))) + (F1308 * IF(ISBLANK(P1308), 1, P1308) * IF(ISBLANK(T1308), 0, IF(ISNA(VLOOKUP(T1308, 'Fuel Costs'!$A$2:$C$42, 2, 0)), T1308, VLOOKUP(T1308, 'Fuel Costs'!$A$2:$C$42, 2, 0))) / IF(ISBLANK(O1308), 1, O1308))) * 100</f>
        <v>0</v>
      </c>
      <c r="J1308" s="2" t="n">
        <f aca="false">((H1308 / 800) / (IF(ISBLANK(S1308), 100, IF(ISNA(VLOOKUP(S1308, Lives!$A$2:$C$35, 2, 0)), S1308, VLOOKUP(S1308, Lives!$A$2:$C$35, 2, 0))) * 12) + (IF(ISBLANK(Q1308), 0, IF(ISNA(VLOOKUP(Q1308, Wages!$A$2:$C$17, 2, 0)), Q1308, VLOOKUP(Q1308, Wages!$A$2:$C$17, 2, 0))) * IF(ISBLANK(N1308), 0, IF(ISNA(VLOOKUP(N1308, Crews!$A$2:$C$28, 2, 0)), N1308, VLOOKUP(N1308, Crews!$A$2:$C$28, 2, 0))))) * 400</f>
        <v>0</v>
      </c>
      <c r="K1308" s="1"/>
      <c r="L1308" s="1" t="s">
        <v>2636</v>
      </c>
      <c r="M1308" s="1" t="n">
        <v>1</v>
      </c>
      <c r="N1308" s="1"/>
      <c r="O1308" s="1"/>
      <c r="P1308" s="1"/>
      <c r="Q1308" s="1"/>
      <c r="R1308" s="1"/>
      <c r="S1308" s="1"/>
      <c r="T1308" s="1"/>
    </row>
    <row r="1309" customFormat="false" ht="15" hidden="false" customHeight="true" outlineLevel="0" collapsed="false">
      <c r="A1309" s="1" t="s">
        <v>2638</v>
      </c>
      <c r="B1309" s="1" t="n">
        <v>1922</v>
      </c>
      <c r="C1309" s="1" t="n">
        <v>8</v>
      </c>
      <c r="D1309" s="1" t="s">
        <v>38</v>
      </c>
      <c r="E1309" s="1"/>
      <c r="F1309" s="1" t="n">
        <v>0</v>
      </c>
      <c r="G1309" s="1" t="n">
        <v>160</v>
      </c>
      <c r="H1309" s="2" t="n">
        <v>0</v>
      </c>
      <c r="I1309" s="2" t="n">
        <f aca="false">(((H1309 / 800) / IF(ISBLANK(R1309), 1000000, IF(ISNA(VLOOKUP(R1309, Mileages!$A$2:$C$34, 2, 0)), R1309, VLOOKUP(R1309, Mileages!$A$2:$C$34, 2, 0)))) + (F1309 * IF(ISBLANK(P1309), 1, P1309) * IF(ISBLANK(T1309), 0, IF(ISNA(VLOOKUP(T1309, 'Fuel Costs'!$A$2:$C$42, 2, 0)), T1309, VLOOKUP(T1309, 'Fuel Costs'!$A$2:$C$42, 2, 0))) / IF(ISBLANK(O1309), 1, O1309))) * 100</f>
        <v>0</v>
      </c>
      <c r="J1309" s="2" t="n">
        <f aca="false">((H1309 / 800) / (IF(ISBLANK(S1309), 100, IF(ISNA(VLOOKUP(S1309, Lives!$A$2:$C$35, 2, 0)), S1309, VLOOKUP(S1309, Lives!$A$2:$C$35, 2, 0))) * 12) + (IF(ISBLANK(Q1309), 0, IF(ISNA(VLOOKUP(Q1309, Wages!$A$2:$C$17, 2, 0)), Q1309, VLOOKUP(Q1309, Wages!$A$2:$C$17, 2, 0))) * IF(ISBLANK(N1309), 0, IF(ISNA(VLOOKUP(N1309, Crews!$A$2:$C$28, 2, 0)), N1309, VLOOKUP(N1309, Crews!$A$2:$C$28, 2, 0))))) * 400</f>
        <v>0</v>
      </c>
      <c r="K1309" s="1"/>
      <c r="L1309" s="1" t="s">
        <v>2636</v>
      </c>
      <c r="M1309" s="1" t="n">
        <v>2</v>
      </c>
      <c r="N1309" s="1"/>
      <c r="O1309" s="1"/>
      <c r="P1309" s="1"/>
      <c r="Q1309" s="1"/>
      <c r="R1309" s="1"/>
      <c r="S1309" s="1"/>
      <c r="T1309" s="1"/>
    </row>
    <row r="1310" customFormat="false" ht="15" hidden="false" customHeight="true" outlineLevel="0" collapsed="false">
      <c r="A1310" s="1" t="s">
        <v>2639</v>
      </c>
      <c r="B1310" s="1" t="n">
        <v>1922</v>
      </c>
      <c r="C1310" s="1" t="n">
        <v>12</v>
      </c>
      <c r="D1310" s="1" t="s">
        <v>38</v>
      </c>
      <c r="E1310" s="1" t="s">
        <v>274</v>
      </c>
      <c r="F1310" s="1" t="n">
        <v>345</v>
      </c>
      <c r="G1310" s="1" t="n">
        <v>107</v>
      </c>
      <c r="H1310" s="2" t="n">
        <v>7400000</v>
      </c>
      <c r="I1310" s="2" t="n">
        <f aca="false">(((H1310 / 800) / IF(ISBLANK(R1310), 1000000, IF(ISNA(VLOOKUP(R1310, Mileages!$A$2:$C$34, 2, 0)), R1310, VLOOKUP(R1310, Mileages!$A$2:$C$34, 2, 0)))) + (F1310 * IF(ISBLANK(P1310), 1, P1310) * IF(ISBLANK(T1310), 0, IF(ISNA(VLOOKUP(T1310, 'Fuel Costs'!$A$2:$C$42, 2, 0)), T1310, VLOOKUP(T1310, 'Fuel Costs'!$A$2:$C$42, 2, 0))) / IF(ISBLANK(O1310), 1, O1310))) * 100</f>
        <v>198.0678571</v>
      </c>
      <c r="J1310" s="2" t="n">
        <f aca="false">((H1310 / 800) / (IF(ISBLANK(S1310), 100, IF(ISNA(VLOOKUP(S1310, Lives!$A$2:$C$35, 2, 0)), S1310, VLOOKUP(S1310, Lives!$A$2:$C$35, 2, 0))) * 12) + (IF(ISBLANK(Q1310), 0, IF(ISNA(VLOOKUP(Q1310, Wages!$A$2:$C$17, 2, 0)), Q1310, VLOOKUP(Q1310, Wages!$A$2:$C$17, 2, 0))) * IF(ISBLANK(N1310), 0, IF(ISNA(VLOOKUP(N1310, Crews!$A$2:$C$28, 2, 0)), N1310, VLOOKUP(N1310, Crews!$A$2:$C$28, 2, 0))))) * 400</f>
        <v>46166.66667</v>
      </c>
      <c r="K1310" s="3" t="s">
        <v>2640</v>
      </c>
      <c r="L1310" s="1" t="s">
        <v>2641</v>
      </c>
      <c r="M1310" s="1" t="n">
        <v>0</v>
      </c>
      <c r="N1310" s="1" t="s">
        <v>1705</v>
      </c>
      <c r="O1310" s="1" t="n">
        <v>0.7</v>
      </c>
      <c r="P1310" s="1"/>
      <c r="Q1310" s="5" t="s">
        <v>284</v>
      </c>
      <c r="R1310" s="1" t="s">
        <v>677</v>
      </c>
      <c r="S1310" s="1" t="s">
        <v>677</v>
      </c>
      <c r="T1310" s="1" t="s">
        <v>2252</v>
      </c>
    </row>
    <row r="1311" customFormat="false" ht="15" hidden="false" customHeight="true" outlineLevel="0" collapsed="false">
      <c r="A1311" s="1" t="s">
        <v>2642</v>
      </c>
      <c r="B1311" s="1" t="n">
        <v>1923</v>
      </c>
      <c r="C1311" s="1" t="n">
        <v>1</v>
      </c>
      <c r="D1311" s="1" t="s">
        <v>21</v>
      </c>
      <c r="E1311" s="1" t="s">
        <v>1839</v>
      </c>
      <c r="F1311" s="1" t="n">
        <v>36</v>
      </c>
      <c r="G1311" s="1" t="n">
        <v>20</v>
      </c>
      <c r="H1311" s="2" t="n">
        <v>106000</v>
      </c>
      <c r="I1311" s="2" t="n">
        <f aca="false">(((H1311 / 800) / IF(ISBLANK(R1311), 1000000, IF(ISNA(VLOOKUP(R1311, Mileages!$A$2:$C$34, 2, 0)), R1311, VLOOKUP(R1311, Mileages!$A$2:$C$34, 2, 0)))) + (F1311 * IF(ISBLANK(P1311), 1, P1311) * IF(ISBLANK(T1311), 0, IF(ISNA(VLOOKUP(T1311, 'Fuel Costs'!$A$2:$C$42, 2, 0)), T1311, VLOOKUP(T1311, 'Fuel Costs'!$A$2:$C$42, 2, 0))) / IF(ISBLANK(O1311), 1, O1311))) * 100</f>
        <v>36.0265</v>
      </c>
      <c r="J1311" s="2" t="n">
        <f aca="false">((H1311 / 800) / (IF(ISBLANK(S1311), 100, IF(ISNA(VLOOKUP(S1311, Lives!$A$2:$C$35, 2, 0)), S1311, VLOOKUP(S1311, Lives!$A$2:$C$35, 2, 0))) * 12) + (IF(ISBLANK(Q1311), 0, IF(ISNA(VLOOKUP(Q1311, Wages!$A$2:$C$17, 2, 0)), Q1311, VLOOKUP(Q1311, Wages!$A$2:$C$17, 2, 0))) * IF(ISBLANK(N1311), 0, IF(ISNA(VLOOKUP(N1311, Crews!$A$2:$C$28, 2, 0)), N1311, VLOOKUP(N1311, Crews!$A$2:$C$28, 2, 0))))) * 400</f>
        <v>8055.208333</v>
      </c>
      <c r="K1311" s="3" t="s">
        <v>2643</v>
      </c>
      <c r="L1311" s="1" t="s">
        <v>2644</v>
      </c>
      <c r="M1311" s="1" t="n">
        <v>0</v>
      </c>
      <c r="N1311" s="1" t="s">
        <v>25</v>
      </c>
      <c r="O1311" s="1" t="n">
        <v>0.6</v>
      </c>
      <c r="P1311" s="1"/>
      <c r="Q1311" s="1" t="s">
        <v>1815</v>
      </c>
      <c r="R1311" s="1" t="s">
        <v>1842</v>
      </c>
      <c r="S1311" s="1" t="s">
        <v>1843</v>
      </c>
      <c r="T1311" s="1" t="s">
        <v>2534</v>
      </c>
    </row>
    <row r="1312" customFormat="false" ht="15" hidden="false" customHeight="true" outlineLevel="0" collapsed="false">
      <c r="A1312" s="1" t="s">
        <v>2645</v>
      </c>
      <c r="B1312" s="1" t="n">
        <v>1923</v>
      </c>
      <c r="C1312" s="1" t="n">
        <v>1</v>
      </c>
      <c r="D1312" s="1" t="s">
        <v>38</v>
      </c>
      <c r="E1312" s="1"/>
      <c r="F1312" s="1"/>
      <c r="G1312" s="1" t="n">
        <v>175</v>
      </c>
      <c r="H1312" s="2" t="n">
        <v>760000</v>
      </c>
      <c r="I1312" s="2" t="n">
        <f aca="false">(((H1312 / 800) / IF(ISBLANK(R1312), 1000000, IF(ISNA(VLOOKUP(R1312, Mileages!$A$2:$C$34, 2, 0)), R1312, VLOOKUP(R1312, Mileages!$A$2:$C$34, 2, 0)))) + (F1312 * IF(ISBLANK(P1312), 1, P1312) * IF(ISBLANK(T1312), 0, IF(ISNA(VLOOKUP(T1312, 'Fuel Costs'!$A$2:$C$42, 2, 0)), T1312, VLOOKUP(T1312, 'Fuel Costs'!$A$2:$C$42, 2, 0))) / IF(ISBLANK(O1312), 1, O1312))) * 100</f>
        <v>0.07916666667</v>
      </c>
      <c r="J1312" s="2" t="n">
        <f aca="false">((H1312 / 800) / (IF(ISBLANK(S1312), 100, IF(ISNA(VLOOKUP(S1312, Lives!$A$2:$C$35, 2, 0)), S1312, VLOOKUP(S1312, Lives!$A$2:$C$35, 2, 0))) * 12) + (IF(ISBLANK(Q1312), 0, IF(ISNA(VLOOKUP(Q1312, Wages!$A$2:$C$17, 2, 0)), Q1312, VLOOKUP(Q1312, Wages!$A$2:$C$17, 2, 0))) * IF(ISBLANK(N1312), 0, IF(ISNA(VLOOKUP(N1312, Crews!$A$2:$C$28, 2, 0)), N1312, VLOOKUP(N1312, Crews!$A$2:$C$28, 2, 0))))) * 400</f>
        <v>904.7619048</v>
      </c>
      <c r="K1312" s="1"/>
      <c r="L1312" s="1" t="s">
        <v>2646</v>
      </c>
      <c r="M1312" s="1" t="n">
        <v>0</v>
      </c>
      <c r="N1312" s="1"/>
      <c r="O1312" s="1"/>
      <c r="P1312" s="1"/>
      <c r="Q1312" s="1"/>
      <c r="R1312" s="1" t="s">
        <v>689</v>
      </c>
      <c r="S1312" s="1" t="s">
        <v>856</v>
      </c>
      <c r="T1312" s="1"/>
    </row>
    <row r="1313" customFormat="false" ht="15" hidden="false" customHeight="true" outlineLevel="0" collapsed="false">
      <c r="A1313" s="1" t="s">
        <v>2647</v>
      </c>
      <c r="B1313" s="1" t="n">
        <v>1923</v>
      </c>
      <c r="C1313" s="1" t="n">
        <v>1</v>
      </c>
      <c r="D1313" s="1" t="s">
        <v>38</v>
      </c>
      <c r="E1313" s="1"/>
      <c r="F1313" s="1"/>
      <c r="G1313" s="1" t="n">
        <v>175</v>
      </c>
      <c r="H1313" s="2" t="n">
        <v>760000</v>
      </c>
      <c r="I1313" s="2" t="n">
        <f aca="false">(((H1313 / 800) / IF(ISBLANK(R1313), 1000000, IF(ISNA(VLOOKUP(R1313, Mileages!$A$2:$C$34, 2, 0)), R1313, VLOOKUP(R1313, Mileages!$A$2:$C$34, 2, 0)))) + (F1313 * IF(ISBLANK(P1313), 1, P1313) * IF(ISBLANK(T1313), 0, IF(ISNA(VLOOKUP(T1313, 'Fuel Costs'!$A$2:$C$42, 2, 0)), T1313, VLOOKUP(T1313, 'Fuel Costs'!$A$2:$C$42, 2, 0))) / IF(ISBLANK(O1313), 1, O1313))) * 100</f>
        <v>0.07916666667</v>
      </c>
      <c r="J1313" s="2" t="n">
        <f aca="false">((H1313 / 800) / (IF(ISBLANK(S1313), 100, IF(ISNA(VLOOKUP(S1313, Lives!$A$2:$C$35, 2, 0)), S1313, VLOOKUP(S1313, Lives!$A$2:$C$35, 2, 0))) * 12) + (IF(ISBLANK(Q1313), 0, IF(ISNA(VLOOKUP(Q1313, Wages!$A$2:$C$17, 2, 0)), Q1313, VLOOKUP(Q1313, Wages!$A$2:$C$17, 2, 0))) * IF(ISBLANK(N1313), 0, IF(ISNA(VLOOKUP(N1313, Crews!$A$2:$C$28, 2, 0)), N1313, VLOOKUP(N1313, Crews!$A$2:$C$28, 2, 0))))) * 400</f>
        <v>18904.7619</v>
      </c>
      <c r="K1313" s="1"/>
      <c r="L1313" s="1" t="s">
        <v>2646</v>
      </c>
      <c r="M1313" s="1" t="n">
        <v>1</v>
      </c>
      <c r="N1313" s="1" t="s">
        <v>1481</v>
      </c>
      <c r="O1313" s="1"/>
      <c r="P1313" s="1"/>
      <c r="Q1313" s="1" t="s">
        <v>1481</v>
      </c>
      <c r="R1313" s="1" t="s">
        <v>689</v>
      </c>
      <c r="S1313" s="1" t="s">
        <v>856</v>
      </c>
      <c r="T1313" s="1"/>
    </row>
    <row r="1314" customFormat="false" ht="15" hidden="false" customHeight="true" outlineLevel="0" collapsed="false">
      <c r="A1314" s="1" t="s">
        <v>2648</v>
      </c>
      <c r="B1314" s="1" t="n">
        <v>1923</v>
      </c>
      <c r="C1314" s="1" t="n">
        <v>1</v>
      </c>
      <c r="D1314" s="1" t="s">
        <v>38</v>
      </c>
      <c r="E1314" s="1"/>
      <c r="F1314" s="1"/>
      <c r="G1314" s="1" t="n">
        <v>175</v>
      </c>
      <c r="H1314" s="2" t="n">
        <v>742000</v>
      </c>
      <c r="I1314" s="2" t="n">
        <f aca="false">(((H1314 / 800) / IF(ISBLANK(R1314), 1000000, IF(ISNA(VLOOKUP(R1314, Mileages!$A$2:$C$34, 2, 0)), R1314, VLOOKUP(R1314, Mileages!$A$2:$C$34, 2, 0)))) + (F1314 * IF(ISBLANK(P1314), 1, P1314) * IF(ISBLANK(T1314), 0, IF(ISNA(VLOOKUP(T1314, 'Fuel Costs'!$A$2:$C$42, 2, 0)), T1314, VLOOKUP(T1314, 'Fuel Costs'!$A$2:$C$42, 2, 0))) / IF(ISBLANK(O1314), 1, O1314))) * 100</f>
        <v>0.07729166667</v>
      </c>
      <c r="J1314" s="2" t="n">
        <f aca="false">((H1314 / 800) / (IF(ISBLANK(S1314), 100, IF(ISNA(VLOOKUP(S1314, Lives!$A$2:$C$35, 2, 0)), S1314, VLOOKUP(S1314, Lives!$A$2:$C$35, 2, 0))) * 12) + (IF(ISBLANK(Q1314), 0, IF(ISNA(VLOOKUP(Q1314, Wages!$A$2:$C$17, 2, 0)), Q1314, VLOOKUP(Q1314, Wages!$A$2:$C$17, 2, 0))) * IF(ISBLANK(N1314), 0, IF(ISNA(VLOOKUP(N1314, Crews!$A$2:$C$28, 2, 0)), N1314, VLOOKUP(N1314, Crews!$A$2:$C$28, 2, 0))))) * 400</f>
        <v>5683.333333</v>
      </c>
      <c r="K1314" s="1"/>
      <c r="L1314" s="1" t="s">
        <v>2646</v>
      </c>
      <c r="M1314" s="1" t="n">
        <v>2</v>
      </c>
      <c r="N1314" s="1" t="s">
        <v>25</v>
      </c>
      <c r="O1314" s="1"/>
      <c r="P1314" s="1"/>
      <c r="Q1314" s="1" t="s">
        <v>378</v>
      </c>
      <c r="R1314" s="1" t="s">
        <v>689</v>
      </c>
      <c r="S1314" s="1" t="s">
        <v>856</v>
      </c>
      <c r="T1314" s="1"/>
    </row>
    <row r="1315" customFormat="false" ht="15" hidden="false" customHeight="true" outlineLevel="0" collapsed="false">
      <c r="A1315" s="1" t="s">
        <v>2649</v>
      </c>
      <c r="B1315" s="1" t="n">
        <v>1923</v>
      </c>
      <c r="C1315" s="1" t="n">
        <v>1</v>
      </c>
      <c r="D1315" s="1" t="s">
        <v>38</v>
      </c>
      <c r="E1315" s="1"/>
      <c r="F1315" s="1"/>
      <c r="G1315" s="1" t="n">
        <v>175</v>
      </c>
      <c r="H1315" s="2" t="n">
        <v>760000</v>
      </c>
      <c r="I1315" s="2" t="n">
        <f aca="false">(((H1315 / 800) / IF(ISBLANK(R1315), 1000000, IF(ISNA(VLOOKUP(R1315, Mileages!$A$2:$C$34, 2, 0)), R1315, VLOOKUP(R1315, Mileages!$A$2:$C$34, 2, 0)))) + (F1315 * IF(ISBLANK(P1315), 1, P1315) * IF(ISBLANK(T1315), 0, IF(ISNA(VLOOKUP(T1315, 'Fuel Costs'!$A$2:$C$42, 2, 0)), T1315, VLOOKUP(T1315, 'Fuel Costs'!$A$2:$C$42, 2, 0))) / IF(ISBLANK(O1315), 1, O1315))) * 100</f>
        <v>0.07916666667</v>
      </c>
      <c r="J1315" s="2" t="n">
        <f aca="false">((H1315 / 800) / (IF(ISBLANK(S1315), 100, IF(ISNA(VLOOKUP(S1315, Lives!$A$2:$C$35, 2, 0)), S1315, VLOOKUP(S1315, Lives!$A$2:$C$35, 2, 0))) * 12) + (IF(ISBLANK(Q1315), 0, IF(ISNA(VLOOKUP(Q1315, Wages!$A$2:$C$17, 2, 0)), Q1315, VLOOKUP(Q1315, Wages!$A$2:$C$17, 2, 0))) * IF(ISBLANK(N1315), 0, IF(ISNA(VLOOKUP(N1315, Crews!$A$2:$C$28, 2, 0)), N1315, VLOOKUP(N1315, Crews!$A$2:$C$28, 2, 0))))) * 400</f>
        <v>316.6666667</v>
      </c>
      <c r="K1315" s="1"/>
      <c r="L1315" s="1" t="s">
        <v>2646</v>
      </c>
      <c r="M1315" s="1" t="n">
        <v>3</v>
      </c>
      <c r="N1315" s="1"/>
      <c r="O1315" s="1"/>
      <c r="P1315" s="1"/>
      <c r="Q1315" s="1"/>
      <c r="R1315" s="1" t="s">
        <v>689</v>
      </c>
      <c r="S1315" s="5" t="s">
        <v>389</v>
      </c>
      <c r="T1315" s="1"/>
    </row>
    <row r="1316" customFormat="false" ht="15" hidden="false" customHeight="true" outlineLevel="0" collapsed="false">
      <c r="A1316" s="1" t="s">
        <v>2650</v>
      </c>
      <c r="B1316" s="1" t="n">
        <v>1923</v>
      </c>
      <c r="C1316" s="1" t="n">
        <v>1</v>
      </c>
      <c r="D1316" s="1" t="s">
        <v>38</v>
      </c>
      <c r="E1316" s="1"/>
      <c r="F1316" s="1"/>
      <c r="G1316" s="1" t="n">
        <v>175</v>
      </c>
      <c r="H1316" s="2" t="n">
        <v>760000</v>
      </c>
      <c r="I1316" s="2" t="n">
        <f aca="false">(((H1316 / 800) / IF(ISBLANK(R1316), 1000000, IF(ISNA(VLOOKUP(R1316, Mileages!$A$2:$C$34, 2, 0)), R1316, VLOOKUP(R1316, Mileages!$A$2:$C$34, 2, 0)))) + (F1316 * IF(ISBLANK(P1316), 1, P1316) * IF(ISBLANK(T1316), 0, IF(ISNA(VLOOKUP(T1316, 'Fuel Costs'!$A$2:$C$42, 2, 0)), T1316, VLOOKUP(T1316, 'Fuel Costs'!$A$2:$C$42, 2, 0))) / IF(ISBLANK(O1316), 1, O1316))) * 100</f>
        <v>0.07916666667</v>
      </c>
      <c r="J1316" s="2" t="n">
        <f aca="false">((H1316 / 800) / (IF(ISBLANK(S1316), 100, IF(ISNA(VLOOKUP(S1316, Lives!$A$2:$C$35, 2, 0)), S1316, VLOOKUP(S1316, Lives!$A$2:$C$35, 2, 0))) * 12) + (IF(ISBLANK(Q1316), 0, IF(ISNA(VLOOKUP(Q1316, Wages!$A$2:$C$17, 2, 0)), Q1316, VLOOKUP(Q1316, Wages!$A$2:$C$17, 2, 0))) * IF(ISBLANK(N1316), 0, IF(ISNA(VLOOKUP(N1316, Crews!$A$2:$C$28, 2, 0)), N1316, VLOOKUP(N1316, Crews!$A$2:$C$28, 2, 0))))) * 400</f>
        <v>24316.66667</v>
      </c>
      <c r="K1316" s="1"/>
      <c r="L1316" s="1" t="s">
        <v>2646</v>
      </c>
      <c r="M1316" s="1" t="n">
        <v>4</v>
      </c>
      <c r="N1316" s="1" t="s">
        <v>551</v>
      </c>
      <c r="O1316" s="1"/>
      <c r="P1316" s="1"/>
      <c r="Q1316" s="1" t="s">
        <v>551</v>
      </c>
      <c r="R1316" s="1" t="s">
        <v>689</v>
      </c>
      <c r="S1316" s="1" t="s">
        <v>389</v>
      </c>
      <c r="T1316" s="1"/>
    </row>
    <row r="1317" customFormat="false" ht="15" hidden="false" customHeight="true" outlineLevel="0" collapsed="false">
      <c r="A1317" s="1" t="s">
        <v>2651</v>
      </c>
      <c r="B1317" s="1" t="n">
        <v>1923</v>
      </c>
      <c r="C1317" s="1" t="n">
        <v>1</v>
      </c>
      <c r="D1317" s="1" t="s">
        <v>38</v>
      </c>
      <c r="E1317" s="1"/>
      <c r="F1317" s="1"/>
      <c r="G1317" s="1" t="n">
        <v>175</v>
      </c>
      <c r="H1317" s="2" t="n">
        <v>742000</v>
      </c>
      <c r="I1317" s="2" t="n">
        <f aca="false">(((H1317 / 800) / IF(ISBLANK(R1317), 1000000, IF(ISNA(VLOOKUP(R1317, Mileages!$A$2:$C$34, 2, 0)), R1317, VLOOKUP(R1317, Mileages!$A$2:$C$34, 2, 0)))) + (F1317 * IF(ISBLANK(P1317), 1, P1317) * IF(ISBLANK(T1317), 0, IF(ISNA(VLOOKUP(T1317, 'Fuel Costs'!$A$2:$C$42, 2, 0)), T1317, VLOOKUP(T1317, 'Fuel Costs'!$A$2:$C$42, 2, 0))) / IF(ISBLANK(O1317), 1, O1317))) * 100</f>
        <v>0.07729166667</v>
      </c>
      <c r="J1317" s="2" t="n">
        <f aca="false">((H1317 / 800) / (IF(ISBLANK(S1317), 100, IF(ISNA(VLOOKUP(S1317, Lives!$A$2:$C$35, 2, 0)), S1317, VLOOKUP(S1317, Lives!$A$2:$C$35, 2, 0))) * 12) + (IF(ISBLANK(Q1317), 0, IF(ISNA(VLOOKUP(Q1317, Wages!$A$2:$C$17, 2, 0)), Q1317, VLOOKUP(Q1317, Wages!$A$2:$C$17, 2, 0))) * IF(ISBLANK(N1317), 0, IF(ISNA(VLOOKUP(N1317, Crews!$A$2:$C$28, 2, 0)), N1317, VLOOKUP(N1317, Crews!$A$2:$C$28, 2, 0))))) * 400</f>
        <v>5109.166667</v>
      </c>
      <c r="K1317" s="1"/>
      <c r="L1317" s="1" t="s">
        <v>2646</v>
      </c>
      <c r="M1317" s="1" t="n">
        <v>5</v>
      </c>
      <c r="N1317" s="1" t="s">
        <v>25</v>
      </c>
      <c r="O1317" s="1"/>
      <c r="P1317" s="1"/>
      <c r="Q1317" s="1" t="s">
        <v>378</v>
      </c>
      <c r="R1317" s="1" t="s">
        <v>689</v>
      </c>
      <c r="S1317" s="1" t="s">
        <v>389</v>
      </c>
      <c r="T1317" s="1"/>
    </row>
    <row r="1318" customFormat="false" ht="15" hidden="false" customHeight="true" outlineLevel="0" collapsed="false">
      <c r="A1318" s="1" t="s">
        <v>2652</v>
      </c>
      <c r="B1318" s="1" t="n">
        <v>1923</v>
      </c>
      <c r="C1318" s="1" t="n">
        <v>1</v>
      </c>
      <c r="D1318" s="1" t="s">
        <v>38</v>
      </c>
      <c r="E1318" s="1"/>
      <c r="F1318" s="1"/>
      <c r="G1318" s="1" t="n">
        <v>175</v>
      </c>
      <c r="H1318" s="2" t="n">
        <v>760000</v>
      </c>
      <c r="I1318" s="2" t="n">
        <f aca="false">(((H1318 / 800) / IF(ISBLANK(R1318), 1000000, IF(ISNA(VLOOKUP(R1318, Mileages!$A$2:$C$34, 2, 0)), R1318, VLOOKUP(R1318, Mileages!$A$2:$C$34, 2, 0)))) + (F1318 * IF(ISBLANK(P1318), 1, P1318) * IF(ISBLANK(T1318), 0, IF(ISNA(VLOOKUP(T1318, 'Fuel Costs'!$A$2:$C$42, 2, 0)), T1318, VLOOKUP(T1318, 'Fuel Costs'!$A$2:$C$42, 2, 0))) / IF(ISBLANK(O1318), 1, O1318))) * 100</f>
        <v>0.07916666667</v>
      </c>
      <c r="J1318" s="2" t="n">
        <f aca="false">((H1318 / 800) / (IF(ISBLANK(S1318), 100, IF(ISNA(VLOOKUP(S1318, Lives!$A$2:$C$35, 2, 0)), S1318, VLOOKUP(S1318, Lives!$A$2:$C$35, 2, 0))) * 12) + (IF(ISBLANK(Q1318), 0, IF(ISNA(VLOOKUP(Q1318, Wages!$A$2:$C$17, 2, 0)), Q1318, VLOOKUP(Q1318, Wages!$A$2:$C$17, 2, 0))) * IF(ISBLANK(N1318), 0, IF(ISNA(VLOOKUP(N1318, Crews!$A$2:$C$28, 2, 0)), N1318, VLOOKUP(N1318, Crews!$A$2:$C$28, 2, 0))))) * 400</f>
        <v>904.7619048</v>
      </c>
      <c r="K1318" s="1"/>
      <c r="L1318" s="1" t="s">
        <v>2653</v>
      </c>
      <c r="M1318" s="1" t="n">
        <v>0</v>
      </c>
      <c r="N1318" s="1"/>
      <c r="O1318" s="1"/>
      <c r="P1318" s="1"/>
      <c r="Q1318" s="1"/>
      <c r="R1318" s="1" t="s">
        <v>689</v>
      </c>
      <c r="S1318" s="1" t="s">
        <v>856</v>
      </c>
      <c r="T1318" s="1"/>
    </row>
    <row r="1319" customFormat="false" ht="15" hidden="false" customHeight="true" outlineLevel="0" collapsed="false">
      <c r="A1319" s="1" t="s">
        <v>2654</v>
      </c>
      <c r="B1319" s="1" t="n">
        <v>1923</v>
      </c>
      <c r="C1319" s="1" t="n">
        <v>1</v>
      </c>
      <c r="D1319" s="1" t="s">
        <v>38</v>
      </c>
      <c r="E1319" s="1"/>
      <c r="F1319" s="1"/>
      <c r="G1319" s="1" t="n">
        <v>175</v>
      </c>
      <c r="H1319" s="2" t="n">
        <v>760000</v>
      </c>
      <c r="I1319" s="2" t="n">
        <f aca="false">(((H1319 / 800) / IF(ISBLANK(R1319), 1000000, IF(ISNA(VLOOKUP(R1319, Mileages!$A$2:$C$34, 2, 0)), R1319, VLOOKUP(R1319, Mileages!$A$2:$C$34, 2, 0)))) + (F1319 * IF(ISBLANK(P1319), 1, P1319) * IF(ISBLANK(T1319), 0, IF(ISNA(VLOOKUP(T1319, 'Fuel Costs'!$A$2:$C$42, 2, 0)), T1319, VLOOKUP(T1319, 'Fuel Costs'!$A$2:$C$42, 2, 0))) / IF(ISBLANK(O1319), 1, O1319))) * 100</f>
        <v>0.07916666667</v>
      </c>
      <c r="J1319" s="2" t="n">
        <f aca="false">((H1319 / 800) / (IF(ISBLANK(S1319), 100, IF(ISNA(VLOOKUP(S1319, Lives!$A$2:$C$35, 2, 0)), S1319, VLOOKUP(S1319, Lives!$A$2:$C$35, 2, 0))) * 12) + (IF(ISBLANK(Q1319), 0, IF(ISNA(VLOOKUP(Q1319, Wages!$A$2:$C$17, 2, 0)), Q1319, VLOOKUP(Q1319, Wages!$A$2:$C$17, 2, 0))) * IF(ISBLANK(N1319), 0, IF(ISNA(VLOOKUP(N1319, Crews!$A$2:$C$28, 2, 0)), N1319, VLOOKUP(N1319, Crews!$A$2:$C$28, 2, 0))))) * 400</f>
        <v>18904.7619</v>
      </c>
      <c r="K1319" s="1"/>
      <c r="L1319" s="1" t="s">
        <v>2653</v>
      </c>
      <c r="M1319" s="1" t="n">
        <v>1</v>
      </c>
      <c r="N1319" s="1" t="s">
        <v>1481</v>
      </c>
      <c r="O1319" s="1"/>
      <c r="P1319" s="1"/>
      <c r="Q1319" s="1" t="s">
        <v>1481</v>
      </c>
      <c r="R1319" s="1" t="s">
        <v>689</v>
      </c>
      <c r="S1319" s="1" t="s">
        <v>856</v>
      </c>
      <c r="T1319" s="1"/>
    </row>
    <row r="1320" customFormat="false" ht="15" hidden="false" customHeight="true" outlineLevel="0" collapsed="false">
      <c r="A1320" s="1" t="s">
        <v>2655</v>
      </c>
      <c r="B1320" s="1" t="n">
        <v>1923</v>
      </c>
      <c r="C1320" s="1" t="n">
        <v>1</v>
      </c>
      <c r="D1320" s="1" t="s">
        <v>38</v>
      </c>
      <c r="E1320" s="1"/>
      <c r="F1320" s="1"/>
      <c r="G1320" s="1" t="n">
        <v>175</v>
      </c>
      <c r="H1320" s="2" t="n">
        <v>742000</v>
      </c>
      <c r="I1320" s="2" t="n">
        <f aca="false">(((H1320 / 800) / IF(ISBLANK(R1320), 1000000, IF(ISNA(VLOOKUP(R1320, Mileages!$A$2:$C$34, 2, 0)), R1320, VLOOKUP(R1320, Mileages!$A$2:$C$34, 2, 0)))) + (F1320 * IF(ISBLANK(P1320), 1, P1320) * IF(ISBLANK(T1320), 0, IF(ISNA(VLOOKUP(T1320, 'Fuel Costs'!$A$2:$C$42, 2, 0)), T1320, VLOOKUP(T1320, 'Fuel Costs'!$A$2:$C$42, 2, 0))) / IF(ISBLANK(O1320), 1, O1320))) * 100</f>
        <v>0.07729166667</v>
      </c>
      <c r="J1320" s="2" t="n">
        <f aca="false">((H1320 / 800) / (IF(ISBLANK(S1320), 100, IF(ISNA(VLOOKUP(S1320, Lives!$A$2:$C$35, 2, 0)), S1320, VLOOKUP(S1320, Lives!$A$2:$C$35, 2, 0))) * 12) + (IF(ISBLANK(Q1320), 0, IF(ISNA(VLOOKUP(Q1320, Wages!$A$2:$C$17, 2, 0)), Q1320, VLOOKUP(Q1320, Wages!$A$2:$C$17, 2, 0))) * IF(ISBLANK(N1320), 0, IF(ISNA(VLOOKUP(N1320, Crews!$A$2:$C$28, 2, 0)), N1320, VLOOKUP(N1320, Crews!$A$2:$C$28, 2, 0))))) * 400</f>
        <v>5683.333333</v>
      </c>
      <c r="K1320" s="1"/>
      <c r="L1320" s="1" t="s">
        <v>2653</v>
      </c>
      <c r="M1320" s="1" t="n">
        <v>2</v>
      </c>
      <c r="N1320" s="1" t="s">
        <v>25</v>
      </c>
      <c r="O1320" s="1"/>
      <c r="P1320" s="1"/>
      <c r="Q1320" s="1" t="s">
        <v>378</v>
      </c>
      <c r="R1320" s="1" t="s">
        <v>689</v>
      </c>
      <c r="S1320" s="1" t="s">
        <v>856</v>
      </c>
      <c r="T1320" s="1"/>
    </row>
    <row r="1321" customFormat="false" ht="15" hidden="false" customHeight="true" outlineLevel="0" collapsed="false">
      <c r="A1321" s="1" t="s">
        <v>2656</v>
      </c>
      <c r="B1321" s="1" t="n">
        <v>1923</v>
      </c>
      <c r="C1321" s="1" t="n">
        <v>1</v>
      </c>
      <c r="D1321" s="1" t="s">
        <v>38</v>
      </c>
      <c r="E1321" s="1"/>
      <c r="F1321" s="1"/>
      <c r="G1321" s="1" t="n">
        <v>175</v>
      </c>
      <c r="H1321" s="2" t="n">
        <v>760000</v>
      </c>
      <c r="I1321" s="2" t="n">
        <f aca="false">(((H1321 / 800) / IF(ISBLANK(R1321), 1000000, IF(ISNA(VLOOKUP(R1321, Mileages!$A$2:$C$34, 2, 0)), R1321, VLOOKUP(R1321, Mileages!$A$2:$C$34, 2, 0)))) + (F1321 * IF(ISBLANK(P1321), 1, P1321) * IF(ISBLANK(T1321), 0, IF(ISNA(VLOOKUP(T1321, 'Fuel Costs'!$A$2:$C$42, 2, 0)), T1321, VLOOKUP(T1321, 'Fuel Costs'!$A$2:$C$42, 2, 0))) / IF(ISBLANK(O1321), 1, O1321))) * 100</f>
        <v>0.07916666667</v>
      </c>
      <c r="J1321" s="2" t="n">
        <f aca="false">((H1321 / 800) / (IF(ISBLANK(S1321), 100, IF(ISNA(VLOOKUP(S1321, Lives!$A$2:$C$35, 2, 0)), S1321, VLOOKUP(S1321, Lives!$A$2:$C$35, 2, 0))) * 12) + (IF(ISBLANK(Q1321), 0, IF(ISNA(VLOOKUP(Q1321, Wages!$A$2:$C$17, 2, 0)), Q1321, VLOOKUP(Q1321, Wages!$A$2:$C$17, 2, 0))) * IF(ISBLANK(N1321), 0, IF(ISNA(VLOOKUP(N1321, Crews!$A$2:$C$28, 2, 0)), N1321, VLOOKUP(N1321, Crews!$A$2:$C$28, 2, 0))))) * 400</f>
        <v>316.6666667</v>
      </c>
      <c r="K1321" s="1"/>
      <c r="L1321" s="1" t="s">
        <v>2653</v>
      </c>
      <c r="M1321" s="1" t="n">
        <v>3</v>
      </c>
      <c r="N1321" s="1"/>
      <c r="O1321" s="1"/>
      <c r="P1321" s="1"/>
      <c r="Q1321" s="1"/>
      <c r="R1321" s="1" t="s">
        <v>689</v>
      </c>
      <c r="S1321" s="5" t="s">
        <v>389</v>
      </c>
      <c r="T1321" s="1"/>
    </row>
    <row r="1322" customFormat="false" ht="15" hidden="false" customHeight="true" outlineLevel="0" collapsed="false">
      <c r="A1322" s="1" t="s">
        <v>2657</v>
      </c>
      <c r="B1322" s="1" t="n">
        <v>1923</v>
      </c>
      <c r="C1322" s="1" t="n">
        <v>1</v>
      </c>
      <c r="D1322" s="1" t="s">
        <v>38</v>
      </c>
      <c r="E1322" s="1"/>
      <c r="F1322" s="1"/>
      <c r="G1322" s="1" t="n">
        <v>175</v>
      </c>
      <c r="H1322" s="2" t="n">
        <v>760000</v>
      </c>
      <c r="I1322" s="2" t="n">
        <f aca="false">(((H1322 / 800) / IF(ISBLANK(R1322), 1000000, IF(ISNA(VLOOKUP(R1322, Mileages!$A$2:$C$34, 2, 0)), R1322, VLOOKUP(R1322, Mileages!$A$2:$C$34, 2, 0)))) + (F1322 * IF(ISBLANK(P1322), 1, P1322) * IF(ISBLANK(T1322), 0, IF(ISNA(VLOOKUP(T1322, 'Fuel Costs'!$A$2:$C$42, 2, 0)), T1322, VLOOKUP(T1322, 'Fuel Costs'!$A$2:$C$42, 2, 0))) / IF(ISBLANK(O1322), 1, O1322))) * 100</f>
        <v>0.07916666667</v>
      </c>
      <c r="J1322" s="2" t="n">
        <f aca="false">((H1322 / 800) / (IF(ISBLANK(S1322), 100, IF(ISNA(VLOOKUP(S1322, Lives!$A$2:$C$35, 2, 0)), S1322, VLOOKUP(S1322, Lives!$A$2:$C$35, 2, 0))) * 12) + (IF(ISBLANK(Q1322), 0, IF(ISNA(VLOOKUP(Q1322, Wages!$A$2:$C$17, 2, 0)), Q1322, VLOOKUP(Q1322, Wages!$A$2:$C$17, 2, 0))) * IF(ISBLANK(N1322), 0, IF(ISNA(VLOOKUP(N1322, Crews!$A$2:$C$28, 2, 0)), N1322, VLOOKUP(N1322, Crews!$A$2:$C$28, 2, 0))))) * 400</f>
        <v>24316.66667</v>
      </c>
      <c r="K1322" s="1"/>
      <c r="L1322" s="1" t="s">
        <v>2653</v>
      </c>
      <c r="M1322" s="1" t="n">
        <v>4</v>
      </c>
      <c r="N1322" s="1" t="s">
        <v>551</v>
      </c>
      <c r="O1322" s="1"/>
      <c r="P1322" s="1"/>
      <c r="Q1322" s="1" t="s">
        <v>551</v>
      </c>
      <c r="R1322" s="1" t="s">
        <v>689</v>
      </c>
      <c r="S1322" s="1" t="s">
        <v>389</v>
      </c>
      <c r="T1322" s="1"/>
    </row>
    <row r="1323" customFormat="false" ht="15" hidden="false" customHeight="true" outlineLevel="0" collapsed="false">
      <c r="A1323" s="1" t="s">
        <v>2658</v>
      </c>
      <c r="B1323" s="1" t="n">
        <v>1923</v>
      </c>
      <c r="C1323" s="1" t="n">
        <v>1</v>
      </c>
      <c r="D1323" s="1" t="s">
        <v>38</v>
      </c>
      <c r="E1323" s="1"/>
      <c r="F1323" s="1"/>
      <c r="G1323" s="1" t="n">
        <v>175</v>
      </c>
      <c r="H1323" s="2" t="n">
        <v>742000</v>
      </c>
      <c r="I1323" s="2" t="n">
        <f aca="false">(((H1323 / 800) / IF(ISBLANK(R1323), 1000000, IF(ISNA(VLOOKUP(R1323, Mileages!$A$2:$C$34, 2, 0)), R1323, VLOOKUP(R1323, Mileages!$A$2:$C$34, 2, 0)))) + (F1323 * IF(ISBLANK(P1323), 1, P1323) * IF(ISBLANK(T1323), 0, IF(ISNA(VLOOKUP(T1323, 'Fuel Costs'!$A$2:$C$42, 2, 0)), T1323, VLOOKUP(T1323, 'Fuel Costs'!$A$2:$C$42, 2, 0))) / IF(ISBLANK(O1323), 1, O1323))) * 100</f>
        <v>0.07729166667</v>
      </c>
      <c r="J1323" s="2" t="n">
        <f aca="false">((H1323 / 800) / (IF(ISBLANK(S1323), 100, IF(ISNA(VLOOKUP(S1323, Lives!$A$2:$C$35, 2, 0)), S1323, VLOOKUP(S1323, Lives!$A$2:$C$35, 2, 0))) * 12) + (IF(ISBLANK(Q1323), 0, IF(ISNA(VLOOKUP(Q1323, Wages!$A$2:$C$17, 2, 0)), Q1323, VLOOKUP(Q1323, Wages!$A$2:$C$17, 2, 0))) * IF(ISBLANK(N1323), 0, IF(ISNA(VLOOKUP(N1323, Crews!$A$2:$C$28, 2, 0)), N1323, VLOOKUP(N1323, Crews!$A$2:$C$28, 2, 0))))) * 400</f>
        <v>5109.166667</v>
      </c>
      <c r="K1323" s="1"/>
      <c r="L1323" s="1" t="s">
        <v>2653</v>
      </c>
      <c r="M1323" s="1" t="n">
        <v>5</v>
      </c>
      <c r="N1323" s="1" t="s">
        <v>25</v>
      </c>
      <c r="O1323" s="1"/>
      <c r="P1323" s="1"/>
      <c r="Q1323" s="1" t="s">
        <v>378</v>
      </c>
      <c r="R1323" s="1" t="s">
        <v>689</v>
      </c>
      <c r="S1323" s="1" t="s">
        <v>389</v>
      </c>
      <c r="T1323" s="1"/>
    </row>
    <row r="1324" customFormat="false" ht="15" hidden="false" customHeight="true" outlineLevel="0" collapsed="false">
      <c r="A1324" s="1" t="s">
        <v>2659</v>
      </c>
      <c r="B1324" s="1" t="n">
        <v>1923</v>
      </c>
      <c r="C1324" s="1" t="n">
        <v>1</v>
      </c>
      <c r="D1324" s="1" t="s">
        <v>38</v>
      </c>
      <c r="E1324" s="1"/>
      <c r="F1324" s="1"/>
      <c r="G1324" s="1" t="n">
        <v>160</v>
      </c>
      <c r="H1324" s="2" t="n">
        <v>662500</v>
      </c>
      <c r="I1324" s="2" t="n">
        <f aca="false">(((H1324 / 800) / IF(ISBLANK(R1324), 1000000, IF(ISNA(VLOOKUP(R1324, Mileages!$A$2:$C$34, 2, 0)), R1324, VLOOKUP(R1324, Mileages!$A$2:$C$34, 2, 0)))) + (F1324 * IF(ISBLANK(P1324), 1, P1324) * IF(ISBLANK(T1324), 0, IF(ISNA(VLOOKUP(T1324, 'Fuel Costs'!$A$2:$C$42, 2, 0)), T1324, VLOOKUP(T1324, 'Fuel Costs'!$A$2:$C$42, 2, 0))) / IF(ISBLANK(O1324), 1, O1324))) * 100</f>
        <v>0.06901041667</v>
      </c>
      <c r="J1324" s="2" t="n">
        <f aca="false">((H1324 / 800) / (IF(ISBLANK(S1324), 100, IF(ISNA(VLOOKUP(S1324, Lives!$A$2:$C$35, 2, 0)), S1324, VLOOKUP(S1324, Lives!$A$2:$C$35, 2, 0))) * 12) + (IF(ISBLANK(Q1324), 0, IF(ISNA(VLOOKUP(Q1324, Wages!$A$2:$C$17, 2, 0)), Q1324, VLOOKUP(Q1324, Wages!$A$2:$C$17, 2, 0))) * IF(ISBLANK(N1324), 0, IF(ISNA(VLOOKUP(N1324, Crews!$A$2:$C$28, 2, 0)), N1324, VLOOKUP(N1324, Crews!$A$2:$C$28, 2, 0))))) * 400</f>
        <v>788.6904762</v>
      </c>
      <c r="K1324" s="1" t="s">
        <v>2660</v>
      </c>
      <c r="L1324" s="1" t="s">
        <v>2661</v>
      </c>
      <c r="M1324" s="1" t="n">
        <v>0</v>
      </c>
      <c r="N1324" s="1"/>
      <c r="O1324" s="1"/>
      <c r="P1324" s="1"/>
      <c r="Q1324" s="1"/>
      <c r="R1324" s="1" t="s">
        <v>689</v>
      </c>
      <c r="S1324" s="1" t="s">
        <v>856</v>
      </c>
      <c r="T1324" s="1"/>
    </row>
    <row r="1325" customFormat="false" ht="15" hidden="false" customHeight="true" outlineLevel="0" collapsed="false">
      <c r="A1325" s="1" t="s">
        <v>2662</v>
      </c>
      <c r="B1325" s="1" t="n">
        <v>1923</v>
      </c>
      <c r="C1325" s="1" t="n">
        <v>1</v>
      </c>
      <c r="D1325" s="1" t="s">
        <v>38</v>
      </c>
      <c r="E1325" s="1"/>
      <c r="F1325" s="1"/>
      <c r="G1325" s="1" t="n">
        <v>160</v>
      </c>
      <c r="H1325" s="2" t="n">
        <v>662500</v>
      </c>
      <c r="I1325" s="2" t="n">
        <f aca="false">(((H1325 / 800) / IF(ISBLANK(R1325), 1000000, IF(ISNA(VLOOKUP(R1325, Mileages!$A$2:$C$34, 2, 0)), R1325, VLOOKUP(R1325, Mileages!$A$2:$C$34, 2, 0)))) + (F1325 * IF(ISBLANK(P1325), 1, P1325) * IF(ISBLANK(T1325), 0, IF(ISNA(VLOOKUP(T1325, 'Fuel Costs'!$A$2:$C$42, 2, 0)), T1325, VLOOKUP(T1325, 'Fuel Costs'!$A$2:$C$42, 2, 0))) / IF(ISBLANK(O1325), 1, O1325))) * 100</f>
        <v>0.06901041667</v>
      </c>
      <c r="J1325" s="2" t="n">
        <f aca="false">((H1325 / 800) / (IF(ISBLANK(S1325), 100, IF(ISNA(VLOOKUP(S1325, Lives!$A$2:$C$35, 2, 0)), S1325, VLOOKUP(S1325, Lives!$A$2:$C$35, 2, 0))) * 12) + (IF(ISBLANK(Q1325), 0, IF(ISNA(VLOOKUP(Q1325, Wages!$A$2:$C$17, 2, 0)), Q1325, VLOOKUP(Q1325, Wages!$A$2:$C$17, 2, 0))) * IF(ISBLANK(N1325), 0, IF(ISNA(VLOOKUP(N1325, Crews!$A$2:$C$28, 2, 0)), N1325, VLOOKUP(N1325, Crews!$A$2:$C$28, 2, 0))))) * 400</f>
        <v>5588.690476</v>
      </c>
      <c r="K1325" s="1" t="s">
        <v>2660</v>
      </c>
      <c r="L1325" s="1" t="s">
        <v>2661</v>
      </c>
      <c r="M1325" s="1" t="n">
        <v>1</v>
      </c>
      <c r="N1325" s="1" t="s">
        <v>25</v>
      </c>
      <c r="O1325" s="1"/>
      <c r="P1325" s="1"/>
      <c r="Q1325" s="1" t="s">
        <v>378</v>
      </c>
      <c r="R1325" s="1" t="s">
        <v>689</v>
      </c>
      <c r="S1325" s="1" t="s">
        <v>856</v>
      </c>
      <c r="T1325" s="1"/>
    </row>
    <row r="1326" customFormat="false" ht="15" hidden="false" customHeight="true" outlineLevel="0" collapsed="false">
      <c r="A1326" s="1" t="s">
        <v>2663</v>
      </c>
      <c r="B1326" s="1" t="n">
        <v>1923</v>
      </c>
      <c r="C1326" s="1" t="n">
        <v>1</v>
      </c>
      <c r="D1326" s="1" t="s">
        <v>38</v>
      </c>
      <c r="E1326" s="1"/>
      <c r="F1326" s="1"/>
      <c r="G1326" s="1" t="n">
        <v>160</v>
      </c>
      <c r="H1326" s="2" t="n">
        <v>662500</v>
      </c>
      <c r="I1326" s="2" t="n">
        <f aca="false">(((H1326 / 800) / IF(ISBLANK(R1326), 1000000, IF(ISNA(VLOOKUP(R1326, Mileages!$A$2:$C$34, 2, 0)), R1326, VLOOKUP(R1326, Mileages!$A$2:$C$34, 2, 0)))) + (F1326 * IF(ISBLANK(P1326), 1, P1326) * IF(ISBLANK(T1326), 0, IF(ISNA(VLOOKUP(T1326, 'Fuel Costs'!$A$2:$C$42, 2, 0)), T1326, VLOOKUP(T1326, 'Fuel Costs'!$A$2:$C$42, 2, 0))) / IF(ISBLANK(O1326), 1, O1326))) * 100</f>
        <v>0.06901041667</v>
      </c>
      <c r="J1326" s="2" t="n">
        <f aca="false">((H1326 / 800) / (IF(ISBLANK(S1326), 100, IF(ISNA(VLOOKUP(S1326, Lives!$A$2:$C$35, 2, 0)), S1326, VLOOKUP(S1326, Lives!$A$2:$C$35, 2, 0))) * 12) + (IF(ISBLANK(Q1326), 0, IF(ISNA(VLOOKUP(Q1326, Wages!$A$2:$C$17, 2, 0)), Q1326, VLOOKUP(Q1326, Wages!$A$2:$C$17, 2, 0))) * IF(ISBLANK(N1326), 0, IF(ISNA(VLOOKUP(N1326, Crews!$A$2:$C$28, 2, 0)), N1326, VLOOKUP(N1326, Crews!$A$2:$C$28, 2, 0))))) * 400</f>
        <v>5588.690476</v>
      </c>
      <c r="K1326" s="1" t="s">
        <v>2660</v>
      </c>
      <c r="L1326" s="1" t="s">
        <v>2661</v>
      </c>
      <c r="M1326" s="1" t="n">
        <v>2</v>
      </c>
      <c r="N1326" s="1" t="s">
        <v>25</v>
      </c>
      <c r="O1326" s="1"/>
      <c r="P1326" s="1"/>
      <c r="Q1326" s="1" t="s">
        <v>378</v>
      </c>
      <c r="R1326" s="1" t="s">
        <v>689</v>
      </c>
      <c r="S1326" s="1" t="s">
        <v>856</v>
      </c>
      <c r="T1326" s="1"/>
    </row>
    <row r="1327" customFormat="false" ht="15" hidden="false" customHeight="true" outlineLevel="0" collapsed="false">
      <c r="A1327" s="1" t="s">
        <v>2664</v>
      </c>
      <c r="B1327" s="1" t="n">
        <v>1923</v>
      </c>
      <c r="C1327" s="1" t="n">
        <v>1</v>
      </c>
      <c r="D1327" s="1" t="s">
        <v>38</v>
      </c>
      <c r="E1327" s="1"/>
      <c r="F1327" s="1"/>
      <c r="G1327" s="1" t="n">
        <v>160</v>
      </c>
      <c r="H1327" s="2" t="n">
        <v>650000</v>
      </c>
      <c r="I1327" s="2" t="n">
        <f aca="false">(((H1327 / 800) / IF(ISBLANK(R1327), 1000000, IF(ISNA(VLOOKUP(R1327, Mileages!$A$2:$C$34, 2, 0)), R1327, VLOOKUP(R1327, Mileages!$A$2:$C$34, 2, 0)))) + (F1327 * IF(ISBLANK(P1327), 1, P1327) * IF(ISBLANK(T1327), 0, IF(ISNA(VLOOKUP(T1327, 'Fuel Costs'!$A$2:$C$42, 2, 0)), T1327, VLOOKUP(T1327, 'Fuel Costs'!$A$2:$C$42, 2, 0))) / IF(ISBLANK(O1327), 1, O1327))) * 100</f>
        <v>0.06770833333</v>
      </c>
      <c r="J1327" s="2" t="n">
        <f aca="false">((H1327 / 800) / (IF(ISBLANK(S1327), 100, IF(ISNA(VLOOKUP(S1327, Lives!$A$2:$C$35, 2, 0)), S1327, VLOOKUP(S1327, Lives!$A$2:$C$35, 2, 0))) * 12) + (IF(ISBLANK(Q1327), 0, IF(ISNA(VLOOKUP(Q1327, Wages!$A$2:$C$17, 2, 0)), Q1327, VLOOKUP(Q1327, Wages!$A$2:$C$17, 2, 0))) * IF(ISBLANK(N1327), 0, IF(ISNA(VLOOKUP(N1327, Crews!$A$2:$C$28, 2, 0)), N1327, VLOOKUP(N1327, Crews!$A$2:$C$28, 2, 0))))) * 400</f>
        <v>773.8095238</v>
      </c>
      <c r="K1327" s="1" t="s">
        <v>2665</v>
      </c>
      <c r="L1327" s="1" t="s">
        <v>2661</v>
      </c>
      <c r="M1327" s="1" t="n">
        <v>3</v>
      </c>
      <c r="N1327" s="1"/>
      <c r="O1327" s="1"/>
      <c r="P1327" s="1"/>
      <c r="Q1327" s="1"/>
      <c r="R1327" s="1" t="s">
        <v>689</v>
      </c>
      <c r="S1327" s="1" t="s">
        <v>856</v>
      </c>
      <c r="T1327" s="1"/>
    </row>
    <row r="1328" customFormat="false" ht="15" hidden="false" customHeight="true" outlineLevel="0" collapsed="false">
      <c r="A1328" s="1" t="s">
        <v>2666</v>
      </c>
      <c r="B1328" s="1" t="n">
        <v>1923</v>
      </c>
      <c r="C1328" s="1" t="n">
        <v>1</v>
      </c>
      <c r="D1328" s="1" t="s">
        <v>38</v>
      </c>
      <c r="E1328" s="1"/>
      <c r="F1328" s="1"/>
      <c r="G1328" s="1" t="n">
        <v>160</v>
      </c>
      <c r="H1328" s="2" t="n">
        <v>650000</v>
      </c>
      <c r="I1328" s="2" t="n">
        <f aca="false">(((H1328 / 800) / IF(ISBLANK(R1328), 1000000, IF(ISNA(VLOOKUP(R1328, Mileages!$A$2:$C$34, 2, 0)), R1328, VLOOKUP(R1328, Mileages!$A$2:$C$34, 2, 0)))) + (F1328 * IF(ISBLANK(P1328), 1, P1328) * IF(ISBLANK(T1328), 0, IF(ISNA(VLOOKUP(T1328, 'Fuel Costs'!$A$2:$C$42, 2, 0)), T1328, VLOOKUP(T1328, 'Fuel Costs'!$A$2:$C$42, 2, 0))) / IF(ISBLANK(O1328), 1, O1328))) * 100</f>
        <v>0.06770833333</v>
      </c>
      <c r="J1328" s="2" t="n">
        <f aca="false">((H1328 / 800) / (IF(ISBLANK(S1328), 100, IF(ISNA(VLOOKUP(S1328, Lives!$A$2:$C$35, 2, 0)), S1328, VLOOKUP(S1328, Lives!$A$2:$C$35, 2, 0))) * 12) + (IF(ISBLANK(Q1328), 0, IF(ISNA(VLOOKUP(Q1328, Wages!$A$2:$C$17, 2, 0)), Q1328, VLOOKUP(Q1328, Wages!$A$2:$C$17, 2, 0))) * IF(ISBLANK(N1328), 0, IF(ISNA(VLOOKUP(N1328, Crews!$A$2:$C$28, 2, 0)), N1328, VLOOKUP(N1328, Crews!$A$2:$C$28, 2, 0))))) * 400</f>
        <v>5573.809524</v>
      </c>
      <c r="K1328" s="1" t="s">
        <v>2665</v>
      </c>
      <c r="L1328" s="1" t="s">
        <v>2661</v>
      </c>
      <c r="M1328" s="1" t="n">
        <v>4</v>
      </c>
      <c r="N1328" s="1" t="s">
        <v>25</v>
      </c>
      <c r="O1328" s="1"/>
      <c r="P1328" s="1"/>
      <c r="Q1328" s="1" t="s">
        <v>378</v>
      </c>
      <c r="R1328" s="1" t="s">
        <v>689</v>
      </c>
      <c r="S1328" s="1" t="s">
        <v>856</v>
      </c>
      <c r="T1328" s="1"/>
    </row>
    <row r="1329" customFormat="false" ht="15" hidden="false" customHeight="true" outlineLevel="0" collapsed="false">
      <c r="A1329" s="1" t="s">
        <v>2667</v>
      </c>
      <c r="B1329" s="1" t="n">
        <v>1923</v>
      </c>
      <c r="C1329" s="1" t="n">
        <v>1</v>
      </c>
      <c r="D1329" s="1" t="s">
        <v>38</v>
      </c>
      <c r="E1329" s="1"/>
      <c r="F1329" s="1"/>
      <c r="G1329" s="1" t="n">
        <v>160</v>
      </c>
      <c r="H1329" s="2" t="n">
        <v>650000</v>
      </c>
      <c r="I1329" s="2" t="n">
        <f aca="false">(((H1329 / 800) / IF(ISBLANK(R1329), 1000000, IF(ISNA(VLOOKUP(R1329, Mileages!$A$2:$C$34, 2, 0)), R1329, VLOOKUP(R1329, Mileages!$A$2:$C$34, 2, 0)))) + (F1329 * IF(ISBLANK(P1329), 1, P1329) * IF(ISBLANK(T1329), 0, IF(ISNA(VLOOKUP(T1329, 'Fuel Costs'!$A$2:$C$42, 2, 0)), T1329, VLOOKUP(T1329, 'Fuel Costs'!$A$2:$C$42, 2, 0))) / IF(ISBLANK(O1329), 1, O1329))) * 100</f>
        <v>0.06770833333</v>
      </c>
      <c r="J1329" s="2" t="n">
        <f aca="false">((H1329 / 800) / (IF(ISBLANK(S1329), 100, IF(ISNA(VLOOKUP(S1329, Lives!$A$2:$C$35, 2, 0)), S1329, VLOOKUP(S1329, Lives!$A$2:$C$35, 2, 0))) * 12) + (IF(ISBLANK(Q1329), 0, IF(ISNA(VLOOKUP(Q1329, Wages!$A$2:$C$17, 2, 0)), Q1329, VLOOKUP(Q1329, Wages!$A$2:$C$17, 2, 0))) * IF(ISBLANK(N1329), 0, IF(ISNA(VLOOKUP(N1329, Crews!$A$2:$C$28, 2, 0)), N1329, VLOOKUP(N1329, Crews!$A$2:$C$28, 2, 0))))) * 400</f>
        <v>5573.809524</v>
      </c>
      <c r="K1329" s="1" t="s">
        <v>2665</v>
      </c>
      <c r="L1329" s="1" t="s">
        <v>2661</v>
      </c>
      <c r="M1329" s="1" t="n">
        <v>5</v>
      </c>
      <c r="N1329" s="1" t="s">
        <v>25</v>
      </c>
      <c r="O1329" s="1"/>
      <c r="P1329" s="1"/>
      <c r="Q1329" s="1" t="s">
        <v>378</v>
      </c>
      <c r="R1329" s="1" t="s">
        <v>689</v>
      </c>
      <c r="S1329" s="1" t="s">
        <v>856</v>
      </c>
      <c r="T1329" s="1"/>
    </row>
    <row r="1330" customFormat="false" ht="15" hidden="false" customHeight="true" outlineLevel="0" collapsed="false">
      <c r="A1330" s="1" t="s">
        <v>2668</v>
      </c>
      <c r="B1330" s="1" t="n">
        <v>1923</v>
      </c>
      <c r="C1330" s="1" t="n">
        <v>1</v>
      </c>
      <c r="D1330" s="1" t="s">
        <v>38</v>
      </c>
      <c r="E1330" s="1"/>
      <c r="F1330" s="1"/>
      <c r="G1330" s="1" t="n">
        <v>160</v>
      </c>
      <c r="H1330" s="2" t="n">
        <v>640000</v>
      </c>
      <c r="I1330" s="2" t="n">
        <f aca="false">(((H1330 / 800) / IF(ISBLANK(R1330), 1000000, IF(ISNA(VLOOKUP(R1330, Mileages!$A$2:$C$34, 2, 0)), R1330, VLOOKUP(R1330, Mileages!$A$2:$C$34, 2, 0)))) + (F1330 * IF(ISBLANK(P1330), 1, P1330) * IF(ISBLANK(T1330), 0, IF(ISNA(VLOOKUP(T1330, 'Fuel Costs'!$A$2:$C$42, 2, 0)), T1330, VLOOKUP(T1330, 'Fuel Costs'!$A$2:$C$42, 2, 0))) / IF(ISBLANK(O1330), 1, O1330))) * 100</f>
        <v>0.06666666667</v>
      </c>
      <c r="J1330" s="2" t="n">
        <f aca="false">((H1330 / 800) / (IF(ISBLANK(S1330), 100, IF(ISNA(VLOOKUP(S1330, Lives!$A$2:$C$35, 2, 0)), S1330, VLOOKUP(S1330, Lives!$A$2:$C$35, 2, 0))) * 12) + (IF(ISBLANK(Q1330), 0, IF(ISNA(VLOOKUP(Q1330, Wages!$A$2:$C$17, 2, 0)), Q1330, VLOOKUP(Q1330, Wages!$A$2:$C$17, 2, 0))) * IF(ISBLANK(N1330), 0, IF(ISNA(VLOOKUP(N1330, Crews!$A$2:$C$28, 2, 0)), N1330, VLOOKUP(N1330, Crews!$A$2:$C$28, 2, 0))))) * 400</f>
        <v>266.6666667</v>
      </c>
      <c r="K1330" s="1"/>
      <c r="L1330" s="1" t="s">
        <v>2661</v>
      </c>
      <c r="M1330" s="1" t="n">
        <v>6</v>
      </c>
      <c r="N1330" s="1"/>
      <c r="O1330" s="1"/>
      <c r="P1330" s="1"/>
      <c r="Q1330" s="1"/>
      <c r="R1330" s="1" t="s">
        <v>689</v>
      </c>
      <c r="S1330" s="5" t="s">
        <v>389</v>
      </c>
      <c r="T1330" s="1"/>
    </row>
    <row r="1331" customFormat="false" ht="15" hidden="false" customHeight="true" outlineLevel="0" collapsed="false">
      <c r="A1331" s="1" t="s">
        <v>2669</v>
      </c>
      <c r="B1331" s="1" t="n">
        <v>1923</v>
      </c>
      <c r="C1331" s="1" t="n">
        <v>1</v>
      </c>
      <c r="D1331" s="1" t="s">
        <v>38</v>
      </c>
      <c r="E1331" s="1"/>
      <c r="F1331" s="1"/>
      <c r="G1331" s="1" t="n">
        <v>160</v>
      </c>
      <c r="H1331" s="2" t="n">
        <v>670000</v>
      </c>
      <c r="I1331" s="2" t="n">
        <f aca="false">(((H1331 / 800) / IF(ISBLANK(R1331), 1000000, IF(ISNA(VLOOKUP(R1331, Mileages!$A$2:$C$34, 2, 0)), R1331, VLOOKUP(R1331, Mileages!$A$2:$C$34, 2, 0)))) + (F1331 * IF(ISBLANK(P1331), 1, P1331) * IF(ISBLANK(T1331), 0, IF(ISNA(VLOOKUP(T1331, 'Fuel Costs'!$A$2:$C$42, 2, 0)), T1331, VLOOKUP(T1331, 'Fuel Costs'!$A$2:$C$42, 2, 0))) / IF(ISBLANK(O1331), 1, O1331))) * 100</f>
        <v>0.06979166667</v>
      </c>
      <c r="J1331" s="2" t="n">
        <f aca="false">((H1331 / 800) / (IF(ISBLANK(S1331), 100, IF(ISNA(VLOOKUP(S1331, Lives!$A$2:$C$35, 2, 0)), S1331, VLOOKUP(S1331, Lives!$A$2:$C$35, 2, 0))) * 12) + (IF(ISBLANK(Q1331), 0, IF(ISNA(VLOOKUP(Q1331, Wages!$A$2:$C$17, 2, 0)), Q1331, VLOOKUP(Q1331, Wages!$A$2:$C$17, 2, 0))) * IF(ISBLANK(N1331), 0, IF(ISNA(VLOOKUP(N1331, Crews!$A$2:$C$28, 2, 0)), N1331, VLOOKUP(N1331, Crews!$A$2:$C$28, 2, 0))))) * 400</f>
        <v>24279.16667</v>
      </c>
      <c r="K1331" s="1"/>
      <c r="L1331" s="1" t="s">
        <v>2661</v>
      </c>
      <c r="M1331" s="1" t="n">
        <v>7</v>
      </c>
      <c r="N1331" s="1" t="s">
        <v>551</v>
      </c>
      <c r="O1331" s="1"/>
      <c r="P1331" s="1"/>
      <c r="Q1331" s="1" t="s">
        <v>551</v>
      </c>
      <c r="R1331" s="1" t="s">
        <v>689</v>
      </c>
      <c r="S1331" s="1" t="s">
        <v>389</v>
      </c>
      <c r="T1331" s="1"/>
    </row>
    <row r="1332" customFormat="false" ht="15" hidden="false" customHeight="true" outlineLevel="0" collapsed="false">
      <c r="A1332" s="1" t="s">
        <v>2670</v>
      </c>
      <c r="B1332" s="1" t="n">
        <v>1923</v>
      </c>
      <c r="C1332" s="1" t="n">
        <v>1</v>
      </c>
      <c r="D1332" s="1" t="s">
        <v>38</v>
      </c>
      <c r="E1332" s="1"/>
      <c r="F1332" s="1"/>
      <c r="G1332" s="1" t="n">
        <v>160</v>
      </c>
      <c r="H1332" s="2" t="n">
        <v>630000</v>
      </c>
      <c r="I1332" s="2" t="n">
        <f aca="false">(((H1332 / 800) / IF(ISBLANK(R1332), 1000000, IF(ISNA(VLOOKUP(R1332, Mileages!$A$2:$C$34, 2, 0)), R1332, VLOOKUP(R1332, Mileages!$A$2:$C$34, 2, 0)))) + (F1332 * IF(ISBLANK(P1332), 1, P1332) * IF(ISBLANK(T1332), 0, IF(ISNA(VLOOKUP(T1332, 'Fuel Costs'!$A$2:$C$42, 2, 0)), T1332, VLOOKUP(T1332, 'Fuel Costs'!$A$2:$C$42, 2, 0))) / IF(ISBLANK(O1332), 1, O1332))) * 100</f>
        <v>0.065625</v>
      </c>
      <c r="J1332" s="2" t="n">
        <f aca="false">((H1332 / 800) / (IF(ISBLANK(S1332), 100, IF(ISNA(VLOOKUP(S1332, Lives!$A$2:$C$35, 2, 0)), S1332, VLOOKUP(S1332, Lives!$A$2:$C$35, 2, 0))) * 12) + (IF(ISBLANK(Q1332), 0, IF(ISNA(VLOOKUP(Q1332, Wages!$A$2:$C$17, 2, 0)), Q1332, VLOOKUP(Q1332, Wages!$A$2:$C$17, 2, 0))) * IF(ISBLANK(N1332), 0, IF(ISNA(VLOOKUP(N1332, Crews!$A$2:$C$28, 2, 0)), N1332, VLOOKUP(N1332, Crews!$A$2:$C$28, 2, 0))))) * 400</f>
        <v>750</v>
      </c>
      <c r="K1332" s="1"/>
      <c r="L1332" s="1" t="s">
        <v>2661</v>
      </c>
      <c r="M1332" s="1" t="n">
        <v>8</v>
      </c>
      <c r="N1332" s="1"/>
      <c r="O1332" s="1"/>
      <c r="P1332" s="1"/>
      <c r="Q1332" s="1"/>
      <c r="R1332" s="1" t="s">
        <v>689</v>
      </c>
      <c r="S1332" s="1" t="s">
        <v>856</v>
      </c>
      <c r="T1332" s="1"/>
    </row>
    <row r="1333" customFormat="false" ht="15" hidden="false" customHeight="true" outlineLevel="0" collapsed="false">
      <c r="A1333" s="1" t="s">
        <v>2671</v>
      </c>
      <c r="B1333" s="1" t="n">
        <v>1923</v>
      </c>
      <c r="C1333" s="1" t="n">
        <v>1</v>
      </c>
      <c r="D1333" s="1" t="s">
        <v>38</v>
      </c>
      <c r="E1333" s="1"/>
      <c r="F1333" s="1"/>
      <c r="G1333" s="1" t="n">
        <v>160</v>
      </c>
      <c r="H1333" s="2" t="n">
        <v>880000</v>
      </c>
      <c r="I1333" s="2" t="n">
        <f aca="false">(((H1333 / 800) / IF(ISBLANK(R1333), 1000000, IF(ISNA(VLOOKUP(R1333, Mileages!$A$2:$C$34, 2, 0)), R1333, VLOOKUP(R1333, Mileages!$A$2:$C$34, 2, 0)))) + (F1333 * IF(ISBLANK(P1333), 1, P1333) * IF(ISBLANK(T1333), 0, IF(ISNA(VLOOKUP(T1333, 'Fuel Costs'!$A$2:$C$42, 2, 0)), T1333, VLOOKUP(T1333, 'Fuel Costs'!$A$2:$C$42, 2, 0))) / IF(ISBLANK(O1333), 1, O1333))) * 100</f>
        <v>0.09166666667</v>
      </c>
      <c r="J1333" s="2" t="n">
        <f aca="false">((H1333 / 800) / (IF(ISBLANK(S1333), 100, IF(ISNA(VLOOKUP(S1333, Lives!$A$2:$C$35, 2, 0)), S1333, VLOOKUP(S1333, Lives!$A$2:$C$35, 2, 0))) * 12) + (IF(ISBLANK(Q1333), 0, IF(ISNA(VLOOKUP(Q1333, Wages!$A$2:$C$17, 2, 0)), Q1333, VLOOKUP(Q1333, Wages!$A$2:$C$17, 2, 0))) * IF(ISBLANK(N1333), 0, IF(ISNA(VLOOKUP(N1333, Crews!$A$2:$C$28, 2, 0)), N1333, VLOOKUP(N1333, Crews!$A$2:$C$28, 2, 0))))) * 400</f>
        <v>19047.61905</v>
      </c>
      <c r="K1333" s="1"/>
      <c r="L1333" s="1" t="s">
        <v>2661</v>
      </c>
      <c r="M1333" s="1" t="n">
        <v>9</v>
      </c>
      <c r="N1333" s="1" t="s">
        <v>1481</v>
      </c>
      <c r="O1333" s="1"/>
      <c r="P1333" s="1"/>
      <c r="Q1333" s="1" t="s">
        <v>1481</v>
      </c>
      <c r="R1333" s="1" t="s">
        <v>689</v>
      </c>
      <c r="S1333" s="1" t="s">
        <v>856</v>
      </c>
      <c r="T1333" s="1"/>
    </row>
    <row r="1334" customFormat="false" ht="15" hidden="false" customHeight="true" outlineLevel="0" collapsed="false">
      <c r="A1334" s="1" t="s">
        <v>2672</v>
      </c>
      <c r="B1334" s="1" t="n">
        <v>1923</v>
      </c>
      <c r="C1334" s="1" t="n">
        <v>1</v>
      </c>
      <c r="D1334" s="1" t="s">
        <v>21</v>
      </c>
      <c r="E1334" s="1" t="s">
        <v>1839</v>
      </c>
      <c r="F1334" s="1" t="n">
        <v>36</v>
      </c>
      <c r="G1334" s="1" t="n">
        <v>20</v>
      </c>
      <c r="H1334" s="2" t="n">
        <v>101000</v>
      </c>
      <c r="I1334" s="2" t="n">
        <f aca="false">(((H1334 / 800) / IF(ISBLANK(R1334), 1000000, IF(ISNA(VLOOKUP(R1334, Mileages!$A$2:$C$34, 2, 0)), R1334, VLOOKUP(R1334, Mileages!$A$2:$C$34, 2, 0)))) + (F1334 * IF(ISBLANK(P1334), 1, P1334) * IF(ISBLANK(T1334), 0, IF(ISNA(VLOOKUP(T1334, 'Fuel Costs'!$A$2:$C$42, 2, 0)), T1334, VLOOKUP(T1334, 'Fuel Costs'!$A$2:$C$42, 2, 0))) / IF(ISBLANK(O1334), 1, O1334))) * 100</f>
        <v>36.02525</v>
      </c>
      <c r="J1334" s="2" t="n">
        <f aca="false">((H1334 / 800) / (IF(ISBLANK(S1334), 100, IF(ISNA(VLOOKUP(S1334, Lives!$A$2:$C$35, 2, 0)), S1334, VLOOKUP(S1334, Lives!$A$2:$C$35, 2, 0))) * 12) + (IF(ISBLANK(Q1334), 0, IF(ISNA(VLOOKUP(Q1334, Wages!$A$2:$C$17, 2, 0)), Q1334, VLOOKUP(Q1334, Wages!$A$2:$C$17, 2, 0))) * IF(ISBLANK(N1334), 0, IF(ISNA(VLOOKUP(N1334, Crews!$A$2:$C$28, 2, 0)), N1334, VLOOKUP(N1334, Crews!$A$2:$C$28, 2, 0))))) * 400</f>
        <v>8052.604167</v>
      </c>
      <c r="K1334" s="3" t="s">
        <v>2673</v>
      </c>
      <c r="L1334" s="1" t="s">
        <v>2674</v>
      </c>
      <c r="M1334" s="1" t="n">
        <v>0</v>
      </c>
      <c r="N1334" s="1" t="s">
        <v>25</v>
      </c>
      <c r="O1334" s="1" t="n">
        <v>0.6</v>
      </c>
      <c r="P1334" s="1"/>
      <c r="Q1334" s="1" t="s">
        <v>1815</v>
      </c>
      <c r="R1334" s="1" t="s">
        <v>1842</v>
      </c>
      <c r="S1334" s="1" t="s">
        <v>1843</v>
      </c>
      <c r="T1334" s="1" t="s">
        <v>2534</v>
      </c>
    </row>
    <row r="1335" customFormat="false" ht="15" hidden="false" customHeight="true" outlineLevel="0" collapsed="false">
      <c r="A1335" s="1" t="s">
        <v>2675</v>
      </c>
      <c r="B1335" s="1" t="n">
        <v>1923</v>
      </c>
      <c r="C1335" s="1" t="n">
        <v>2</v>
      </c>
      <c r="D1335" s="1" t="s">
        <v>38</v>
      </c>
      <c r="E1335" s="1"/>
      <c r="F1335" s="1"/>
      <c r="G1335" s="1" t="n">
        <v>160</v>
      </c>
      <c r="H1335" s="2" t="n">
        <v>721000</v>
      </c>
      <c r="I1335" s="2" t="n">
        <f aca="false">(((H1335 / 800) / IF(ISBLANK(R1335), 1000000, IF(ISNA(VLOOKUP(R1335, Mileages!$A$2:$C$34, 2, 0)), R1335, VLOOKUP(R1335, Mileages!$A$2:$C$34, 2, 0)))) + (F1335 * IF(ISBLANK(P1335), 1, P1335) * IF(ISBLANK(T1335), 0, IF(ISNA(VLOOKUP(T1335, 'Fuel Costs'!$A$2:$C$42, 2, 0)), T1335, VLOOKUP(T1335, 'Fuel Costs'!$A$2:$C$42, 2, 0))) / IF(ISBLANK(O1335), 1, O1335))) * 100</f>
        <v>0.07510416667</v>
      </c>
      <c r="J1335" s="2" t="n">
        <f aca="false">((H1335 / 800) / (IF(ISBLANK(S1335), 100, IF(ISNA(VLOOKUP(S1335, Lives!$A$2:$C$35, 2, 0)), S1335, VLOOKUP(S1335, Lives!$A$2:$C$35, 2, 0))) * 12) + (IF(ISBLANK(Q1335), 0, IF(ISNA(VLOOKUP(Q1335, Wages!$A$2:$C$17, 2, 0)), Q1335, VLOOKUP(Q1335, Wages!$A$2:$C$17, 2, 0))) * IF(ISBLANK(N1335), 0, IF(ISNA(VLOOKUP(N1335, Crews!$A$2:$C$28, 2, 0)), N1335, VLOOKUP(N1335, Crews!$A$2:$C$28, 2, 0))))) * 400</f>
        <v>300.4166667</v>
      </c>
      <c r="K1335" s="1" t="s">
        <v>2676</v>
      </c>
      <c r="L1335" s="1" t="s">
        <v>2677</v>
      </c>
      <c r="M1335" s="1" t="n">
        <v>0</v>
      </c>
      <c r="N1335" s="1"/>
      <c r="O1335" s="1"/>
      <c r="P1335" s="1"/>
      <c r="Q1335" s="1"/>
      <c r="R1335" s="1" t="s">
        <v>689</v>
      </c>
      <c r="S1335" s="5" t="s">
        <v>389</v>
      </c>
      <c r="T1335" s="1"/>
    </row>
    <row r="1336" customFormat="false" ht="15" hidden="false" customHeight="true" outlineLevel="0" collapsed="false">
      <c r="A1336" s="1" t="s">
        <v>2678</v>
      </c>
      <c r="B1336" s="1" t="n">
        <v>1923</v>
      </c>
      <c r="C1336" s="1" t="n">
        <v>2</v>
      </c>
      <c r="D1336" s="1" t="s">
        <v>38</v>
      </c>
      <c r="E1336" s="1"/>
      <c r="F1336" s="1"/>
      <c r="G1336" s="1" t="n">
        <v>160</v>
      </c>
      <c r="H1336" s="2" t="n">
        <v>785000</v>
      </c>
      <c r="I1336" s="2" t="n">
        <f aca="false">(((H1336 / 800) / IF(ISBLANK(R1336), 1000000, IF(ISNA(VLOOKUP(R1336, Mileages!$A$2:$C$34, 2, 0)), R1336, VLOOKUP(R1336, Mileages!$A$2:$C$34, 2, 0)))) + (F1336 * IF(ISBLANK(P1336), 1, P1336) * IF(ISBLANK(T1336), 0, IF(ISNA(VLOOKUP(T1336, 'Fuel Costs'!$A$2:$C$42, 2, 0)), T1336, VLOOKUP(T1336, 'Fuel Costs'!$A$2:$C$42, 2, 0))) / IF(ISBLANK(O1336), 1, O1336))) * 100</f>
        <v>0.08177083333</v>
      </c>
      <c r="J1336" s="2" t="n">
        <f aca="false">((H1336 / 800) / (IF(ISBLANK(S1336), 100, IF(ISNA(VLOOKUP(S1336, Lives!$A$2:$C$35, 2, 0)), S1336, VLOOKUP(S1336, Lives!$A$2:$C$35, 2, 0))) * 12) + (IF(ISBLANK(Q1336), 0, IF(ISNA(VLOOKUP(Q1336, Wages!$A$2:$C$17, 2, 0)), Q1336, VLOOKUP(Q1336, Wages!$A$2:$C$17, 2, 0))) * IF(ISBLANK(N1336), 0, IF(ISNA(VLOOKUP(N1336, Crews!$A$2:$C$28, 2, 0)), N1336, VLOOKUP(N1336, Crews!$A$2:$C$28, 2, 0))))) * 400</f>
        <v>24327.08333</v>
      </c>
      <c r="K1336" s="1" t="s">
        <v>2676</v>
      </c>
      <c r="L1336" s="1" t="s">
        <v>2677</v>
      </c>
      <c r="M1336" s="1" t="n">
        <v>1</v>
      </c>
      <c r="N1336" s="1" t="s">
        <v>551</v>
      </c>
      <c r="O1336" s="1"/>
      <c r="P1336" s="1"/>
      <c r="Q1336" s="1" t="s">
        <v>551</v>
      </c>
      <c r="R1336" s="1" t="s">
        <v>689</v>
      </c>
      <c r="S1336" s="1" t="s">
        <v>389</v>
      </c>
      <c r="T1336" s="1"/>
    </row>
    <row r="1337" customFormat="false" ht="15" hidden="false" customHeight="true" outlineLevel="0" collapsed="false">
      <c r="A1337" s="1" t="s">
        <v>2679</v>
      </c>
      <c r="B1337" s="1" t="n">
        <v>1923</v>
      </c>
      <c r="C1337" s="1" t="n">
        <v>2</v>
      </c>
      <c r="D1337" s="1" t="s">
        <v>38</v>
      </c>
      <c r="E1337" s="1"/>
      <c r="F1337" s="1"/>
      <c r="G1337" s="1" t="n">
        <v>160</v>
      </c>
      <c r="H1337" s="2" t="n">
        <v>721000</v>
      </c>
      <c r="I1337" s="2" t="n">
        <f aca="false">(((H1337 / 800) / IF(ISBLANK(R1337), 1000000, IF(ISNA(VLOOKUP(R1337, Mileages!$A$2:$C$34, 2, 0)), R1337, VLOOKUP(R1337, Mileages!$A$2:$C$34, 2, 0)))) + (F1337 * IF(ISBLANK(P1337), 1, P1337) * IF(ISBLANK(T1337), 0, IF(ISNA(VLOOKUP(T1337, 'Fuel Costs'!$A$2:$C$42, 2, 0)), T1337, VLOOKUP(T1337, 'Fuel Costs'!$A$2:$C$42, 2, 0))) / IF(ISBLANK(O1337), 1, O1337))) * 100</f>
        <v>0.07510416667</v>
      </c>
      <c r="J1337" s="2" t="n">
        <f aca="false">((H1337 / 800) / (IF(ISBLANK(S1337), 100, IF(ISNA(VLOOKUP(S1337, Lives!$A$2:$C$35, 2, 0)), S1337, VLOOKUP(S1337, Lives!$A$2:$C$35, 2, 0))) * 12) + (IF(ISBLANK(Q1337), 0, IF(ISNA(VLOOKUP(Q1337, Wages!$A$2:$C$17, 2, 0)), Q1337, VLOOKUP(Q1337, Wages!$A$2:$C$17, 2, 0))) * IF(ISBLANK(N1337), 0, IF(ISNA(VLOOKUP(N1337, Crews!$A$2:$C$28, 2, 0)), N1337, VLOOKUP(N1337, Crews!$A$2:$C$28, 2, 0))))) * 400</f>
        <v>5100.416667</v>
      </c>
      <c r="K1337" s="1" t="s">
        <v>2676</v>
      </c>
      <c r="L1337" s="1" t="s">
        <v>2680</v>
      </c>
      <c r="M1337" s="1" t="n">
        <v>0</v>
      </c>
      <c r="N1337" s="1" t="s">
        <v>25</v>
      </c>
      <c r="O1337" s="1"/>
      <c r="P1337" s="1"/>
      <c r="Q1337" s="1" t="s">
        <v>378</v>
      </c>
      <c r="R1337" s="1" t="s">
        <v>689</v>
      </c>
      <c r="S1337" s="1" t="s">
        <v>389</v>
      </c>
      <c r="T1337" s="1"/>
    </row>
    <row r="1338" customFormat="false" ht="15" hidden="false" customHeight="true" outlineLevel="0" collapsed="false">
      <c r="A1338" s="1" t="s">
        <v>2681</v>
      </c>
      <c r="B1338" s="1" t="n">
        <v>1923</v>
      </c>
      <c r="C1338" s="1" t="n">
        <v>2</v>
      </c>
      <c r="D1338" s="1" t="s">
        <v>38</v>
      </c>
      <c r="E1338" s="1"/>
      <c r="F1338" s="1"/>
      <c r="G1338" s="1" t="n">
        <v>160</v>
      </c>
      <c r="H1338" s="2" t="n">
        <v>721000</v>
      </c>
      <c r="I1338" s="2" t="n">
        <f aca="false">(((H1338 / 800) / IF(ISBLANK(R1338), 1000000, IF(ISNA(VLOOKUP(R1338, Mileages!$A$2:$C$34, 2, 0)), R1338, VLOOKUP(R1338, Mileages!$A$2:$C$34, 2, 0)))) + (F1338 * IF(ISBLANK(P1338), 1, P1338) * IF(ISBLANK(T1338), 0, IF(ISNA(VLOOKUP(T1338, 'Fuel Costs'!$A$2:$C$42, 2, 0)), T1338, VLOOKUP(T1338, 'Fuel Costs'!$A$2:$C$42, 2, 0))) / IF(ISBLANK(O1338), 1, O1338))) * 100</f>
        <v>0.07510416667</v>
      </c>
      <c r="J1338" s="2" t="n">
        <f aca="false">((H1338 / 800) / (IF(ISBLANK(S1338), 100, IF(ISNA(VLOOKUP(S1338, Lives!$A$2:$C$35, 2, 0)), S1338, VLOOKUP(S1338, Lives!$A$2:$C$35, 2, 0))) * 12) + (IF(ISBLANK(Q1338), 0, IF(ISNA(VLOOKUP(Q1338, Wages!$A$2:$C$17, 2, 0)), Q1338, VLOOKUP(Q1338, Wages!$A$2:$C$17, 2, 0))) * IF(ISBLANK(N1338), 0, IF(ISNA(VLOOKUP(N1338, Crews!$A$2:$C$28, 2, 0)), N1338, VLOOKUP(N1338, Crews!$A$2:$C$28, 2, 0))))) * 400</f>
        <v>5658.333333</v>
      </c>
      <c r="K1338" s="3" t="s">
        <v>2682</v>
      </c>
      <c r="L1338" s="1" t="s">
        <v>2683</v>
      </c>
      <c r="M1338" s="1" t="n">
        <v>0</v>
      </c>
      <c r="N1338" s="1" t="s">
        <v>25</v>
      </c>
      <c r="O1338" s="1"/>
      <c r="P1338" s="1"/>
      <c r="Q1338" s="1" t="s">
        <v>378</v>
      </c>
      <c r="R1338" s="1" t="s">
        <v>689</v>
      </c>
      <c r="S1338" s="1" t="s">
        <v>856</v>
      </c>
      <c r="T1338" s="1"/>
    </row>
    <row r="1339" customFormat="false" ht="15" hidden="false" customHeight="true" outlineLevel="0" collapsed="false">
      <c r="A1339" s="1" t="s">
        <v>2684</v>
      </c>
      <c r="B1339" s="1" t="n">
        <v>1923</v>
      </c>
      <c r="C1339" s="1" t="n">
        <v>2</v>
      </c>
      <c r="D1339" s="1" t="s">
        <v>38</v>
      </c>
      <c r="E1339" s="1"/>
      <c r="F1339" s="1"/>
      <c r="G1339" s="1" t="n">
        <v>56</v>
      </c>
      <c r="H1339" s="2" t="n">
        <v>140000</v>
      </c>
      <c r="I1339" s="2" t="n">
        <f aca="false">(((H1339 / 800) / IF(ISBLANK(R1339), 1000000, IF(ISNA(VLOOKUP(R1339, Mileages!$A$2:$C$34, 2, 0)), R1339, VLOOKUP(R1339, Mileages!$A$2:$C$34, 2, 0)))) + (F1339 * IF(ISBLANK(P1339), 1, P1339) * IF(ISBLANK(T1339), 0, IF(ISNA(VLOOKUP(T1339, 'Fuel Costs'!$A$2:$C$42, 2, 0)), T1339, VLOOKUP(T1339, 'Fuel Costs'!$A$2:$C$42, 2, 0))) / IF(ISBLANK(O1339), 1, O1339))) * 100</f>
        <v>0.01458333333</v>
      </c>
      <c r="J1339" s="2" t="n">
        <f aca="false">((H1339 / 800) / (IF(ISBLANK(S1339), 100, IF(ISNA(VLOOKUP(S1339, Lives!$A$2:$C$35, 2, 0)), S1339, VLOOKUP(S1339, Lives!$A$2:$C$35, 2, 0))) * 12) + (IF(ISBLANK(Q1339), 0, IF(ISNA(VLOOKUP(Q1339, Wages!$A$2:$C$17, 2, 0)), Q1339, VLOOKUP(Q1339, Wages!$A$2:$C$17, 2, 0))) * IF(ISBLANK(N1339), 0, IF(ISNA(VLOOKUP(N1339, Crews!$A$2:$C$28, 2, 0)), N1339, VLOOKUP(N1339, Crews!$A$2:$C$28, 2, 0))))) * 400</f>
        <v>166.6666667</v>
      </c>
      <c r="K1339" s="3" t="s">
        <v>1766</v>
      </c>
      <c r="L1339" s="1" t="s">
        <v>2685</v>
      </c>
      <c r="M1339" s="1" t="n">
        <v>0</v>
      </c>
      <c r="N1339" s="1"/>
      <c r="O1339" s="1"/>
      <c r="P1339" s="1"/>
      <c r="Q1339" s="1"/>
      <c r="R1339" s="1" t="s">
        <v>689</v>
      </c>
      <c r="S1339" s="1" t="s">
        <v>856</v>
      </c>
      <c r="T1339" s="1"/>
    </row>
    <row r="1340" customFormat="false" ht="15" hidden="false" customHeight="true" outlineLevel="0" collapsed="false">
      <c r="A1340" s="1" t="s">
        <v>2686</v>
      </c>
      <c r="B1340" s="1" t="n">
        <v>1923</v>
      </c>
      <c r="C1340" s="1" t="n">
        <v>2</v>
      </c>
      <c r="D1340" s="1" t="s">
        <v>38</v>
      </c>
      <c r="E1340" s="1"/>
      <c r="F1340" s="1"/>
      <c r="G1340" s="1" t="n">
        <v>160</v>
      </c>
      <c r="H1340" s="2" t="n">
        <v>721000</v>
      </c>
      <c r="I1340" s="2" t="n">
        <f aca="false">(((H1340 / 800) / IF(ISBLANK(R1340), 1000000, IF(ISNA(VLOOKUP(R1340, Mileages!$A$2:$C$34, 2, 0)), R1340, VLOOKUP(R1340, Mileages!$A$2:$C$34, 2, 0)))) + (F1340 * IF(ISBLANK(P1340), 1, P1340) * IF(ISBLANK(T1340), 0, IF(ISNA(VLOOKUP(T1340, 'Fuel Costs'!$A$2:$C$42, 2, 0)), T1340, VLOOKUP(T1340, 'Fuel Costs'!$A$2:$C$42, 2, 0))) / IF(ISBLANK(O1340), 1, O1340))) * 100</f>
        <v>0.07510416667</v>
      </c>
      <c r="J1340" s="2" t="n">
        <f aca="false">((H1340 / 800) / (IF(ISBLANK(S1340), 100, IF(ISNA(VLOOKUP(S1340, Lives!$A$2:$C$35, 2, 0)), S1340, VLOOKUP(S1340, Lives!$A$2:$C$35, 2, 0))) * 12) + (IF(ISBLANK(Q1340), 0, IF(ISNA(VLOOKUP(Q1340, Wages!$A$2:$C$17, 2, 0)), Q1340, VLOOKUP(Q1340, Wages!$A$2:$C$17, 2, 0))) * IF(ISBLANK(N1340), 0, IF(ISNA(VLOOKUP(N1340, Crews!$A$2:$C$28, 2, 0)), N1340, VLOOKUP(N1340, Crews!$A$2:$C$28, 2, 0))))) * 400</f>
        <v>858.3333333</v>
      </c>
      <c r="K1340" s="3" t="s">
        <v>2682</v>
      </c>
      <c r="L1340" s="1" t="s">
        <v>2687</v>
      </c>
      <c r="M1340" s="1" t="n">
        <v>0</v>
      </c>
      <c r="N1340" s="1"/>
      <c r="O1340" s="1"/>
      <c r="P1340" s="1"/>
      <c r="Q1340" s="1"/>
      <c r="R1340" s="1" t="s">
        <v>689</v>
      </c>
      <c r="S1340" s="1" t="s">
        <v>856</v>
      </c>
      <c r="T1340" s="1"/>
    </row>
    <row r="1341" customFormat="false" ht="15" hidden="false" customHeight="true" outlineLevel="0" collapsed="false">
      <c r="A1341" s="1" t="s">
        <v>2688</v>
      </c>
      <c r="B1341" s="1" t="n">
        <v>1923</v>
      </c>
      <c r="C1341" s="1" t="n">
        <v>2</v>
      </c>
      <c r="D1341" s="1" t="s">
        <v>38</v>
      </c>
      <c r="E1341" s="1"/>
      <c r="F1341" s="1"/>
      <c r="G1341" s="1" t="n">
        <v>160</v>
      </c>
      <c r="H1341" s="2" t="n">
        <v>675000</v>
      </c>
      <c r="I1341" s="2" t="n">
        <f aca="false">(((H1341 / 800) / IF(ISBLANK(R1341), 1000000, IF(ISNA(VLOOKUP(R1341, Mileages!$A$2:$C$34, 2, 0)), R1341, VLOOKUP(R1341, Mileages!$A$2:$C$34, 2, 0)))) + (F1341 * IF(ISBLANK(P1341), 1, P1341) * IF(ISBLANK(T1341), 0, IF(ISNA(VLOOKUP(T1341, 'Fuel Costs'!$A$2:$C$42, 2, 0)), T1341, VLOOKUP(T1341, 'Fuel Costs'!$A$2:$C$42, 2, 0))) / IF(ISBLANK(O1341), 1, O1341))) * 100</f>
        <v>0.0703125</v>
      </c>
      <c r="J1341" s="2" t="n">
        <f aca="false">((H1341 / 800) / (IF(ISBLANK(S1341), 100, IF(ISNA(VLOOKUP(S1341, Lives!$A$2:$C$35, 2, 0)), S1341, VLOOKUP(S1341, Lives!$A$2:$C$35, 2, 0))) * 12) + (IF(ISBLANK(Q1341), 0, IF(ISNA(VLOOKUP(Q1341, Wages!$A$2:$C$17, 2, 0)), Q1341, VLOOKUP(Q1341, Wages!$A$2:$C$17, 2, 0))) * IF(ISBLANK(N1341), 0, IF(ISNA(VLOOKUP(N1341, Crews!$A$2:$C$28, 2, 0)), N1341, VLOOKUP(N1341, Crews!$A$2:$C$28, 2, 0))))) * 400</f>
        <v>18803.57143</v>
      </c>
      <c r="K1341" s="1" t="s">
        <v>2676</v>
      </c>
      <c r="L1341" s="1" t="s">
        <v>2687</v>
      </c>
      <c r="M1341" s="1" t="n">
        <v>1</v>
      </c>
      <c r="N1341" s="1" t="s">
        <v>1481</v>
      </c>
      <c r="O1341" s="1"/>
      <c r="P1341" s="1"/>
      <c r="Q1341" s="1" t="s">
        <v>1481</v>
      </c>
      <c r="R1341" s="1" t="s">
        <v>689</v>
      </c>
      <c r="S1341" s="1" t="s">
        <v>856</v>
      </c>
      <c r="T1341" s="1"/>
    </row>
    <row r="1342" customFormat="false" ht="15" hidden="false" customHeight="true" outlineLevel="0" collapsed="false">
      <c r="A1342" s="1" t="s">
        <v>2689</v>
      </c>
      <c r="B1342" s="1" t="n">
        <v>1923</v>
      </c>
      <c r="C1342" s="1" t="n">
        <v>3</v>
      </c>
      <c r="D1342" s="1" t="s">
        <v>38</v>
      </c>
      <c r="E1342" s="1" t="s">
        <v>1346</v>
      </c>
      <c r="F1342" s="1" t="n">
        <v>300</v>
      </c>
      <c r="G1342" s="1" t="n">
        <v>70</v>
      </c>
      <c r="H1342" s="2" t="n">
        <v>7000000</v>
      </c>
      <c r="I1342" s="2" t="n">
        <f aca="false">(((H1342 / 800) / IF(ISBLANK(R1342), 1000000, IF(ISNA(VLOOKUP(R1342, Mileages!$A$2:$C$34, 2, 0)), R1342, VLOOKUP(R1342, Mileages!$A$2:$C$34, 2, 0)))) + (F1342 * IF(ISBLANK(P1342), 1, P1342) * IF(ISBLANK(T1342), 0, IF(ISNA(VLOOKUP(T1342, 'Fuel Costs'!$A$2:$C$42, 2, 0)), T1342, VLOOKUP(T1342, 'Fuel Costs'!$A$2:$C$42, 2, 0))) / IF(ISBLANK(O1342), 1, O1342))) * 100</f>
        <v>120.875</v>
      </c>
      <c r="J1342" s="2" t="n">
        <f aca="false">((H1342 / 800) / (IF(ISBLANK(S1342), 100, IF(ISNA(VLOOKUP(S1342, Lives!$A$2:$C$35, 2, 0)), S1342, VLOOKUP(S1342, Lives!$A$2:$C$35, 2, 0))) * 12) + (IF(ISBLANK(Q1342), 0, IF(ISNA(VLOOKUP(Q1342, Wages!$A$2:$C$17, 2, 0)), Q1342, VLOOKUP(Q1342, Wages!$A$2:$C$17, 2, 0))) * IF(ISBLANK(N1342), 0, IF(ISNA(VLOOKUP(N1342, Crews!$A$2:$C$28, 2, 0)), N1342, VLOOKUP(N1342, Crews!$A$2:$C$28, 2, 0))))) * 400</f>
        <v>11833.33333</v>
      </c>
      <c r="K1342" s="3" t="s">
        <v>2690</v>
      </c>
      <c r="L1342" s="1" t="s">
        <v>2691</v>
      </c>
      <c r="M1342" s="1" t="n">
        <v>0</v>
      </c>
      <c r="N1342" s="1" t="s">
        <v>1512</v>
      </c>
      <c r="O1342" s="1" t="n">
        <v>1</v>
      </c>
      <c r="P1342" s="1"/>
      <c r="Q1342" s="1" t="str">
        <f aca="false">IF(ISBLANK('Pak128 Britain In'!$N1342),,'Pak128 Britain In'!$N1342)</f>
        <v>ElectricMultipleUnit</v>
      </c>
      <c r="R1342" s="1" t="s">
        <v>1349</v>
      </c>
      <c r="S1342" s="1" t="s">
        <v>1350</v>
      </c>
      <c r="T1342" s="1" t="s">
        <v>2580</v>
      </c>
    </row>
    <row r="1343" customFormat="false" ht="15" hidden="false" customHeight="true" outlineLevel="0" collapsed="false">
      <c r="A1343" s="1" t="s">
        <v>2692</v>
      </c>
      <c r="B1343" s="1" t="n">
        <v>1923</v>
      </c>
      <c r="C1343" s="1" t="n">
        <v>3</v>
      </c>
      <c r="D1343" s="1" t="s">
        <v>38</v>
      </c>
      <c r="E1343" s="1" t="s">
        <v>1346</v>
      </c>
      <c r="F1343" s="1"/>
      <c r="G1343" s="1" t="n">
        <v>70</v>
      </c>
      <c r="H1343" s="2" t="n">
        <v>1400000</v>
      </c>
      <c r="I1343" s="2" t="n">
        <f aca="false">(((H1343 / 800) / IF(ISBLANK(R1343), 1000000, IF(ISNA(VLOOKUP(R1343, Mileages!$A$2:$C$34, 2, 0)), R1343, VLOOKUP(R1343, Mileages!$A$2:$C$34, 2, 0)))) + (F1343 * IF(ISBLANK(P1343), 1, P1343) * IF(ISBLANK(T1343), 0, IF(ISNA(VLOOKUP(T1343, 'Fuel Costs'!$A$2:$C$42, 2, 0)), T1343, VLOOKUP(T1343, 'Fuel Costs'!$A$2:$C$42, 2, 0))) / IF(ISBLANK(O1343), 1, O1343))) * 100</f>
        <v>0.1458333333</v>
      </c>
      <c r="J1343" s="2" t="n">
        <f aca="false">((H1343 / 800) / (IF(ISBLANK(S1343), 100, IF(ISNA(VLOOKUP(S1343, Lives!$A$2:$C$35, 2, 0)), S1343, VLOOKUP(S1343, Lives!$A$2:$C$35, 2, 0))) * 12) + (IF(ISBLANK(Q1343), 0, IF(ISNA(VLOOKUP(Q1343, Wages!$A$2:$C$17, 2, 0)), Q1343, VLOOKUP(Q1343, Wages!$A$2:$C$17, 2, 0))) * IF(ISBLANK(N1343), 0, IF(ISNA(VLOOKUP(N1343, Crews!$A$2:$C$28, 2, 0)), N1343, VLOOKUP(N1343, Crews!$A$2:$C$28, 2, 0))))) * 400</f>
        <v>1666.666667</v>
      </c>
      <c r="K1343" s="3" t="s">
        <v>2693</v>
      </c>
      <c r="L1343" s="1" t="s">
        <v>2691</v>
      </c>
      <c r="M1343" s="1" t="n">
        <v>1</v>
      </c>
      <c r="N1343" s="1"/>
      <c r="O1343" s="1"/>
      <c r="P1343" s="1"/>
      <c r="Q1343" s="1"/>
      <c r="R1343" s="1" t="s">
        <v>689</v>
      </c>
      <c r="S1343" s="1" t="s">
        <v>856</v>
      </c>
      <c r="T1343" s="1"/>
    </row>
    <row r="1344" customFormat="false" ht="15" hidden="false" customHeight="true" outlineLevel="0" collapsed="false">
      <c r="A1344" s="1" t="s">
        <v>2694</v>
      </c>
      <c r="B1344" s="1" t="n">
        <v>1923</v>
      </c>
      <c r="C1344" s="1" t="n">
        <v>3</v>
      </c>
      <c r="D1344" s="1" t="s">
        <v>38</v>
      </c>
      <c r="E1344" s="1" t="s">
        <v>1346</v>
      </c>
      <c r="F1344" s="1" t="n">
        <v>300</v>
      </c>
      <c r="G1344" s="1" t="n">
        <v>70</v>
      </c>
      <c r="H1344" s="2" t="n">
        <v>7000000</v>
      </c>
      <c r="I1344" s="2" t="n">
        <f aca="false">(((H1344 / 800) / IF(ISBLANK(R1344), 1000000, IF(ISNA(VLOOKUP(R1344, Mileages!$A$2:$C$34, 2, 0)), R1344, VLOOKUP(R1344, Mileages!$A$2:$C$34, 2, 0)))) + (F1344 * IF(ISBLANK(P1344), 1, P1344) * IF(ISBLANK(T1344), 0, IF(ISNA(VLOOKUP(T1344, 'Fuel Costs'!$A$2:$C$42, 2, 0)), T1344, VLOOKUP(T1344, 'Fuel Costs'!$A$2:$C$42, 2, 0))) / IF(ISBLANK(O1344), 1, O1344))) * 100</f>
        <v>120.875</v>
      </c>
      <c r="J1344" s="2" t="n">
        <f aca="false">((H1344 / 800) / (IF(ISBLANK(S1344), 100, IF(ISNA(VLOOKUP(S1344, Lives!$A$2:$C$35, 2, 0)), S1344, VLOOKUP(S1344, Lives!$A$2:$C$35, 2, 0))) * 12) + (IF(ISBLANK(Q1344), 0, IF(ISNA(VLOOKUP(Q1344, Wages!$A$2:$C$17, 2, 0)), Q1344, VLOOKUP(Q1344, Wages!$A$2:$C$17, 2, 0))) * IF(ISBLANK(N1344), 0, IF(ISNA(VLOOKUP(N1344, Crews!$A$2:$C$28, 2, 0)), N1344, VLOOKUP(N1344, Crews!$A$2:$C$28, 2, 0))))) * 400</f>
        <v>11833.33333</v>
      </c>
      <c r="K1344" s="1"/>
      <c r="L1344" s="1" t="s">
        <v>2691</v>
      </c>
      <c r="M1344" s="1" t="n">
        <v>2</v>
      </c>
      <c r="N1344" s="1" t="s">
        <v>1512</v>
      </c>
      <c r="O1344" s="1" t="n">
        <v>1</v>
      </c>
      <c r="P1344" s="1"/>
      <c r="Q1344" s="1" t="str">
        <f aca="false">IF(ISBLANK('Pak128 Britain In'!$N1344),,'Pak128 Britain In'!$N1344)</f>
        <v>ElectricMultipleUnit</v>
      </c>
      <c r="R1344" s="1" t="s">
        <v>1349</v>
      </c>
      <c r="S1344" s="1" t="s">
        <v>1350</v>
      </c>
      <c r="T1344" s="1" t="s">
        <v>2580</v>
      </c>
    </row>
    <row r="1345" customFormat="false" ht="15" hidden="false" customHeight="true" outlineLevel="0" collapsed="false">
      <c r="A1345" s="1" t="s">
        <v>2695</v>
      </c>
      <c r="B1345" s="1" t="n">
        <v>1923</v>
      </c>
      <c r="C1345" s="1" t="n">
        <v>3</v>
      </c>
      <c r="D1345" s="1" t="s">
        <v>38</v>
      </c>
      <c r="E1345" s="1"/>
      <c r="F1345" s="1"/>
      <c r="G1345" s="1" t="n">
        <v>56</v>
      </c>
      <c r="H1345" s="2" t="n">
        <v>140000</v>
      </c>
      <c r="I1345" s="2" t="n">
        <f aca="false">(((H1345 / 800) / IF(ISBLANK(R1345), 1000000, IF(ISNA(VLOOKUP(R1345, Mileages!$A$2:$C$34, 2, 0)), R1345, VLOOKUP(R1345, Mileages!$A$2:$C$34, 2, 0)))) + (F1345 * IF(ISBLANK(P1345), 1, P1345) * IF(ISBLANK(T1345), 0, IF(ISNA(VLOOKUP(T1345, 'Fuel Costs'!$A$2:$C$42, 2, 0)), T1345, VLOOKUP(T1345, 'Fuel Costs'!$A$2:$C$42, 2, 0))) / IF(ISBLANK(O1345), 1, O1345))) * 100</f>
        <v>0.01458333333</v>
      </c>
      <c r="J1345" s="2" t="n">
        <f aca="false">((H1345 / 800) / (IF(ISBLANK(S1345), 100, IF(ISNA(VLOOKUP(S1345, Lives!$A$2:$C$35, 2, 0)), S1345, VLOOKUP(S1345, Lives!$A$2:$C$35, 2, 0))) * 12) + (IF(ISBLANK(Q1345), 0, IF(ISNA(VLOOKUP(Q1345, Wages!$A$2:$C$17, 2, 0)), Q1345, VLOOKUP(Q1345, Wages!$A$2:$C$17, 2, 0))) * IF(ISBLANK(N1345), 0, IF(ISNA(VLOOKUP(N1345, Crews!$A$2:$C$28, 2, 0)), N1345, VLOOKUP(N1345, Crews!$A$2:$C$28, 2, 0))))) * 400</f>
        <v>116.6666667</v>
      </c>
      <c r="K1345" s="1"/>
      <c r="L1345" s="1" t="s">
        <v>2696</v>
      </c>
      <c r="M1345" s="1" t="n">
        <v>0</v>
      </c>
      <c r="N1345" s="1"/>
      <c r="O1345" s="1"/>
      <c r="P1345" s="1"/>
      <c r="Q1345" s="1"/>
      <c r="R1345" s="1" t="s">
        <v>689</v>
      </c>
      <c r="S1345" s="1" t="s">
        <v>785</v>
      </c>
      <c r="T1345" s="1"/>
    </row>
    <row r="1346" customFormat="false" ht="15" hidden="false" customHeight="true" outlineLevel="0" collapsed="false">
      <c r="A1346" s="1" t="s">
        <v>2697</v>
      </c>
      <c r="B1346" s="1" t="n">
        <v>1923</v>
      </c>
      <c r="C1346" s="1" t="n">
        <v>5</v>
      </c>
      <c r="D1346" s="1" t="s">
        <v>38</v>
      </c>
      <c r="E1346" s="1" t="s">
        <v>1346</v>
      </c>
      <c r="F1346" s="1" t="n">
        <v>200</v>
      </c>
      <c r="G1346" s="1" t="n">
        <v>72</v>
      </c>
      <c r="H1346" s="2" t="n">
        <v>1150000</v>
      </c>
      <c r="I1346" s="2" t="n">
        <f aca="false">(((H1346 / 800) / IF(ISBLANK(R1346), 1000000, IF(ISNA(VLOOKUP(R1346, Mileages!$A$2:$C$34, 2, 0)), R1346, VLOOKUP(R1346, Mileages!$A$2:$C$34, 2, 0)))) + (F1346 * IF(ISBLANK(P1346), 1, P1346) * IF(ISBLANK(T1346), 0, IF(ISNA(VLOOKUP(T1346, 'Fuel Costs'!$A$2:$C$42, 2, 0)), T1346, VLOOKUP(T1346, 'Fuel Costs'!$A$2:$C$42, 2, 0))) / IF(ISBLANK(O1346), 1, O1346))) * 100</f>
        <v>80.14375</v>
      </c>
      <c r="J1346" s="2" t="n">
        <f aca="false">((H1346 / 800) / (IF(ISBLANK(S1346), 100, IF(ISNA(VLOOKUP(S1346, Lives!$A$2:$C$35, 2, 0)), S1346, VLOOKUP(S1346, Lives!$A$2:$C$35, 2, 0))) * 12) + (IF(ISBLANK(Q1346), 0, IF(ISNA(VLOOKUP(Q1346, Wages!$A$2:$C$17, 2, 0)), Q1346, VLOOKUP(Q1346, Wages!$A$2:$C$17, 2, 0))) * IF(ISBLANK(N1346), 0, IF(ISNA(VLOOKUP(N1346, Crews!$A$2:$C$28, 2, 0)), N1346, VLOOKUP(N1346, Crews!$A$2:$C$28, 2, 0))))) * 400</f>
        <v>6958.333333</v>
      </c>
      <c r="K1346" s="1"/>
      <c r="L1346" s="1" t="s">
        <v>2698</v>
      </c>
      <c r="M1346" s="1" t="n">
        <v>0</v>
      </c>
      <c r="N1346" s="1" t="s">
        <v>1512</v>
      </c>
      <c r="O1346" s="1" t="n">
        <v>1</v>
      </c>
      <c r="P1346" s="1"/>
      <c r="Q1346" s="1" t="str">
        <f aca="false">IF(ISBLANK('Pak128 Britain In'!$N1346),,'Pak128 Britain In'!$N1346)</f>
        <v>ElectricMultipleUnit</v>
      </c>
      <c r="R1346" s="1" t="s">
        <v>1349</v>
      </c>
      <c r="S1346" s="1" t="s">
        <v>1350</v>
      </c>
      <c r="T1346" s="1" t="s">
        <v>2580</v>
      </c>
    </row>
    <row r="1347" customFormat="false" ht="15" hidden="false" customHeight="true" outlineLevel="0" collapsed="false">
      <c r="A1347" s="1" t="s">
        <v>2699</v>
      </c>
      <c r="B1347" s="1" t="n">
        <v>1923</v>
      </c>
      <c r="C1347" s="1" t="n">
        <v>5</v>
      </c>
      <c r="D1347" s="1" t="s">
        <v>38</v>
      </c>
      <c r="E1347" s="1" t="s">
        <v>1346</v>
      </c>
      <c r="F1347" s="1"/>
      <c r="G1347" s="1" t="n">
        <v>72</v>
      </c>
      <c r="H1347" s="2" t="n">
        <v>450000</v>
      </c>
      <c r="I1347" s="2" t="n">
        <f aca="false">(((H1347 / 800) / IF(ISBLANK(R1347), 1000000, IF(ISNA(VLOOKUP(R1347, Mileages!$A$2:$C$34, 2, 0)), R1347, VLOOKUP(R1347, Mileages!$A$2:$C$34, 2, 0)))) + (F1347 * IF(ISBLANK(P1347), 1, P1347) * IF(ISBLANK(T1347), 0, IF(ISNA(VLOOKUP(T1347, 'Fuel Costs'!$A$2:$C$42, 2, 0)), T1347, VLOOKUP(T1347, 'Fuel Costs'!$A$2:$C$42, 2, 0))) / IF(ISBLANK(O1347), 1, O1347))) * 100</f>
        <v>0.046875</v>
      </c>
      <c r="J1347" s="2" t="n">
        <f aca="false">((H1347 / 800) / (IF(ISBLANK(S1347), 100, IF(ISNA(VLOOKUP(S1347, Lives!$A$2:$C$35, 2, 0)), S1347, VLOOKUP(S1347, Lives!$A$2:$C$35, 2, 0))) * 12) + (IF(ISBLANK(Q1347), 0, IF(ISNA(VLOOKUP(Q1347, Wages!$A$2:$C$17, 2, 0)), Q1347, VLOOKUP(Q1347, Wages!$A$2:$C$17, 2, 0))) * IF(ISBLANK(N1347), 0, IF(ISNA(VLOOKUP(N1347, Crews!$A$2:$C$28, 2, 0)), N1347, VLOOKUP(N1347, Crews!$A$2:$C$28, 2, 0))))) * 400</f>
        <v>535.7142857</v>
      </c>
      <c r="K1347" s="1"/>
      <c r="L1347" s="1" t="s">
        <v>2698</v>
      </c>
      <c r="M1347" s="1" t="n">
        <v>1</v>
      </c>
      <c r="N1347" s="1"/>
      <c r="O1347" s="1"/>
      <c r="P1347" s="1"/>
      <c r="Q1347" s="1"/>
      <c r="R1347" s="1" t="s">
        <v>689</v>
      </c>
      <c r="S1347" s="1" t="s">
        <v>856</v>
      </c>
      <c r="T1347" s="1"/>
    </row>
    <row r="1348" customFormat="false" ht="15" hidden="false" customHeight="true" outlineLevel="0" collapsed="false">
      <c r="A1348" s="1" t="s">
        <v>2700</v>
      </c>
      <c r="B1348" s="1" t="n">
        <v>1923</v>
      </c>
      <c r="C1348" s="1" t="n">
        <v>5</v>
      </c>
      <c r="D1348" s="1" t="s">
        <v>38</v>
      </c>
      <c r="E1348" s="1" t="s">
        <v>1346</v>
      </c>
      <c r="F1348" s="1"/>
      <c r="G1348" s="1" t="n">
        <v>72</v>
      </c>
      <c r="H1348" s="2" t="n">
        <v>450000</v>
      </c>
      <c r="I1348" s="2" t="n">
        <f aca="false">(((H1348 / 800) / IF(ISBLANK(R1348), 1000000, IF(ISNA(VLOOKUP(R1348, Mileages!$A$2:$C$34, 2, 0)), R1348, VLOOKUP(R1348, Mileages!$A$2:$C$34, 2, 0)))) + (F1348 * IF(ISBLANK(P1348), 1, P1348) * IF(ISBLANK(T1348), 0, IF(ISNA(VLOOKUP(T1348, 'Fuel Costs'!$A$2:$C$42, 2, 0)), T1348, VLOOKUP(T1348, 'Fuel Costs'!$A$2:$C$42, 2, 0))) / IF(ISBLANK(O1348), 1, O1348))) * 100</f>
        <v>0.046875</v>
      </c>
      <c r="J1348" s="2" t="n">
        <f aca="false">((H1348 / 800) / (IF(ISBLANK(S1348), 100, IF(ISNA(VLOOKUP(S1348, Lives!$A$2:$C$35, 2, 0)), S1348, VLOOKUP(S1348, Lives!$A$2:$C$35, 2, 0))) * 12) + (IF(ISBLANK(Q1348), 0, IF(ISNA(VLOOKUP(Q1348, Wages!$A$2:$C$17, 2, 0)), Q1348, VLOOKUP(Q1348, Wages!$A$2:$C$17, 2, 0))) * IF(ISBLANK(N1348), 0, IF(ISNA(VLOOKUP(N1348, Crews!$A$2:$C$28, 2, 0)), N1348, VLOOKUP(N1348, Crews!$A$2:$C$28, 2, 0))))) * 400</f>
        <v>535.7142857</v>
      </c>
      <c r="K1348" s="1"/>
      <c r="L1348" s="1" t="s">
        <v>2698</v>
      </c>
      <c r="M1348" s="1" t="n">
        <v>2</v>
      </c>
      <c r="N1348" s="1"/>
      <c r="O1348" s="1"/>
      <c r="P1348" s="1"/>
      <c r="Q1348" s="1"/>
      <c r="R1348" s="1" t="s">
        <v>689</v>
      </c>
      <c r="S1348" s="1" t="s">
        <v>856</v>
      </c>
      <c r="T1348" s="1"/>
    </row>
    <row r="1349" customFormat="false" ht="15" hidden="false" customHeight="true" outlineLevel="0" collapsed="false">
      <c r="A1349" s="1" t="s">
        <v>2701</v>
      </c>
      <c r="B1349" s="1" t="n">
        <v>1923</v>
      </c>
      <c r="C1349" s="1" t="n">
        <v>5</v>
      </c>
      <c r="D1349" s="1" t="s">
        <v>38</v>
      </c>
      <c r="E1349" s="1" t="s">
        <v>1346</v>
      </c>
      <c r="F1349" s="1" t="n">
        <v>150</v>
      </c>
      <c r="G1349" s="1" t="n">
        <v>72</v>
      </c>
      <c r="H1349" s="2" t="n">
        <v>1050000</v>
      </c>
      <c r="I1349" s="2" t="n">
        <f aca="false">(((H1349 / 800) / IF(ISBLANK(R1349), 1000000, IF(ISNA(VLOOKUP(R1349, Mileages!$A$2:$C$34, 2, 0)), R1349, VLOOKUP(R1349, Mileages!$A$2:$C$34, 2, 0)))) + (F1349 * IF(ISBLANK(P1349), 1, P1349) * IF(ISBLANK(T1349), 0, IF(ISNA(VLOOKUP(T1349, 'Fuel Costs'!$A$2:$C$42, 2, 0)), T1349, VLOOKUP(T1349, 'Fuel Costs'!$A$2:$C$42, 2, 0))) / IF(ISBLANK(O1349), 1, O1349))) * 100</f>
        <v>60.13125</v>
      </c>
      <c r="J1349" s="2" t="n">
        <f aca="false">((H1349 / 800) / (IF(ISBLANK(S1349), 100, IF(ISNA(VLOOKUP(S1349, Lives!$A$2:$C$35, 2, 0)), S1349, VLOOKUP(S1349, Lives!$A$2:$C$35, 2, 0))) * 12) + (IF(ISBLANK(Q1349), 0, IF(ISNA(VLOOKUP(Q1349, Wages!$A$2:$C$17, 2, 0)), Q1349, VLOOKUP(Q1349, Wages!$A$2:$C$17, 2, 0))) * IF(ISBLANK(N1349), 0, IF(ISNA(VLOOKUP(N1349, Crews!$A$2:$C$28, 2, 0)), N1349, VLOOKUP(N1349, Crews!$A$2:$C$28, 2, 0))))) * 400</f>
        <v>6875</v>
      </c>
      <c r="K1349" s="1"/>
      <c r="L1349" s="1" t="s">
        <v>2698</v>
      </c>
      <c r="M1349" s="1" t="n">
        <v>3</v>
      </c>
      <c r="N1349" s="1" t="s">
        <v>1512</v>
      </c>
      <c r="O1349" s="1" t="n">
        <v>1</v>
      </c>
      <c r="P1349" s="1"/>
      <c r="Q1349" s="1" t="str">
        <f aca="false">IF(ISBLANK('Pak128 Britain In'!$N1349),,'Pak128 Britain In'!$N1349)</f>
        <v>ElectricMultipleUnit</v>
      </c>
      <c r="R1349" s="1" t="s">
        <v>1349</v>
      </c>
      <c r="S1349" s="1" t="s">
        <v>1350</v>
      </c>
      <c r="T1349" s="1" t="s">
        <v>2580</v>
      </c>
    </row>
    <row r="1350" customFormat="false" ht="15" hidden="false" customHeight="true" outlineLevel="0" collapsed="false">
      <c r="A1350" s="1" t="s">
        <v>2702</v>
      </c>
      <c r="B1350" s="1" t="n">
        <v>1923</v>
      </c>
      <c r="C1350" s="1" t="n">
        <v>5</v>
      </c>
      <c r="D1350" s="1" t="s">
        <v>38</v>
      </c>
      <c r="E1350" s="1"/>
      <c r="F1350" s="1"/>
      <c r="G1350" s="1" t="n">
        <v>160</v>
      </c>
      <c r="H1350" s="2" t="n">
        <v>760000</v>
      </c>
      <c r="I1350" s="2" t="n">
        <f aca="false">(((H1350 / 800) / IF(ISBLANK(R1350), 1000000, IF(ISNA(VLOOKUP(R1350, Mileages!$A$2:$C$34, 2, 0)), R1350, VLOOKUP(R1350, Mileages!$A$2:$C$34, 2, 0)))) + (F1350 * IF(ISBLANK(P1350), 1, P1350) * IF(ISBLANK(T1350), 0, IF(ISNA(VLOOKUP(T1350, 'Fuel Costs'!$A$2:$C$42, 2, 0)), T1350, VLOOKUP(T1350, 'Fuel Costs'!$A$2:$C$42, 2, 0))) / IF(ISBLANK(O1350), 1, O1350))) * 100</f>
        <v>0.07916666667</v>
      </c>
      <c r="J1350" s="2" t="n">
        <f aca="false">((H1350 / 800) / (IF(ISBLANK(S1350), 100, IF(ISNA(VLOOKUP(S1350, Lives!$A$2:$C$35, 2, 0)), S1350, VLOOKUP(S1350, Lives!$A$2:$C$35, 2, 0))) * 12) + (IF(ISBLANK(Q1350), 0, IF(ISNA(VLOOKUP(Q1350, Wages!$A$2:$C$17, 2, 0)), Q1350, VLOOKUP(Q1350, Wages!$A$2:$C$17, 2, 0))) * IF(ISBLANK(N1350), 0, IF(ISNA(VLOOKUP(N1350, Crews!$A$2:$C$28, 2, 0)), N1350, VLOOKUP(N1350, Crews!$A$2:$C$28, 2, 0))))) * 400</f>
        <v>316.6666667</v>
      </c>
      <c r="K1350" s="1" t="s">
        <v>2676</v>
      </c>
      <c r="L1350" s="1" t="s">
        <v>2703</v>
      </c>
      <c r="M1350" s="1" t="n">
        <v>0</v>
      </c>
      <c r="N1350" s="1"/>
      <c r="O1350" s="1"/>
      <c r="P1350" s="1"/>
      <c r="Q1350" s="1"/>
      <c r="R1350" s="1" t="s">
        <v>689</v>
      </c>
      <c r="S1350" s="5" t="s">
        <v>389</v>
      </c>
      <c r="T1350" s="1"/>
    </row>
    <row r="1351" customFormat="false" ht="15" hidden="false" customHeight="true" outlineLevel="0" collapsed="false">
      <c r="A1351" s="1" t="s">
        <v>2704</v>
      </c>
      <c r="B1351" s="1" t="n">
        <v>1923</v>
      </c>
      <c r="C1351" s="1" t="n">
        <v>5</v>
      </c>
      <c r="D1351" s="1" t="s">
        <v>38</v>
      </c>
      <c r="E1351" s="1"/>
      <c r="F1351" s="1"/>
      <c r="G1351" s="1" t="n">
        <v>160</v>
      </c>
      <c r="H1351" s="2" t="n">
        <v>775000</v>
      </c>
      <c r="I1351" s="2" t="n">
        <f aca="false">(((H1351 / 800) / IF(ISBLANK(R1351), 1000000, IF(ISNA(VLOOKUP(R1351, Mileages!$A$2:$C$34, 2, 0)), R1351, VLOOKUP(R1351, Mileages!$A$2:$C$34, 2, 0)))) + (F1351 * IF(ISBLANK(P1351), 1, P1351) * IF(ISBLANK(T1351), 0, IF(ISNA(VLOOKUP(T1351, 'Fuel Costs'!$A$2:$C$42, 2, 0)), T1351, VLOOKUP(T1351, 'Fuel Costs'!$A$2:$C$42, 2, 0))) / IF(ISBLANK(O1351), 1, O1351))) * 100</f>
        <v>0.08072916667</v>
      </c>
      <c r="J1351" s="2" t="n">
        <f aca="false">((H1351 / 800) / (IF(ISBLANK(S1351), 100, IF(ISNA(VLOOKUP(S1351, Lives!$A$2:$C$35, 2, 0)), S1351, VLOOKUP(S1351, Lives!$A$2:$C$35, 2, 0))) * 12) + (IF(ISBLANK(Q1351), 0, IF(ISNA(VLOOKUP(Q1351, Wages!$A$2:$C$17, 2, 0)), Q1351, VLOOKUP(Q1351, Wages!$A$2:$C$17, 2, 0))) * IF(ISBLANK(N1351), 0, IF(ISNA(VLOOKUP(N1351, Crews!$A$2:$C$28, 2, 0)), N1351, VLOOKUP(N1351, Crews!$A$2:$C$28, 2, 0))))) * 400</f>
        <v>24322.91667</v>
      </c>
      <c r="K1351" s="1" t="s">
        <v>2676</v>
      </c>
      <c r="L1351" s="1" t="s">
        <v>2703</v>
      </c>
      <c r="M1351" s="1" t="n">
        <v>1</v>
      </c>
      <c r="N1351" s="1" t="s">
        <v>551</v>
      </c>
      <c r="O1351" s="1"/>
      <c r="P1351" s="1"/>
      <c r="Q1351" s="1" t="s">
        <v>551</v>
      </c>
      <c r="R1351" s="1" t="s">
        <v>689</v>
      </c>
      <c r="S1351" s="1" t="s">
        <v>389</v>
      </c>
      <c r="T1351" s="1"/>
    </row>
    <row r="1352" customFormat="false" ht="15" hidden="false" customHeight="true" outlineLevel="0" collapsed="false">
      <c r="A1352" s="1" t="s">
        <v>2705</v>
      </c>
      <c r="B1352" s="1" t="n">
        <v>1923</v>
      </c>
      <c r="C1352" s="1" t="n">
        <v>5</v>
      </c>
      <c r="D1352" s="1" t="s">
        <v>38</v>
      </c>
      <c r="E1352" s="1"/>
      <c r="F1352" s="1"/>
      <c r="G1352" s="1" t="n">
        <v>160</v>
      </c>
      <c r="H1352" s="2" t="n">
        <v>910000</v>
      </c>
      <c r="I1352" s="2" t="n">
        <f aca="false">(((H1352 / 800) / IF(ISBLANK(R1352), 1000000, IF(ISNA(VLOOKUP(R1352, Mileages!$A$2:$C$34, 2, 0)), R1352, VLOOKUP(R1352, Mileages!$A$2:$C$34, 2, 0)))) + (F1352 * IF(ISBLANK(P1352), 1, P1352) * IF(ISBLANK(T1352), 0, IF(ISNA(VLOOKUP(T1352, 'Fuel Costs'!$A$2:$C$42, 2, 0)), T1352, VLOOKUP(T1352, 'Fuel Costs'!$A$2:$C$42, 2, 0))) / IF(ISBLANK(O1352), 1, O1352))) * 100</f>
        <v>0.09479166667</v>
      </c>
      <c r="J1352" s="2" t="n">
        <f aca="false">((H1352 / 800) / (IF(ISBLANK(S1352), 100, IF(ISNA(VLOOKUP(S1352, Lives!$A$2:$C$35, 2, 0)), S1352, VLOOKUP(S1352, Lives!$A$2:$C$35, 2, 0))) * 12) + (IF(ISBLANK(Q1352), 0, IF(ISNA(VLOOKUP(Q1352, Wages!$A$2:$C$17, 2, 0)), Q1352, VLOOKUP(Q1352, Wages!$A$2:$C$17, 2, 0))) * IF(ISBLANK(N1352), 0, IF(ISNA(VLOOKUP(N1352, Crews!$A$2:$C$28, 2, 0)), N1352, VLOOKUP(N1352, Crews!$A$2:$C$28, 2, 0))))) * 400</f>
        <v>19083.33333</v>
      </c>
      <c r="K1352" s="1" t="s">
        <v>2676</v>
      </c>
      <c r="L1352" s="1" t="s">
        <v>2706</v>
      </c>
      <c r="M1352" s="1" t="n">
        <v>0</v>
      </c>
      <c r="N1352" s="1" t="s">
        <v>1481</v>
      </c>
      <c r="O1352" s="1"/>
      <c r="P1352" s="1"/>
      <c r="Q1352" s="1" t="s">
        <v>1481</v>
      </c>
      <c r="R1352" s="1" t="s">
        <v>689</v>
      </c>
      <c r="S1352" s="1" t="s">
        <v>856</v>
      </c>
      <c r="T1352" s="1"/>
    </row>
    <row r="1353" customFormat="false" ht="15" hidden="false" customHeight="true" outlineLevel="0" collapsed="false">
      <c r="A1353" s="1" t="s">
        <v>2707</v>
      </c>
      <c r="B1353" s="1" t="n">
        <v>1923</v>
      </c>
      <c r="C1353" s="1" t="n">
        <v>5</v>
      </c>
      <c r="D1353" s="1" t="s">
        <v>38</v>
      </c>
      <c r="E1353" s="1"/>
      <c r="F1353" s="1"/>
      <c r="G1353" s="1" t="n">
        <v>160</v>
      </c>
      <c r="H1353" s="2" t="n">
        <v>980000</v>
      </c>
      <c r="I1353" s="2" t="n">
        <f aca="false">(((H1353 / 800) / IF(ISBLANK(R1353), 1000000, IF(ISNA(VLOOKUP(R1353, Mileages!$A$2:$C$34, 2, 0)), R1353, VLOOKUP(R1353, Mileages!$A$2:$C$34, 2, 0)))) + (F1353 * IF(ISBLANK(P1353), 1, P1353) * IF(ISBLANK(T1353), 0, IF(ISNA(VLOOKUP(T1353, 'Fuel Costs'!$A$2:$C$42, 2, 0)), T1353, VLOOKUP(T1353, 'Fuel Costs'!$A$2:$C$42, 2, 0))) / IF(ISBLANK(O1353), 1, O1353))) * 100</f>
        <v>0.1020833333</v>
      </c>
      <c r="J1353" s="2" t="n">
        <f aca="false">((H1353 / 800) / (IF(ISBLANK(S1353), 100, IF(ISNA(VLOOKUP(S1353, Lives!$A$2:$C$35, 2, 0)), S1353, VLOOKUP(S1353, Lives!$A$2:$C$35, 2, 0))) * 12) + (IF(ISBLANK(Q1353), 0, IF(ISNA(VLOOKUP(Q1353, Wages!$A$2:$C$17, 2, 0)), Q1353, VLOOKUP(Q1353, Wages!$A$2:$C$17, 2, 0))) * IF(ISBLANK(N1353), 0, IF(ISNA(VLOOKUP(N1353, Crews!$A$2:$C$28, 2, 0)), N1353, VLOOKUP(N1353, Crews!$A$2:$C$28, 2, 0))))) * 400</f>
        <v>19166.66667</v>
      </c>
      <c r="K1353" s="1" t="s">
        <v>2676</v>
      </c>
      <c r="L1353" s="1" t="s">
        <v>2708</v>
      </c>
      <c r="M1353" s="1" t="n">
        <v>0</v>
      </c>
      <c r="N1353" s="1" t="s">
        <v>1481</v>
      </c>
      <c r="O1353" s="1"/>
      <c r="P1353" s="1"/>
      <c r="Q1353" s="1" t="s">
        <v>1481</v>
      </c>
      <c r="R1353" s="1" t="s">
        <v>689</v>
      </c>
      <c r="S1353" s="1" t="s">
        <v>856</v>
      </c>
      <c r="T1353" s="1"/>
    </row>
    <row r="1354" customFormat="false" ht="15" hidden="false" customHeight="true" outlineLevel="0" collapsed="false">
      <c r="A1354" s="1" t="s">
        <v>2709</v>
      </c>
      <c r="B1354" s="1" t="n">
        <v>1923</v>
      </c>
      <c r="C1354" s="1" t="n">
        <v>5</v>
      </c>
      <c r="D1354" s="1" t="s">
        <v>38</v>
      </c>
      <c r="E1354" s="1"/>
      <c r="F1354" s="1"/>
      <c r="G1354" s="1" t="n">
        <v>160</v>
      </c>
      <c r="H1354" s="2" t="n">
        <v>770000</v>
      </c>
      <c r="I1354" s="2" t="n">
        <f aca="false">(((H1354 / 800) / IF(ISBLANK(R1354), 1000000, IF(ISNA(VLOOKUP(R1354, Mileages!$A$2:$C$34, 2, 0)), R1354, VLOOKUP(R1354, Mileages!$A$2:$C$34, 2, 0)))) + (F1354 * IF(ISBLANK(P1354), 1, P1354) * IF(ISBLANK(T1354), 0, IF(ISNA(VLOOKUP(T1354, 'Fuel Costs'!$A$2:$C$42, 2, 0)), T1354, VLOOKUP(T1354, 'Fuel Costs'!$A$2:$C$42, 2, 0))) / IF(ISBLANK(O1354), 1, O1354))) * 100</f>
        <v>0.08020833333</v>
      </c>
      <c r="J1354" s="2" t="n">
        <f aca="false">((H1354 / 800) / (IF(ISBLANK(S1354), 100, IF(ISNA(VLOOKUP(S1354, Lives!$A$2:$C$35, 2, 0)), S1354, VLOOKUP(S1354, Lives!$A$2:$C$35, 2, 0))) * 12) + (IF(ISBLANK(Q1354), 0, IF(ISNA(VLOOKUP(Q1354, Wages!$A$2:$C$17, 2, 0)), Q1354, VLOOKUP(Q1354, Wages!$A$2:$C$17, 2, 0))) * IF(ISBLANK(N1354), 0, IF(ISNA(VLOOKUP(N1354, Crews!$A$2:$C$28, 2, 0)), N1354, VLOOKUP(N1354, Crews!$A$2:$C$28, 2, 0))))) * 400</f>
        <v>5716.666667</v>
      </c>
      <c r="K1354" s="3" t="s">
        <v>2710</v>
      </c>
      <c r="L1354" s="1" t="s">
        <v>2711</v>
      </c>
      <c r="M1354" s="1" t="n">
        <v>0</v>
      </c>
      <c r="N1354" s="1" t="s">
        <v>25</v>
      </c>
      <c r="O1354" s="1"/>
      <c r="P1354" s="1"/>
      <c r="Q1354" s="1" t="s">
        <v>378</v>
      </c>
      <c r="R1354" s="1" t="s">
        <v>689</v>
      </c>
      <c r="S1354" s="1" t="s">
        <v>856</v>
      </c>
      <c r="T1354" s="1"/>
    </row>
    <row r="1355" customFormat="false" ht="15" hidden="false" customHeight="true" outlineLevel="0" collapsed="false">
      <c r="A1355" s="1" t="s">
        <v>2712</v>
      </c>
      <c r="B1355" s="1" t="n">
        <v>1923</v>
      </c>
      <c r="C1355" s="1" t="n">
        <v>5</v>
      </c>
      <c r="D1355" s="1" t="s">
        <v>38</v>
      </c>
      <c r="E1355" s="1"/>
      <c r="F1355" s="1"/>
      <c r="G1355" s="1" t="n">
        <v>160</v>
      </c>
      <c r="H1355" s="2" t="n">
        <v>770000</v>
      </c>
      <c r="I1355" s="2" t="n">
        <f aca="false">(((H1355 / 800) / IF(ISBLANK(R1355), 1000000, IF(ISNA(VLOOKUP(R1355, Mileages!$A$2:$C$34, 2, 0)), R1355, VLOOKUP(R1355, Mileages!$A$2:$C$34, 2, 0)))) + (F1355 * IF(ISBLANK(P1355), 1, P1355) * IF(ISBLANK(T1355), 0, IF(ISNA(VLOOKUP(T1355, 'Fuel Costs'!$A$2:$C$42, 2, 0)), T1355, VLOOKUP(T1355, 'Fuel Costs'!$A$2:$C$42, 2, 0))) / IF(ISBLANK(O1355), 1, O1355))) * 100</f>
        <v>0.08020833333</v>
      </c>
      <c r="J1355" s="2" t="n">
        <f aca="false">((H1355 / 800) / (IF(ISBLANK(S1355), 100, IF(ISNA(VLOOKUP(S1355, Lives!$A$2:$C$35, 2, 0)), S1355, VLOOKUP(S1355, Lives!$A$2:$C$35, 2, 0))) * 12) + (IF(ISBLANK(Q1355), 0, IF(ISNA(VLOOKUP(Q1355, Wages!$A$2:$C$17, 2, 0)), Q1355, VLOOKUP(Q1355, Wages!$A$2:$C$17, 2, 0))) * IF(ISBLANK(N1355), 0, IF(ISNA(VLOOKUP(N1355, Crews!$A$2:$C$28, 2, 0)), N1355, VLOOKUP(N1355, Crews!$A$2:$C$28, 2, 0))))) * 400</f>
        <v>5716.666667</v>
      </c>
      <c r="K1355" s="1"/>
      <c r="L1355" s="1" t="s">
        <v>2711</v>
      </c>
      <c r="M1355" s="1" t="n">
        <v>1</v>
      </c>
      <c r="N1355" s="1" t="s">
        <v>25</v>
      </c>
      <c r="O1355" s="1"/>
      <c r="P1355" s="1"/>
      <c r="Q1355" s="1" t="s">
        <v>378</v>
      </c>
      <c r="R1355" s="1" t="s">
        <v>689</v>
      </c>
      <c r="S1355" s="1" t="s">
        <v>856</v>
      </c>
      <c r="T1355" s="1"/>
    </row>
    <row r="1356" customFormat="false" ht="15" hidden="false" customHeight="true" outlineLevel="0" collapsed="false">
      <c r="A1356" s="1" t="s">
        <v>2713</v>
      </c>
      <c r="B1356" s="1" t="n">
        <v>1923</v>
      </c>
      <c r="C1356" s="1" t="n">
        <v>5</v>
      </c>
      <c r="D1356" s="1" t="s">
        <v>21</v>
      </c>
      <c r="E1356" s="1" t="s">
        <v>1839</v>
      </c>
      <c r="F1356" s="1" t="n">
        <v>26</v>
      </c>
      <c r="G1356" s="1" t="n">
        <v>20</v>
      </c>
      <c r="H1356" s="2" t="n">
        <v>242000</v>
      </c>
      <c r="I1356" s="2" t="n">
        <f aca="false">(((H1356 / 800) / IF(ISBLANK(R1356), 1000000, IF(ISNA(VLOOKUP(R1356, Mileages!$A$2:$C$34, 2, 0)), R1356, VLOOKUP(R1356, Mileages!$A$2:$C$34, 2, 0)))) + (F1356 * IF(ISBLANK(P1356), 1, P1356) * IF(ISBLANK(T1356), 0, IF(ISNA(VLOOKUP(T1356, 'Fuel Costs'!$A$2:$C$42, 2, 0)), T1356, VLOOKUP(T1356, 'Fuel Costs'!$A$2:$C$42, 2, 0))) / IF(ISBLANK(O1356), 1, O1356))) * 100</f>
        <v>26.0605</v>
      </c>
      <c r="J1356" s="2" t="n">
        <f aca="false">((H1356 / 800) / (IF(ISBLANK(S1356), 100, IF(ISNA(VLOOKUP(S1356, Lives!$A$2:$C$35, 2, 0)), S1356, VLOOKUP(S1356, Lives!$A$2:$C$35, 2, 0))) * 12) + (IF(ISBLANK(Q1356), 0, IF(ISNA(VLOOKUP(Q1356, Wages!$A$2:$C$17, 2, 0)), Q1356, VLOOKUP(Q1356, Wages!$A$2:$C$17, 2, 0))) * IF(ISBLANK(N1356), 0, IF(ISNA(VLOOKUP(N1356, Crews!$A$2:$C$28, 2, 0)), N1356, VLOOKUP(N1356, Crews!$A$2:$C$28, 2, 0))))) * 400</f>
        <v>8126.041667</v>
      </c>
      <c r="K1356" s="3" t="s">
        <v>2714</v>
      </c>
      <c r="L1356" s="1" t="s">
        <v>2715</v>
      </c>
      <c r="M1356" s="1" t="n">
        <v>0</v>
      </c>
      <c r="N1356" s="1" t="s">
        <v>25</v>
      </c>
      <c r="O1356" s="1" t="n">
        <v>0.6</v>
      </c>
      <c r="P1356" s="1"/>
      <c r="Q1356" s="1" t="s">
        <v>1815</v>
      </c>
      <c r="R1356" s="1" t="s">
        <v>1842</v>
      </c>
      <c r="S1356" s="1" t="s">
        <v>1843</v>
      </c>
      <c r="T1356" s="1" t="s">
        <v>2534</v>
      </c>
    </row>
    <row r="1357" customFormat="false" ht="15" hidden="false" customHeight="true" outlineLevel="0" collapsed="false">
      <c r="A1357" s="1" t="s">
        <v>2716</v>
      </c>
      <c r="B1357" s="1" t="n">
        <v>1923</v>
      </c>
      <c r="C1357" s="1" t="n">
        <v>5</v>
      </c>
      <c r="D1357" s="1" t="s">
        <v>38</v>
      </c>
      <c r="E1357" s="1"/>
      <c r="F1357" s="1"/>
      <c r="G1357" s="1" t="n">
        <v>160</v>
      </c>
      <c r="H1357" s="2" t="n">
        <v>760000</v>
      </c>
      <c r="I1357" s="2" t="n">
        <f aca="false">(((H1357 / 800) / IF(ISBLANK(R1357), 1000000, IF(ISNA(VLOOKUP(R1357, Mileages!$A$2:$C$34, 2, 0)), R1357, VLOOKUP(R1357, Mileages!$A$2:$C$34, 2, 0)))) + (F1357 * IF(ISBLANK(P1357), 1, P1357) * IF(ISBLANK(T1357), 0, IF(ISNA(VLOOKUP(T1357, 'Fuel Costs'!$A$2:$C$42, 2, 0)), T1357, VLOOKUP(T1357, 'Fuel Costs'!$A$2:$C$42, 2, 0))) / IF(ISBLANK(O1357), 1, O1357))) * 100</f>
        <v>0.07916666667</v>
      </c>
      <c r="J1357" s="2" t="n">
        <f aca="false">((H1357 / 800) / (IF(ISBLANK(S1357), 100, IF(ISNA(VLOOKUP(S1357, Lives!$A$2:$C$35, 2, 0)), S1357, VLOOKUP(S1357, Lives!$A$2:$C$35, 2, 0))) * 12) + (IF(ISBLANK(Q1357), 0, IF(ISNA(VLOOKUP(Q1357, Wages!$A$2:$C$17, 2, 0)), Q1357, VLOOKUP(Q1357, Wages!$A$2:$C$17, 2, 0))) * IF(ISBLANK(N1357), 0, IF(ISNA(VLOOKUP(N1357, Crews!$A$2:$C$28, 2, 0)), N1357, VLOOKUP(N1357, Crews!$A$2:$C$28, 2, 0))))) * 400</f>
        <v>5116.666667</v>
      </c>
      <c r="K1357" s="1" t="s">
        <v>2676</v>
      </c>
      <c r="L1357" s="1" t="s">
        <v>2717</v>
      </c>
      <c r="M1357" s="1" t="n">
        <v>0</v>
      </c>
      <c r="N1357" s="1" t="s">
        <v>25</v>
      </c>
      <c r="O1357" s="1"/>
      <c r="P1357" s="1"/>
      <c r="Q1357" s="1" t="s">
        <v>378</v>
      </c>
      <c r="R1357" s="1" t="s">
        <v>689</v>
      </c>
      <c r="S1357" s="1" t="s">
        <v>389</v>
      </c>
      <c r="T1357" s="1"/>
    </row>
    <row r="1358" customFormat="false" ht="15" hidden="false" customHeight="true" outlineLevel="0" collapsed="false">
      <c r="A1358" s="1" t="s">
        <v>2718</v>
      </c>
      <c r="B1358" s="1" t="n">
        <v>1923</v>
      </c>
      <c r="C1358" s="1" t="n">
        <v>5</v>
      </c>
      <c r="D1358" s="1" t="s">
        <v>38</v>
      </c>
      <c r="E1358" s="1"/>
      <c r="F1358" s="1"/>
      <c r="G1358" s="1" t="n">
        <v>160</v>
      </c>
      <c r="H1358" s="2" t="n">
        <v>770000</v>
      </c>
      <c r="I1358" s="2" t="n">
        <f aca="false">(((H1358 / 800) / IF(ISBLANK(R1358), 1000000, IF(ISNA(VLOOKUP(R1358, Mileages!$A$2:$C$34, 2, 0)), R1358, VLOOKUP(R1358, Mileages!$A$2:$C$34, 2, 0)))) + (F1358 * IF(ISBLANK(P1358), 1, P1358) * IF(ISBLANK(T1358), 0, IF(ISNA(VLOOKUP(T1358, 'Fuel Costs'!$A$2:$C$42, 2, 0)), T1358, VLOOKUP(T1358, 'Fuel Costs'!$A$2:$C$42, 2, 0))) / IF(ISBLANK(O1358), 1, O1358))) * 100</f>
        <v>0.08020833333</v>
      </c>
      <c r="J1358" s="2" t="n">
        <f aca="false">((H1358 / 800) / (IF(ISBLANK(S1358), 100, IF(ISNA(VLOOKUP(S1358, Lives!$A$2:$C$35, 2, 0)), S1358, VLOOKUP(S1358, Lives!$A$2:$C$35, 2, 0))) * 12) + (IF(ISBLANK(Q1358), 0, IF(ISNA(VLOOKUP(Q1358, Wages!$A$2:$C$17, 2, 0)), Q1358, VLOOKUP(Q1358, Wages!$A$2:$C$17, 2, 0))) * IF(ISBLANK(N1358), 0, IF(ISNA(VLOOKUP(N1358, Crews!$A$2:$C$28, 2, 0)), N1358, VLOOKUP(N1358, Crews!$A$2:$C$28, 2, 0))))) * 400</f>
        <v>916.6666667</v>
      </c>
      <c r="K1358" s="3" t="s">
        <v>2710</v>
      </c>
      <c r="L1358" s="1" t="s">
        <v>2719</v>
      </c>
      <c r="M1358" s="1" t="n">
        <v>0</v>
      </c>
      <c r="N1358" s="1"/>
      <c r="O1358" s="1"/>
      <c r="P1358" s="1"/>
      <c r="Q1358" s="1"/>
      <c r="R1358" s="1" t="s">
        <v>689</v>
      </c>
      <c r="S1358" s="1" t="s">
        <v>856</v>
      </c>
      <c r="T1358" s="1"/>
    </row>
    <row r="1359" customFormat="false" ht="15" hidden="false" customHeight="true" outlineLevel="0" collapsed="false">
      <c r="A1359" s="1" t="s">
        <v>2720</v>
      </c>
      <c r="B1359" s="1" t="n">
        <v>1923</v>
      </c>
      <c r="C1359" s="1" t="n">
        <v>6</v>
      </c>
      <c r="D1359" s="1" t="s">
        <v>21</v>
      </c>
      <c r="E1359" s="1" t="s">
        <v>274</v>
      </c>
      <c r="F1359" s="1" t="n">
        <v>68</v>
      </c>
      <c r="G1359" s="1" t="n">
        <v>20</v>
      </c>
      <c r="H1359" s="2" t="n">
        <v>112000</v>
      </c>
      <c r="I1359" s="2" t="n">
        <f aca="false">(((H1359 / 800) / IF(ISBLANK(R1359), 1000000, IF(ISNA(VLOOKUP(R1359, Mileages!$A$2:$C$34, 2, 0)), R1359, VLOOKUP(R1359, Mileages!$A$2:$C$34, 2, 0)))) + (F1359 * IF(ISBLANK(P1359), 1, P1359) * IF(ISBLANK(T1359), 0, IF(ISNA(VLOOKUP(T1359, 'Fuel Costs'!$A$2:$C$42, 2, 0)), T1359, VLOOKUP(T1359, 'Fuel Costs'!$A$2:$C$42, 2, 0))) / IF(ISBLANK(O1359), 1, O1359))) * 100</f>
        <v>45.36133333</v>
      </c>
      <c r="J1359" s="2" t="n">
        <f aca="false">((H1359 / 800) / (IF(ISBLANK(S1359), 100, IF(ISNA(VLOOKUP(S1359, Lives!$A$2:$C$35, 2, 0)), S1359, VLOOKUP(S1359, Lives!$A$2:$C$35, 2, 0))) * 12) + (IF(ISBLANK(Q1359), 0, IF(ISNA(VLOOKUP(Q1359, Wages!$A$2:$C$17, 2, 0)), Q1359, VLOOKUP(Q1359, Wages!$A$2:$C$17, 2, 0))) * IF(ISBLANK(N1359), 0, IF(ISNA(VLOOKUP(N1359, Crews!$A$2:$C$28, 2, 0)), N1359, VLOOKUP(N1359, Crews!$A$2:$C$28, 2, 0))))) * 400</f>
        <v>8058.333333</v>
      </c>
      <c r="K1359" s="3" t="s">
        <v>2721</v>
      </c>
      <c r="L1359" s="1" t="s">
        <v>2722</v>
      </c>
      <c r="M1359" s="1" t="n">
        <v>0</v>
      </c>
      <c r="N1359" s="1" t="s">
        <v>25</v>
      </c>
      <c r="O1359" s="1" t="n">
        <v>0.6</v>
      </c>
      <c r="P1359" s="1"/>
      <c r="Q1359" s="1" t="s">
        <v>1815</v>
      </c>
      <c r="R1359" s="1" t="s">
        <v>837</v>
      </c>
      <c r="S1359" s="1" t="s">
        <v>837</v>
      </c>
      <c r="T1359" s="1" t="s">
        <v>2252</v>
      </c>
    </row>
    <row r="1360" customFormat="false" ht="15" hidden="false" customHeight="true" outlineLevel="0" collapsed="false">
      <c r="A1360" s="1" t="s">
        <v>2723</v>
      </c>
      <c r="B1360" s="1" t="n">
        <v>1923</v>
      </c>
      <c r="C1360" s="1" t="n">
        <v>6</v>
      </c>
      <c r="D1360" s="1" t="s">
        <v>21</v>
      </c>
      <c r="E1360" s="1" t="s">
        <v>274</v>
      </c>
      <c r="F1360" s="1" t="n">
        <v>68</v>
      </c>
      <c r="G1360" s="1" t="n">
        <v>20</v>
      </c>
      <c r="H1360" s="2" t="n">
        <v>112000</v>
      </c>
      <c r="I1360" s="2" t="n">
        <f aca="false">(((H1360 / 800) / IF(ISBLANK(R1360), 1000000, IF(ISNA(VLOOKUP(R1360, Mileages!$A$2:$C$34, 2, 0)), R1360, VLOOKUP(R1360, Mileages!$A$2:$C$34, 2, 0)))) + (F1360 * IF(ISBLANK(P1360), 1, P1360) * IF(ISBLANK(T1360), 0, IF(ISNA(VLOOKUP(T1360, 'Fuel Costs'!$A$2:$C$42, 2, 0)), T1360, VLOOKUP(T1360, 'Fuel Costs'!$A$2:$C$42, 2, 0))) / IF(ISBLANK(O1360), 1, O1360))) * 100</f>
        <v>45.36133333</v>
      </c>
      <c r="J1360" s="2" t="n">
        <f aca="false">((H1360 / 800) / (IF(ISBLANK(S1360), 100, IF(ISNA(VLOOKUP(S1360, Lives!$A$2:$C$35, 2, 0)), S1360, VLOOKUP(S1360, Lives!$A$2:$C$35, 2, 0))) * 12) + (IF(ISBLANK(Q1360), 0, IF(ISNA(VLOOKUP(Q1360, Wages!$A$2:$C$17, 2, 0)), Q1360, VLOOKUP(Q1360, Wages!$A$2:$C$17, 2, 0))) * IF(ISBLANK(N1360), 0, IF(ISNA(VLOOKUP(N1360, Crews!$A$2:$C$28, 2, 0)), N1360, VLOOKUP(N1360, Crews!$A$2:$C$28, 2, 0))))) * 400</f>
        <v>8058.333333</v>
      </c>
      <c r="K1360" s="1"/>
      <c r="L1360" s="1" t="s">
        <v>2722</v>
      </c>
      <c r="M1360" s="1" t="n">
        <v>1</v>
      </c>
      <c r="N1360" s="1" t="s">
        <v>25</v>
      </c>
      <c r="O1360" s="1" t="n">
        <v>0.6</v>
      </c>
      <c r="P1360" s="1"/>
      <c r="Q1360" s="1" t="s">
        <v>1815</v>
      </c>
      <c r="R1360" s="1" t="s">
        <v>837</v>
      </c>
      <c r="S1360" s="1" t="s">
        <v>837</v>
      </c>
      <c r="T1360" s="1" t="s">
        <v>2252</v>
      </c>
    </row>
    <row r="1361" customFormat="false" ht="15" hidden="false" customHeight="true" outlineLevel="0" collapsed="false">
      <c r="A1361" s="1" t="s">
        <v>2724</v>
      </c>
      <c r="B1361" s="1" t="n">
        <v>1923</v>
      </c>
      <c r="C1361" s="1" t="n">
        <v>6</v>
      </c>
      <c r="D1361" s="1" t="s">
        <v>21</v>
      </c>
      <c r="E1361" s="1" t="s">
        <v>274</v>
      </c>
      <c r="F1361" s="1" t="n">
        <v>68</v>
      </c>
      <c r="G1361" s="1" t="n">
        <v>20</v>
      </c>
      <c r="H1361" s="2" t="n">
        <v>112000</v>
      </c>
      <c r="I1361" s="2" t="n">
        <f aca="false">(((H1361 / 800) / IF(ISBLANK(R1361), 1000000, IF(ISNA(VLOOKUP(R1361, Mileages!$A$2:$C$34, 2, 0)), R1361, VLOOKUP(R1361, Mileages!$A$2:$C$34, 2, 0)))) + (F1361 * IF(ISBLANK(P1361), 1, P1361) * IF(ISBLANK(T1361), 0, IF(ISNA(VLOOKUP(T1361, 'Fuel Costs'!$A$2:$C$42, 2, 0)), T1361, VLOOKUP(T1361, 'Fuel Costs'!$A$2:$C$42, 2, 0))) / IF(ISBLANK(O1361), 1, O1361))) * 100</f>
        <v>45.36133333</v>
      </c>
      <c r="J1361" s="2" t="n">
        <f aca="false">((H1361 / 800) / (IF(ISBLANK(S1361), 100, IF(ISNA(VLOOKUP(S1361, Lives!$A$2:$C$35, 2, 0)), S1361, VLOOKUP(S1361, Lives!$A$2:$C$35, 2, 0))) * 12) + (IF(ISBLANK(Q1361), 0, IF(ISNA(VLOOKUP(Q1361, Wages!$A$2:$C$17, 2, 0)), Q1361, VLOOKUP(Q1361, Wages!$A$2:$C$17, 2, 0))) * IF(ISBLANK(N1361), 0, IF(ISNA(VLOOKUP(N1361, Crews!$A$2:$C$28, 2, 0)), N1361, VLOOKUP(N1361, Crews!$A$2:$C$28, 2, 0))))) * 400</f>
        <v>8058.333333</v>
      </c>
      <c r="K1361" s="1"/>
      <c r="L1361" s="1" t="s">
        <v>2722</v>
      </c>
      <c r="M1361" s="1" t="n">
        <v>2</v>
      </c>
      <c r="N1361" s="1" t="s">
        <v>25</v>
      </c>
      <c r="O1361" s="1" t="n">
        <v>0.6</v>
      </c>
      <c r="P1361" s="1"/>
      <c r="Q1361" s="1" t="s">
        <v>1815</v>
      </c>
      <c r="R1361" s="1" t="s">
        <v>837</v>
      </c>
      <c r="S1361" s="1" t="s">
        <v>837</v>
      </c>
      <c r="T1361" s="1" t="s">
        <v>2252</v>
      </c>
    </row>
    <row r="1362" customFormat="false" ht="15" hidden="false" customHeight="true" outlineLevel="0" collapsed="false">
      <c r="A1362" s="1" t="s">
        <v>2725</v>
      </c>
      <c r="B1362" s="1" t="n">
        <v>1923</v>
      </c>
      <c r="C1362" s="1" t="n">
        <v>6</v>
      </c>
      <c r="D1362" s="1" t="s">
        <v>21</v>
      </c>
      <c r="E1362" s="1" t="s">
        <v>274</v>
      </c>
      <c r="F1362" s="1" t="n">
        <v>68</v>
      </c>
      <c r="G1362" s="1" t="n">
        <v>20</v>
      </c>
      <c r="H1362" s="2" t="n">
        <v>112000</v>
      </c>
      <c r="I1362" s="2" t="n">
        <f aca="false">(((H1362 / 800) / IF(ISBLANK(R1362), 1000000, IF(ISNA(VLOOKUP(R1362, Mileages!$A$2:$C$34, 2, 0)), R1362, VLOOKUP(R1362, Mileages!$A$2:$C$34, 2, 0)))) + (F1362 * IF(ISBLANK(P1362), 1, P1362) * IF(ISBLANK(T1362), 0, IF(ISNA(VLOOKUP(T1362, 'Fuel Costs'!$A$2:$C$42, 2, 0)), T1362, VLOOKUP(T1362, 'Fuel Costs'!$A$2:$C$42, 2, 0))) / IF(ISBLANK(O1362), 1, O1362))) * 100</f>
        <v>45.36133333</v>
      </c>
      <c r="J1362" s="2" t="n">
        <f aca="false">((H1362 / 800) / (IF(ISBLANK(S1362), 100, IF(ISNA(VLOOKUP(S1362, Lives!$A$2:$C$35, 2, 0)), S1362, VLOOKUP(S1362, Lives!$A$2:$C$35, 2, 0))) * 12) + (IF(ISBLANK(Q1362), 0, IF(ISNA(VLOOKUP(Q1362, Wages!$A$2:$C$17, 2, 0)), Q1362, VLOOKUP(Q1362, Wages!$A$2:$C$17, 2, 0))) * IF(ISBLANK(N1362), 0, IF(ISNA(VLOOKUP(N1362, Crews!$A$2:$C$28, 2, 0)), N1362, VLOOKUP(N1362, Crews!$A$2:$C$28, 2, 0))))) * 400</f>
        <v>8058.333333</v>
      </c>
      <c r="K1362" s="1"/>
      <c r="L1362" s="1" t="s">
        <v>2722</v>
      </c>
      <c r="M1362" s="1" t="n">
        <v>3</v>
      </c>
      <c r="N1362" s="1" t="s">
        <v>25</v>
      </c>
      <c r="O1362" s="1" t="n">
        <v>0.6</v>
      </c>
      <c r="P1362" s="1"/>
      <c r="Q1362" s="1" t="s">
        <v>1815</v>
      </c>
      <c r="R1362" s="1" t="s">
        <v>837</v>
      </c>
      <c r="S1362" s="1" t="s">
        <v>837</v>
      </c>
      <c r="T1362" s="1" t="s">
        <v>2252</v>
      </c>
    </row>
    <row r="1363" customFormat="false" ht="15" hidden="false" customHeight="true" outlineLevel="0" collapsed="false">
      <c r="A1363" s="1" t="s">
        <v>2726</v>
      </c>
      <c r="B1363" s="1" t="n">
        <v>1923</v>
      </c>
      <c r="C1363" s="1" t="n">
        <v>6</v>
      </c>
      <c r="D1363" s="1" t="s">
        <v>21</v>
      </c>
      <c r="E1363" s="1" t="s">
        <v>274</v>
      </c>
      <c r="F1363" s="1" t="n">
        <v>68</v>
      </c>
      <c r="G1363" s="1" t="n">
        <v>20</v>
      </c>
      <c r="H1363" s="2" t="n">
        <v>112000</v>
      </c>
      <c r="I1363" s="2" t="n">
        <f aca="false">(((H1363 / 800) / IF(ISBLANK(R1363), 1000000, IF(ISNA(VLOOKUP(R1363, Mileages!$A$2:$C$34, 2, 0)), R1363, VLOOKUP(R1363, Mileages!$A$2:$C$34, 2, 0)))) + (F1363 * IF(ISBLANK(P1363), 1, P1363) * IF(ISBLANK(T1363), 0, IF(ISNA(VLOOKUP(T1363, 'Fuel Costs'!$A$2:$C$42, 2, 0)), T1363, VLOOKUP(T1363, 'Fuel Costs'!$A$2:$C$42, 2, 0))) / IF(ISBLANK(O1363), 1, O1363))) * 100</f>
        <v>45.36133333</v>
      </c>
      <c r="J1363" s="2" t="n">
        <f aca="false">((H1363 / 800) / (IF(ISBLANK(S1363), 100, IF(ISNA(VLOOKUP(S1363, Lives!$A$2:$C$35, 2, 0)), S1363, VLOOKUP(S1363, Lives!$A$2:$C$35, 2, 0))) * 12) + (IF(ISBLANK(Q1363), 0, IF(ISNA(VLOOKUP(Q1363, Wages!$A$2:$C$17, 2, 0)), Q1363, VLOOKUP(Q1363, Wages!$A$2:$C$17, 2, 0))) * IF(ISBLANK(N1363), 0, IF(ISNA(VLOOKUP(N1363, Crews!$A$2:$C$28, 2, 0)), N1363, VLOOKUP(N1363, Crews!$A$2:$C$28, 2, 0))))) * 400</f>
        <v>8058.333333</v>
      </c>
      <c r="K1363" s="1"/>
      <c r="L1363" s="1" t="s">
        <v>2722</v>
      </c>
      <c r="M1363" s="1" t="n">
        <v>4</v>
      </c>
      <c r="N1363" s="1" t="s">
        <v>25</v>
      </c>
      <c r="O1363" s="1" t="n">
        <v>0.6</v>
      </c>
      <c r="P1363" s="1"/>
      <c r="Q1363" s="1" t="s">
        <v>1815</v>
      </c>
      <c r="R1363" s="1" t="s">
        <v>837</v>
      </c>
      <c r="S1363" s="1" t="s">
        <v>837</v>
      </c>
      <c r="T1363" s="1" t="s">
        <v>2252</v>
      </c>
    </row>
    <row r="1364" customFormat="false" ht="15" hidden="false" customHeight="true" outlineLevel="0" collapsed="false">
      <c r="A1364" s="1" t="s">
        <v>2727</v>
      </c>
      <c r="B1364" s="1" t="n">
        <v>1923</v>
      </c>
      <c r="C1364" s="1" t="n">
        <v>6</v>
      </c>
      <c r="D1364" s="1" t="s">
        <v>21</v>
      </c>
      <c r="E1364" s="1" t="s">
        <v>274</v>
      </c>
      <c r="F1364" s="1" t="n">
        <v>68</v>
      </c>
      <c r="G1364" s="1" t="n">
        <v>20</v>
      </c>
      <c r="H1364" s="2" t="n">
        <v>112000</v>
      </c>
      <c r="I1364" s="2" t="n">
        <f aca="false">(((H1364 / 800) / IF(ISBLANK(R1364), 1000000, IF(ISNA(VLOOKUP(R1364, Mileages!$A$2:$C$34, 2, 0)), R1364, VLOOKUP(R1364, Mileages!$A$2:$C$34, 2, 0)))) + (F1364 * IF(ISBLANK(P1364), 1, P1364) * IF(ISBLANK(T1364), 0, IF(ISNA(VLOOKUP(T1364, 'Fuel Costs'!$A$2:$C$42, 2, 0)), T1364, VLOOKUP(T1364, 'Fuel Costs'!$A$2:$C$42, 2, 0))) / IF(ISBLANK(O1364), 1, O1364))) * 100</f>
        <v>45.36133333</v>
      </c>
      <c r="J1364" s="2" t="n">
        <f aca="false">((H1364 / 800) / (IF(ISBLANK(S1364), 100, IF(ISNA(VLOOKUP(S1364, Lives!$A$2:$C$35, 2, 0)), S1364, VLOOKUP(S1364, Lives!$A$2:$C$35, 2, 0))) * 12) + (IF(ISBLANK(Q1364), 0, IF(ISNA(VLOOKUP(Q1364, Wages!$A$2:$C$17, 2, 0)), Q1364, VLOOKUP(Q1364, Wages!$A$2:$C$17, 2, 0))) * IF(ISBLANK(N1364), 0, IF(ISNA(VLOOKUP(N1364, Crews!$A$2:$C$28, 2, 0)), N1364, VLOOKUP(N1364, Crews!$A$2:$C$28, 2, 0))))) * 400</f>
        <v>8058.333333</v>
      </c>
      <c r="K1364" s="1"/>
      <c r="L1364" s="1" t="s">
        <v>2722</v>
      </c>
      <c r="M1364" s="1" t="n">
        <v>5</v>
      </c>
      <c r="N1364" s="1" t="s">
        <v>25</v>
      </c>
      <c r="O1364" s="1" t="n">
        <v>0.6</v>
      </c>
      <c r="P1364" s="1"/>
      <c r="Q1364" s="1" t="s">
        <v>1815</v>
      </c>
      <c r="R1364" s="1" t="s">
        <v>837</v>
      </c>
      <c r="S1364" s="1" t="s">
        <v>837</v>
      </c>
      <c r="T1364" s="1" t="s">
        <v>2252</v>
      </c>
    </row>
    <row r="1365" customFormat="false" ht="15" hidden="false" customHeight="true" outlineLevel="0" collapsed="false">
      <c r="A1365" s="1" t="s">
        <v>2728</v>
      </c>
      <c r="B1365" s="1" t="n">
        <v>1923</v>
      </c>
      <c r="C1365" s="1" t="n">
        <v>6</v>
      </c>
      <c r="D1365" s="1" t="s">
        <v>38</v>
      </c>
      <c r="E1365" s="1" t="s">
        <v>1346</v>
      </c>
      <c r="F1365" s="1" t="n">
        <v>186</v>
      </c>
      <c r="G1365" s="1" t="n">
        <v>70</v>
      </c>
      <c r="H1365" s="2" t="n">
        <v>1460000</v>
      </c>
      <c r="I1365" s="2" t="n">
        <f aca="false">(((H1365 / 800) / IF(ISBLANK(R1365), 1000000, IF(ISNA(VLOOKUP(R1365, Mileages!$A$2:$C$34, 2, 0)), R1365, VLOOKUP(R1365, Mileages!$A$2:$C$34, 2, 0)))) + (F1365 * IF(ISBLANK(P1365), 1, P1365) * IF(ISBLANK(T1365), 0, IF(ISNA(VLOOKUP(T1365, 'Fuel Costs'!$A$2:$C$42, 2, 0)), T1365, VLOOKUP(T1365, 'Fuel Costs'!$A$2:$C$42, 2, 0))) / IF(ISBLANK(O1365), 1, O1365))) * 100</f>
        <v>74.5825</v>
      </c>
      <c r="J1365" s="2" t="n">
        <f aca="false">((H1365 / 800) / (IF(ISBLANK(S1365), 100, IF(ISNA(VLOOKUP(S1365, Lives!$A$2:$C$35, 2, 0)), S1365, VLOOKUP(S1365, Lives!$A$2:$C$35, 2, 0))) * 12) + (IF(ISBLANK(Q1365), 0, IF(ISNA(VLOOKUP(Q1365, Wages!$A$2:$C$17, 2, 0)), Q1365, VLOOKUP(Q1365, Wages!$A$2:$C$17, 2, 0))) * IF(ISBLANK(N1365), 0, IF(ISNA(VLOOKUP(N1365, Crews!$A$2:$C$28, 2, 0)), N1365, VLOOKUP(N1365, Crews!$A$2:$C$28, 2, 0))))) * 400</f>
        <v>7216.666667</v>
      </c>
      <c r="K1365" s="3" t="s">
        <v>2729</v>
      </c>
      <c r="L1365" s="1" t="s">
        <v>2730</v>
      </c>
      <c r="M1365" s="1" t="n">
        <v>0</v>
      </c>
      <c r="N1365" s="1" t="s">
        <v>1512</v>
      </c>
      <c r="O1365" s="1" t="n">
        <v>1</v>
      </c>
      <c r="P1365" s="1"/>
      <c r="Q1365" s="1" t="str">
        <f aca="false">IF(ISBLANK('Pak128 Britain In'!$N1365),,'Pak128 Britain In'!$N1365)</f>
        <v>ElectricMultipleUnit</v>
      </c>
      <c r="R1365" s="1" t="s">
        <v>1349</v>
      </c>
      <c r="S1365" s="1" t="s">
        <v>1350</v>
      </c>
      <c r="T1365" s="1" t="s">
        <v>2580</v>
      </c>
    </row>
    <row r="1366" customFormat="false" ht="15" hidden="false" customHeight="true" outlineLevel="0" collapsed="false">
      <c r="A1366" s="1" t="s">
        <v>2731</v>
      </c>
      <c r="B1366" s="1" t="n">
        <v>1923</v>
      </c>
      <c r="C1366" s="1" t="n">
        <v>6</v>
      </c>
      <c r="D1366" s="1" t="s">
        <v>38</v>
      </c>
      <c r="E1366" s="1" t="s">
        <v>1346</v>
      </c>
      <c r="F1366" s="1"/>
      <c r="G1366" s="1" t="n">
        <v>70</v>
      </c>
      <c r="H1366" s="2" t="n">
        <v>1460000</v>
      </c>
      <c r="I1366" s="2" t="n">
        <f aca="false">(((H1366 / 800) / IF(ISBLANK(R1366), 1000000, IF(ISNA(VLOOKUP(R1366, Mileages!$A$2:$C$34, 2, 0)), R1366, VLOOKUP(R1366, Mileages!$A$2:$C$34, 2, 0)))) + (F1366 * IF(ISBLANK(P1366), 1, P1366) * IF(ISBLANK(T1366), 0, IF(ISNA(VLOOKUP(T1366, 'Fuel Costs'!$A$2:$C$42, 2, 0)), T1366, VLOOKUP(T1366, 'Fuel Costs'!$A$2:$C$42, 2, 0))) / IF(ISBLANK(O1366), 1, O1366))) * 100</f>
        <v>0.1520833333</v>
      </c>
      <c r="J1366" s="2" t="n">
        <f aca="false">((H1366 / 800) / (IF(ISBLANK(S1366), 100, IF(ISNA(VLOOKUP(S1366, Lives!$A$2:$C$35, 2, 0)), S1366, VLOOKUP(S1366, Lives!$A$2:$C$35, 2, 0))) * 12) + (IF(ISBLANK(Q1366), 0, IF(ISNA(VLOOKUP(Q1366, Wages!$A$2:$C$17, 2, 0)), Q1366, VLOOKUP(Q1366, Wages!$A$2:$C$17, 2, 0))) * IF(ISBLANK(N1366), 0, IF(ISNA(VLOOKUP(N1366, Crews!$A$2:$C$28, 2, 0)), N1366, VLOOKUP(N1366, Crews!$A$2:$C$28, 2, 0))))) * 400</f>
        <v>1738.095238</v>
      </c>
      <c r="K1366" s="3" t="s">
        <v>2729</v>
      </c>
      <c r="L1366" s="1" t="s">
        <v>2730</v>
      </c>
      <c r="M1366" s="1" t="n">
        <v>1</v>
      </c>
      <c r="N1366" s="1"/>
      <c r="O1366" s="1"/>
      <c r="P1366" s="1"/>
      <c r="Q1366" s="1"/>
      <c r="R1366" s="1" t="s">
        <v>689</v>
      </c>
      <c r="S1366" s="1" t="s">
        <v>856</v>
      </c>
      <c r="T1366" s="1"/>
    </row>
    <row r="1367" customFormat="false" ht="15" hidden="false" customHeight="true" outlineLevel="0" collapsed="false">
      <c r="A1367" s="1" t="s">
        <v>2732</v>
      </c>
      <c r="B1367" s="1" t="n">
        <v>1923</v>
      </c>
      <c r="C1367" s="1" t="n">
        <v>6</v>
      </c>
      <c r="D1367" s="1" t="s">
        <v>38</v>
      </c>
      <c r="E1367" s="1" t="s">
        <v>1346</v>
      </c>
      <c r="F1367" s="1"/>
      <c r="G1367" s="1" t="n">
        <v>70</v>
      </c>
      <c r="H1367" s="2" t="n">
        <v>1460000</v>
      </c>
      <c r="I1367" s="2" t="n">
        <f aca="false">(((H1367 / 800) / IF(ISBLANK(R1367), 1000000, IF(ISNA(VLOOKUP(R1367, Mileages!$A$2:$C$34, 2, 0)), R1367, VLOOKUP(R1367, Mileages!$A$2:$C$34, 2, 0)))) + (F1367 * IF(ISBLANK(P1367), 1, P1367) * IF(ISBLANK(T1367), 0, IF(ISNA(VLOOKUP(T1367, 'Fuel Costs'!$A$2:$C$42, 2, 0)), T1367, VLOOKUP(T1367, 'Fuel Costs'!$A$2:$C$42, 2, 0))) / IF(ISBLANK(O1367), 1, O1367))) * 100</f>
        <v>0.1520833333</v>
      </c>
      <c r="J1367" s="2" t="n">
        <f aca="false">((H1367 / 800) / (IF(ISBLANK(S1367), 100, IF(ISNA(VLOOKUP(S1367, Lives!$A$2:$C$35, 2, 0)), S1367, VLOOKUP(S1367, Lives!$A$2:$C$35, 2, 0))) * 12) + (IF(ISBLANK(Q1367), 0, IF(ISNA(VLOOKUP(Q1367, Wages!$A$2:$C$17, 2, 0)), Q1367, VLOOKUP(Q1367, Wages!$A$2:$C$17, 2, 0))) * IF(ISBLANK(N1367), 0, IF(ISNA(VLOOKUP(N1367, Crews!$A$2:$C$28, 2, 0)), N1367, VLOOKUP(N1367, Crews!$A$2:$C$28, 2, 0))))) * 400</f>
        <v>1738.095238</v>
      </c>
      <c r="K1367" s="3" t="s">
        <v>2729</v>
      </c>
      <c r="L1367" s="1" t="s">
        <v>2730</v>
      </c>
      <c r="M1367" s="1" t="n">
        <v>2</v>
      </c>
      <c r="N1367" s="1"/>
      <c r="O1367" s="1"/>
      <c r="P1367" s="1"/>
      <c r="Q1367" s="1"/>
      <c r="R1367" s="1" t="s">
        <v>689</v>
      </c>
      <c r="S1367" s="1" t="s">
        <v>856</v>
      </c>
      <c r="T1367" s="1"/>
    </row>
    <row r="1368" customFormat="false" ht="15" hidden="false" customHeight="true" outlineLevel="0" collapsed="false">
      <c r="A1368" s="1" t="s">
        <v>2733</v>
      </c>
      <c r="B1368" s="1" t="n">
        <v>1923</v>
      </c>
      <c r="C1368" s="1" t="n">
        <v>6</v>
      </c>
      <c r="D1368" s="1" t="s">
        <v>38</v>
      </c>
      <c r="E1368" s="1" t="s">
        <v>1346</v>
      </c>
      <c r="F1368" s="1" t="n">
        <v>186</v>
      </c>
      <c r="G1368" s="1" t="n">
        <v>70</v>
      </c>
      <c r="H1368" s="2" t="n">
        <v>1460000</v>
      </c>
      <c r="I1368" s="2" t="n">
        <f aca="false">(((H1368 / 800) / IF(ISBLANK(R1368), 1000000, IF(ISNA(VLOOKUP(R1368, Mileages!$A$2:$C$34, 2, 0)), R1368, VLOOKUP(R1368, Mileages!$A$2:$C$34, 2, 0)))) + (F1368 * IF(ISBLANK(P1368), 1, P1368) * IF(ISBLANK(T1368), 0, IF(ISNA(VLOOKUP(T1368, 'Fuel Costs'!$A$2:$C$42, 2, 0)), T1368, VLOOKUP(T1368, 'Fuel Costs'!$A$2:$C$42, 2, 0))) / IF(ISBLANK(O1368), 1, O1368))) * 100</f>
        <v>74.5825</v>
      </c>
      <c r="J1368" s="2" t="n">
        <f aca="false">((H1368 / 800) / (IF(ISBLANK(S1368), 100, IF(ISNA(VLOOKUP(S1368, Lives!$A$2:$C$35, 2, 0)), S1368, VLOOKUP(S1368, Lives!$A$2:$C$35, 2, 0))) * 12) + (IF(ISBLANK(Q1368), 0, IF(ISNA(VLOOKUP(Q1368, Wages!$A$2:$C$17, 2, 0)), Q1368, VLOOKUP(Q1368, Wages!$A$2:$C$17, 2, 0))) * IF(ISBLANK(N1368), 0, IF(ISNA(VLOOKUP(N1368, Crews!$A$2:$C$28, 2, 0)), N1368, VLOOKUP(N1368, Crews!$A$2:$C$28, 2, 0))))) * 400</f>
        <v>7216.666667</v>
      </c>
      <c r="K1368" s="3" t="s">
        <v>2729</v>
      </c>
      <c r="L1368" s="1" t="s">
        <v>2730</v>
      </c>
      <c r="M1368" s="1" t="n">
        <v>3</v>
      </c>
      <c r="N1368" s="1" t="s">
        <v>1512</v>
      </c>
      <c r="O1368" s="1" t="n">
        <v>1</v>
      </c>
      <c r="P1368" s="1"/>
      <c r="Q1368" s="1" t="str">
        <f aca="false">IF(ISBLANK('Pak128 Britain In'!$N1368),,'Pak128 Britain In'!$N1368)</f>
        <v>ElectricMultipleUnit</v>
      </c>
      <c r="R1368" s="1" t="s">
        <v>1349</v>
      </c>
      <c r="S1368" s="1" t="s">
        <v>1350</v>
      </c>
      <c r="T1368" s="1" t="s">
        <v>2580</v>
      </c>
    </row>
    <row r="1369" customFormat="false" ht="15" hidden="false" customHeight="true" outlineLevel="0" collapsed="false">
      <c r="A1369" s="1" t="s">
        <v>2734</v>
      </c>
      <c r="B1369" s="1" t="n">
        <v>1923</v>
      </c>
      <c r="C1369" s="1" t="n">
        <v>8</v>
      </c>
      <c r="D1369" s="1" t="s">
        <v>876</v>
      </c>
      <c r="E1369" s="1" t="s">
        <v>1346</v>
      </c>
      <c r="F1369" s="1" t="n">
        <v>52</v>
      </c>
      <c r="G1369" s="1" t="n">
        <v>32</v>
      </c>
      <c r="H1369" s="2" t="n">
        <v>415000</v>
      </c>
      <c r="I1369" s="2" t="n">
        <f aca="false">(((H1369 / 800) / IF(ISBLANK(R1369), 1000000, IF(ISNA(VLOOKUP(R1369, Mileages!$A$2:$C$34, 2, 0)), R1369, VLOOKUP(R1369, Mileages!$A$2:$C$34, 2, 0)))) + (F1369 * IF(ISBLANK(P1369), 1, P1369) * IF(ISBLANK(T1369), 0, IF(ISNA(VLOOKUP(T1369, 'Fuel Costs'!$A$2:$C$42, 2, 0)), T1369, VLOOKUP(T1369, 'Fuel Costs'!$A$2:$C$42, 2, 0))) / IF(ISBLANK(O1369), 1, O1369))) * 100</f>
        <v>20.851875</v>
      </c>
      <c r="J1369" s="2" t="n">
        <f aca="false">((H1369 / 800) / (IF(ISBLANK(S1369), 100, IF(ISNA(VLOOKUP(S1369, Lives!$A$2:$C$35, 2, 0)), S1369, VLOOKUP(S1369, Lives!$A$2:$C$35, 2, 0))) * 12) + (IF(ISBLANK(Q1369), 0, IF(ISNA(VLOOKUP(Q1369, Wages!$A$2:$C$17, 2, 0)), Q1369, VLOOKUP(Q1369, Wages!$A$2:$C$17, 2, 0))) * IF(ISBLANK(N1369), 0, IF(ISNA(VLOOKUP(N1369, Crews!$A$2:$C$28, 2, 0)), N1369, VLOOKUP(N1369, Crews!$A$2:$C$28, 2, 0))))) * 400</f>
        <v>6345.833333</v>
      </c>
      <c r="K1369" s="3" t="s">
        <v>2735</v>
      </c>
      <c r="L1369" s="1" t="s">
        <v>2736</v>
      </c>
      <c r="M1369" s="1" t="n">
        <v>0</v>
      </c>
      <c r="N1369" s="1" t="s">
        <v>895</v>
      </c>
      <c r="O1369" s="1"/>
      <c r="P1369" s="1"/>
      <c r="Q1369" s="1" t="s">
        <v>895</v>
      </c>
      <c r="R1369" s="1" t="s">
        <v>1349</v>
      </c>
      <c r="S1369" s="1" t="s">
        <v>1350</v>
      </c>
      <c r="T1369" s="1" t="s">
        <v>2580</v>
      </c>
    </row>
    <row r="1370" customFormat="false" ht="15" hidden="false" customHeight="true" outlineLevel="0" collapsed="false">
      <c r="A1370" s="1" t="s">
        <v>2737</v>
      </c>
      <c r="B1370" s="1" t="n">
        <v>1923</v>
      </c>
      <c r="C1370" s="1" t="n">
        <v>8</v>
      </c>
      <c r="D1370" s="1" t="s">
        <v>38</v>
      </c>
      <c r="E1370" s="1" t="s">
        <v>274</v>
      </c>
      <c r="F1370" s="1" t="n">
        <v>458</v>
      </c>
      <c r="G1370" s="1" t="n">
        <v>155</v>
      </c>
      <c r="H1370" s="2" t="n">
        <v>10975250</v>
      </c>
      <c r="I1370" s="2" t="n">
        <f aca="false">(((H1370 / 800) / IF(ISBLANK(R1370), 1000000, IF(ISNA(VLOOKUP(R1370, Mileages!$A$2:$C$34, 2, 0)), R1370, VLOOKUP(R1370, Mileages!$A$2:$C$34, 2, 0)))) + (F1370 * IF(ISBLANK(P1370), 1, P1370) * IF(ISBLANK(T1370), 0, IF(ISNA(VLOOKUP(T1370, 'Fuel Costs'!$A$2:$C$42, 2, 0)), T1370, VLOOKUP(T1370, 'Fuel Costs'!$A$2:$C$42, 2, 0))) / IF(ISBLANK(O1370), 1, O1370))) * 100</f>
        <v>263.086192</v>
      </c>
      <c r="J1370" s="2" t="n">
        <f aca="false">((H1370 / 800) / (IF(ISBLANK(S1370), 100, IF(ISNA(VLOOKUP(S1370, Lives!$A$2:$C$35, 2, 0)), S1370, VLOOKUP(S1370, Lives!$A$2:$C$35, 2, 0))) * 12) + (IF(ISBLANK(Q1370), 0, IF(ISNA(VLOOKUP(Q1370, Wages!$A$2:$C$17, 2, 0)), Q1370, VLOOKUP(Q1370, Wages!$A$2:$C$17, 2, 0))) * IF(ISBLANK(N1370), 0, IF(ISNA(VLOOKUP(N1370, Crews!$A$2:$C$28, 2, 0)), N1370, VLOOKUP(N1370, Crews!$A$2:$C$28, 2, 0))))) * 400</f>
        <v>49146.04167</v>
      </c>
      <c r="K1370" s="3" t="s">
        <v>2738</v>
      </c>
      <c r="L1370" s="1" t="s">
        <v>2739</v>
      </c>
      <c r="M1370" s="1" t="n">
        <v>0</v>
      </c>
      <c r="N1370" s="1" t="s">
        <v>1705</v>
      </c>
      <c r="O1370" s="1" t="n">
        <v>0.7</v>
      </c>
      <c r="P1370" s="1"/>
      <c r="Q1370" s="5" t="s">
        <v>284</v>
      </c>
      <c r="R1370" s="1" t="s">
        <v>677</v>
      </c>
      <c r="S1370" s="1" t="s">
        <v>677</v>
      </c>
      <c r="T1370" s="1" t="s">
        <v>2252</v>
      </c>
    </row>
    <row r="1371" customFormat="false" ht="15" hidden="false" customHeight="true" outlineLevel="0" collapsed="false">
      <c r="A1371" s="1" t="s">
        <v>2740</v>
      </c>
      <c r="B1371" s="1" t="n">
        <v>1923</v>
      </c>
      <c r="C1371" s="1" t="n">
        <v>8</v>
      </c>
      <c r="D1371" s="1" t="s">
        <v>38</v>
      </c>
      <c r="E1371" s="1"/>
      <c r="F1371" s="1" t="n">
        <v>0</v>
      </c>
      <c r="G1371" s="1" t="n">
        <v>155</v>
      </c>
      <c r="H1371" s="2" t="n">
        <v>0</v>
      </c>
      <c r="I1371" s="2" t="n">
        <f aca="false">(((H1371 / 800) / IF(ISBLANK(R1371), 1000000, IF(ISNA(VLOOKUP(R1371, Mileages!$A$2:$C$34, 2, 0)), R1371, VLOOKUP(R1371, Mileages!$A$2:$C$34, 2, 0)))) + (F1371 * IF(ISBLANK(P1371), 1, P1371) * IF(ISBLANK(T1371), 0, IF(ISNA(VLOOKUP(T1371, 'Fuel Costs'!$A$2:$C$42, 2, 0)), T1371, VLOOKUP(T1371, 'Fuel Costs'!$A$2:$C$42, 2, 0))) / IF(ISBLANK(O1371), 1, O1371))) * 100</f>
        <v>0</v>
      </c>
      <c r="J1371" s="2" t="n">
        <f aca="false">((H1371 / 800) / (IF(ISBLANK(S1371), 100, IF(ISNA(VLOOKUP(S1371, Lives!$A$2:$C$35, 2, 0)), S1371, VLOOKUP(S1371, Lives!$A$2:$C$35, 2, 0))) * 12) + (IF(ISBLANK(Q1371), 0, IF(ISNA(VLOOKUP(Q1371, Wages!$A$2:$C$17, 2, 0)), Q1371, VLOOKUP(Q1371, Wages!$A$2:$C$17, 2, 0))) * IF(ISBLANK(N1371), 0, IF(ISNA(VLOOKUP(N1371, Crews!$A$2:$C$28, 2, 0)), N1371, VLOOKUP(N1371, Crews!$A$2:$C$28, 2, 0))))) * 400</f>
        <v>0</v>
      </c>
      <c r="K1371" s="1"/>
      <c r="L1371" s="1" t="s">
        <v>2739</v>
      </c>
      <c r="M1371" s="1" t="n">
        <v>1</v>
      </c>
      <c r="N1371" s="1"/>
      <c r="O1371" s="1"/>
      <c r="P1371" s="1"/>
      <c r="Q1371" s="1"/>
      <c r="R1371" s="1"/>
      <c r="S1371" s="1"/>
      <c r="T1371" s="1"/>
    </row>
    <row r="1372" customFormat="false" ht="15" hidden="false" customHeight="true" outlineLevel="0" collapsed="false">
      <c r="A1372" s="1" t="s">
        <v>2741</v>
      </c>
      <c r="B1372" s="1" t="n">
        <v>1923</v>
      </c>
      <c r="C1372" s="1" t="n">
        <v>10</v>
      </c>
      <c r="D1372" s="1" t="s">
        <v>38</v>
      </c>
      <c r="E1372" s="1"/>
      <c r="F1372" s="1"/>
      <c r="G1372" s="1" t="n">
        <v>100</v>
      </c>
      <c r="H1372" s="2" t="n">
        <v>3700</v>
      </c>
      <c r="I1372" s="2" t="n">
        <f aca="false">(((H1372 / 800) / IF(ISBLANK(R1372), 1000000, IF(ISNA(VLOOKUP(R1372, Mileages!$A$2:$C$34, 2, 0)), R1372, VLOOKUP(R1372, Mileages!$A$2:$C$34, 2, 0)))) + (F1372 * IF(ISBLANK(P1372), 1, P1372) * IF(ISBLANK(T1372), 0, IF(ISNA(VLOOKUP(T1372, 'Fuel Costs'!$A$2:$C$42, 2, 0)), T1372, VLOOKUP(T1372, 'Fuel Costs'!$A$2:$C$42, 2, 0))) / IF(ISBLANK(O1372), 1, O1372))) * 100</f>
        <v>0.0003854166667</v>
      </c>
      <c r="J1372" s="2" t="n">
        <f aca="false">((H1372 / 800) / (IF(ISBLANK(S1372), 100, IF(ISNA(VLOOKUP(S1372, Lives!$A$2:$C$35, 2, 0)), S1372, VLOOKUP(S1372, Lives!$A$2:$C$35, 2, 0))) * 12) + (IF(ISBLANK(Q1372), 0, IF(ISNA(VLOOKUP(Q1372, Wages!$A$2:$C$17, 2, 0)), Q1372, VLOOKUP(Q1372, Wages!$A$2:$C$17, 2, 0))) * IF(ISBLANK(N1372), 0, IF(ISNA(VLOOKUP(N1372, Crews!$A$2:$C$28, 2, 0)), N1372, VLOOKUP(N1372, Crews!$A$2:$C$28, 2, 0))))) * 400</f>
        <v>4801.541667</v>
      </c>
      <c r="K1372" s="3" t="s">
        <v>1766</v>
      </c>
      <c r="L1372" s="1" t="s">
        <v>2742</v>
      </c>
      <c r="M1372" s="1" t="n">
        <v>0</v>
      </c>
      <c r="N1372" s="1" t="s">
        <v>25</v>
      </c>
      <c r="O1372" s="1"/>
      <c r="P1372" s="1"/>
      <c r="Q1372" s="1" t="s">
        <v>378</v>
      </c>
      <c r="R1372" s="1" t="s">
        <v>689</v>
      </c>
      <c r="S1372" s="1" t="s">
        <v>389</v>
      </c>
      <c r="T1372" s="1"/>
    </row>
    <row r="1373" customFormat="false" ht="15" hidden="false" customHeight="true" outlineLevel="0" collapsed="false">
      <c r="A1373" s="1" t="s">
        <v>2743</v>
      </c>
      <c r="B1373" s="1" t="n">
        <v>1924</v>
      </c>
      <c r="C1373" s="1" t="n">
        <v>2</v>
      </c>
      <c r="D1373" s="1" t="s">
        <v>21</v>
      </c>
      <c r="E1373" s="1" t="s">
        <v>1839</v>
      </c>
      <c r="F1373" s="1" t="n">
        <v>37</v>
      </c>
      <c r="G1373" s="1" t="n">
        <v>34</v>
      </c>
      <c r="H1373" s="2" t="n">
        <v>125000</v>
      </c>
      <c r="I1373" s="2" t="n">
        <f aca="false">(((H1373 / 800) / IF(ISBLANK(R1373), 1000000, IF(ISNA(VLOOKUP(R1373, Mileages!$A$2:$C$34, 2, 0)), R1373, VLOOKUP(R1373, Mileages!$A$2:$C$34, 2, 0)))) + (F1373 * IF(ISBLANK(P1373), 1, P1373) * IF(ISBLANK(T1373), 0, IF(ISNA(VLOOKUP(T1373, 'Fuel Costs'!$A$2:$C$42, 2, 0)), T1373, VLOOKUP(T1373, 'Fuel Costs'!$A$2:$C$42, 2, 0))) / IF(ISBLANK(O1373), 1, O1373))) * 100</f>
        <v>37.03125</v>
      </c>
      <c r="J1373" s="2" t="n">
        <f aca="false">((H1373 / 800) / (IF(ISBLANK(S1373), 100, IF(ISNA(VLOOKUP(S1373, Lives!$A$2:$C$35, 2, 0)), S1373, VLOOKUP(S1373, Lives!$A$2:$C$35, 2, 0))) * 12) + (IF(ISBLANK(Q1373), 0, IF(ISNA(VLOOKUP(Q1373, Wages!$A$2:$C$17, 2, 0)), Q1373, VLOOKUP(Q1373, Wages!$A$2:$C$17, 2, 0))) * IF(ISBLANK(N1373), 0, IF(ISNA(VLOOKUP(N1373, Crews!$A$2:$C$28, 2, 0)), N1373, VLOOKUP(N1373, Crews!$A$2:$C$28, 2, 0))))) * 400</f>
        <v>8065.104167</v>
      </c>
      <c r="K1373" s="1" t="s">
        <v>2744</v>
      </c>
      <c r="L1373" s="1" t="s">
        <v>2745</v>
      </c>
      <c r="M1373" s="1" t="n">
        <v>0</v>
      </c>
      <c r="N1373" s="1" t="s">
        <v>25</v>
      </c>
      <c r="O1373" s="1" t="n">
        <v>0.6</v>
      </c>
      <c r="P1373" s="1"/>
      <c r="Q1373" s="1" t="s">
        <v>1815</v>
      </c>
      <c r="R1373" s="1" t="s">
        <v>1842</v>
      </c>
      <c r="S1373" s="1" t="s">
        <v>1843</v>
      </c>
      <c r="T1373" s="1" t="s">
        <v>2534</v>
      </c>
    </row>
    <row r="1374" customFormat="false" ht="15" hidden="false" customHeight="true" outlineLevel="0" collapsed="false">
      <c r="A1374" s="1" t="s">
        <v>2746</v>
      </c>
      <c r="B1374" s="1" t="n">
        <v>1924</v>
      </c>
      <c r="C1374" s="1" t="n">
        <v>2</v>
      </c>
      <c r="D1374" s="1" t="s">
        <v>21</v>
      </c>
      <c r="E1374" s="1"/>
      <c r="F1374" s="1"/>
      <c r="G1374" s="1" t="n">
        <v>50</v>
      </c>
      <c r="H1374" s="2" t="n">
        <v>65000</v>
      </c>
      <c r="I1374" s="2" t="n">
        <f aca="false">(((H1374 / 800) / IF(ISBLANK(R1374), 1000000, IF(ISNA(VLOOKUP(R1374, Mileages!$A$2:$C$34, 2, 0)), R1374, VLOOKUP(R1374, Mileages!$A$2:$C$34, 2, 0)))) + (F1374 * IF(ISBLANK(P1374), 1, P1374) * IF(ISBLANK(T1374), 0, IF(ISNA(VLOOKUP(T1374, 'Fuel Costs'!$A$2:$C$42, 2, 0)), T1374, VLOOKUP(T1374, 'Fuel Costs'!$A$2:$C$42, 2, 0))) / IF(ISBLANK(O1374), 1, O1374))) * 100</f>
        <v>0.006770833333</v>
      </c>
      <c r="J1374" s="2" t="n">
        <f aca="false">((H1374 / 800) / (IF(ISBLANK(S1374), 100, IF(ISNA(VLOOKUP(S1374, Lives!$A$2:$C$35, 2, 0)), S1374, VLOOKUP(S1374, Lives!$A$2:$C$35, 2, 0))) * 12) + (IF(ISBLANK(Q1374), 0, IF(ISNA(VLOOKUP(Q1374, Wages!$A$2:$C$17, 2, 0)), Q1374, VLOOKUP(Q1374, Wages!$A$2:$C$17, 2, 0))) * IF(ISBLANK(N1374), 0, IF(ISNA(VLOOKUP(N1374, Crews!$A$2:$C$28, 2, 0)), N1374, VLOOKUP(N1374, Crews!$A$2:$C$28, 2, 0))))) * 400</f>
        <v>33.85416667</v>
      </c>
      <c r="K1374" s="1"/>
      <c r="L1374" s="1" t="s">
        <v>2745</v>
      </c>
      <c r="M1374" s="1" t="n">
        <v>1</v>
      </c>
      <c r="N1374" s="1"/>
      <c r="O1374" s="1"/>
      <c r="P1374" s="1"/>
      <c r="Q1374" s="1"/>
      <c r="R1374" s="1" t="s">
        <v>829</v>
      </c>
      <c r="S1374" s="1" t="s">
        <v>829</v>
      </c>
      <c r="T1374" s="1"/>
    </row>
    <row r="1375" customFormat="false" ht="15" hidden="false" customHeight="true" outlineLevel="0" collapsed="false">
      <c r="A1375" s="1" t="s">
        <v>2747</v>
      </c>
      <c r="B1375" s="1" t="n">
        <v>1924</v>
      </c>
      <c r="C1375" s="1" t="n">
        <v>2</v>
      </c>
      <c r="D1375" s="1" t="s">
        <v>21</v>
      </c>
      <c r="E1375" s="1"/>
      <c r="F1375" s="1"/>
      <c r="G1375" s="1" t="n">
        <v>50</v>
      </c>
      <c r="H1375" s="2" t="n">
        <v>55000</v>
      </c>
      <c r="I1375" s="2" t="n">
        <f aca="false">(((H1375 / 800) / IF(ISBLANK(R1375), 1000000, IF(ISNA(VLOOKUP(R1375, Mileages!$A$2:$C$34, 2, 0)), R1375, VLOOKUP(R1375, Mileages!$A$2:$C$34, 2, 0)))) + (F1375 * IF(ISBLANK(P1375), 1, P1375) * IF(ISBLANK(T1375), 0, IF(ISNA(VLOOKUP(T1375, 'Fuel Costs'!$A$2:$C$42, 2, 0)), T1375, VLOOKUP(T1375, 'Fuel Costs'!$A$2:$C$42, 2, 0))) / IF(ISBLANK(O1375), 1, O1375))) * 100</f>
        <v>0.005729166667</v>
      </c>
      <c r="J1375" s="2" t="n">
        <f aca="false">((H1375 / 800) / (IF(ISBLANK(S1375), 100, IF(ISNA(VLOOKUP(S1375, Lives!$A$2:$C$35, 2, 0)), S1375, VLOOKUP(S1375, Lives!$A$2:$C$35, 2, 0))) * 12) + (IF(ISBLANK(Q1375), 0, IF(ISNA(VLOOKUP(Q1375, Wages!$A$2:$C$17, 2, 0)), Q1375, VLOOKUP(Q1375, Wages!$A$2:$C$17, 2, 0))) * IF(ISBLANK(N1375), 0, IF(ISNA(VLOOKUP(N1375, Crews!$A$2:$C$28, 2, 0)), N1375, VLOOKUP(N1375, Crews!$A$2:$C$28, 2, 0))))) * 400</f>
        <v>28.64583333</v>
      </c>
      <c r="K1375" s="1"/>
      <c r="L1375" s="1" t="s">
        <v>2745</v>
      </c>
      <c r="M1375" s="1" t="n">
        <v>2</v>
      </c>
      <c r="N1375" s="1"/>
      <c r="O1375" s="1"/>
      <c r="P1375" s="1"/>
      <c r="Q1375" s="1"/>
      <c r="R1375" s="1" t="s">
        <v>829</v>
      </c>
      <c r="S1375" s="1" t="s">
        <v>829</v>
      </c>
      <c r="T1375" s="1"/>
    </row>
    <row r="1376" customFormat="false" ht="15" hidden="false" customHeight="true" outlineLevel="0" collapsed="false">
      <c r="A1376" s="1" t="s">
        <v>2748</v>
      </c>
      <c r="B1376" s="1" t="n">
        <v>1924</v>
      </c>
      <c r="C1376" s="1" t="n">
        <v>2</v>
      </c>
      <c r="D1376" s="1" t="s">
        <v>21</v>
      </c>
      <c r="E1376" s="1"/>
      <c r="F1376" s="1"/>
      <c r="G1376" s="1" t="n">
        <v>50</v>
      </c>
      <c r="H1376" s="2" t="n">
        <v>55000</v>
      </c>
      <c r="I1376" s="2" t="n">
        <f aca="false">(((H1376 / 800) / IF(ISBLANK(R1376), 1000000, IF(ISNA(VLOOKUP(R1376, Mileages!$A$2:$C$34, 2, 0)), R1376, VLOOKUP(R1376, Mileages!$A$2:$C$34, 2, 0)))) + (F1376 * IF(ISBLANK(P1376), 1, P1376) * IF(ISBLANK(T1376), 0, IF(ISNA(VLOOKUP(T1376, 'Fuel Costs'!$A$2:$C$42, 2, 0)), T1376, VLOOKUP(T1376, 'Fuel Costs'!$A$2:$C$42, 2, 0))) / IF(ISBLANK(O1376), 1, O1376))) * 100</f>
        <v>0.005729166667</v>
      </c>
      <c r="J1376" s="2" t="n">
        <f aca="false">((H1376 / 800) / (IF(ISBLANK(S1376), 100, IF(ISNA(VLOOKUP(S1376, Lives!$A$2:$C$35, 2, 0)), S1376, VLOOKUP(S1376, Lives!$A$2:$C$35, 2, 0))) * 12) + (IF(ISBLANK(Q1376), 0, IF(ISNA(VLOOKUP(Q1376, Wages!$A$2:$C$17, 2, 0)), Q1376, VLOOKUP(Q1376, Wages!$A$2:$C$17, 2, 0))) * IF(ISBLANK(N1376), 0, IF(ISNA(VLOOKUP(N1376, Crews!$A$2:$C$28, 2, 0)), N1376, VLOOKUP(N1376, Crews!$A$2:$C$28, 2, 0))))) * 400</f>
        <v>28.64583333</v>
      </c>
      <c r="K1376" s="1"/>
      <c r="L1376" s="1" t="s">
        <v>2745</v>
      </c>
      <c r="M1376" s="1" t="n">
        <v>3</v>
      </c>
      <c r="N1376" s="1"/>
      <c r="O1376" s="1"/>
      <c r="P1376" s="1"/>
      <c r="Q1376" s="1"/>
      <c r="R1376" s="1" t="s">
        <v>829</v>
      </c>
      <c r="S1376" s="1" t="s">
        <v>829</v>
      </c>
      <c r="T1376" s="1"/>
    </row>
    <row r="1377" customFormat="false" ht="15" hidden="false" customHeight="true" outlineLevel="0" collapsed="false">
      <c r="A1377" s="1" t="s">
        <v>2749</v>
      </c>
      <c r="B1377" s="1" t="n">
        <v>1924</v>
      </c>
      <c r="C1377" s="1" t="n">
        <v>2</v>
      </c>
      <c r="D1377" s="1" t="s">
        <v>21</v>
      </c>
      <c r="E1377" s="1"/>
      <c r="F1377" s="1"/>
      <c r="G1377" s="1" t="n">
        <v>50</v>
      </c>
      <c r="H1377" s="2" t="n">
        <v>55000</v>
      </c>
      <c r="I1377" s="2" t="n">
        <f aca="false">(((H1377 / 800) / IF(ISBLANK(R1377), 1000000, IF(ISNA(VLOOKUP(R1377, Mileages!$A$2:$C$34, 2, 0)), R1377, VLOOKUP(R1377, Mileages!$A$2:$C$34, 2, 0)))) + (F1377 * IF(ISBLANK(P1377), 1, P1377) * IF(ISBLANK(T1377), 0, IF(ISNA(VLOOKUP(T1377, 'Fuel Costs'!$A$2:$C$42, 2, 0)), T1377, VLOOKUP(T1377, 'Fuel Costs'!$A$2:$C$42, 2, 0))) / IF(ISBLANK(O1377), 1, O1377))) * 100</f>
        <v>0.005729166667</v>
      </c>
      <c r="J1377" s="2" t="n">
        <f aca="false">((H1377 / 800) / (IF(ISBLANK(S1377), 100, IF(ISNA(VLOOKUP(S1377, Lives!$A$2:$C$35, 2, 0)), S1377, VLOOKUP(S1377, Lives!$A$2:$C$35, 2, 0))) * 12) + (IF(ISBLANK(Q1377), 0, IF(ISNA(VLOOKUP(Q1377, Wages!$A$2:$C$17, 2, 0)), Q1377, VLOOKUP(Q1377, Wages!$A$2:$C$17, 2, 0))) * IF(ISBLANK(N1377), 0, IF(ISNA(VLOOKUP(N1377, Crews!$A$2:$C$28, 2, 0)), N1377, VLOOKUP(N1377, Crews!$A$2:$C$28, 2, 0))))) * 400</f>
        <v>28.64583333</v>
      </c>
      <c r="K1377" s="1"/>
      <c r="L1377" s="1" t="s">
        <v>2745</v>
      </c>
      <c r="M1377" s="1" t="n">
        <v>4</v>
      </c>
      <c r="N1377" s="1"/>
      <c r="O1377" s="1"/>
      <c r="P1377" s="1"/>
      <c r="Q1377" s="1"/>
      <c r="R1377" s="1" t="s">
        <v>829</v>
      </c>
      <c r="S1377" s="1" t="s">
        <v>829</v>
      </c>
      <c r="T1377" s="1"/>
    </row>
    <row r="1378" customFormat="false" ht="15" hidden="false" customHeight="true" outlineLevel="0" collapsed="false">
      <c r="A1378" s="1" t="s">
        <v>2750</v>
      </c>
      <c r="B1378" s="1" t="n">
        <v>1924</v>
      </c>
      <c r="C1378" s="1" t="n">
        <v>2</v>
      </c>
      <c r="D1378" s="1" t="s">
        <v>21</v>
      </c>
      <c r="E1378" s="1"/>
      <c r="F1378" s="1"/>
      <c r="G1378" s="1" t="n">
        <v>50</v>
      </c>
      <c r="H1378" s="2" t="n">
        <v>55000</v>
      </c>
      <c r="I1378" s="2" t="n">
        <f aca="false">(((H1378 / 800) / IF(ISBLANK(R1378), 1000000, IF(ISNA(VLOOKUP(R1378, Mileages!$A$2:$C$34, 2, 0)), R1378, VLOOKUP(R1378, Mileages!$A$2:$C$34, 2, 0)))) + (F1378 * IF(ISBLANK(P1378), 1, P1378) * IF(ISBLANK(T1378), 0, IF(ISNA(VLOOKUP(T1378, 'Fuel Costs'!$A$2:$C$42, 2, 0)), T1378, VLOOKUP(T1378, 'Fuel Costs'!$A$2:$C$42, 2, 0))) / IF(ISBLANK(O1378), 1, O1378))) * 100</f>
        <v>0.005729166667</v>
      </c>
      <c r="J1378" s="2" t="n">
        <f aca="false">((H1378 / 800) / (IF(ISBLANK(S1378), 100, IF(ISNA(VLOOKUP(S1378, Lives!$A$2:$C$35, 2, 0)), S1378, VLOOKUP(S1378, Lives!$A$2:$C$35, 2, 0))) * 12) + (IF(ISBLANK(Q1378), 0, IF(ISNA(VLOOKUP(Q1378, Wages!$A$2:$C$17, 2, 0)), Q1378, VLOOKUP(Q1378, Wages!$A$2:$C$17, 2, 0))) * IF(ISBLANK(N1378), 0, IF(ISNA(VLOOKUP(N1378, Crews!$A$2:$C$28, 2, 0)), N1378, VLOOKUP(N1378, Crews!$A$2:$C$28, 2, 0))))) * 400</f>
        <v>28.64583333</v>
      </c>
      <c r="K1378" s="1"/>
      <c r="L1378" s="1" t="s">
        <v>2745</v>
      </c>
      <c r="M1378" s="1" t="n">
        <v>5</v>
      </c>
      <c r="N1378" s="1"/>
      <c r="O1378" s="1"/>
      <c r="P1378" s="1"/>
      <c r="Q1378" s="1"/>
      <c r="R1378" s="1" t="s">
        <v>829</v>
      </c>
      <c r="S1378" s="1" t="s">
        <v>829</v>
      </c>
      <c r="T1378" s="1"/>
    </row>
    <row r="1379" customFormat="false" ht="15" hidden="false" customHeight="true" outlineLevel="0" collapsed="false">
      <c r="A1379" s="1" t="s">
        <v>2751</v>
      </c>
      <c r="B1379" s="1" t="n">
        <v>1924</v>
      </c>
      <c r="C1379" s="1" t="n">
        <v>2</v>
      </c>
      <c r="D1379" s="1" t="s">
        <v>21</v>
      </c>
      <c r="E1379" s="1"/>
      <c r="F1379" s="1"/>
      <c r="G1379" s="1" t="n">
        <v>50</v>
      </c>
      <c r="H1379" s="2" t="n">
        <v>55000</v>
      </c>
      <c r="I1379" s="2" t="n">
        <f aca="false">(((H1379 / 800) / IF(ISBLANK(R1379), 1000000, IF(ISNA(VLOOKUP(R1379, Mileages!$A$2:$C$34, 2, 0)), R1379, VLOOKUP(R1379, Mileages!$A$2:$C$34, 2, 0)))) + (F1379 * IF(ISBLANK(P1379), 1, P1379) * IF(ISBLANK(T1379), 0, IF(ISNA(VLOOKUP(T1379, 'Fuel Costs'!$A$2:$C$42, 2, 0)), T1379, VLOOKUP(T1379, 'Fuel Costs'!$A$2:$C$42, 2, 0))) / IF(ISBLANK(O1379), 1, O1379))) * 100</f>
        <v>0.005729166667</v>
      </c>
      <c r="J1379" s="2" t="n">
        <f aca="false">((H1379 / 800) / (IF(ISBLANK(S1379), 100, IF(ISNA(VLOOKUP(S1379, Lives!$A$2:$C$35, 2, 0)), S1379, VLOOKUP(S1379, Lives!$A$2:$C$35, 2, 0))) * 12) + (IF(ISBLANK(Q1379), 0, IF(ISNA(VLOOKUP(Q1379, Wages!$A$2:$C$17, 2, 0)), Q1379, VLOOKUP(Q1379, Wages!$A$2:$C$17, 2, 0))) * IF(ISBLANK(N1379), 0, IF(ISNA(VLOOKUP(N1379, Crews!$A$2:$C$28, 2, 0)), N1379, VLOOKUP(N1379, Crews!$A$2:$C$28, 2, 0))))) * 400</f>
        <v>28.64583333</v>
      </c>
      <c r="K1379" s="1"/>
      <c r="L1379" s="1" t="s">
        <v>2745</v>
      </c>
      <c r="M1379" s="1" t="n">
        <v>6</v>
      </c>
      <c r="N1379" s="1"/>
      <c r="O1379" s="1"/>
      <c r="P1379" s="1"/>
      <c r="Q1379" s="1"/>
      <c r="R1379" s="1" t="s">
        <v>829</v>
      </c>
      <c r="S1379" s="1" t="s">
        <v>829</v>
      </c>
      <c r="T1379" s="1"/>
    </row>
    <row r="1380" customFormat="false" ht="15" hidden="false" customHeight="true" outlineLevel="0" collapsed="false">
      <c r="A1380" s="1" t="s">
        <v>2752</v>
      </c>
      <c r="B1380" s="1" t="n">
        <v>1924</v>
      </c>
      <c r="C1380" s="1" t="n">
        <v>2</v>
      </c>
      <c r="D1380" s="1" t="s">
        <v>21</v>
      </c>
      <c r="E1380" s="1"/>
      <c r="F1380" s="1"/>
      <c r="G1380" s="1" t="n">
        <v>50</v>
      </c>
      <c r="H1380" s="2" t="n">
        <v>55000</v>
      </c>
      <c r="I1380" s="2" t="n">
        <f aca="false">(((H1380 / 800) / IF(ISBLANK(R1380), 1000000, IF(ISNA(VLOOKUP(R1380, Mileages!$A$2:$C$34, 2, 0)), R1380, VLOOKUP(R1380, Mileages!$A$2:$C$34, 2, 0)))) + (F1380 * IF(ISBLANK(P1380), 1, P1380) * IF(ISBLANK(T1380), 0, IF(ISNA(VLOOKUP(T1380, 'Fuel Costs'!$A$2:$C$42, 2, 0)), T1380, VLOOKUP(T1380, 'Fuel Costs'!$A$2:$C$42, 2, 0))) / IF(ISBLANK(O1380), 1, O1380))) * 100</f>
        <v>0.005729166667</v>
      </c>
      <c r="J1380" s="2" t="n">
        <f aca="false">((H1380 / 800) / (IF(ISBLANK(S1380), 100, IF(ISNA(VLOOKUP(S1380, Lives!$A$2:$C$35, 2, 0)), S1380, VLOOKUP(S1380, Lives!$A$2:$C$35, 2, 0))) * 12) + (IF(ISBLANK(Q1380), 0, IF(ISNA(VLOOKUP(Q1380, Wages!$A$2:$C$17, 2, 0)), Q1380, VLOOKUP(Q1380, Wages!$A$2:$C$17, 2, 0))) * IF(ISBLANK(N1380), 0, IF(ISNA(VLOOKUP(N1380, Crews!$A$2:$C$28, 2, 0)), N1380, VLOOKUP(N1380, Crews!$A$2:$C$28, 2, 0))))) * 400</f>
        <v>28.64583333</v>
      </c>
      <c r="K1380" s="1"/>
      <c r="L1380" s="1" t="s">
        <v>2745</v>
      </c>
      <c r="M1380" s="1" t="n">
        <v>7</v>
      </c>
      <c r="N1380" s="1"/>
      <c r="O1380" s="1"/>
      <c r="P1380" s="1"/>
      <c r="Q1380" s="1"/>
      <c r="R1380" s="1" t="s">
        <v>829</v>
      </c>
      <c r="S1380" s="1" t="s">
        <v>829</v>
      </c>
      <c r="T1380" s="1"/>
    </row>
    <row r="1381" customFormat="false" ht="15" hidden="false" customHeight="true" outlineLevel="0" collapsed="false">
      <c r="A1381" s="1" t="s">
        <v>2753</v>
      </c>
      <c r="B1381" s="1" t="n">
        <v>1924</v>
      </c>
      <c r="C1381" s="1" t="n">
        <v>2</v>
      </c>
      <c r="D1381" s="1" t="s">
        <v>38</v>
      </c>
      <c r="E1381" s="1" t="s">
        <v>274</v>
      </c>
      <c r="F1381" s="1" t="n">
        <v>393</v>
      </c>
      <c r="G1381" s="1" t="n">
        <v>141</v>
      </c>
      <c r="H1381" s="2" t="n">
        <v>7800000</v>
      </c>
      <c r="I1381" s="2" t="n">
        <f aca="false">(((H1381 / 800) / IF(ISBLANK(R1381), 1000000, IF(ISNA(VLOOKUP(R1381, Mileages!$A$2:$C$34, 2, 0)), R1381, VLOOKUP(R1381, Mileages!$A$2:$C$34, 2, 0)))) + (F1381 * IF(ISBLANK(P1381), 1, P1381) * IF(ISBLANK(T1381), 0, IF(ISNA(VLOOKUP(T1381, 'Fuel Costs'!$A$2:$C$42, 2, 0)), T1381, VLOOKUP(T1381, 'Fuel Costs'!$A$2:$C$42, 2, 0))) / IF(ISBLANK(O1381), 1, O1381))) * 100</f>
        <v>225.5464286</v>
      </c>
      <c r="J1381" s="2" t="n">
        <f aca="false">((H1381 / 800) / (IF(ISBLANK(S1381), 100, IF(ISNA(VLOOKUP(S1381, Lives!$A$2:$C$35, 2, 0)), S1381, VLOOKUP(S1381, Lives!$A$2:$C$35, 2, 0))) * 12) + (IF(ISBLANK(Q1381), 0, IF(ISNA(VLOOKUP(Q1381, Wages!$A$2:$C$17, 2, 0)), Q1381, VLOOKUP(Q1381, Wages!$A$2:$C$17, 2, 0))) * IF(ISBLANK(N1381), 0, IF(ISNA(VLOOKUP(N1381, Crews!$A$2:$C$28, 2, 0)), N1381, VLOOKUP(N1381, Crews!$A$2:$C$28, 2, 0))))) * 400</f>
        <v>46500</v>
      </c>
      <c r="K1381" s="3" t="s">
        <v>2754</v>
      </c>
      <c r="L1381" s="1" t="s">
        <v>2755</v>
      </c>
      <c r="M1381" s="1" t="n">
        <v>0</v>
      </c>
      <c r="N1381" s="1" t="s">
        <v>1705</v>
      </c>
      <c r="O1381" s="1" t="n">
        <v>0.7</v>
      </c>
      <c r="P1381" s="1"/>
      <c r="Q1381" s="5" t="s">
        <v>284</v>
      </c>
      <c r="R1381" s="1" t="s">
        <v>677</v>
      </c>
      <c r="S1381" s="1" t="s">
        <v>677</v>
      </c>
      <c r="T1381" s="1" t="s">
        <v>2252</v>
      </c>
    </row>
    <row r="1382" customFormat="false" ht="15" hidden="false" customHeight="true" outlineLevel="0" collapsed="false">
      <c r="A1382" s="1" t="s">
        <v>2756</v>
      </c>
      <c r="B1382" s="1" t="n">
        <v>1924</v>
      </c>
      <c r="C1382" s="1" t="n">
        <v>2</v>
      </c>
      <c r="D1382" s="1" t="s">
        <v>38</v>
      </c>
      <c r="E1382" s="1"/>
      <c r="F1382" s="1" t="n">
        <v>0</v>
      </c>
      <c r="G1382" s="1" t="n">
        <v>141</v>
      </c>
      <c r="H1382" s="2" t="n">
        <v>0</v>
      </c>
      <c r="I1382" s="2" t="n">
        <f aca="false">(((H1382 / 800) / IF(ISBLANK(R1382), 1000000, IF(ISNA(VLOOKUP(R1382, Mileages!$A$2:$C$34, 2, 0)), R1382, VLOOKUP(R1382, Mileages!$A$2:$C$34, 2, 0)))) + (F1382 * IF(ISBLANK(P1382), 1, P1382) * IF(ISBLANK(T1382), 0, IF(ISNA(VLOOKUP(T1382, 'Fuel Costs'!$A$2:$C$42, 2, 0)), T1382, VLOOKUP(T1382, 'Fuel Costs'!$A$2:$C$42, 2, 0))) / IF(ISBLANK(O1382), 1, O1382))) * 100</f>
        <v>0</v>
      </c>
      <c r="J1382" s="2" t="n">
        <f aca="false">((H1382 / 800) / (IF(ISBLANK(S1382), 100, IF(ISNA(VLOOKUP(S1382, Lives!$A$2:$C$35, 2, 0)), S1382, VLOOKUP(S1382, Lives!$A$2:$C$35, 2, 0))) * 12) + (IF(ISBLANK(Q1382), 0, IF(ISNA(VLOOKUP(Q1382, Wages!$A$2:$C$17, 2, 0)), Q1382, VLOOKUP(Q1382, Wages!$A$2:$C$17, 2, 0))) * IF(ISBLANK(N1382), 0, IF(ISNA(VLOOKUP(N1382, Crews!$A$2:$C$28, 2, 0)), N1382, VLOOKUP(N1382, Crews!$A$2:$C$28, 2, 0))))) * 400</f>
        <v>0</v>
      </c>
      <c r="K1382" s="1"/>
      <c r="L1382" s="1" t="s">
        <v>2755</v>
      </c>
      <c r="M1382" s="1" t="n">
        <v>1</v>
      </c>
      <c r="N1382" s="1"/>
      <c r="O1382" s="1"/>
      <c r="P1382" s="1"/>
      <c r="Q1382" s="1"/>
      <c r="R1382" s="1"/>
      <c r="S1382" s="1"/>
      <c r="T1382" s="1"/>
    </row>
    <row r="1383" customFormat="false" ht="15" hidden="false" customHeight="true" outlineLevel="0" collapsed="false">
      <c r="A1383" s="1" t="s">
        <v>2757</v>
      </c>
      <c r="B1383" s="1" t="n">
        <v>1924</v>
      </c>
      <c r="C1383" s="1" t="n">
        <v>2</v>
      </c>
      <c r="D1383" s="1" t="s">
        <v>21</v>
      </c>
      <c r="E1383" s="1" t="s">
        <v>1839</v>
      </c>
      <c r="F1383" s="1" t="n">
        <v>37</v>
      </c>
      <c r="G1383" s="1" t="n">
        <v>34</v>
      </c>
      <c r="H1383" s="2" t="n">
        <v>125000</v>
      </c>
      <c r="I1383" s="2" t="n">
        <f aca="false">(((H1383 / 800) / IF(ISBLANK(R1383), 1000000, IF(ISNA(VLOOKUP(R1383, Mileages!$A$2:$C$34, 2, 0)), R1383, VLOOKUP(R1383, Mileages!$A$2:$C$34, 2, 0)))) + (F1383 * IF(ISBLANK(P1383), 1, P1383) * IF(ISBLANK(T1383), 0, IF(ISNA(VLOOKUP(T1383, 'Fuel Costs'!$A$2:$C$42, 2, 0)), T1383, VLOOKUP(T1383, 'Fuel Costs'!$A$2:$C$42, 2, 0))) / IF(ISBLANK(O1383), 1, O1383))) * 100</f>
        <v>37.03125</v>
      </c>
      <c r="J1383" s="2" t="n">
        <f aca="false">((H1383 / 800) / (IF(ISBLANK(S1383), 100, IF(ISNA(VLOOKUP(S1383, Lives!$A$2:$C$35, 2, 0)), S1383, VLOOKUP(S1383, Lives!$A$2:$C$35, 2, 0))) * 12) + (IF(ISBLANK(Q1383), 0, IF(ISNA(VLOOKUP(Q1383, Wages!$A$2:$C$17, 2, 0)), Q1383, VLOOKUP(Q1383, Wages!$A$2:$C$17, 2, 0))) * IF(ISBLANK(N1383), 0, IF(ISNA(VLOOKUP(N1383, Crews!$A$2:$C$28, 2, 0)), N1383, VLOOKUP(N1383, Crews!$A$2:$C$28, 2, 0))))) * 400</f>
        <v>8065.104167</v>
      </c>
      <c r="K1383" s="1"/>
      <c r="L1383" s="1" t="s">
        <v>2758</v>
      </c>
      <c r="M1383" s="1" t="n">
        <v>0</v>
      </c>
      <c r="N1383" s="1" t="s">
        <v>25</v>
      </c>
      <c r="O1383" s="1" t="n">
        <v>0.6</v>
      </c>
      <c r="P1383" s="1"/>
      <c r="Q1383" s="1" t="s">
        <v>1815</v>
      </c>
      <c r="R1383" s="1" t="s">
        <v>1842</v>
      </c>
      <c r="S1383" s="1" t="s">
        <v>1843</v>
      </c>
      <c r="T1383" s="1" t="s">
        <v>2534</v>
      </c>
    </row>
    <row r="1384" customFormat="false" ht="15" hidden="false" customHeight="true" outlineLevel="0" collapsed="false">
      <c r="A1384" s="1" t="s">
        <v>2759</v>
      </c>
      <c r="B1384" s="1" t="n">
        <v>1924</v>
      </c>
      <c r="C1384" s="1" t="n">
        <v>2</v>
      </c>
      <c r="D1384" s="1" t="s">
        <v>21</v>
      </c>
      <c r="E1384" s="1" t="s">
        <v>1839</v>
      </c>
      <c r="F1384" s="1" t="n">
        <v>37</v>
      </c>
      <c r="G1384" s="1" t="n">
        <v>34</v>
      </c>
      <c r="H1384" s="2" t="n">
        <v>125000</v>
      </c>
      <c r="I1384" s="2" t="n">
        <f aca="false">(((H1384 / 800) / IF(ISBLANK(R1384), 1000000, IF(ISNA(VLOOKUP(R1384, Mileages!$A$2:$C$34, 2, 0)), R1384, VLOOKUP(R1384, Mileages!$A$2:$C$34, 2, 0)))) + (F1384 * IF(ISBLANK(P1384), 1, P1384) * IF(ISBLANK(T1384), 0, IF(ISNA(VLOOKUP(T1384, 'Fuel Costs'!$A$2:$C$42, 2, 0)), T1384, VLOOKUP(T1384, 'Fuel Costs'!$A$2:$C$42, 2, 0))) / IF(ISBLANK(O1384), 1, O1384))) * 100</f>
        <v>37.03125</v>
      </c>
      <c r="J1384" s="2" t="n">
        <f aca="false">((H1384 / 800) / (IF(ISBLANK(S1384), 100, IF(ISNA(VLOOKUP(S1384, Lives!$A$2:$C$35, 2, 0)), S1384, VLOOKUP(S1384, Lives!$A$2:$C$35, 2, 0))) * 12) + (IF(ISBLANK(Q1384), 0, IF(ISNA(VLOOKUP(Q1384, Wages!$A$2:$C$17, 2, 0)), Q1384, VLOOKUP(Q1384, Wages!$A$2:$C$17, 2, 0))) * IF(ISBLANK(N1384), 0, IF(ISNA(VLOOKUP(N1384, Crews!$A$2:$C$28, 2, 0)), N1384, VLOOKUP(N1384, Crews!$A$2:$C$28, 2, 0))))) * 400</f>
        <v>8065.104167</v>
      </c>
      <c r="K1384" s="1"/>
      <c r="L1384" s="1" t="s">
        <v>2758</v>
      </c>
      <c r="M1384" s="1" t="n">
        <v>1</v>
      </c>
      <c r="N1384" s="1" t="s">
        <v>25</v>
      </c>
      <c r="O1384" s="1" t="n">
        <v>0.6</v>
      </c>
      <c r="P1384" s="1"/>
      <c r="Q1384" s="1" t="s">
        <v>1815</v>
      </c>
      <c r="R1384" s="1" t="s">
        <v>1842</v>
      </c>
      <c r="S1384" s="1" t="s">
        <v>1843</v>
      </c>
      <c r="T1384" s="1" t="s">
        <v>2534</v>
      </c>
    </row>
    <row r="1385" customFormat="false" ht="15" hidden="false" customHeight="true" outlineLevel="0" collapsed="false">
      <c r="A1385" s="1" t="s">
        <v>2760</v>
      </c>
      <c r="B1385" s="1" t="n">
        <v>1924</v>
      </c>
      <c r="C1385" s="1" t="n">
        <v>2</v>
      </c>
      <c r="D1385" s="1" t="s">
        <v>21</v>
      </c>
      <c r="E1385" s="1" t="s">
        <v>1839</v>
      </c>
      <c r="F1385" s="1" t="n">
        <v>37</v>
      </c>
      <c r="G1385" s="1" t="n">
        <v>34</v>
      </c>
      <c r="H1385" s="2" t="n">
        <v>125000</v>
      </c>
      <c r="I1385" s="2" t="n">
        <f aca="false">(((H1385 / 800) / IF(ISBLANK(R1385), 1000000, IF(ISNA(VLOOKUP(R1385, Mileages!$A$2:$C$34, 2, 0)), R1385, VLOOKUP(R1385, Mileages!$A$2:$C$34, 2, 0)))) + (F1385 * IF(ISBLANK(P1385), 1, P1385) * IF(ISBLANK(T1385), 0, IF(ISNA(VLOOKUP(T1385, 'Fuel Costs'!$A$2:$C$42, 2, 0)), T1385, VLOOKUP(T1385, 'Fuel Costs'!$A$2:$C$42, 2, 0))) / IF(ISBLANK(O1385), 1, O1385))) * 100</f>
        <v>37.03125</v>
      </c>
      <c r="J1385" s="2" t="n">
        <f aca="false">((H1385 / 800) / (IF(ISBLANK(S1385), 100, IF(ISNA(VLOOKUP(S1385, Lives!$A$2:$C$35, 2, 0)), S1385, VLOOKUP(S1385, Lives!$A$2:$C$35, 2, 0))) * 12) + (IF(ISBLANK(Q1385), 0, IF(ISNA(VLOOKUP(Q1385, Wages!$A$2:$C$17, 2, 0)), Q1385, VLOOKUP(Q1385, Wages!$A$2:$C$17, 2, 0))) * IF(ISBLANK(N1385), 0, IF(ISNA(VLOOKUP(N1385, Crews!$A$2:$C$28, 2, 0)), N1385, VLOOKUP(N1385, Crews!$A$2:$C$28, 2, 0))))) * 400</f>
        <v>8065.104167</v>
      </c>
      <c r="K1385" s="1"/>
      <c r="L1385" s="1" t="s">
        <v>2758</v>
      </c>
      <c r="M1385" s="1" t="n">
        <v>2</v>
      </c>
      <c r="N1385" s="1" t="s">
        <v>25</v>
      </c>
      <c r="O1385" s="1" t="n">
        <v>0.6</v>
      </c>
      <c r="P1385" s="1"/>
      <c r="Q1385" s="1" t="s">
        <v>1815</v>
      </c>
      <c r="R1385" s="1" t="s">
        <v>1842</v>
      </c>
      <c r="S1385" s="1" t="s">
        <v>1843</v>
      </c>
      <c r="T1385" s="1" t="s">
        <v>2534</v>
      </c>
    </row>
    <row r="1386" customFormat="false" ht="15" hidden="false" customHeight="true" outlineLevel="0" collapsed="false">
      <c r="A1386" s="1" t="s">
        <v>2761</v>
      </c>
      <c r="B1386" s="1" t="n">
        <v>1924</v>
      </c>
      <c r="C1386" s="1" t="n">
        <v>2</v>
      </c>
      <c r="D1386" s="1" t="s">
        <v>21</v>
      </c>
      <c r="E1386" s="1" t="s">
        <v>1839</v>
      </c>
      <c r="F1386" s="1" t="n">
        <v>37</v>
      </c>
      <c r="G1386" s="1" t="n">
        <v>34</v>
      </c>
      <c r="H1386" s="2" t="n">
        <v>125000</v>
      </c>
      <c r="I1386" s="2" t="n">
        <f aca="false">(((H1386 / 800) / IF(ISBLANK(R1386), 1000000, IF(ISNA(VLOOKUP(R1386, Mileages!$A$2:$C$34, 2, 0)), R1386, VLOOKUP(R1386, Mileages!$A$2:$C$34, 2, 0)))) + (F1386 * IF(ISBLANK(P1386), 1, P1386) * IF(ISBLANK(T1386), 0, IF(ISNA(VLOOKUP(T1386, 'Fuel Costs'!$A$2:$C$42, 2, 0)), T1386, VLOOKUP(T1386, 'Fuel Costs'!$A$2:$C$42, 2, 0))) / IF(ISBLANK(O1386), 1, O1386))) * 100</f>
        <v>37.03125</v>
      </c>
      <c r="J1386" s="2" t="n">
        <f aca="false">((H1386 / 800) / (IF(ISBLANK(S1386), 100, IF(ISNA(VLOOKUP(S1386, Lives!$A$2:$C$35, 2, 0)), S1386, VLOOKUP(S1386, Lives!$A$2:$C$35, 2, 0))) * 12) + (IF(ISBLANK(Q1386), 0, IF(ISNA(VLOOKUP(Q1386, Wages!$A$2:$C$17, 2, 0)), Q1386, VLOOKUP(Q1386, Wages!$A$2:$C$17, 2, 0))) * IF(ISBLANK(N1386), 0, IF(ISNA(VLOOKUP(N1386, Crews!$A$2:$C$28, 2, 0)), N1386, VLOOKUP(N1386, Crews!$A$2:$C$28, 2, 0))))) * 400</f>
        <v>8065.104167</v>
      </c>
      <c r="K1386" s="1"/>
      <c r="L1386" s="1" t="s">
        <v>2758</v>
      </c>
      <c r="M1386" s="1" t="n">
        <v>3</v>
      </c>
      <c r="N1386" s="1" t="s">
        <v>25</v>
      </c>
      <c r="O1386" s="1" t="n">
        <v>0.6</v>
      </c>
      <c r="P1386" s="1"/>
      <c r="Q1386" s="1" t="s">
        <v>1815</v>
      </c>
      <c r="R1386" s="1" t="s">
        <v>1842</v>
      </c>
      <c r="S1386" s="1" t="s">
        <v>1843</v>
      </c>
      <c r="T1386" s="1" t="s">
        <v>2534</v>
      </c>
    </row>
    <row r="1387" customFormat="false" ht="15" hidden="false" customHeight="true" outlineLevel="0" collapsed="false">
      <c r="A1387" s="1" t="s">
        <v>2762</v>
      </c>
      <c r="B1387" s="1" t="n">
        <v>1924</v>
      </c>
      <c r="C1387" s="1" t="n">
        <v>2</v>
      </c>
      <c r="D1387" s="1" t="s">
        <v>21</v>
      </c>
      <c r="E1387" s="1" t="s">
        <v>1839</v>
      </c>
      <c r="F1387" s="1" t="n">
        <v>37</v>
      </c>
      <c r="G1387" s="1" t="n">
        <v>34</v>
      </c>
      <c r="H1387" s="2" t="n">
        <v>125000</v>
      </c>
      <c r="I1387" s="2" t="n">
        <f aca="false">(((H1387 / 800) / IF(ISBLANK(R1387), 1000000, IF(ISNA(VLOOKUP(R1387, Mileages!$A$2:$C$34, 2, 0)), R1387, VLOOKUP(R1387, Mileages!$A$2:$C$34, 2, 0)))) + (F1387 * IF(ISBLANK(P1387), 1, P1387) * IF(ISBLANK(T1387), 0, IF(ISNA(VLOOKUP(T1387, 'Fuel Costs'!$A$2:$C$42, 2, 0)), T1387, VLOOKUP(T1387, 'Fuel Costs'!$A$2:$C$42, 2, 0))) / IF(ISBLANK(O1387), 1, O1387))) * 100</f>
        <v>37.03125</v>
      </c>
      <c r="J1387" s="2" t="n">
        <f aca="false">((H1387 / 800) / (IF(ISBLANK(S1387), 100, IF(ISNA(VLOOKUP(S1387, Lives!$A$2:$C$35, 2, 0)), S1387, VLOOKUP(S1387, Lives!$A$2:$C$35, 2, 0))) * 12) + (IF(ISBLANK(Q1387), 0, IF(ISNA(VLOOKUP(Q1387, Wages!$A$2:$C$17, 2, 0)), Q1387, VLOOKUP(Q1387, Wages!$A$2:$C$17, 2, 0))) * IF(ISBLANK(N1387), 0, IF(ISNA(VLOOKUP(N1387, Crews!$A$2:$C$28, 2, 0)), N1387, VLOOKUP(N1387, Crews!$A$2:$C$28, 2, 0))))) * 400</f>
        <v>8065.104167</v>
      </c>
      <c r="K1387" s="1"/>
      <c r="L1387" s="1" t="s">
        <v>2758</v>
      </c>
      <c r="M1387" s="1" t="n">
        <v>4</v>
      </c>
      <c r="N1387" s="1" t="s">
        <v>25</v>
      </c>
      <c r="O1387" s="1" t="n">
        <v>0.6</v>
      </c>
      <c r="P1387" s="1"/>
      <c r="Q1387" s="1" t="s">
        <v>1815</v>
      </c>
      <c r="R1387" s="1" t="s">
        <v>1842</v>
      </c>
      <c r="S1387" s="1" t="s">
        <v>1843</v>
      </c>
      <c r="T1387" s="1" t="s">
        <v>2534</v>
      </c>
    </row>
    <row r="1388" customFormat="false" ht="15" hidden="false" customHeight="true" outlineLevel="0" collapsed="false">
      <c r="A1388" s="1" t="s">
        <v>2763</v>
      </c>
      <c r="B1388" s="1" t="n">
        <v>1924</v>
      </c>
      <c r="C1388" s="1" t="n">
        <v>2</v>
      </c>
      <c r="D1388" s="1" t="s">
        <v>21</v>
      </c>
      <c r="E1388" s="1" t="s">
        <v>1839</v>
      </c>
      <c r="F1388" s="1" t="n">
        <v>37</v>
      </c>
      <c r="G1388" s="1" t="n">
        <v>34</v>
      </c>
      <c r="H1388" s="2" t="n">
        <v>125000</v>
      </c>
      <c r="I1388" s="2" t="n">
        <f aca="false">(((H1388 / 800) / IF(ISBLANK(R1388), 1000000, IF(ISNA(VLOOKUP(R1388, Mileages!$A$2:$C$34, 2, 0)), R1388, VLOOKUP(R1388, Mileages!$A$2:$C$34, 2, 0)))) + (F1388 * IF(ISBLANK(P1388), 1, P1388) * IF(ISBLANK(T1388), 0, IF(ISNA(VLOOKUP(T1388, 'Fuel Costs'!$A$2:$C$42, 2, 0)), T1388, VLOOKUP(T1388, 'Fuel Costs'!$A$2:$C$42, 2, 0))) / IF(ISBLANK(O1388), 1, O1388))) * 100</f>
        <v>37.03125</v>
      </c>
      <c r="J1388" s="2" t="n">
        <f aca="false">((H1388 / 800) / (IF(ISBLANK(S1388), 100, IF(ISNA(VLOOKUP(S1388, Lives!$A$2:$C$35, 2, 0)), S1388, VLOOKUP(S1388, Lives!$A$2:$C$35, 2, 0))) * 12) + (IF(ISBLANK(Q1388), 0, IF(ISNA(VLOOKUP(Q1388, Wages!$A$2:$C$17, 2, 0)), Q1388, VLOOKUP(Q1388, Wages!$A$2:$C$17, 2, 0))) * IF(ISBLANK(N1388), 0, IF(ISNA(VLOOKUP(N1388, Crews!$A$2:$C$28, 2, 0)), N1388, VLOOKUP(N1388, Crews!$A$2:$C$28, 2, 0))))) * 400</f>
        <v>8065.104167</v>
      </c>
      <c r="K1388" s="1"/>
      <c r="L1388" s="1" t="s">
        <v>2758</v>
      </c>
      <c r="M1388" s="1" t="n">
        <v>5</v>
      </c>
      <c r="N1388" s="1" t="s">
        <v>25</v>
      </c>
      <c r="O1388" s="1" t="n">
        <v>0.6</v>
      </c>
      <c r="P1388" s="1"/>
      <c r="Q1388" s="1" t="s">
        <v>1815</v>
      </c>
      <c r="R1388" s="1" t="s">
        <v>1842</v>
      </c>
      <c r="S1388" s="1" t="s">
        <v>1843</v>
      </c>
      <c r="T1388" s="1" t="s">
        <v>2534</v>
      </c>
    </row>
    <row r="1389" customFormat="false" ht="15" hidden="false" customHeight="true" outlineLevel="0" collapsed="false">
      <c r="A1389" s="1" t="s">
        <v>2764</v>
      </c>
      <c r="B1389" s="1" t="n">
        <v>1924</v>
      </c>
      <c r="C1389" s="1" t="n">
        <v>2</v>
      </c>
      <c r="D1389" s="1" t="s">
        <v>21</v>
      </c>
      <c r="E1389" s="1" t="s">
        <v>1839</v>
      </c>
      <c r="F1389" s="1" t="n">
        <v>37</v>
      </c>
      <c r="G1389" s="1" t="n">
        <v>34</v>
      </c>
      <c r="H1389" s="2" t="n">
        <v>125000</v>
      </c>
      <c r="I1389" s="2" t="n">
        <f aca="false">(((H1389 / 800) / IF(ISBLANK(R1389), 1000000, IF(ISNA(VLOOKUP(R1389, Mileages!$A$2:$C$34, 2, 0)), R1389, VLOOKUP(R1389, Mileages!$A$2:$C$34, 2, 0)))) + (F1389 * IF(ISBLANK(P1389), 1, P1389) * IF(ISBLANK(T1389), 0, IF(ISNA(VLOOKUP(T1389, 'Fuel Costs'!$A$2:$C$42, 2, 0)), T1389, VLOOKUP(T1389, 'Fuel Costs'!$A$2:$C$42, 2, 0))) / IF(ISBLANK(O1389), 1, O1389))) * 100</f>
        <v>37.03125</v>
      </c>
      <c r="J1389" s="2" t="n">
        <f aca="false">((H1389 / 800) / (IF(ISBLANK(S1389), 100, IF(ISNA(VLOOKUP(S1389, Lives!$A$2:$C$35, 2, 0)), S1389, VLOOKUP(S1389, Lives!$A$2:$C$35, 2, 0))) * 12) + (IF(ISBLANK(Q1389), 0, IF(ISNA(VLOOKUP(Q1389, Wages!$A$2:$C$17, 2, 0)), Q1389, VLOOKUP(Q1389, Wages!$A$2:$C$17, 2, 0))) * IF(ISBLANK(N1389), 0, IF(ISNA(VLOOKUP(N1389, Crews!$A$2:$C$28, 2, 0)), N1389, VLOOKUP(N1389, Crews!$A$2:$C$28, 2, 0))))) * 400</f>
        <v>8065.104167</v>
      </c>
      <c r="K1389" s="1"/>
      <c r="L1389" s="1" t="s">
        <v>2758</v>
      </c>
      <c r="M1389" s="1" t="n">
        <v>6</v>
      </c>
      <c r="N1389" s="1" t="s">
        <v>25</v>
      </c>
      <c r="O1389" s="1" t="n">
        <v>0.6</v>
      </c>
      <c r="P1389" s="1"/>
      <c r="Q1389" s="1" t="s">
        <v>1815</v>
      </c>
      <c r="R1389" s="1" t="s">
        <v>1842</v>
      </c>
      <c r="S1389" s="1" t="s">
        <v>1843</v>
      </c>
      <c r="T1389" s="1" t="s">
        <v>2534</v>
      </c>
    </row>
    <row r="1390" customFormat="false" ht="15" hidden="false" customHeight="true" outlineLevel="0" collapsed="false">
      <c r="A1390" s="1" t="s">
        <v>2765</v>
      </c>
      <c r="B1390" s="1" t="n">
        <v>1924</v>
      </c>
      <c r="C1390" s="1" t="n">
        <v>4</v>
      </c>
      <c r="D1390" s="1" t="s">
        <v>38</v>
      </c>
      <c r="E1390" s="1"/>
      <c r="F1390" s="1"/>
      <c r="G1390" s="1" t="n">
        <v>140</v>
      </c>
      <c r="H1390" s="2" t="n">
        <v>500000</v>
      </c>
      <c r="I1390" s="2" t="n">
        <f aca="false">(((H1390 / 800) / IF(ISBLANK(R1390), 1000000, IF(ISNA(VLOOKUP(R1390, Mileages!$A$2:$C$34, 2, 0)), R1390, VLOOKUP(R1390, Mileages!$A$2:$C$34, 2, 0)))) + (F1390 * IF(ISBLANK(P1390), 1, P1390) * IF(ISBLANK(T1390), 0, IF(ISNA(VLOOKUP(T1390, 'Fuel Costs'!$A$2:$C$42, 2, 0)), T1390, VLOOKUP(T1390, 'Fuel Costs'!$A$2:$C$42, 2, 0))) / IF(ISBLANK(O1390), 1, O1390))) * 100</f>
        <v>0.05208333333</v>
      </c>
      <c r="J1390" s="2" t="n">
        <f aca="false">((H1390 / 800) / (IF(ISBLANK(S1390), 100, IF(ISNA(VLOOKUP(S1390, Lives!$A$2:$C$35, 2, 0)), S1390, VLOOKUP(S1390, Lives!$A$2:$C$35, 2, 0))) * 12) + (IF(ISBLANK(Q1390), 0, IF(ISNA(VLOOKUP(Q1390, Wages!$A$2:$C$17, 2, 0)), Q1390, VLOOKUP(Q1390, Wages!$A$2:$C$17, 2, 0))) * IF(ISBLANK(N1390), 0, IF(ISNA(VLOOKUP(N1390, Crews!$A$2:$C$28, 2, 0)), N1390, VLOOKUP(N1390, Crews!$A$2:$C$28, 2, 0))))) * 400</f>
        <v>5395.238095</v>
      </c>
      <c r="K1390" s="1" t="s">
        <v>2676</v>
      </c>
      <c r="L1390" s="1" t="s">
        <v>2766</v>
      </c>
      <c r="M1390" s="1" t="n">
        <v>0</v>
      </c>
      <c r="N1390" s="1" t="s">
        <v>25</v>
      </c>
      <c r="O1390" s="1"/>
      <c r="P1390" s="1"/>
      <c r="Q1390" s="1" t="s">
        <v>378</v>
      </c>
      <c r="R1390" s="1" t="s">
        <v>689</v>
      </c>
      <c r="S1390" s="1" t="s">
        <v>856</v>
      </c>
      <c r="T1390" s="1"/>
    </row>
    <row r="1391" customFormat="false" ht="15" hidden="false" customHeight="true" outlineLevel="0" collapsed="false">
      <c r="A1391" s="1" t="s">
        <v>2767</v>
      </c>
      <c r="B1391" s="1" t="n">
        <v>1924</v>
      </c>
      <c r="C1391" s="1" t="n">
        <v>4</v>
      </c>
      <c r="D1391" s="1" t="s">
        <v>38</v>
      </c>
      <c r="E1391" s="1"/>
      <c r="F1391" s="1"/>
      <c r="G1391" s="1" t="n">
        <v>140</v>
      </c>
      <c r="H1391" s="2" t="n">
        <v>505000</v>
      </c>
      <c r="I1391" s="2" t="n">
        <f aca="false">(((H1391 / 800) / IF(ISBLANK(R1391), 1000000, IF(ISNA(VLOOKUP(R1391, Mileages!$A$2:$C$34, 2, 0)), R1391, VLOOKUP(R1391, Mileages!$A$2:$C$34, 2, 0)))) + (F1391 * IF(ISBLANK(P1391), 1, P1391) * IF(ISBLANK(T1391), 0, IF(ISNA(VLOOKUP(T1391, 'Fuel Costs'!$A$2:$C$42, 2, 0)), T1391, VLOOKUP(T1391, 'Fuel Costs'!$A$2:$C$42, 2, 0))) / IF(ISBLANK(O1391), 1, O1391))) * 100</f>
        <v>0.05260416667</v>
      </c>
      <c r="J1391" s="2" t="n">
        <f aca="false">((H1391 / 800) / (IF(ISBLANK(S1391), 100, IF(ISNA(VLOOKUP(S1391, Lives!$A$2:$C$35, 2, 0)), S1391, VLOOKUP(S1391, Lives!$A$2:$C$35, 2, 0))) * 12) + (IF(ISBLANK(Q1391), 0, IF(ISNA(VLOOKUP(Q1391, Wages!$A$2:$C$17, 2, 0)), Q1391, VLOOKUP(Q1391, Wages!$A$2:$C$17, 2, 0))) * IF(ISBLANK(N1391), 0, IF(ISNA(VLOOKUP(N1391, Crews!$A$2:$C$28, 2, 0)), N1391, VLOOKUP(N1391, Crews!$A$2:$C$28, 2, 0))))) * 400</f>
        <v>601.1904762</v>
      </c>
      <c r="K1391" s="1" t="s">
        <v>2676</v>
      </c>
      <c r="L1391" s="1" t="s">
        <v>2766</v>
      </c>
      <c r="M1391" s="1" t="n">
        <v>1</v>
      </c>
      <c r="N1391" s="1"/>
      <c r="O1391" s="1"/>
      <c r="P1391" s="1"/>
      <c r="Q1391" s="1"/>
      <c r="R1391" s="1" t="s">
        <v>689</v>
      </c>
      <c r="S1391" s="1" t="s">
        <v>856</v>
      </c>
      <c r="T1391" s="1"/>
    </row>
    <row r="1392" customFormat="false" ht="15" hidden="false" customHeight="true" outlineLevel="0" collapsed="false">
      <c r="A1392" s="1" t="s">
        <v>2768</v>
      </c>
      <c r="B1392" s="1" t="n">
        <v>1924</v>
      </c>
      <c r="C1392" s="1" t="n">
        <v>4</v>
      </c>
      <c r="D1392" s="1" t="s">
        <v>38</v>
      </c>
      <c r="E1392" s="1"/>
      <c r="F1392" s="1"/>
      <c r="G1392" s="1" t="n">
        <v>140</v>
      </c>
      <c r="H1392" s="2" t="n">
        <v>505000</v>
      </c>
      <c r="I1392" s="2" t="n">
        <f aca="false">(((H1392 / 800) / IF(ISBLANK(R1392), 1000000, IF(ISNA(VLOOKUP(R1392, Mileages!$A$2:$C$34, 2, 0)), R1392, VLOOKUP(R1392, Mileages!$A$2:$C$34, 2, 0)))) + (F1392 * IF(ISBLANK(P1392), 1, P1392) * IF(ISBLANK(T1392), 0, IF(ISNA(VLOOKUP(T1392, 'Fuel Costs'!$A$2:$C$42, 2, 0)), T1392, VLOOKUP(T1392, 'Fuel Costs'!$A$2:$C$42, 2, 0))) / IF(ISBLANK(O1392), 1, O1392))) * 100</f>
        <v>0.05260416667</v>
      </c>
      <c r="J1392" s="2" t="n">
        <f aca="false">((H1392 / 800) / (IF(ISBLANK(S1392), 100, IF(ISNA(VLOOKUP(S1392, Lives!$A$2:$C$35, 2, 0)), S1392, VLOOKUP(S1392, Lives!$A$2:$C$35, 2, 0))) * 12) + (IF(ISBLANK(Q1392), 0, IF(ISNA(VLOOKUP(Q1392, Wages!$A$2:$C$17, 2, 0)), Q1392, VLOOKUP(Q1392, Wages!$A$2:$C$17, 2, 0))) * IF(ISBLANK(N1392), 0, IF(ISNA(VLOOKUP(N1392, Crews!$A$2:$C$28, 2, 0)), N1392, VLOOKUP(N1392, Crews!$A$2:$C$28, 2, 0))))) * 400</f>
        <v>601.1904762</v>
      </c>
      <c r="K1392" s="1" t="s">
        <v>2676</v>
      </c>
      <c r="L1392" s="1" t="s">
        <v>2766</v>
      </c>
      <c r="M1392" s="1" t="n">
        <v>2</v>
      </c>
      <c r="N1392" s="1"/>
      <c r="O1392" s="1"/>
      <c r="P1392" s="1"/>
      <c r="Q1392" s="1"/>
      <c r="R1392" s="1" t="s">
        <v>689</v>
      </c>
      <c r="S1392" s="1" t="s">
        <v>856</v>
      </c>
      <c r="T1392" s="1"/>
    </row>
    <row r="1393" customFormat="false" ht="15" hidden="false" customHeight="true" outlineLevel="0" collapsed="false">
      <c r="A1393" s="1" t="s">
        <v>2769</v>
      </c>
      <c r="B1393" s="1" t="n">
        <v>1924</v>
      </c>
      <c r="C1393" s="1" t="n">
        <v>4</v>
      </c>
      <c r="D1393" s="1" t="s">
        <v>38</v>
      </c>
      <c r="E1393" s="1"/>
      <c r="F1393" s="1"/>
      <c r="G1393" s="1" t="n">
        <v>160</v>
      </c>
      <c r="H1393" s="2" t="n">
        <v>561200</v>
      </c>
      <c r="I1393" s="2" t="n">
        <f aca="false">(((H1393 / 800) / IF(ISBLANK(R1393), 1000000, IF(ISNA(VLOOKUP(R1393, Mileages!$A$2:$C$34, 2, 0)), R1393, VLOOKUP(R1393, Mileages!$A$2:$C$34, 2, 0)))) + (F1393 * IF(ISBLANK(P1393), 1, P1393) * IF(ISBLANK(T1393), 0, IF(ISNA(VLOOKUP(T1393, 'Fuel Costs'!$A$2:$C$42, 2, 0)), T1393, VLOOKUP(T1393, 'Fuel Costs'!$A$2:$C$42, 2, 0))) / IF(ISBLANK(O1393), 1, O1393))) * 100</f>
        <v>0.05845833333</v>
      </c>
      <c r="J1393" s="2" t="n">
        <f aca="false">((H1393 / 800) / (IF(ISBLANK(S1393), 100, IF(ISNA(VLOOKUP(S1393, Lives!$A$2:$C$35, 2, 0)), S1393, VLOOKUP(S1393, Lives!$A$2:$C$35, 2, 0))) * 12) + (IF(ISBLANK(Q1393), 0, IF(ISNA(VLOOKUP(Q1393, Wages!$A$2:$C$17, 2, 0)), Q1393, VLOOKUP(Q1393, Wages!$A$2:$C$17, 2, 0))) * IF(ISBLANK(N1393), 0, IF(ISNA(VLOOKUP(N1393, Crews!$A$2:$C$28, 2, 0)), N1393, VLOOKUP(N1393, Crews!$A$2:$C$28, 2, 0))))) * 400</f>
        <v>668.0952381</v>
      </c>
      <c r="K1393" s="1" t="s">
        <v>2676</v>
      </c>
      <c r="L1393" s="1" t="s">
        <v>2770</v>
      </c>
      <c r="M1393" s="1" t="n">
        <v>0</v>
      </c>
      <c r="N1393" s="1"/>
      <c r="O1393" s="1"/>
      <c r="P1393" s="1"/>
      <c r="Q1393" s="1"/>
      <c r="R1393" s="1" t="s">
        <v>689</v>
      </c>
      <c r="S1393" s="1" t="s">
        <v>856</v>
      </c>
      <c r="T1393" s="1"/>
    </row>
    <row r="1394" customFormat="false" ht="15" hidden="false" customHeight="true" outlineLevel="0" collapsed="false">
      <c r="A1394" s="1" t="s">
        <v>2771</v>
      </c>
      <c r="B1394" s="1" t="n">
        <v>1924</v>
      </c>
      <c r="C1394" s="1" t="n">
        <v>4</v>
      </c>
      <c r="D1394" s="1" t="s">
        <v>38</v>
      </c>
      <c r="E1394" s="1"/>
      <c r="F1394" s="1"/>
      <c r="G1394" s="1" t="n">
        <v>160</v>
      </c>
      <c r="H1394" s="2" t="n">
        <v>500000</v>
      </c>
      <c r="I1394" s="2" t="n">
        <f aca="false">(((H1394 / 800) / IF(ISBLANK(R1394), 1000000, IF(ISNA(VLOOKUP(R1394, Mileages!$A$2:$C$34, 2, 0)), R1394, VLOOKUP(R1394, Mileages!$A$2:$C$34, 2, 0)))) + (F1394 * IF(ISBLANK(P1394), 1, P1394) * IF(ISBLANK(T1394), 0, IF(ISNA(VLOOKUP(T1394, 'Fuel Costs'!$A$2:$C$42, 2, 0)), T1394, VLOOKUP(T1394, 'Fuel Costs'!$A$2:$C$42, 2, 0))) / IF(ISBLANK(O1394), 1, O1394))) * 100</f>
        <v>0.05208333333</v>
      </c>
      <c r="J1394" s="2" t="n">
        <f aca="false">((H1394 / 800) / (IF(ISBLANK(S1394), 100, IF(ISNA(VLOOKUP(S1394, Lives!$A$2:$C$35, 2, 0)), S1394, VLOOKUP(S1394, Lives!$A$2:$C$35, 2, 0))) * 12) + (IF(ISBLANK(Q1394), 0, IF(ISNA(VLOOKUP(Q1394, Wages!$A$2:$C$17, 2, 0)), Q1394, VLOOKUP(Q1394, Wages!$A$2:$C$17, 2, 0))) * IF(ISBLANK(N1394), 0, IF(ISNA(VLOOKUP(N1394, Crews!$A$2:$C$28, 2, 0)), N1394, VLOOKUP(N1394, Crews!$A$2:$C$28, 2, 0))))) * 400</f>
        <v>595.2380952</v>
      </c>
      <c r="K1394" s="3" t="s">
        <v>2772</v>
      </c>
      <c r="L1394" s="1" t="s">
        <v>2770</v>
      </c>
      <c r="M1394" s="1" t="n">
        <v>1</v>
      </c>
      <c r="N1394" s="1"/>
      <c r="O1394" s="1"/>
      <c r="P1394" s="1"/>
      <c r="Q1394" s="1"/>
      <c r="R1394" s="1" t="s">
        <v>689</v>
      </c>
      <c r="S1394" s="1" t="s">
        <v>856</v>
      </c>
      <c r="T1394" s="1"/>
    </row>
    <row r="1395" customFormat="false" ht="15" hidden="false" customHeight="true" outlineLevel="0" collapsed="false">
      <c r="A1395" s="1" t="s">
        <v>2773</v>
      </c>
      <c r="B1395" s="1" t="n">
        <v>1924</v>
      </c>
      <c r="C1395" s="1" t="n">
        <v>4</v>
      </c>
      <c r="D1395" s="1" t="s">
        <v>38</v>
      </c>
      <c r="E1395" s="1"/>
      <c r="F1395" s="1"/>
      <c r="G1395" s="1" t="n">
        <v>160</v>
      </c>
      <c r="H1395" s="2" t="n">
        <v>500000</v>
      </c>
      <c r="I1395" s="2" t="n">
        <f aca="false">(((H1395 / 800) / IF(ISBLANK(R1395), 1000000, IF(ISNA(VLOOKUP(R1395, Mileages!$A$2:$C$34, 2, 0)), R1395, VLOOKUP(R1395, Mileages!$A$2:$C$34, 2, 0)))) + (F1395 * IF(ISBLANK(P1395), 1, P1395) * IF(ISBLANK(T1395), 0, IF(ISNA(VLOOKUP(T1395, 'Fuel Costs'!$A$2:$C$42, 2, 0)), T1395, VLOOKUP(T1395, 'Fuel Costs'!$A$2:$C$42, 2, 0))) / IF(ISBLANK(O1395), 1, O1395))) * 100</f>
        <v>0.05208333333</v>
      </c>
      <c r="J1395" s="2" t="n">
        <f aca="false">((H1395 / 800) / (IF(ISBLANK(S1395), 100, IF(ISNA(VLOOKUP(S1395, Lives!$A$2:$C$35, 2, 0)), S1395, VLOOKUP(S1395, Lives!$A$2:$C$35, 2, 0))) * 12) + (IF(ISBLANK(Q1395), 0, IF(ISNA(VLOOKUP(Q1395, Wages!$A$2:$C$17, 2, 0)), Q1395, VLOOKUP(Q1395, Wages!$A$2:$C$17, 2, 0))) * IF(ISBLANK(N1395), 0, IF(ISNA(VLOOKUP(N1395, Crews!$A$2:$C$28, 2, 0)), N1395, VLOOKUP(N1395, Crews!$A$2:$C$28, 2, 0))))) * 400</f>
        <v>5395.238095</v>
      </c>
      <c r="K1395" s="3" t="s">
        <v>2772</v>
      </c>
      <c r="L1395" s="1" t="s">
        <v>2770</v>
      </c>
      <c r="M1395" s="1" t="n">
        <v>2</v>
      </c>
      <c r="N1395" s="1" t="s">
        <v>25</v>
      </c>
      <c r="O1395" s="1"/>
      <c r="P1395" s="1"/>
      <c r="Q1395" s="1" t="s">
        <v>378</v>
      </c>
      <c r="R1395" s="1" t="s">
        <v>689</v>
      </c>
      <c r="S1395" s="1" t="s">
        <v>856</v>
      </c>
      <c r="T1395" s="1"/>
    </row>
    <row r="1396" customFormat="false" ht="15" hidden="false" customHeight="true" outlineLevel="0" collapsed="false">
      <c r="A1396" s="1" t="s">
        <v>2774</v>
      </c>
      <c r="B1396" s="1" t="n">
        <v>1924</v>
      </c>
      <c r="C1396" s="1" t="n">
        <v>4</v>
      </c>
      <c r="D1396" s="1" t="s">
        <v>38</v>
      </c>
      <c r="E1396" s="1"/>
      <c r="F1396" s="1"/>
      <c r="G1396" s="1" t="n">
        <v>160</v>
      </c>
      <c r="H1396" s="2" t="n">
        <v>500000</v>
      </c>
      <c r="I1396" s="2" t="n">
        <f aca="false">(((H1396 / 800) / IF(ISBLANK(R1396), 1000000, IF(ISNA(VLOOKUP(R1396, Mileages!$A$2:$C$34, 2, 0)), R1396, VLOOKUP(R1396, Mileages!$A$2:$C$34, 2, 0)))) + (F1396 * IF(ISBLANK(P1396), 1, P1396) * IF(ISBLANK(T1396), 0, IF(ISNA(VLOOKUP(T1396, 'Fuel Costs'!$A$2:$C$42, 2, 0)), T1396, VLOOKUP(T1396, 'Fuel Costs'!$A$2:$C$42, 2, 0))) / IF(ISBLANK(O1396), 1, O1396))) * 100</f>
        <v>0.05208333333</v>
      </c>
      <c r="J1396" s="2" t="n">
        <f aca="false">((H1396 / 800) / (IF(ISBLANK(S1396), 100, IF(ISNA(VLOOKUP(S1396, Lives!$A$2:$C$35, 2, 0)), S1396, VLOOKUP(S1396, Lives!$A$2:$C$35, 2, 0))) * 12) + (IF(ISBLANK(Q1396), 0, IF(ISNA(VLOOKUP(Q1396, Wages!$A$2:$C$17, 2, 0)), Q1396, VLOOKUP(Q1396, Wages!$A$2:$C$17, 2, 0))) * IF(ISBLANK(N1396), 0, IF(ISNA(VLOOKUP(N1396, Crews!$A$2:$C$28, 2, 0)), N1396, VLOOKUP(N1396, Crews!$A$2:$C$28, 2, 0))))) * 400</f>
        <v>5395.238095</v>
      </c>
      <c r="K1396" s="3" t="s">
        <v>2772</v>
      </c>
      <c r="L1396" s="1" t="s">
        <v>2770</v>
      </c>
      <c r="M1396" s="1" t="n">
        <v>3</v>
      </c>
      <c r="N1396" s="1" t="s">
        <v>25</v>
      </c>
      <c r="O1396" s="1"/>
      <c r="P1396" s="1"/>
      <c r="Q1396" s="1" t="s">
        <v>378</v>
      </c>
      <c r="R1396" s="1" t="s">
        <v>689</v>
      </c>
      <c r="S1396" s="1" t="s">
        <v>856</v>
      </c>
      <c r="T1396" s="1"/>
    </row>
    <row r="1397" customFormat="false" ht="15" hidden="false" customHeight="true" outlineLevel="0" collapsed="false">
      <c r="A1397" s="1" t="s">
        <v>2775</v>
      </c>
      <c r="B1397" s="1" t="n">
        <v>1924</v>
      </c>
      <c r="C1397" s="1" t="n">
        <v>4</v>
      </c>
      <c r="D1397" s="1" t="s">
        <v>38</v>
      </c>
      <c r="E1397" s="1"/>
      <c r="F1397" s="1"/>
      <c r="G1397" s="1" t="n">
        <v>160</v>
      </c>
      <c r="H1397" s="2" t="n">
        <v>561200</v>
      </c>
      <c r="I1397" s="2" t="n">
        <f aca="false">(((H1397 / 800) / IF(ISBLANK(R1397), 1000000, IF(ISNA(VLOOKUP(R1397, Mileages!$A$2:$C$34, 2, 0)), R1397, VLOOKUP(R1397, Mileages!$A$2:$C$34, 2, 0)))) + (F1397 * IF(ISBLANK(P1397), 1, P1397) * IF(ISBLANK(T1397), 0, IF(ISNA(VLOOKUP(T1397, 'Fuel Costs'!$A$2:$C$42, 2, 0)), T1397, VLOOKUP(T1397, 'Fuel Costs'!$A$2:$C$42, 2, 0))) / IF(ISBLANK(O1397), 1, O1397))) * 100</f>
        <v>0.05845833333</v>
      </c>
      <c r="J1397" s="2" t="n">
        <f aca="false">((H1397 / 800) / (IF(ISBLANK(S1397), 100, IF(ISNA(VLOOKUP(S1397, Lives!$A$2:$C$35, 2, 0)), S1397, VLOOKUP(S1397, Lives!$A$2:$C$35, 2, 0))) * 12) + (IF(ISBLANK(Q1397), 0, IF(ISNA(VLOOKUP(Q1397, Wages!$A$2:$C$17, 2, 0)), Q1397, VLOOKUP(Q1397, Wages!$A$2:$C$17, 2, 0))) * IF(ISBLANK(N1397), 0, IF(ISNA(VLOOKUP(N1397, Crews!$A$2:$C$28, 2, 0)), N1397, VLOOKUP(N1397, Crews!$A$2:$C$28, 2, 0))))) * 400</f>
        <v>5468.095238</v>
      </c>
      <c r="K1397" s="1" t="s">
        <v>2676</v>
      </c>
      <c r="L1397" s="1" t="s">
        <v>2770</v>
      </c>
      <c r="M1397" s="1" t="n">
        <v>4</v>
      </c>
      <c r="N1397" s="1" t="s">
        <v>25</v>
      </c>
      <c r="O1397" s="1"/>
      <c r="P1397" s="1"/>
      <c r="Q1397" s="1" t="s">
        <v>378</v>
      </c>
      <c r="R1397" s="1" t="s">
        <v>689</v>
      </c>
      <c r="S1397" s="1" t="s">
        <v>856</v>
      </c>
      <c r="T1397" s="1"/>
    </row>
    <row r="1398" customFormat="false" ht="15" hidden="false" customHeight="true" outlineLevel="0" collapsed="false">
      <c r="A1398" s="1" t="s">
        <v>2776</v>
      </c>
      <c r="B1398" s="1" t="n">
        <v>1924</v>
      </c>
      <c r="C1398" s="1" t="n">
        <v>4</v>
      </c>
      <c r="D1398" s="1" t="s">
        <v>38</v>
      </c>
      <c r="E1398" s="1"/>
      <c r="F1398" s="1"/>
      <c r="G1398" s="1" t="n">
        <v>160</v>
      </c>
      <c r="H1398" s="2" t="n">
        <v>561200</v>
      </c>
      <c r="I1398" s="2" t="n">
        <f aca="false">(((H1398 / 800) / IF(ISBLANK(R1398), 1000000, IF(ISNA(VLOOKUP(R1398, Mileages!$A$2:$C$34, 2, 0)), R1398, VLOOKUP(R1398, Mileages!$A$2:$C$34, 2, 0)))) + (F1398 * IF(ISBLANK(P1398), 1, P1398) * IF(ISBLANK(T1398), 0, IF(ISNA(VLOOKUP(T1398, 'Fuel Costs'!$A$2:$C$42, 2, 0)), T1398, VLOOKUP(T1398, 'Fuel Costs'!$A$2:$C$42, 2, 0))) / IF(ISBLANK(O1398), 1, O1398))) * 100</f>
        <v>0.05845833333</v>
      </c>
      <c r="J1398" s="2" t="n">
        <f aca="false">((H1398 / 800) / (IF(ISBLANK(S1398), 100, IF(ISNA(VLOOKUP(S1398, Lives!$A$2:$C$35, 2, 0)), S1398, VLOOKUP(S1398, Lives!$A$2:$C$35, 2, 0))) * 12) + (IF(ISBLANK(Q1398), 0, IF(ISNA(VLOOKUP(Q1398, Wages!$A$2:$C$17, 2, 0)), Q1398, VLOOKUP(Q1398, Wages!$A$2:$C$17, 2, 0))) * IF(ISBLANK(N1398), 0, IF(ISNA(VLOOKUP(N1398, Crews!$A$2:$C$28, 2, 0)), N1398, VLOOKUP(N1398, Crews!$A$2:$C$28, 2, 0))))) * 400</f>
        <v>5468.095238</v>
      </c>
      <c r="K1398" s="1" t="s">
        <v>2676</v>
      </c>
      <c r="L1398" s="1" t="s">
        <v>2770</v>
      </c>
      <c r="M1398" s="1" t="n">
        <v>5</v>
      </c>
      <c r="N1398" s="1" t="s">
        <v>25</v>
      </c>
      <c r="O1398" s="1"/>
      <c r="P1398" s="1"/>
      <c r="Q1398" s="1" t="s">
        <v>378</v>
      </c>
      <c r="R1398" s="1" t="s">
        <v>689</v>
      </c>
      <c r="S1398" s="1" t="s">
        <v>856</v>
      </c>
      <c r="T1398" s="1"/>
    </row>
    <row r="1399" customFormat="false" ht="15" hidden="false" customHeight="true" outlineLevel="0" collapsed="false">
      <c r="A1399" s="1" t="s">
        <v>2777</v>
      </c>
      <c r="B1399" s="1" t="n">
        <v>1924</v>
      </c>
      <c r="C1399" s="1" t="n">
        <v>6</v>
      </c>
      <c r="D1399" s="1" t="s">
        <v>157</v>
      </c>
      <c r="E1399" s="1"/>
      <c r="F1399" s="1"/>
      <c r="G1399" s="1" t="n">
        <v>56</v>
      </c>
      <c r="H1399" s="2" t="n">
        <v>66500</v>
      </c>
      <c r="I1399" s="2" t="n">
        <f aca="false">(((H1399 / 800) / IF(ISBLANK(R1399), 1000000, IF(ISNA(VLOOKUP(R1399, Mileages!$A$2:$C$34, 2, 0)), R1399, VLOOKUP(R1399, Mileages!$A$2:$C$34, 2, 0)))) + (F1399 * IF(ISBLANK(P1399), 1, P1399) * IF(ISBLANK(T1399), 0, IF(ISNA(VLOOKUP(T1399, 'Fuel Costs'!$A$2:$C$42, 2, 0)), T1399, VLOOKUP(T1399, 'Fuel Costs'!$A$2:$C$42, 2, 0))) / IF(ISBLANK(O1399), 1, O1399))) * 100</f>
        <v>0.006927083333</v>
      </c>
      <c r="J1399" s="2" t="n">
        <f aca="false">((H1399 / 800) / (IF(ISBLANK(S1399), 100, IF(ISNA(VLOOKUP(S1399, Lives!$A$2:$C$35, 2, 0)), S1399, VLOOKUP(S1399, Lives!$A$2:$C$35, 2, 0))) * 12) + (IF(ISBLANK(Q1399), 0, IF(ISNA(VLOOKUP(Q1399, Wages!$A$2:$C$17, 2, 0)), Q1399, VLOOKUP(Q1399, Wages!$A$2:$C$17, 2, 0))) * IF(ISBLANK(N1399), 0, IF(ISNA(VLOOKUP(N1399, Crews!$A$2:$C$28, 2, 0)), N1399, VLOOKUP(N1399, Crews!$A$2:$C$28, 2, 0))))) * 400</f>
        <v>27.70833333</v>
      </c>
      <c r="K1399" s="1"/>
      <c r="L1399" s="1" t="s">
        <v>2778</v>
      </c>
      <c r="M1399" s="1" t="n">
        <v>0</v>
      </c>
      <c r="N1399" s="1"/>
      <c r="O1399" s="1"/>
      <c r="P1399" s="1"/>
      <c r="Q1399" s="1"/>
      <c r="R1399" s="1" t="s">
        <v>689</v>
      </c>
      <c r="S1399" s="1" t="s">
        <v>389</v>
      </c>
      <c r="T1399" s="1"/>
    </row>
    <row r="1400" customFormat="false" ht="15" hidden="false" customHeight="true" outlineLevel="0" collapsed="false">
      <c r="A1400" s="1" t="s">
        <v>2779</v>
      </c>
      <c r="B1400" s="1" t="n">
        <v>1924</v>
      </c>
      <c r="C1400" s="1" t="n">
        <v>6</v>
      </c>
      <c r="D1400" s="1" t="s">
        <v>157</v>
      </c>
      <c r="E1400" s="1"/>
      <c r="F1400" s="1"/>
      <c r="G1400" s="1" t="n">
        <v>56</v>
      </c>
      <c r="H1400" s="2" t="n">
        <v>56000</v>
      </c>
      <c r="I1400" s="2" t="n">
        <f aca="false">(((H1400 / 800) / IF(ISBLANK(R1400), 1000000, IF(ISNA(VLOOKUP(R1400, Mileages!$A$2:$C$34, 2, 0)), R1400, VLOOKUP(R1400, Mileages!$A$2:$C$34, 2, 0)))) + (F1400 * IF(ISBLANK(P1400), 1, P1400) * IF(ISBLANK(T1400), 0, IF(ISNA(VLOOKUP(T1400, 'Fuel Costs'!$A$2:$C$42, 2, 0)), T1400, VLOOKUP(T1400, 'Fuel Costs'!$A$2:$C$42, 2, 0))) / IF(ISBLANK(O1400), 1, O1400))) * 100</f>
        <v>0.005833333333</v>
      </c>
      <c r="J1400" s="2" t="n">
        <f aca="false">((H1400 / 800) / (IF(ISBLANK(S1400), 100, IF(ISNA(VLOOKUP(S1400, Lives!$A$2:$C$35, 2, 0)), S1400, VLOOKUP(S1400, Lives!$A$2:$C$35, 2, 0))) * 12) + (IF(ISBLANK(Q1400), 0, IF(ISNA(VLOOKUP(Q1400, Wages!$A$2:$C$17, 2, 0)), Q1400, VLOOKUP(Q1400, Wages!$A$2:$C$17, 2, 0))) * IF(ISBLANK(N1400), 0, IF(ISNA(VLOOKUP(N1400, Crews!$A$2:$C$28, 2, 0)), N1400, VLOOKUP(N1400, Crews!$A$2:$C$28, 2, 0))))) * 400</f>
        <v>46.66666667</v>
      </c>
      <c r="K1400" s="1"/>
      <c r="L1400" s="1" t="s">
        <v>2780</v>
      </c>
      <c r="M1400" s="1" t="n">
        <v>0</v>
      </c>
      <c r="N1400" s="1"/>
      <c r="O1400" s="1"/>
      <c r="P1400" s="1"/>
      <c r="Q1400" s="1"/>
      <c r="R1400" s="1" t="s">
        <v>689</v>
      </c>
      <c r="S1400" s="1" t="s">
        <v>785</v>
      </c>
      <c r="T1400" s="1"/>
    </row>
    <row r="1401" customFormat="false" ht="15" hidden="false" customHeight="true" outlineLevel="0" collapsed="false">
      <c r="A1401" s="1" t="s">
        <v>2781</v>
      </c>
      <c r="B1401" s="1" t="n">
        <v>1924</v>
      </c>
      <c r="C1401" s="1" t="n">
        <v>6</v>
      </c>
      <c r="D1401" s="1" t="s">
        <v>38</v>
      </c>
      <c r="E1401" s="1" t="s">
        <v>274</v>
      </c>
      <c r="F1401" s="1" t="n">
        <v>213</v>
      </c>
      <c r="G1401" s="1" t="n">
        <v>90</v>
      </c>
      <c r="H1401" s="2" t="n">
        <v>1584000</v>
      </c>
      <c r="I1401" s="2" t="n">
        <f aca="false">(((H1401 / 800) / IF(ISBLANK(R1401), 1000000, IF(ISNA(VLOOKUP(R1401, Mileages!$A$2:$C$34, 2, 0)), R1401, VLOOKUP(R1401, Mileages!$A$2:$C$34, 2, 0)))) + (F1401 * IF(ISBLANK(P1401), 1, P1401) * IF(ISBLANK(T1401), 0, IF(ISNA(VLOOKUP(T1401, 'Fuel Costs'!$A$2:$C$42, 2, 0)), T1401, VLOOKUP(T1401, 'Fuel Costs'!$A$2:$C$42, 2, 0))) / IF(ISBLANK(O1401), 1, O1401))) * 100</f>
        <v>121.9122857</v>
      </c>
      <c r="J1401" s="2" t="n">
        <f aca="false">((H1401 / 800) / (IF(ISBLANK(S1401), 100, IF(ISNA(VLOOKUP(S1401, Lives!$A$2:$C$35, 2, 0)), S1401, VLOOKUP(S1401, Lives!$A$2:$C$35, 2, 0))) * 12) + (IF(ISBLANK(Q1401), 0, IF(ISNA(VLOOKUP(Q1401, Wages!$A$2:$C$17, 2, 0)), Q1401, VLOOKUP(Q1401, Wages!$A$2:$C$17, 2, 0))) * IF(ISBLANK(N1401), 0, IF(ISNA(VLOOKUP(N1401, Crews!$A$2:$C$28, 2, 0)), N1401, VLOOKUP(N1401, Crews!$A$2:$C$28, 2, 0))))) * 400</f>
        <v>25320</v>
      </c>
      <c r="K1401" s="3" t="s">
        <v>2782</v>
      </c>
      <c r="L1401" s="1" t="s">
        <v>2783</v>
      </c>
      <c r="M1401" s="1" t="n">
        <v>0</v>
      </c>
      <c r="N1401" s="1" t="s">
        <v>590</v>
      </c>
      <c r="O1401" s="1" t="n">
        <v>0.7</v>
      </c>
      <c r="P1401" s="1"/>
      <c r="Q1401" s="5" t="s">
        <v>284</v>
      </c>
      <c r="R1401" s="1" t="s">
        <v>677</v>
      </c>
      <c r="S1401" s="1" t="s">
        <v>677</v>
      </c>
      <c r="T1401" s="1" t="s">
        <v>2252</v>
      </c>
    </row>
    <row r="1402" customFormat="false" ht="15" hidden="false" customHeight="true" outlineLevel="0" collapsed="false">
      <c r="A1402" s="1" t="s">
        <v>2784</v>
      </c>
      <c r="B1402" s="1" t="n">
        <v>1924</v>
      </c>
      <c r="C1402" s="1" t="n">
        <v>6</v>
      </c>
      <c r="D1402" s="1" t="s">
        <v>38</v>
      </c>
      <c r="E1402" s="1" t="s">
        <v>274</v>
      </c>
      <c r="F1402" s="1" t="n">
        <v>120</v>
      </c>
      <c r="G1402" s="1" t="n">
        <v>90</v>
      </c>
      <c r="H1402" s="2" t="n">
        <v>1584000</v>
      </c>
      <c r="I1402" s="2" t="n">
        <f aca="false">(((H1402 / 800) / IF(ISBLANK(R1402), 1000000, IF(ISNA(VLOOKUP(R1402, Mileages!$A$2:$C$34, 2, 0)), R1402, VLOOKUP(R1402, Mileages!$A$2:$C$34, 2, 0)))) + (F1402 * IF(ISBLANK(P1402), 1, P1402) * IF(ISBLANK(T1402), 0, IF(ISNA(VLOOKUP(T1402, 'Fuel Costs'!$A$2:$C$42, 2, 0)), T1402, VLOOKUP(T1402, 'Fuel Costs'!$A$2:$C$42, 2, 0))) / IF(ISBLANK(O1402), 1, O1402))) * 100</f>
        <v>68.76942857</v>
      </c>
      <c r="J1402" s="2" t="n">
        <f aca="false">((H1402 / 800) / (IF(ISBLANK(S1402), 100, IF(ISNA(VLOOKUP(S1402, Lives!$A$2:$C$35, 2, 0)), S1402, VLOOKUP(S1402, Lives!$A$2:$C$35, 2, 0))) * 12) + (IF(ISBLANK(Q1402), 0, IF(ISNA(VLOOKUP(Q1402, Wages!$A$2:$C$17, 2, 0)), Q1402, VLOOKUP(Q1402, Wages!$A$2:$C$17, 2, 0))) * IF(ISBLANK(N1402), 0, IF(ISNA(VLOOKUP(N1402, Crews!$A$2:$C$28, 2, 0)), N1402, VLOOKUP(N1402, Crews!$A$2:$C$28, 2, 0))))) * 400</f>
        <v>25320</v>
      </c>
      <c r="K1402" s="3" t="s">
        <v>2782</v>
      </c>
      <c r="L1402" s="1" t="s">
        <v>2783</v>
      </c>
      <c r="M1402" s="1" t="n">
        <v>1</v>
      </c>
      <c r="N1402" s="1" t="s">
        <v>590</v>
      </c>
      <c r="O1402" s="1" t="n">
        <v>0.7</v>
      </c>
      <c r="P1402" s="1"/>
      <c r="Q1402" s="5" t="s">
        <v>284</v>
      </c>
      <c r="R1402" s="1" t="s">
        <v>677</v>
      </c>
      <c r="S1402" s="1" t="s">
        <v>677</v>
      </c>
      <c r="T1402" s="1" t="s">
        <v>2252</v>
      </c>
    </row>
    <row r="1403" customFormat="false" ht="15" hidden="false" customHeight="true" outlineLevel="0" collapsed="false">
      <c r="A1403" s="1" t="s">
        <v>2785</v>
      </c>
      <c r="B1403" s="1" t="n">
        <v>1924</v>
      </c>
      <c r="C1403" s="1" t="n">
        <v>6</v>
      </c>
      <c r="D1403" s="1" t="s">
        <v>157</v>
      </c>
      <c r="E1403" s="1"/>
      <c r="F1403" s="1"/>
      <c r="G1403" s="1" t="n">
        <v>56</v>
      </c>
      <c r="H1403" s="2" t="n">
        <v>66500</v>
      </c>
      <c r="I1403" s="2" t="n">
        <f aca="false">(((H1403 / 800) / IF(ISBLANK(R1403), 1000000, IF(ISNA(VLOOKUP(R1403, Mileages!$A$2:$C$34, 2, 0)), R1403, VLOOKUP(R1403, Mileages!$A$2:$C$34, 2, 0)))) + (F1403 * IF(ISBLANK(P1403), 1, P1403) * IF(ISBLANK(T1403), 0, IF(ISNA(VLOOKUP(T1403, 'Fuel Costs'!$A$2:$C$42, 2, 0)), T1403, VLOOKUP(T1403, 'Fuel Costs'!$A$2:$C$42, 2, 0))) / IF(ISBLANK(O1403), 1, O1403))) * 100</f>
        <v>0.006927083333</v>
      </c>
      <c r="J1403" s="2" t="n">
        <f aca="false">((H1403 / 800) / (IF(ISBLANK(S1403), 100, IF(ISNA(VLOOKUP(S1403, Lives!$A$2:$C$35, 2, 0)), S1403, VLOOKUP(S1403, Lives!$A$2:$C$35, 2, 0))) * 12) + (IF(ISBLANK(Q1403), 0, IF(ISNA(VLOOKUP(Q1403, Wages!$A$2:$C$17, 2, 0)), Q1403, VLOOKUP(Q1403, Wages!$A$2:$C$17, 2, 0))) * IF(ISBLANK(N1403), 0, IF(ISNA(VLOOKUP(N1403, Crews!$A$2:$C$28, 2, 0)), N1403, VLOOKUP(N1403, Crews!$A$2:$C$28, 2, 0))))) * 400</f>
        <v>27.70833333</v>
      </c>
      <c r="K1403" s="1"/>
      <c r="L1403" s="1" t="s">
        <v>2786</v>
      </c>
      <c r="M1403" s="1" t="n">
        <v>0</v>
      </c>
      <c r="N1403" s="1"/>
      <c r="O1403" s="1"/>
      <c r="P1403" s="1"/>
      <c r="Q1403" s="1"/>
      <c r="R1403" s="1" t="s">
        <v>689</v>
      </c>
      <c r="S1403" s="1" t="s">
        <v>389</v>
      </c>
      <c r="T1403" s="1"/>
    </row>
    <row r="1404" customFormat="false" ht="15" hidden="false" customHeight="true" outlineLevel="0" collapsed="false">
      <c r="A1404" s="1" t="s">
        <v>2787</v>
      </c>
      <c r="B1404" s="1" t="n">
        <v>1924</v>
      </c>
      <c r="C1404" s="1" t="n">
        <v>6</v>
      </c>
      <c r="D1404" s="1" t="s">
        <v>157</v>
      </c>
      <c r="E1404" s="1"/>
      <c r="F1404" s="1"/>
      <c r="G1404" s="1" t="n">
        <v>56</v>
      </c>
      <c r="H1404" s="2" t="n">
        <v>56000</v>
      </c>
      <c r="I1404" s="2" t="n">
        <f aca="false">(((H1404 / 800) / IF(ISBLANK(R1404), 1000000, IF(ISNA(VLOOKUP(R1404, Mileages!$A$2:$C$34, 2, 0)), R1404, VLOOKUP(R1404, Mileages!$A$2:$C$34, 2, 0)))) + (F1404 * IF(ISBLANK(P1404), 1, P1404) * IF(ISBLANK(T1404), 0, IF(ISNA(VLOOKUP(T1404, 'Fuel Costs'!$A$2:$C$42, 2, 0)), T1404, VLOOKUP(T1404, 'Fuel Costs'!$A$2:$C$42, 2, 0))) / IF(ISBLANK(O1404), 1, O1404))) * 100</f>
        <v>0.005833333333</v>
      </c>
      <c r="J1404" s="2" t="n">
        <f aca="false">((H1404 / 800) / (IF(ISBLANK(S1404), 100, IF(ISNA(VLOOKUP(S1404, Lives!$A$2:$C$35, 2, 0)), S1404, VLOOKUP(S1404, Lives!$A$2:$C$35, 2, 0))) * 12) + (IF(ISBLANK(Q1404), 0, IF(ISNA(VLOOKUP(Q1404, Wages!$A$2:$C$17, 2, 0)), Q1404, VLOOKUP(Q1404, Wages!$A$2:$C$17, 2, 0))) * IF(ISBLANK(N1404), 0, IF(ISNA(VLOOKUP(N1404, Crews!$A$2:$C$28, 2, 0)), N1404, VLOOKUP(N1404, Crews!$A$2:$C$28, 2, 0))))) * 400</f>
        <v>46.66666667</v>
      </c>
      <c r="K1404" s="1"/>
      <c r="L1404" s="1" t="s">
        <v>2788</v>
      </c>
      <c r="M1404" s="1" t="n">
        <v>0</v>
      </c>
      <c r="N1404" s="1"/>
      <c r="O1404" s="1"/>
      <c r="P1404" s="1"/>
      <c r="Q1404" s="1"/>
      <c r="R1404" s="1" t="s">
        <v>689</v>
      </c>
      <c r="S1404" s="1" t="s">
        <v>785</v>
      </c>
      <c r="T1404" s="1"/>
    </row>
    <row r="1405" customFormat="false" ht="15" hidden="false" customHeight="true" outlineLevel="0" collapsed="false">
      <c r="A1405" s="1" t="s">
        <v>2789</v>
      </c>
      <c r="B1405" s="1" t="n">
        <v>1925</v>
      </c>
      <c r="C1405" s="1" t="n">
        <v>4</v>
      </c>
      <c r="D1405" s="1" t="s">
        <v>38</v>
      </c>
      <c r="E1405" s="1" t="s">
        <v>1346</v>
      </c>
      <c r="F1405" s="1" t="n">
        <v>410</v>
      </c>
      <c r="G1405" s="1" t="n">
        <v>97</v>
      </c>
      <c r="H1405" s="2" t="n">
        <v>1700000</v>
      </c>
      <c r="I1405" s="2" t="n">
        <f aca="false">(((H1405 / 800) / IF(ISBLANK(R1405), 1000000, IF(ISNA(VLOOKUP(R1405, Mileages!$A$2:$C$34, 2, 0)), R1405, VLOOKUP(R1405, Mileages!$A$2:$C$34, 2, 0)))) + (F1405 * IF(ISBLANK(P1405), 1, P1405) * IF(ISBLANK(T1405), 0, IF(ISNA(VLOOKUP(T1405, 'Fuel Costs'!$A$2:$C$42, 2, 0)), T1405, VLOOKUP(T1405, 'Fuel Costs'!$A$2:$C$42, 2, 0))) / IF(ISBLANK(O1405), 1, O1405))) * 100</f>
        <v>164.2125</v>
      </c>
      <c r="J1405" s="2" t="n">
        <f aca="false">((H1405 / 800) / (IF(ISBLANK(S1405), 100, IF(ISNA(VLOOKUP(S1405, Lives!$A$2:$C$35, 2, 0)), S1405, VLOOKUP(S1405, Lives!$A$2:$C$35, 2, 0))) * 12) + (IF(ISBLANK(Q1405), 0, IF(ISNA(VLOOKUP(Q1405, Wages!$A$2:$C$17, 2, 0)), Q1405, VLOOKUP(Q1405, Wages!$A$2:$C$17, 2, 0))) * IF(ISBLANK(N1405), 0, IF(ISNA(VLOOKUP(N1405, Crews!$A$2:$C$28, 2, 0)), N1405, VLOOKUP(N1405, Crews!$A$2:$C$28, 2, 0))))) * 400</f>
        <v>7416.666667</v>
      </c>
      <c r="K1405" s="1" t="s">
        <v>2790</v>
      </c>
      <c r="L1405" s="1" t="s">
        <v>2791</v>
      </c>
      <c r="M1405" s="1" t="n">
        <v>0</v>
      </c>
      <c r="N1405" s="1" t="s">
        <v>1512</v>
      </c>
      <c r="O1405" s="1" t="n">
        <v>1</v>
      </c>
      <c r="P1405" s="1"/>
      <c r="Q1405" s="1" t="str">
        <f aca="false">IF(ISBLANK('Pak128 Britain In'!$N1405),,'Pak128 Britain In'!$N1405)</f>
        <v>ElectricMultipleUnit</v>
      </c>
      <c r="R1405" s="1" t="s">
        <v>1349</v>
      </c>
      <c r="S1405" s="1" t="s">
        <v>1350</v>
      </c>
      <c r="T1405" s="1" t="s">
        <v>2580</v>
      </c>
    </row>
    <row r="1406" customFormat="false" ht="15" hidden="false" customHeight="true" outlineLevel="0" collapsed="false">
      <c r="A1406" s="1" t="s">
        <v>2792</v>
      </c>
      <c r="B1406" s="1" t="n">
        <v>1925</v>
      </c>
      <c r="C1406" s="1" t="n">
        <v>4</v>
      </c>
      <c r="D1406" s="1" t="s">
        <v>38</v>
      </c>
      <c r="E1406" s="1" t="s">
        <v>1346</v>
      </c>
      <c r="F1406" s="1" t="n">
        <v>0</v>
      </c>
      <c r="G1406" s="1" t="n">
        <v>97</v>
      </c>
      <c r="H1406" s="2" t="n">
        <v>787600</v>
      </c>
      <c r="I1406" s="2" t="n">
        <f aca="false">(((H1406 / 800) / IF(ISBLANK(R1406), 1000000, IF(ISNA(VLOOKUP(R1406, Mileages!$A$2:$C$34, 2, 0)), R1406, VLOOKUP(R1406, Mileages!$A$2:$C$34, 2, 0)))) + (F1406 * IF(ISBLANK(P1406), 1, P1406) * IF(ISBLANK(T1406), 0, IF(ISNA(VLOOKUP(T1406, 'Fuel Costs'!$A$2:$C$42, 2, 0)), T1406, VLOOKUP(T1406, 'Fuel Costs'!$A$2:$C$42, 2, 0))) / IF(ISBLANK(O1406), 1, O1406))) * 100</f>
        <v>0.08204166667</v>
      </c>
      <c r="J1406" s="2" t="n">
        <f aca="false">((H1406 / 800) / (IF(ISBLANK(S1406), 100, IF(ISNA(VLOOKUP(S1406, Lives!$A$2:$C$35, 2, 0)), S1406, VLOOKUP(S1406, Lives!$A$2:$C$35, 2, 0))) * 12) + (IF(ISBLANK(Q1406), 0, IF(ISNA(VLOOKUP(Q1406, Wages!$A$2:$C$17, 2, 0)), Q1406, VLOOKUP(Q1406, Wages!$A$2:$C$17, 2, 0))) * IF(ISBLANK(N1406), 0, IF(ISNA(VLOOKUP(N1406, Crews!$A$2:$C$28, 2, 0)), N1406, VLOOKUP(N1406, Crews!$A$2:$C$28, 2, 0))))) * 400</f>
        <v>937.6190476</v>
      </c>
      <c r="K1406" s="1"/>
      <c r="L1406" s="1" t="s">
        <v>2791</v>
      </c>
      <c r="M1406" s="1" t="n">
        <v>1</v>
      </c>
      <c r="N1406" s="1"/>
      <c r="O1406" s="1"/>
      <c r="P1406" s="1"/>
      <c r="Q1406" s="1"/>
      <c r="R1406" s="1" t="s">
        <v>689</v>
      </c>
      <c r="S1406" s="1" t="s">
        <v>856</v>
      </c>
      <c r="T1406" s="1"/>
    </row>
    <row r="1407" customFormat="false" ht="15" hidden="false" customHeight="true" outlineLevel="0" collapsed="false">
      <c r="A1407" s="1" t="s">
        <v>2793</v>
      </c>
      <c r="B1407" s="1" t="n">
        <v>1925</v>
      </c>
      <c r="C1407" s="1" t="n">
        <v>4</v>
      </c>
      <c r="D1407" s="1" t="s">
        <v>38</v>
      </c>
      <c r="E1407" s="1" t="s">
        <v>1346</v>
      </c>
      <c r="F1407" s="1" t="n">
        <v>410</v>
      </c>
      <c r="G1407" s="1" t="n">
        <v>97</v>
      </c>
      <c r="H1407" s="2" t="n">
        <v>1700000</v>
      </c>
      <c r="I1407" s="2" t="n">
        <f aca="false">(((H1407 / 800) / IF(ISBLANK(R1407), 1000000, IF(ISNA(VLOOKUP(R1407, Mileages!$A$2:$C$34, 2, 0)), R1407, VLOOKUP(R1407, Mileages!$A$2:$C$34, 2, 0)))) + (F1407 * IF(ISBLANK(P1407), 1, P1407) * IF(ISBLANK(T1407), 0, IF(ISNA(VLOOKUP(T1407, 'Fuel Costs'!$A$2:$C$42, 2, 0)), T1407, VLOOKUP(T1407, 'Fuel Costs'!$A$2:$C$42, 2, 0))) / IF(ISBLANK(O1407), 1, O1407))) * 100</f>
        <v>164.2125</v>
      </c>
      <c r="J1407" s="2" t="n">
        <f aca="false">((H1407 / 800) / (IF(ISBLANK(S1407), 100, IF(ISNA(VLOOKUP(S1407, Lives!$A$2:$C$35, 2, 0)), S1407, VLOOKUP(S1407, Lives!$A$2:$C$35, 2, 0))) * 12) + (IF(ISBLANK(Q1407), 0, IF(ISNA(VLOOKUP(Q1407, Wages!$A$2:$C$17, 2, 0)), Q1407, VLOOKUP(Q1407, Wages!$A$2:$C$17, 2, 0))) * IF(ISBLANK(N1407), 0, IF(ISNA(VLOOKUP(N1407, Crews!$A$2:$C$28, 2, 0)), N1407, VLOOKUP(N1407, Crews!$A$2:$C$28, 2, 0))))) * 400</f>
        <v>7416.666667</v>
      </c>
      <c r="K1407" s="1"/>
      <c r="L1407" s="1" t="s">
        <v>2791</v>
      </c>
      <c r="M1407" s="1" t="n">
        <v>2</v>
      </c>
      <c r="N1407" s="1" t="s">
        <v>1512</v>
      </c>
      <c r="O1407" s="1" t="n">
        <v>1</v>
      </c>
      <c r="P1407" s="1"/>
      <c r="Q1407" s="1" t="str">
        <f aca="false">IF(ISBLANK('Pak128 Britain In'!$N1407),,'Pak128 Britain In'!$N1407)</f>
        <v>ElectricMultipleUnit</v>
      </c>
      <c r="R1407" s="1" t="s">
        <v>1349</v>
      </c>
      <c r="S1407" s="1" t="s">
        <v>1350</v>
      </c>
      <c r="T1407" s="1" t="s">
        <v>2580</v>
      </c>
    </row>
    <row r="1408" customFormat="false" ht="15" hidden="false" customHeight="true" outlineLevel="0" collapsed="false">
      <c r="A1408" s="1" t="s">
        <v>2794</v>
      </c>
      <c r="B1408" s="1" t="n">
        <v>1925</v>
      </c>
      <c r="C1408" s="1" t="n">
        <v>7</v>
      </c>
      <c r="D1408" s="1" t="s">
        <v>29</v>
      </c>
      <c r="E1408" s="1" t="s">
        <v>274</v>
      </c>
      <c r="F1408" s="1" t="n">
        <v>6340</v>
      </c>
      <c r="G1408" s="1" t="n">
        <v>40</v>
      </c>
      <c r="H1408" s="2" t="n">
        <v>80000000</v>
      </c>
      <c r="I1408" s="2" t="n">
        <f aca="false">(((H1408 / 800) / IF(ISBLANK(R1408), 1000000, IF(ISNA(VLOOKUP(R1408, Mileages!$A$2:$C$34, 2, 0)), R1408, VLOOKUP(R1408, Mileages!$A$2:$C$34, 2, 0)))) + (F1408 * IF(ISBLANK(P1408), 1, P1408) * IF(ISBLANK(T1408), 0, IF(ISNA(VLOOKUP(T1408, 'Fuel Costs'!$A$2:$C$42, 2, 0)), T1408, VLOOKUP(T1408, 'Fuel Costs'!$A$2:$C$42, 2, 0))) / IF(ISBLANK(O1408), 1, O1408))) * 100</f>
        <v>258.6</v>
      </c>
      <c r="J1408" s="2" t="n">
        <f aca="false">((H1408 / 800) / (IF(ISBLANK(S1408), 100, IF(ISNA(VLOOKUP(S1408, Lives!$A$2:$C$35, 2, 0)), S1408, VLOOKUP(S1408, Lives!$A$2:$C$35, 2, 0))) * 12) + (IF(ISBLANK(Q1408), 0, IF(ISNA(VLOOKUP(Q1408, Wages!$A$2:$C$17, 2, 0)), Q1408, VLOOKUP(Q1408, Wages!$A$2:$C$17, 2, 0))) * IF(ISBLANK(N1408), 0, IF(ISNA(VLOOKUP(N1408, Crews!$A$2:$C$28, 2, 0)), N1408, VLOOKUP(N1408, Crews!$A$2:$C$28, 2, 0))))) * 400</f>
        <v>233333.3333</v>
      </c>
      <c r="K1408" s="3" t="s">
        <v>2795</v>
      </c>
      <c r="L1408" s="1" t="s">
        <v>2796</v>
      </c>
      <c r="M1408" s="1" t="n">
        <v>0</v>
      </c>
      <c r="N1408" s="1" t="s">
        <v>323</v>
      </c>
      <c r="O1408" s="1" t="n">
        <v>2</v>
      </c>
      <c r="P1408" s="1" t="n">
        <v>0.2</v>
      </c>
      <c r="Q1408" s="1" t="s">
        <v>34</v>
      </c>
      <c r="R1408" s="1" t="s">
        <v>574</v>
      </c>
      <c r="S1408" s="1" t="s">
        <v>574</v>
      </c>
      <c r="T1408" s="1" t="s">
        <v>2252</v>
      </c>
    </row>
    <row r="1409" customFormat="false" ht="15" hidden="false" customHeight="true" outlineLevel="0" collapsed="false">
      <c r="A1409" s="1" t="s">
        <v>2797</v>
      </c>
      <c r="B1409" s="1" t="n">
        <v>1925</v>
      </c>
      <c r="C1409" s="1" t="n">
        <v>7</v>
      </c>
      <c r="D1409" s="1" t="s">
        <v>29</v>
      </c>
      <c r="E1409" s="1"/>
      <c r="F1409" s="1"/>
      <c r="G1409" s="1" t="n">
        <v>40</v>
      </c>
      <c r="H1409" s="2"/>
      <c r="I1409" s="2"/>
      <c r="J1409" s="2"/>
      <c r="K1409" s="1"/>
      <c r="L1409" s="1" t="s">
        <v>2798</v>
      </c>
      <c r="M1409" s="1" t="n">
        <v>0</v>
      </c>
      <c r="N1409" s="1"/>
      <c r="O1409" s="1"/>
      <c r="P1409" s="1"/>
      <c r="Q1409" s="1"/>
      <c r="R1409" s="1"/>
      <c r="S1409" s="1"/>
      <c r="T1409" s="1"/>
    </row>
    <row r="1410" customFormat="false" ht="15" hidden="false" customHeight="true" outlineLevel="0" collapsed="false">
      <c r="A1410" s="1" t="s">
        <v>2799</v>
      </c>
      <c r="B1410" s="1" t="n">
        <v>1925</v>
      </c>
      <c r="C1410" s="1" t="n">
        <v>10</v>
      </c>
      <c r="D1410" s="1" t="s">
        <v>21</v>
      </c>
      <c r="E1410" s="1" t="s">
        <v>1839</v>
      </c>
      <c r="F1410" s="1" t="n">
        <v>26</v>
      </c>
      <c r="G1410" s="1" t="n">
        <v>20</v>
      </c>
      <c r="H1410" s="2" t="n">
        <v>255800</v>
      </c>
      <c r="I1410" s="2" t="n">
        <f aca="false">(((H1410 / 800) / IF(ISBLANK(R1410), 1000000, IF(ISNA(VLOOKUP(R1410, Mileages!$A$2:$C$34, 2, 0)), R1410, VLOOKUP(R1410, Mileages!$A$2:$C$34, 2, 0)))) + (F1410 * IF(ISBLANK(P1410), 1, P1410) * IF(ISBLANK(T1410), 0, IF(ISNA(VLOOKUP(T1410, 'Fuel Costs'!$A$2:$C$42, 2, 0)), T1410, VLOOKUP(T1410, 'Fuel Costs'!$A$2:$C$42, 2, 0))) / IF(ISBLANK(O1410), 1, O1410))) * 100</f>
        <v>26.06395</v>
      </c>
      <c r="J1410" s="2" t="n">
        <f aca="false">((H1410 / 800) / (IF(ISBLANK(S1410), 100, IF(ISNA(VLOOKUP(S1410, Lives!$A$2:$C$35, 2, 0)), S1410, VLOOKUP(S1410, Lives!$A$2:$C$35, 2, 0))) * 12) + (IF(ISBLANK(Q1410), 0, IF(ISNA(VLOOKUP(Q1410, Wages!$A$2:$C$17, 2, 0)), Q1410, VLOOKUP(Q1410, Wages!$A$2:$C$17, 2, 0))) * IF(ISBLANK(N1410), 0, IF(ISNA(VLOOKUP(N1410, Crews!$A$2:$C$28, 2, 0)), N1410, VLOOKUP(N1410, Crews!$A$2:$C$28, 2, 0))))) * 400</f>
        <v>8133.229167</v>
      </c>
      <c r="K1410" s="3" t="s">
        <v>2800</v>
      </c>
      <c r="L1410" s="1" t="s">
        <v>2715</v>
      </c>
      <c r="M1410" s="1" t="n">
        <v>1</v>
      </c>
      <c r="N1410" s="1" t="s">
        <v>25</v>
      </c>
      <c r="O1410" s="1" t="n">
        <v>0.6</v>
      </c>
      <c r="P1410" s="1"/>
      <c r="Q1410" s="1" t="s">
        <v>1815</v>
      </c>
      <c r="R1410" s="1" t="s">
        <v>1842</v>
      </c>
      <c r="S1410" s="1" t="s">
        <v>1843</v>
      </c>
      <c r="T1410" s="1" t="s">
        <v>2534</v>
      </c>
    </row>
    <row r="1411" customFormat="false" ht="15" hidden="false" customHeight="true" outlineLevel="0" collapsed="false">
      <c r="A1411" s="1" t="s">
        <v>2801</v>
      </c>
      <c r="B1411" s="1" t="n">
        <v>1926</v>
      </c>
      <c r="C1411" s="1" t="n">
        <v>2</v>
      </c>
      <c r="D1411" s="1" t="s">
        <v>38</v>
      </c>
      <c r="E1411" s="1"/>
      <c r="F1411" s="1"/>
      <c r="G1411" s="1" t="n">
        <v>100</v>
      </c>
      <c r="H1411" s="2" t="n">
        <v>0</v>
      </c>
      <c r="I1411" s="2" t="n">
        <f aca="false">(((H1411 / 800) / IF(ISBLANK(R1411), 1000000, IF(ISNA(VLOOKUP(R1411, Mileages!$A$2:$C$34, 2, 0)), R1411, VLOOKUP(R1411, Mileages!$A$2:$C$34, 2, 0)))) + (F1411 * IF(ISBLANK(P1411), 1, P1411) * IF(ISBLANK(T1411), 0, IF(ISNA(VLOOKUP(T1411, 'Fuel Costs'!$A$2:$C$42, 2, 0)), T1411, VLOOKUP(T1411, 'Fuel Costs'!$A$2:$C$42, 2, 0))) / IF(ISBLANK(O1411), 1, O1411))) * 100</f>
        <v>0</v>
      </c>
      <c r="J1411" s="2" t="n">
        <f aca="false">((H1411 / 800) / (IF(ISBLANK(S1411), 100, IF(ISNA(VLOOKUP(S1411, Lives!$A$2:$C$35, 2, 0)), S1411, VLOOKUP(S1411, Lives!$A$2:$C$35, 2, 0))) * 12) + (IF(ISBLANK(Q1411), 0, IF(ISNA(VLOOKUP(Q1411, Wages!$A$2:$C$17, 2, 0)), Q1411, VLOOKUP(Q1411, Wages!$A$2:$C$17, 2, 0))) * IF(ISBLANK(N1411), 0, IF(ISNA(VLOOKUP(N1411, Crews!$A$2:$C$28, 2, 0)), N1411, VLOOKUP(N1411, Crews!$A$2:$C$28, 2, 0))))) * 400</f>
        <v>0</v>
      </c>
      <c r="K1411" s="3" t="s">
        <v>1766</v>
      </c>
      <c r="L1411" s="1" t="s">
        <v>2802</v>
      </c>
      <c r="M1411" s="1" t="n">
        <v>0</v>
      </c>
      <c r="N1411" s="1"/>
      <c r="O1411" s="1"/>
      <c r="P1411" s="1"/>
      <c r="Q1411" s="1"/>
      <c r="R1411" s="1"/>
      <c r="S1411" s="1"/>
      <c r="T1411" s="1"/>
    </row>
    <row r="1412" customFormat="false" ht="15" hidden="false" customHeight="true" outlineLevel="0" collapsed="false">
      <c r="A1412" s="1" t="s">
        <v>2803</v>
      </c>
      <c r="B1412" s="1" t="n">
        <v>1926</v>
      </c>
      <c r="C1412" s="1" t="n">
        <v>4</v>
      </c>
      <c r="D1412" s="1" t="s">
        <v>38</v>
      </c>
      <c r="E1412" s="1"/>
      <c r="F1412" s="1"/>
      <c r="G1412" s="1" t="n">
        <v>100</v>
      </c>
      <c r="H1412" s="2" t="n">
        <v>0</v>
      </c>
      <c r="I1412" s="2" t="n">
        <f aca="false">(((H1412 / 800) / IF(ISBLANK(R1412), 1000000, IF(ISNA(VLOOKUP(R1412, Mileages!$A$2:$C$34, 2, 0)), R1412, VLOOKUP(R1412, Mileages!$A$2:$C$34, 2, 0)))) + (F1412 * IF(ISBLANK(P1412), 1, P1412) * IF(ISBLANK(T1412), 0, IF(ISNA(VLOOKUP(T1412, 'Fuel Costs'!$A$2:$C$42, 2, 0)), T1412, VLOOKUP(T1412, 'Fuel Costs'!$A$2:$C$42, 2, 0))) / IF(ISBLANK(O1412), 1, O1412))) * 100</f>
        <v>0</v>
      </c>
      <c r="J1412" s="2" t="n">
        <f aca="false">((H1412 / 800) / (IF(ISBLANK(S1412), 100, IF(ISNA(VLOOKUP(S1412, Lives!$A$2:$C$35, 2, 0)), S1412, VLOOKUP(S1412, Lives!$A$2:$C$35, 2, 0))) * 12) + (IF(ISBLANK(Q1412), 0, IF(ISNA(VLOOKUP(Q1412, Wages!$A$2:$C$17, 2, 0)), Q1412, VLOOKUP(Q1412, Wages!$A$2:$C$17, 2, 0))) * IF(ISBLANK(N1412), 0, IF(ISNA(VLOOKUP(N1412, Crews!$A$2:$C$28, 2, 0)), N1412, VLOOKUP(N1412, Crews!$A$2:$C$28, 2, 0))))) * 400</f>
        <v>0</v>
      </c>
      <c r="K1412" s="3" t="s">
        <v>1766</v>
      </c>
      <c r="L1412" s="1" t="s">
        <v>2804</v>
      </c>
      <c r="M1412" s="1" t="n">
        <v>0</v>
      </c>
      <c r="N1412" s="1"/>
      <c r="O1412" s="1"/>
      <c r="P1412" s="1"/>
      <c r="Q1412" s="1"/>
      <c r="R1412" s="1"/>
      <c r="S1412" s="1"/>
      <c r="T1412" s="1"/>
    </row>
    <row r="1413" customFormat="false" ht="15" hidden="false" customHeight="true" outlineLevel="0" collapsed="false">
      <c r="A1413" s="1" t="s">
        <v>2805</v>
      </c>
      <c r="B1413" s="1" t="n">
        <v>1926</v>
      </c>
      <c r="C1413" s="1" t="n">
        <v>4</v>
      </c>
      <c r="D1413" s="1" t="s">
        <v>38</v>
      </c>
      <c r="E1413" s="1" t="s">
        <v>274</v>
      </c>
      <c r="F1413" s="1" t="n">
        <v>409</v>
      </c>
      <c r="G1413" s="1" t="n">
        <v>120</v>
      </c>
      <c r="H1413" s="2" t="n">
        <v>4570000</v>
      </c>
      <c r="I1413" s="2" t="n">
        <f aca="false">(((H1413 / 800) / IF(ISBLANK(R1413), 1000000, IF(ISNA(VLOOKUP(R1413, Mileages!$A$2:$C$34, 2, 0)), R1413, VLOOKUP(R1413, Mileages!$A$2:$C$34, 2, 0)))) + (F1413 * IF(ISBLANK(P1413), 1, P1413) * IF(ISBLANK(T1413), 0, IF(ISNA(VLOOKUP(T1413, 'Fuel Costs'!$A$2:$C$42, 2, 0)), T1413, VLOOKUP(T1413, 'Fuel Costs'!$A$2:$C$42, 2, 0))) / IF(ISBLANK(O1413), 1, O1413))) * 100</f>
        <v>234.2855357</v>
      </c>
      <c r="J1413" s="2" t="n">
        <f aca="false">((H1413 / 800) / (IF(ISBLANK(S1413), 100, IF(ISNA(VLOOKUP(S1413, Lives!$A$2:$C$35, 2, 0)), S1413, VLOOKUP(S1413, Lives!$A$2:$C$35, 2, 0))) * 12) + (IF(ISBLANK(Q1413), 0, IF(ISNA(VLOOKUP(Q1413, Wages!$A$2:$C$17, 2, 0)), Q1413, VLOOKUP(Q1413, Wages!$A$2:$C$17, 2, 0))) * IF(ISBLANK(N1413), 0, IF(ISNA(VLOOKUP(N1413, Crews!$A$2:$C$28, 2, 0)), N1413, VLOOKUP(N1413, Crews!$A$2:$C$28, 2, 0))))) * 400</f>
        <v>43808.33333</v>
      </c>
      <c r="K1413" s="1" t="s">
        <v>1692</v>
      </c>
      <c r="L1413" s="1" t="s">
        <v>2806</v>
      </c>
      <c r="M1413" s="1" t="n">
        <v>0</v>
      </c>
      <c r="N1413" s="1" t="s">
        <v>1705</v>
      </c>
      <c r="O1413" s="1" t="n">
        <v>0.7</v>
      </c>
      <c r="P1413" s="1"/>
      <c r="Q1413" s="5" t="s">
        <v>284</v>
      </c>
      <c r="R1413" s="1" t="s">
        <v>677</v>
      </c>
      <c r="S1413" s="1" t="s">
        <v>677</v>
      </c>
      <c r="T1413" s="1" t="s">
        <v>2252</v>
      </c>
    </row>
    <row r="1414" customFormat="false" ht="15" hidden="false" customHeight="true" outlineLevel="0" collapsed="false">
      <c r="A1414" s="1" t="s">
        <v>2807</v>
      </c>
      <c r="B1414" s="1" t="n">
        <v>1926</v>
      </c>
      <c r="C1414" s="1" t="n">
        <v>4</v>
      </c>
      <c r="D1414" s="1" t="s">
        <v>38</v>
      </c>
      <c r="E1414" s="1"/>
      <c r="F1414" s="1" t="n">
        <v>0</v>
      </c>
      <c r="G1414" s="1" t="n">
        <v>120</v>
      </c>
      <c r="H1414" s="2" t="n">
        <v>0</v>
      </c>
      <c r="I1414" s="2" t="n">
        <f aca="false">(((H1414 / 800) / IF(ISBLANK(R1414), 1000000, IF(ISNA(VLOOKUP(R1414, Mileages!$A$2:$C$34, 2, 0)), R1414, VLOOKUP(R1414, Mileages!$A$2:$C$34, 2, 0)))) + (F1414 * IF(ISBLANK(P1414), 1, P1414) * IF(ISBLANK(T1414), 0, IF(ISNA(VLOOKUP(T1414, 'Fuel Costs'!$A$2:$C$42, 2, 0)), T1414, VLOOKUP(T1414, 'Fuel Costs'!$A$2:$C$42, 2, 0))) / IF(ISBLANK(O1414), 1, O1414))) * 100</f>
        <v>0</v>
      </c>
      <c r="J1414" s="2" t="n">
        <f aca="false">((H1414 / 800) / (IF(ISBLANK(S1414), 100, IF(ISNA(VLOOKUP(S1414, Lives!$A$2:$C$35, 2, 0)), S1414, VLOOKUP(S1414, Lives!$A$2:$C$35, 2, 0))) * 12) + (IF(ISBLANK(Q1414), 0, IF(ISNA(VLOOKUP(Q1414, Wages!$A$2:$C$17, 2, 0)), Q1414, VLOOKUP(Q1414, Wages!$A$2:$C$17, 2, 0))) * IF(ISBLANK(N1414), 0, IF(ISNA(VLOOKUP(N1414, Crews!$A$2:$C$28, 2, 0)), N1414, VLOOKUP(N1414, Crews!$A$2:$C$28, 2, 0))))) * 400</f>
        <v>0</v>
      </c>
      <c r="K1414" s="1"/>
      <c r="L1414" s="1" t="s">
        <v>2806</v>
      </c>
      <c r="M1414" s="1" t="n">
        <v>1</v>
      </c>
      <c r="N1414" s="1"/>
      <c r="O1414" s="1"/>
      <c r="P1414" s="1"/>
      <c r="Q1414" s="1"/>
      <c r="R1414" s="1"/>
      <c r="S1414" s="1"/>
      <c r="T1414" s="1"/>
    </row>
    <row r="1415" customFormat="false" ht="15" hidden="false" customHeight="true" outlineLevel="0" collapsed="false">
      <c r="A1415" s="1" t="s">
        <v>2808</v>
      </c>
      <c r="B1415" s="1" t="n">
        <v>1926</v>
      </c>
      <c r="C1415" s="1" t="n">
        <v>6</v>
      </c>
      <c r="D1415" s="1" t="s">
        <v>2225</v>
      </c>
      <c r="E1415" s="1" t="s">
        <v>1839</v>
      </c>
      <c r="F1415" s="1" t="n">
        <v>940</v>
      </c>
      <c r="G1415" s="1" t="n">
        <v>198</v>
      </c>
      <c r="H1415" s="2" t="n">
        <v>2000000</v>
      </c>
      <c r="I1415" s="2" t="n">
        <f aca="false">(((H1415 / 800) / IF(ISBLANK(R1415), 1000000, IF(ISNA(VLOOKUP(R1415, Mileages!$A$2:$C$34, 2, 0)), R1415, VLOOKUP(R1415, Mileages!$A$2:$C$34, 2, 0)))) + (F1415 * IF(ISBLANK(P1415), 1, P1415) * IF(ISBLANK(T1415), 0, IF(ISNA(VLOOKUP(T1415, 'Fuel Costs'!$A$2:$C$42, 2, 0)), T1415, VLOOKUP(T1415, 'Fuel Costs'!$A$2:$C$42, 2, 0))) / IF(ISBLANK(O1415), 1, O1415))) * 100</f>
        <v>47.05</v>
      </c>
      <c r="J1415" s="2" t="n">
        <f aca="false">((H1415 / 800) / (IF(ISBLANK(S1415), 100, IF(ISNA(VLOOKUP(S1415, Lives!$A$2:$C$35, 2, 0)), S1415, VLOOKUP(S1415, Lives!$A$2:$C$35, 2, 0))) * 12) + (IF(ISBLANK(Q1415), 0, IF(ISNA(VLOOKUP(Q1415, Wages!$A$2:$C$17, 2, 0)), Q1415, VLOOKUP(Q1415, Wages!$A$2:$C$17, 2, 0))) * IF(ISBLANK(N1415), 0, IF(ISNA(VLOOKUP(N1415, Crews!$A$2:$C$28, 2, 0)), N1415, VLOOKUP(N1415, Crews!$A$2:$C$28, 2, 0))))) * 400</f>
        <v>51388.88889</v>
      </c>
      <c r="K1415" s="3" t="s">
        <v>2809</v>
      </c>
      <c r="L1415" s="1" t="s">
        <v>2810</v>
      </c>
      <c r="M1415" s="1" t="n">
        <v>0</v>
      </c>
      <c r="N1415" s="1" t="s">
        <v>2342</v>
      </c>
      <c r="O1415" s="1"/>
      <c r="P1415" s="1" t="n">
        <v>0.1</v>
      </c>
      <c r="Q1415" s="1" t="s">
        <v>2229</v>
      </c>
      <c r="R1415" s="1" t="s">
        <v>2229</v>
      </c>
      <c r="S1415" s="1" t="s">
        <v>2229</v>
      </c>
      <c r="T1415" s="1" t="s">
        <v>2572</v>
      </c>
    </row>
    <row r="1416" customFormat="false" ht="15" hidden="false" customHeight="true" outlineLevel="0" collapsed="false">
      <c r="A1416" s="1" t="s">
        <v>2811</v>
      </c>
      <c r="B1416" s="1" t="n">
        <v>1926</v>
      </c>
      <c r="C1416" s="1" t="n">
        <v>6</v>
      </c>
      <c r="D1416" s="1" t="s">
        <v>2225</v>
      </c>
      <c r="E1416" s="1" t="s">
        <v>1839</v>
      </c>
      <c r="F1416" s="1" t="n">
        <v>940</v>
      </c>
      <c r="G1416" s="1" t="n">
        <v>198</v>
      </c>
      <c r="H1416" s="2" t="n">
        <v>1800000</v>
      </c>
      <c r="I1416" s="2" t="n">
        <f aca="false">(((H1416 / 800) / IF(ISBLANK(R1416), 1000000, IF(ISNA(VLOOKUP(R1416, Mileages!$A$2:$C$34, 2, 0)), R1416, VLOOKUP(R1416, Mileages!$A$2:$C$34, 2, 0)))) + (F1416 * IF(ISBLANK(P1416), 1, P1416) * IF(ISBLANK(T1416), 0, IF(ISNA(VLOOKUP(T1416, 'Fuel Costs'!$A$2:$C$42, 2, 0)), T1416, VLOOKUP(T1416, 'Fuel Costs'!$A$2:$C$42, 2, 0))) / IF(ISBLANK(O1416), 1, O1416))) * 100</f>
        <v>47.045</v>
      </c>
      <c r="J1416" s="2" t="n">
        <f aca="false">((H1416 / 800) / (IF(ISBLANK(S1416), 100, IF(ISNA(VLOOKUP(S1416, Lives!$A$2:$C$35, 2, 0)), S1416, VLOOKUP(S1416, Lives!$A$2:$C$35, 2, 0))) * 12) + (IF(ISBLANK(Q1416), 0, IF(ISNA(VLOOKUP(Q1416, Wages!$A$2:$C$17, 2, 0)), Q1416, VLOOKUP(Q1416, Wages!$A$2:$C$17, 2, 0))) * IF(ISBLANK(N1416), 0, IF(ISNA(VLOOKUP(N1416, Crews!$A$2:$C$28, 2, 0)), N1416, VLOOKUP(N1416, Crews!$A$2:$C$28, 2, 0))))) * 400</f>
        <v>11250</v>
      </c>
      <c r="K1416" s="3" t="s">
        <v>2812</v>
      </c>
      <c r="L1416" s="1" t="s">
        <v>2813</v>
      </c>
      <c r="M1416" s="1" t="n">
        <v>0</v>
      </c>
      <c r="N1416" s="1" t="s">
        <v>25</v>
      </c>
      <c r="O1416" s="1"/>
      <c r="P1416" s="1" t="n">
        <v>0.1</v>
      </c>
      <c r="Q1416" s="1" t="s">
        <v>2229</v>
      </c>
      <c r="R1416" s="1" t="s">
        <v>2229</v>
      </c>
      <c r="S1416" s="1" t="s">
        <v>2229</v>
      </c>
      <c r="T1416" s="1" t="s">
        <v>2572</v>
      </c>
    </row>
    <row r="1417" customFormat="false" ht="15" hidden="false" customHeight="true" outlineLevel="0" collapsed="false">
      <c r="A1417" s="1" t="s">
        <v>2814</v>
      </c>
      <c r="B1417" s="1" t="n">
        <v>1926</v>
      </c>
      <c r="C1417" s="1" t="n">
        <v>7</v>
      </c>
      <c r="D1417" s="1" t="s">
        <v>2225</v>
      </c>
      <c r="E1417" s="1" t="s">
        <v>1839</v>
      </c>
      <c r="F1417" s="1" t="n">
        <v>298</v>
      </c>
      <c r="G1417" s="1" t="n">
        <v>190</v>
      </c>
      <c r="H1417" s="2" t="n">
        <v>1750000</v>
      </c>
      <c r="I1417" s="2" t="n">
        <f aca="false">(((H1417 / 800) / IF(ISBLANK(R1417), 1000000, IF(ISNA(VLOOKUP(R1417, Mileages!$A$2:$C$34, 2, 0)), R1417, VLOOKUP(R1417, Mileages!$A$2:$C$34, 2, 0)))) + (F1417 * IF(ISBLANK(P1417), 1, P1417) * IF(ISBLANK(T1417), 0, IF(ISNA(VLOOKUP(T1417, 'Fuel Costs'!$A$2:$C$42, 2, 0)), T1417, VLOOKUP(T1417, 'Fuel Costs'!$A$2:$C$42, 2, 0))) / IF(ISBLANK(O1417), 1, O1417))) * 100</f>
        <v>14.94375</v>
      </c>
      <c r="J1417" s="2" t="n">
        <f aca="false">((H1417 / 800) / (IF(ISBLANK(S1417), 100, IF(ISNA(VLOOKUP(S1417, Lives!$A$2:$C$35, 2, 0)), S1417, VLOOKUP(S1417, Lives!$A$2:$C$35, 2, 0))) * 12) + (IF(ISBLANK(Q1417), 0, IF(ISNA(VLOOKUP(Q1417, Wages!$A$2:$C$17, 2, 0)), Q1417, VLOOKUP(Q1417, Wages!$A$2:$C$17, 2, 0))) * IF(ISBLANK(N1417), 0, IF(ISNA(VLOOKUP(N1417, Crews!$A$2:$C$28, 2, 0)), N1417, VLOOKUP(N1417, Crews!$A$2:$C$28, 2, 0))))) * 400</f>
        <v>51215.27778</v>
      </c>
      <c r="K1417" s="3" t="s">
        <v>2815</v>
      </c>
      <c r="L1417" s="1" t="s">
        <v>2816</v>
      </c>
      <c r="M1417" s="1" t="n">
        <v>0</v>
      </c>
      <c r="N1417" s="1" t="s">
        <v>2342</v>
      </c>
      <c r="O1417" s="1"/>
      <c r="P1417" s="1" t="n">
        <v>0.1</v>
      </c>
      <c r="Q1417" s="1" t="s">
        <v>2229</v>
      </c>
      <c r="R1417" s="1" t="s">
        <v>2229</v>
      </c>
      <c r="S1417" s="1" t="s">
        <v>2229</v>
      </c>
      <c r="T1417" s="1" t="s">
        <v>2572</v>
      </c>
    </row>
    <row r="1418" customFormat="false" ht="15" hidden="false" customHeight="true" outlineLevel="0" collapsed="false">
      <c r="A1418" s="1" t="s">
        <v>2817</v>
      </c>
      <c r="B1418" s="1" t="n">
        <v>1926</v>
      </c>
      <c r="C1418" s="1" t="n">
        <v>7</v>
      </c>
      <c r="D1418" s="1" t="s">
        <v>2225</v>
      </c>
      <c r="E1418" s="1" t="s">
        <v>1839</v>
      </c>
      <c r="F1418" s="1" t="n">
        <v>298</v>
      </c>
      <c r="G1418" s="1" t="n">
        <v>190</v>
      </c>
      <c r="H1418" s="2" t="n">
        <v>1750000</v>
      </c>
      <c r="I1418" s="2" t="n">
        <f aca="false">(((H1418 / 800) / IF(ISBLANK(R1418), 1000000, IF(ISNA(VLOOKUP(R1418, Mileages!$A$2:$C$34, 2, 0)), R1418, VLOOKUP(R1418, Mileages!$A$2:$C$34, 2, 0)))) + (F1418 * IF(ISBLANK(P1418), 1, P1418) * IF(ISBLANK(T1418), 0, IF(ISNA(VLOOKUP(T1418, 'Fuel Costs'!$A$2:$C$42, 2, 0)), T1418, VLOOKUP(T1418, 'Fuel Costs'!$A$2:$C$42, 2, 0))) / IF(ISBLANK(O1418), 1, O1418))) * 100</f>
        <v>14.94375</v>
      </c>
      <c r="J1418" s="2" t="n">
        <f aca="false">((H1418 / 800) / (IF(ISBLANK(S1418), 100, IF(ISNA(VLOOKUP(S1418, Lives!$A$2:$C$35, 2, 0)), S1418, VLOOKUP(S1418, Lives!$A$2:$C$35, 2, 0))) * 12) + (IF(ISBLANK(Q1418), 0, IF(ISNA(VLOOKUP(Q1418, Wages!$A$2:$C$17, 2, 0)), Q1418, VLOOKUP(Q1418, Wages!$A$2:$C$17, 2, 0))) * IF(ISBLANK(N1418), 0, IF(ISNA(VLOOKUP(N1418, Crews!$A$2:$C$28, 2, 0)), N1418, VLOOKUP(N1418, Crews!$A$2:$C$28, 2, 0))))) * 400</f>
        <v>11215.27778</v>
      </c>
      <c r="K1418" s="3" t="s">
        <v>2818</v>
      </c>
      <c r="L1418" s="1" t="s">
        <v>2816</v>
      </c>
      <c r="M1418" s="1" t="n">
        <v>1</v>
      </c>
      <c r="N1418" s="1" t="s">
        <v>25</v>
      </c>
      <c r="O1418" s="1"/>
      <c r="P1418" s="1" t="n">
        <v>0.1</v>
      </c>
      <c r="Q1418" s="1" t="s">
        <v>2229</v>
      </c>
      <c r="R1418" s="1" t="s">
        <v>2229</v>
      </c>
      <c r="S1418" s="1" t="s">
        <v>2229</v>
      </c>
      <c r="T1418" s="1" t="s">
        <v>2572</v>
      </c>
    </row>
    <row r="1419" customFormat="false" ht="15" hidden="false" customHeight="true" outlineLevel="0" collapsed="false">
      <c r="A1419" s="1" t="s">
        <v>2819</v>
      </c>
      <c r="B1419" s="1" t="n">
        <v>1926</v>
      </c>
      <c r="C1419" s="1" t="n">
        <v>8</v>
      </c>
      <c r="D1419" s="1" t="s">
        <v>21</v>
      </c>
      <c r="E1419" s="1" t="s">
        <v>1839</v>
      </c>
      <c r="F1419" s="1" t="n">
        <v>8</v>
      </c>
      <c r="G1419" s="1" t="n">
        <v>42</v>
      </c>
      <c r="H1419" s="2" t="n">
        <v>88500</v>
      </c>
      <c r="I1419" s="2" t="n">
        <f aca="false">(((H1419 / 800) / IF(ISBLANK(R1419), 1000000, IF(ISNA(VLOOKUP(R1419, Mileages!$A$2:$C$34, 2, 0)), R1419, VLOOKUP(R1419, Mileages!$A$2:$C$34, 2, 0)))) + (F1419 * IF(ISBLANK(P1419), 1, P1419) * IF(ISBLANK(T1419), 0, IF(ISNA(VLOOKUP(T1419, 'Fuel Costs'!$A$2:$C$42, 2, 0)), T1419, VLOOKUP(T1419, 'Fuel Costs'!$A$2:$C$42, 2, 0))) / IF(ISBLANK(O1419), 1, O1419))) * 100</f>
        <v>8.022125</v>
      </c>
      <c r="J1419" s="2" t="n">
        <f aca="false">((H1419 / 800) / (IF(ISBLANK(S1419), 100, IF(ISNA(VLOOKUP(S1419, Lives!$A$2:$C$35, 2, 0)), S1419, VLOOKUP(S1419, Lives!$A$2:$C$35, 2, 0))) * 12) + (IF(ISBLANK(Q1419), 0, IF(ISNA(VLOOKUP(Q1419, Wages!$A$2:$C$17, 2, 0)), Q1419, VLOOKUP(Q1419, Wages!$A$2:$C$17, 2, 0))) * IF(ISBLANK(N1419), 0, IF(ISNA(VLOOKUP(N1419, Crews!$A$2:$C$28, 2, 0)), N1419, VLOOKUP(N1419, Crews!$A$2:$C$28, 2, 0))))) * 400</f>
        <v>8046.09375</v>
      </c>
      <c r="K1419" s="1"/>
      <c r="L1419" s="1" t="s">
        <v>2820</v>
      </c>
      <c r="M1419" s="1" t="n">
        <v>0</v>
      </c>
      <c r="N1419" s="1" t="s">
        <v>25</v>
      </c>
      <c r="O1419" s="1" t="n">
        <v>0.6</v>
      </c>
      <c r="P1419" s="1"/>
      <c r="Q1419" s="1" t="s">
        <v>1815</v>
      </c>
      <c r="R1419" s="1" t="s">
        <v>1842</v>
      </c>
      <c r="S1419" s="1" t="s">
        <v>1843</v>
      </c>
      <c r="T1419" s="1" t="s">
        <v>2534</v>
      </c>
    </row>
    <row r="1420" customFormat="false" ht="15" hidden="false" customHeight="true" outlineLevel="0" collapsed="false">
      <c r="A1420" s="1" t="s">
        <v>2821</v>
      </c>
      <c r="B1420" s="1" t="n">
        <v>1926</v>
      </c>
      <c r="C1420" s="1" t="n">
        <v>8</v>
      </c>
      <c r="D1420" s="1" t="s">
        <v>21</v>
      </c>
      <c r="E1420" s="1" t="s">
        <v>1839</v>
      </c>
      <c r="F1420" s="1" t="n">
        <v>8</v>
      </c>
      <c r="G1420" s="1" t="n">
        <v>42</v>
      </c>
      <c r="H1420" s="2" t="n">
        <v>88500</v>
      </c>
      <c r="I1420" s="2" t="n">
        <f aca="false">(((H1420 / 800) / IF(ISBLANK(R1420), 1000000, IF(ISNA(VLOOKUP(R1420, Mileages!$A$2:$C$34, 2, 0)), R1420, VLOOKUP(R1420, Mileages!$A$2:$C$34, 2, 0)))) + (F1420 * IF(ISBLANK(P1420), 1, P1420) * IF(ISBLANK(T1420), 0, IF(ISNA(VLOOKUP(T1420, 'Fuel Costs'!$A$2:$C$42, 2, 0)), T1420, VLOOKUP(T1420, 'Fuel Costs'!$A$2:$C$42, 2, 0))) / IF(ISBLANK(O1420), 1, O1420))) * 100</f>
        <v>8.022125</v>
      </c>
      <c r="J1420" s="2" t="n">
        <f aca="false">((H1420 / 800) / (IF(ISBLANK(S1420), 100, IF(ISNA(VLOOKUP(S1420, Lives!$A$2:$C$35, 2, 0)), S1420, VLOOKUP(S1420, Lives!$A$2:$C$35, 2, 0))) * 12) + (IF(ISBLANK(Q1420), 0, IF(ISNA(VLOOKUP(Q1420, Wages!$A$2:$C$17, 2, 0)), Q1420, VLOOKUP(Q1420, Wages!$A$2:$C$17, 2, 0))) * IF(ISBLANK(N1420), 0, IF(ISNA(VLOOKUP(N1420, Crews!$A$2:$C$28, 2, 0)), N1420, VLOOKUP(N1420, Crews!$A$2:$C$28, 2, 0))))) * 400</f>
        <v>8046.09375</v>
      </c>
      <c r="K1420" s="1"/>
      <c r="L1420" s="1" t="s">
        <v>2820</v>
      </c>
      <c r="M1420" s="1" t="n">
        <v>1</v>
      </c>
      <c r="N1420" s="1" t="s">
        <v>25</v>
      </c>
      <c r="O1420" s="1" t="n">
        <v>0.6</v>
      </c>
      <c r="P1420" s="1"/>
      <c r="Q1420" s="1" t="s">
        <v>1815</v>
      </c>
      <c r="R1420" s="1" t="s">
        <v>1842</v>
      </c>
      <c r="S1420" s="1" t="s">
        <v>1843</v>
      </c>
      <c r="T1420" s="1" t="s">
        <v>2534</v>
      </c>
    </row>
    <row r="1421" customFormat="false" ht="15" hidden="false" customHeight="true" outlineLevel="0" collapsed="false">
      <c r="A1421" s="1" t="s">
        <v>2822</v>
      </c>
      <c r="B1421" s="1" t="n">
        <v>1926</v>
      </c>
      <c r="C1421" s="1" t="n">
        <v>8</v>
      </c>
      <c r="D1421" s="1" t="s">
        <v>21</v>
      </c>
      <c r="E1421" s="1" t="s">
        <v>1839</v>
      </c>
      <c r="F1421" s="1" t="n">
        <v>8</v>
      </c>
      <c r="G1421" s="1" t="n">
        <v>42</v>
      </c>
      <c r="H1421" s="2" t="n">
        <v>88500</v>
      </c>
      <c r="I1421" s="2" t="n">
        <f aca="false">(((H1421 / 800) / IF(ISBLANK(R1421), 1000000, IF(ISNA(VLOOKUP(R1421, Mileages!$A$2:$C$34, 2, 0)), R1421, VLOOKUP(R1421, Mileages!$A$2:$C$34, 2, 0)))) + (F1421 * IF(ISBLANK(P1421), 1, P1421) * IF(ISBLANK(T1421), 0, IF(ISNA(VLOOKUP(T1421, 'Fuel Costs'!$A$2:$C$42, 2, 0)), T1421, VLOOKUP(T1421, 'Fuel Costs'!$A$2:$C$42, 2, 0))) / IF(ISBLANK(O1421), 1, O1421))) * 100</f>
        <v>8.022125</v>
      </c>
      <c r="J1421" s="2" t="n">
        <f aca="false">((H1421 / 800) / (IF(ISBLANK(S1421), 100, IF(ISNA(VLOOKUP(S1421, Lives!$A$2:$C$35, 2, 0)), S1421, VLOOKUP(S1421, Lives!$A$2:$C$35, 2, 0))) * 12) + (IF(ISBLANK(Q1421), 0, IF(ISNA(VLOOKUP(Q1421, Wages!$A$2:$C$17, 2, 0)), Q1421, VLOOKUP(Q1421, Wages!$A$2:$C$17, 2, 0))) * IF(ISBLANK(N1421), 0, IF(ISNA(VLOOKUP(N1421, Crews!$A$2:$C$28, 2, 0)), N1421, VLOOKUP(N1421, Crews!$A$2:$C$28, 2, 0))))) * 400</f>
        <v>8046.09375</v>
      </c>
      <c r="K1421" s="1"/>
      <c r="L1421" s="1" t="s">
        <v>2820</v>
      </c>
      <c r="M1421" s="1" t="n">
        <v>2</v>
      </c>
      <c r="N1421" s="1" t="s">
        <v>25</v>
      </c>
      <c r="O1421" s="1" t="n">
        <v>0.6</v>
      </c>
      <c r="P1421" s="1"/>
      <c r="Q1421" s="1" t="s">
        <v>1815</v>
      </c>
      <c r="R1421" s="1" t="s">
        <v>1842</v>
      </c>
      <c r="S1421" s="1" t="s">
        <v>1843</v>
      </c>
      <c r="T1421" s="1" t="s">
        <v>2534</v>
      </c>
    </row>
    <row r="1422" customFormat="false" ht="15" hidden="false" customHeight="true" outlineLevel="0" collapsed="false">
      <c r="A1422" s="1" t="s">
        <v>2823</v>
      </c>
      <c r="B1422" s="1" t="n">
        <v>1926</v>
      </c>
      <c r="C1422" s="1" t="n">
        <v>8</v>
      </c>
      <c r="D1422" s="1" t="s">
        <v>38</v>
      </c>
      <c r="E1422" s="1" t="s">
        <v>1346</v>
      </c>
      <c r="F1422" s="1" t="n">
        <v>0</v>
      </c>
      <c r="G1422" s="1" t="n">
        <v>110</v>
      </c>
      <c r="H1422" s="2" t="n">
        <v>1663000</v>
      </c>
      <c r="I1422" s="2" t="n">
        <f aca="false">(((H1422 / 800) / IF(ISBLANK(R1422), 1000000, IF(ISNA(VLOOKUP(R1422, Mileages!$A$2:$C$34, 2, 0)), R1422, VLOOKUP(R1422, Mileages!$A$2:$C$34, 2, 0)))) + (F1422 * IF(ISBLANK(P1422), 1, P1422) * IF(ISBLANK(T1422), 0, IF(ISNA(VLOOKUP(T1422, 'Fuel Costs'!$A$2:$C$42, 2, 0)), T1422, VLOOKUP(T1422, 'Fuel Costs'!$A$2:$C$42, 2, 0))) / IF(ISBLANK(O1422), 1, O1422))) * 100</f>
        <v>0.1732291667</v>
      </c>
      <c r="J1422" s="2" t="n">
        <f aca="false">((H1422 / 800) / (IF(ISBLANK(S1422), 100, IF(ISNA(VLOOKUP(S1422, Lives!$A$2:$C$35, 2, 0)), S1422, VLOOKUP(S1422, Lives!$A$2:$C$35, 2, 0))) * 12) + (IF(ISBLANK(Q1422), 0, IF(ISNA(VLOOKUP(Q1422, Wages!$A$2:$C$17, 2, 0)), Q1422, VLOOKUP(Q1422, Wages!$A$2:$C$17, 2, 0))) * IF(ISBLANK(N1422), 0, IF(ISNA(VLOOKUP(N1422, Crews!$A$2:$C$28, 2, 0)), N1422, VLOOKUP(N1422, Crews!$A$2:$C$28, 2, 0))))) * 400</f>
        <v>1979.761905</v>
      </c>
      <c r="K1422" s="3" t="s">
        <v>2824</v>
      </c>
      <c r="L1422" s="1" t="s">
        <v>2825</v>
      </c>
      <c r="M1422" s="1" t="n">
        <v>0</v>
      </c>
      <c r="N1422" s="1"/>
      <c r="O1422" s="1"/>
      <c r="P1422" s="1"/>
      <c r="Q1422" s="1"/>
      <c r="R1422" s="1" t="s">
        <v>689</v>
      </c>
      <c r="S1422" s="1" t="s">
        <v>856</v>
      </c>
      <c r="T1422" s="1"/>
    </row>
    <row r="1423" customFormat="false" ht="15" hidden="false" customHeight="true" outlineLevel="0" collapsed="false">
      <c r="A1423" s="1" t="s">
        <v>2826</v>
      </c>
      <c r="B1423" s="1" t="n">
        <v>1926</v>
      </c>
      <c r="C1423" s="1" t="n">
        <v>8</v>
      </c>
      <c r="D1423" s="1" t="s">
        <v>38</v>
      </c>
      <c r="E1423" s="1" t="s">
        <v>1346</v>
      </c>
      <c r="F1423" s="1" t="n">
        <v>0</v>
      </c>
      <c r="G1423" s="1" t="n">
        <v>110</v>
      </c>
      <c r="H1423" s="2" t="n">
        <v>1663000</v>
      </c>
      <c r="I1423" s="2" t="n">
        <f aca="false">(((H1423 / 800) / IF(ISBLANK(R1423), 1000000, IF(ISNA(VLOOKUP(R1423, Mileages!$A$2:$C$34, 2, 0)), R1423, VLOOKUP(R1423, Mileages!$A$2:$C$34, 2, 0)))) + (F1423 * IF(ISBLANK(P1423), 1, P1423) * IF(ISBLANK(T1423), 0, IF(ISNA(VLOOKUP(T1423, 'Fuel Costs'!$A$2:$C$42, 2, 0)), T1423, VLOOKUP(T1423, 'Fuel Costs'!$A$2:$C$42, 2, 0))) / IF(ISBLANK(O1423), 1, O1423))) * 100</f>
        <v>0.1732291667</v>
      </c>
      <c r="J1423" s="2" t="n">
        <f aca="false">((H1423 / 800) / (IF(ISBLANK(S1423), 100, IF(ISNA(VLOOKUP(S1423, Lives!$A$2:$C$35, 2, 0)), S1423, VLOOKUP(S1423, Lives!$A$2:$C$35, 2, 0))) * 12) + (IF(ISBLANK(Q1423), 0, IF(ISNA(VLOOKUP(Q1423, Wages!$A$2:$C$17, 2, 0)), Q1423, VLOOKUP(Q1423, Wages!$A$2:$C$17, 2, 0))) * IF(ISBLANK(N1423), 0, IF(ISNA(VLOOKUP(N1423, Crews!$A$2:$C$28, 2, 0)), N1423, VLOOKUP(N1423, Crews!$A$2:$C$28, 2, 0))))) * 400</f>
        <v>1979.761905</v>
      </c>
      <c r="K1423" s="1"/>
      <c r="L1423" s="1" t="s">
        <v>2825</v>
      </c>
      <c r="M1423" s="1" t="n">
        <v>1</v>
      </c>
      <c r="N1423" s="1"/>
      <c r="O1423" s="1"/>
      <c r="P1423" s="1"/>
      <c r="Q1423" s="1"/>
      <c r="R1423" s="1" t="s">
        <v>689</v>
      </c>
      <c r="S1423" s="1" t="s">
        <v>856</v>
      </c>
      <c r="T1423" s="1"/>
    </row>
    <row r="1424" customFormat="false" ht="15" hidden="false" customHeight="true" outlineLevel="0" collapsed="false">
      <c r="A1424" s="1" t="s">
        <v>2827</v>
      </c>
      <c r="B1424" s="1" t="n">
        <v>1926</v>
      </c>
      <c r="C1424" s="1" t="n">
        <v>8</v>
      </c>
      <c r="D1424" s="1" t="s">
        <v>38</v>
      </c>
      <c r="E1424" s="1" t="s">
        <v>1346</v>
      </c>
      <c r="F1424" s="1" t="n">
        <v>792</v>
      </c>
      <c r="G1424" s="1" t="n">
        <v>110</v>
      </c>
      <c r="H1424" s="2" t="n">
        <v>1663000</v>
      </c>
      <c r="I1424" s="2" t="n">
        <f aca="false">(((H1424 / 800) / IF(ISBLANK(R1424), 1000000, IF(ISNA(VLOOKUP(R1424, Mileages!$A$2:$C$34, 2, 0)), R1424, VLOOKUP(R1424, Mileages!$A$2:$C$34, 2, 0)))) + (F1424 * IF(ISBLANK(P1424), 1, P1424) * IF(ISBLANK(T1424), 0, IF(ISNA(VLOOKUP(T1424, 'Fuel Costs'!$A$2:$C$42, 2, 0)), T1424, VLOOKUP(T1424, 'Fuel Costs'!$A$2:$C$42, 2, 0))) / IF(ISBLANK(O1424), 1, O1424))) * 100</f>
        <v>317.007875</v>
      </c>
      <c r="J1424" s="2" t="n">
        <f aca="false">((H1424 / 800) / (IF(ISBLANK(S1424), 100, IF(ISNA(VLOOKUP(S1424, Lives!$A$2:$C$35, 2, 0)), S1424, VLOOKUP(S1424, Lives!$A$2:$C$35, 2, 0))) * 12) + (IF(ISBLANK(Q1424), 0, IF(ISNA(VLOOKUP(Q1424, Wages!$A$2:$C$17, 2, 0)), Q1424, VLOOKUP(Q1424, Wages!$A$2:$C$17, 2, 0))) * IF(ISBLANK(N1424), 0, IF(ISNA(VLOOKUP(N1424, Crews!$A$2:$C$28, 2, 0)), N1424, VLOOKUP(N1424, Crews!$A$2:$C$28, 2, 0))))) * 400</f>
        <v>7385.833333</v>
      </c>
      <c r="K1424" s="1"/>
      <c r="L1424" s="1" t="s">
        <v>2825</v>
      </c>
      <c r="M1424" s="1" t="n">
        <v>2</v>
      </c>
      <c r="N1424" s="1" t="s">
        <v>1512</v>
      </c>
      <c r="O1424" s="1" t="n">
        <v>1</v>
      </c>
      <c r="P1424" s="1"/>
      <c r="Q1424" s="1" t="str">
        <f aca="false">IF(ISBLANK('Pak128 Britain In'!$N1424),,'Pak128 Britain In'!$N1424)</f>
        <v>ElectricMultipleUnit</v>
      </c>
      <c r="R1424" s="1" t="s">
        <v>1349</v>
      </c>
      <c r="S1424" s="1" t="s">
        <v>1350</v>
      </c>
      <c r="T1424" s="1" t="s">
        <v>2580</v>
      </c>
    </row>
    <row r="1425" customFormat="false" ht="15" hidden="false" customHeight="true" outlineLevel="0" collapsed="false">
      <c r="A1425" s="1" t="s">
        <v>2828</v>
      </c>
      <c r="B1425" s="1" t="n">
        <v>1926</v>
      </c>
      <c r="C1425" s="1" t="n">
        <v>8</v>
      </c>
      <c r="D1425" s="1" t="s">
        <v>38</v>
      </c>
      <c r="E1425" s="1" t="s">
        <v>274</v>
      </c>
      <c r="F1425" s="1" t="n">
        <v>434</v>
      </c>
      <c r="G1425" s="1" t="n">
        <v>145</v>
      </c>
      <c r="H1425" s="2" t="n">
        <v>8250000</v>
      </c>
      <c r="I1425" s="2" t="n">
        <f aca="false">(((H1425 / 800) / IF(ISBLANK(R1425), 1000000, IF(ISNA(VLOOKUP(R1425, Mileages!$A$2:$C$34, 2, 0)), R1425, VLOOKUP(R1425, Mileages!$A$2:$C$34, 2, 0)))) + (F1425 * IF(ISBLANK(P1425), 1, P1425) * IF(ISBLANK(T1425), 0, IF(ISNA(VLOOKUP(T1425, 'Fuel Costs'!$A$2:$C$42, 2, 0)), T1425, VLOOKUP(T1425, 'Fuel Costs'!$A$2:$C$42, 2, 0))) / IF(ISBLANK(O1425), 1, O1425))) * 100</f>
        <v>249.03125</v>
      </c>
      <c r="J1425" s="2" t="n">
        <f aca="false">((H1425 / 800) / (IF(ISBLANK(S1425), 100, IF(ISNA(VLOOKUP(S1425, Lives!$A$2:$C$35, 2, 0)), S1425, VLOOKUP(S1425, Lives!$A$2:$C$35, 2, 0))) * 12) + (IF(ISBLANK(Q1425), 0, IF(ISNA(VLOOKUP(Q1425, Wages!$A$2:$C$17, 2, 0)), Q1425, VLOOKUP(Q1425, Wages!$A$2:$C$17, 2, 0))) * IF(ISBLANK(N1425), 0, IF(ISNA(VLOOKUP(N1425, Crews!$A$2:$C$28, 2, 0)), N1425, VLOOKUP(N1425, Crews!$A$2:$C$28, 2, 0))))) * 400</f>
        <v>46875</v>
      </c>
      <c r="K1425" s="3" t="s">
        <v>2829</v>
      </c>
      <c r="L1425" s="1" t="s">
        <v>2830</v>
      </c>
      <c r="M1425" s="1" t="n">
        <v>0</v>
      </c>
      <c r="N1425" s="1" t="s">
        <v>1705</v>
      </c>
      <c r="O1425" s="1" t="n">
        <v>0.7</v>
      </c>
      <c r="P1425" s="1"/>
      <c r="Q1425" s="5" t="s">
        <v>284</v>
      </c>
      <c r="R1425" s="1" t="s">
        <v>677</v>
      </c>
      <c r="S1425" s="1" t="s">
        <v>677</v>
      </c>
      <c r="T1425" s="1" t="s">
        <v>2252</v>
      </c>
    </row>
    <row r="1426" customFormat="false" ht="15" hidden="false" customHeight="true" outlineLevel="0" collapsed="false">
      <c r="A1426" s="1" t="s">
        <v>2831</v>
      </c>
      <c r="B1426" s="1" t="n">
        <v>1926</v>
      </c>
      <c r="C1426" s="1" t="n">
        <v>8</v>
      </c>
      <c r="D1426" s="1" t="s">
        <v>38</v>
      </c>
      <c r="E1426" s="1"/>
      <c r="F1426" s="1" t="n">
        <v>0</v>
      </c>
      <c r="G1426" s="1" t="n">
        <v>145</v>
      </c>
      <c r="H1426" s="2" t="n">
        <v>0</v>
      </c>
      <c r="I1426" s="2" t="n">
        <f aca="false">(((H1426 / 800) / IF(ISBLANK(R1426), 1000000, IF(ISNA(VLOOKUP(R1426, Mileages!$A$2:$C$34, 2, 0)), R1426, VLOOKUP(R1426, Mileages!$A$2:$C$34, 2, 0)))) + (F1426 * IF(ISBLANK(P1426), 1, P1426) * IF(ISBLANK(T1426), 0, IF(ISNA(VLOOKUP(T1426, 'Fuel Costs'!$A$2:$C$42, 2, 0)), T1426, VLOOKUP(T1426, 'Fuel Costs'!$A$2:$C$42, 2, 0))) / IF(ISBLANK(O1426), 1, O1426))) * 100</f>
        <v>0</v>
      </c>
      <c r="J1426" s="2" t="n">
        <f aca="false">((H1426 / 800) / (IF(ISBLANK(S1426), 100, IF(ISNA(VLOOKUP(S1426, Lives!$A$2:$C$35, 2, 0)), S1426, VLOOKUP(S1426, Lives!$A$2:$C$35, 2, 0))) * 12) + (IF(ISBLANK(Q1426), 0, IF(ISNA(VLOOKUP(Q1426, Wages!$A$2:$C$17, 2, 0)), Q1426, VLOOKUP(Q1426, Wages!$A$2:$C$17, 2, 0))) * IF(ISBLANK(N1426), 0, IF(ISNA(VLOOKUP(N1426, Crews!$A$2:$C$28, 2, 0)), N1426, VLOOKUP(N1426, Crews!$A$2:$C$28, 2, 0))))) * 400</f>
        <v>0</v>
      </c>
      <c r="K1426" s="1"/>
      <c r="L1426" s="1" t="s">
        <v>2830</v>
      </c>
      <c r="M1426" s="1" t="n">
        <v>1</v>
      </c>
      <c r="N1426" s="1"/>
      <c r="O1426" s="1"/>
      <c r="P1426" s="1"/>
      <c r="Q1426" s="1"/>
      <c r="R1426" s="1"/>
      <c r="S1426" s="1"/>
      <c r="T1426" s="1"/>
    </row>
    <row r="1427" customFormat="false" ht="15" hidden="false" customHeight="true" outlineLevel="0" collapsed="false">
      <c r="A1427" s="1" t="s">
        <v>2832</v>
      </c>
      <c r="B1427" s="1" t="n">
        <v>1926</v>
      </c>
      <c r="C1427" s="1" t="n">
        <v>9</v>
      </c>
      <c r="D1427" s="1" t="s">
        <v>38</v>
      </c>
      <c r="E1427" s="1"/>
      <c r="F1427" s="1"/>
      <c r="G1427" s="1" t="n">
        <v>160</v>
      </c>
      <c r="H1427" s="2" t="n">
        <v>633000</v>
      </c>
      <c r="I1427" s="2" t="n">
        <f aca="false">(((H1427 / 800) / IF(ISBLANK(R1427), 1000000, IF(ISNA(VLOOKUP(R1427, Mileages!$A$2:$C$34, 2, 0)), R1427, VLOOKUP(R1427, Mileages!$A$2:$C$34, 2, 0)))) + (F1427 * IF(ISBLANK(P1427), 1, P1427) * IF(ISBLANK(T1427), 0, IF(ISNA(VLOOKUP(T1427, 'Fuel Costs'!$A$2:$C$42, 2, 0)), T1427, VLOOKUP(T1427, 'Fuel Costs'!$A$2:$C$42, 2, 0))) / IF(ISBLANK(O1427), 1, O1427))) * 100</f>
        <v>0.0659375</v>
      </c>
      <c r="J1427" s="2" t="n">
        <f aca="false">((H1427 / 800) / (IF(ISBLANK(S1427), 100, IF(ISNA(VLOOKUP(S1427, Lives!$A$2:$C$35, 2, 0)), S1427, VLOOKUP(S1427, Lives!$A$2:$C$35, 2, 0))) * 12) + (IF(ISBLANK(Q1427), 0, IF(ISNA(VLOOKUP(Q1427, Wages!$A$2:$C$17, 2, 0)), Q1427, VLOOKUP(Q1427, Wages!$A$2:$C$17, 2, 0))) * IF(ISBLANK(N1427), 0, IF(ISNA(VLOOKUP(N1427, Crews!$A$2:$C$28, 2, 0)), N1427, VLOOKUP(N1427, Crews!$A$2:$C$28, 2, 0))))) * 400</f>
        <v>753.5714286</v>
      </c>
      <c r="K1427" s="1"/>
      <c r="L1427" s="1" t="s">
        <v>2833</v>
      </c>
      <c r="M1427" s="1" t="n">
        <v>0</v>
      </c>
      <c r="N1427" s="1"/>
      <c r="O1427" s="1"/>
      <c r="P1427" s="1"/>
      <c r="Q1427" s="1"/>
      <c r="R1427" s="1" t="s">
        <v>689</v>
      </c>
      <c r="S1427" s="1" t="s">
        <v>856</v>
      </c>
      <c r="T1427" s="1"/>
    </row>
    <row r="1428" customFormat="false" ht="15" hidden="false" customHeight="true" outlineLevel="0" collapsed="false">
      <c r="A1428" s="1" t="s">
        <v>2834</v>
      </c>
      <c r="B1428" s="1" t="n">
        <v>1926</v>
      </c>
      <c r="C1428" s="1" t="n">
        <v>9</v>
      </c>
      <c r="D1428" s="1" t="s">
        <v>38</v>
      </c>
      <c r="E1428" s="1"/>
      <c r="F1428" s="1"/>
      <c r="G1428" s="1" t="n">
        <v>160</v>
      </c>
      <c r="H1428" s="2" t="n">
        <v>675000</v>
      </c>
      <c r="I1428" s="2" t="n">
        <f aca="false">(((H1428 / 800) / IF(ISBLANK(R1428), 1000000, IF(ISNA(VLOOKUP(R1428, Mileages!$A$2:$C$34, 2, 0)), R1428, VLOOKUP(R1428, Mileages!$A$2:$C$34, 2, 0)))) + (F1428 * IF(ISBLANK(P1428), 1, P1428) * IF(ISBLANK(T1428), 0, IF(ISNA(VLOOKUP(T1428, 'Fuel Costs'!$A$2:$C$42, 2, 0)), T1428, VLOOKUP(T1428, 'Fuel Costs'!$A$2:$C$42, 2, 0))) / IF(ISBLANK(O1428), 1, O1428))) * 100</f>
        <v>0.0703125</v>
      </c>
      <c r="J1428" s="2" t="n">
        <f aca="false">((H1428 / 800) / (IF(ISBLANK(S1428), 100, IF(ISNA(VLOOKUP(S1428, Lives!$A$2:$C$35, 2, 0)), S1428, VLOOKUP(S1428, Lives!$A$2:$C$35, 2, 0))) * 12) + (IF(ISBLANK(Q1428), 0, IF(ISNA(VLOOKUP(Q1428, Wages!$A$2:$C$17, 2, 0)), Q1428, VLOOKUP(Q1428, Wages!$A$2:$C$17, 2, 0))) * IF(ISBLANK(N1428), 0, IF(ISNA(VLOOKUP(N1428, Crews!$A$2:$C$28, 2, 0)), N1428, VLOOKUP(N1428, Crews!$A$2:$C$28, 2, 0))))) * 400</f>
        <v>18803.57143</v>
      </c>
      <c r="K1428" s="1"/>
      <c r="L1428" s="1" t="s">
        <v>2833</v>
      </c>
      <c r="M1428" s="1" t="n">
        <v>2</v>
      </c>
      <c r="N1428" s="1" t="s">
        <v>1481</v>
      </c>
      <c r="O1428" s="1"/>
      <c r="P1428" s="1"/>
      <c r="Q1428" s="1" t="s">
        <v>1481</v>
      </c>
      <c r="R1428" s="1" t="s">
        <v>689</v>
      </c>
      <c r="S1428" s="1" t="s">
        <v>856</v>
      </c>
      <c r="T1428" s="1"/>
    </row>
    <row r="1429" customFormat="false" ht="15" hidden="false" customHeight="true" outlineLevel="0" collapsed="false">
      <c r="A1429" s="1" t="s">
        <v>2835</v>
      </c>
      <c r="B1429" s="1" t="n">
        <v>1926</v>
      </c>
      <c r="C1429" s="1" t="n">
        <v>9</v>
      </c>
      <c r="D1429" s="1" t="s">
        <v>38</v>
      </c>
      <c r="E1429" s="1"/>
      <c r="F1429" s="1"/>
      <c r="G1429" s="1" t="n">
        <v>160</v>
      </c>
      <c r="H1429" s="2" t="n">
        <v>650000</v>
      </c>
      <c r="I1429" s="2" t="n">
        <f aca="false">(((H1429 / 800) / IF(ISBLANK(R1429), 1000000, IF(ISNA(VLOOKUP(R1429, Mileages!$A$2:$C$34, 2, 0)), R1429, VLOOKUP(R1429, Mileages!$A$2:$C$34, 2, 0)))) + (F1429 * IF(ISBLANK(P1429), 1, P1429) * IF(ISBLANK(T1429), 0, IF(ISNA(VLOOKUP(T1429, 'Fuel Costs'!$A$2:$C$42, 2, 0)), T1429, VLOOKUP(T1429, 'Fuel Costs'!$A$2:$C$42, 2, 0))) / IF(ISBLANK(O1429), 1, O1429))) * 100</f>
        <v>0.06770833333</v>
      </c>
      <c r="J1429" s="2" t="n">
        <f aca="false">((H1429 / 800) / (IF(ISBLANK(S1429), 100, IF(ISNA(VLOOKUP(S1429, Lives!$A$2:$C$35, 2, 0)), S1429, VLOOKUP(S1429, Lives!$A$2:$C$35, 2, 0))) * 12) + (IF(ISBLANK(Q1429), 0, IF(ISNA(VLOOKUP(Q1429, Wages!$A$2:$C$17, 2, 0)), Q1429, VLOOKUP(Q1429, Wages!$A$2:$C$17, 2, 0))) * IF(ISBLANK(N1429), 0, IF(ISNA(VLOOKUP(N1429, Crews!$A$2:$C$28, 2, 0)), N1429, VLOOKUP(N1429, Crews!$A$2:$C$28, 2, 0))))) * 400</f>
        <v>18773.80952</v>
      </c>
      <c r="K1429" s="1"/>
      <c r="L1429" s="1" t="s">
        <v>2833</v>
      </c>
      <c r="M1429" s="1" t="n">
        <v>3</v>
      </c>
      <c r="N1429" s="1" t="s">
        <v>1481</v>
      </c>
      <c r="O1429" s="1"/>
      <c r="P1429" s="1"/>
      <c r="Q1429" s="1" t="s">
        <v>1481</v>
      </c>
      <c r="R1429" s="1" t="s">
        <v>689</v>
      </c>
      <c r="S1429" s="1" t="s">
        <v>856</v>
      </c>
      <c r="T1429" s="1"/>
    </row>
    <row r="1430" customFormat="false" ht="15" hidden="false" customHeight="true" outlineLevel="0" collapsed="false">
      <c r="A1430" s="1" t="s">
        <v>2836</v>
      </c>
      <c r="B1430" s="1" t="n">
        <v>1926</v>
      </c>
      <c r="C1430" s="1" t="n">
        <v>9</v>
      </c>
      <c r="D1430" s="1" t="s">
        <v>38</v>
      </c>
      <c r="E1430" s="1"/>
      <c r="F1430" s="1"/>
      <c r="G1430" s="1" t="n">
        <v>160</v>
      </c>
      <c r="H1430" s="2" t="n">
        <v>633000</v>
      </c>
      <c r="I1430" s="2" t="n">
        <f aca="false">(((H1430 / 800) / IF(ISBLANK(R1430), 1000000, IF(ISNA(VLOOKUP(R1430, Mileages!$A$2:$C$34, 2, 0)), R1430, VLOOKUP(R1430, Mileages!$A$2:$C$34, 2, 0)))) + (F1430 * IF(ISBLANK(P1430), 1, P1430) * IF(ISBLANK(T1430), 0, IF(ISNA(VLOOKUP(T1430, 'Fuel Costs'!$A$2:$C$42, 2, 0)), T1430, VLOOKUP(T1430, 'Fuel Costs'!$A$2:$C$42, 2, 0))) / IF(ISBLANK(O1430), 1, O1430))) * 100</f>
        <v>0.0659375</v>
      </c>
      <c r="J1430" s="2" t="n">
        <f aca="false">((H1430 / 800) / (IF(ISBLANK(S1430), 100, IF(ISNA(VLOOKUP(S1430, Lives!$A$2:$C$35, 2, 0)), S1430, VLOOKUP(S1430, Lives!$A$2:$C$35, 2, 0))) * 12) + (IF(ISBLANK(Q1430), 0, IF(ISNA(VLOOKUP(Q1430, Wages!$A$2:$C$17, 2, 0)), Q1430, VLOOKUP(Q1430, Wages!$A$2:$C$17, 2, 0))) * IF(ISBLANK(N1430), 0, IF(ISNA(VLOOKUP(N1430, Crews!$A$2:$C$28, 2, 0)), N1430, VLOOKUP(N1430, Crews!$A$2:$C$28, 2, 0))))) * 400</f>
        <v>5553.571429</v>
      </c>
      <c r="K1430" s="1"/>
      <c r="L1430" s="1" t="s">
        <v>2833</v>
      </c>
      <c r="M1430" s="1" t="n">
        <v>4</v>
      </c>
      <c r="N1430" s="1" t="s">
        <v>25</v>
      </c>
      <c r="O1430" s="1"/>
      <c r="P1430" s="1"/>
      <c r="Q1430" s="1" t="s">
        <v>378</v>
      </c>
      <c r="R1430" s="1" t="s">
        <v>689</v>
      </c>
      <c r="S1430" s="1" t="s">
        <v>856</v>
      </c>
      <c r="T1430" s="1"/>
    </row>
    <row r="1431" customFormat="false" ht="15" hidden="false" customHeight="true" outlineLevel="0" collapsed="false">
      <c r="A1431" s="1" t="s">
        <v>2837</v>
      </c>
      <c r="B1431" s="1" t="n">
        <v>1926</v>
      </c>
      <c r="C1431" s="1" t="n">
        <v>9</v>
      </c>
      <c r="D1431" s="1" t="s">
        <v>38</v>
      </c>
      <c r="E1431" s="1"/>
      <c r="F1431" s="1"/>
      <c r="G1431" s="1" t="n">
        <v>160</v>
      </c>
      <c r="H1431" s="2" t="n">
        <v>633000</v>
      </c>
      <c r="I1431" s="2" t="n">
        <f aca="false">(((H1431 / 800) / IF(ISBLANK(R1431), 1000000, IF(ISNA(VLOOKUP(R1431, Mileages!$A$2:$C$34, 2, 0)), R1431, VLOOKUP(R1431, Mileages!$A$2:$C$34, 2, 0)))) + (F1431 * IF(ISBLANK(P1431), 1, P1431) * IF(ISBLANK(T1431), 0, IF(ISNA(VLOOKUP(T1431, 'Fuel Costs'!$A$2:$C$42, 2, 0)), T1431, VLOOKUP(T1431, 'Fuel Costs'!$A$2:$C$42, 2, 0))) / IF(ISBLANK(O1431), 1, O1431))) * 100</f>
        <v>0.0659375</v>
      </c>
      <c r="J1431" s="2" t="n">
        <f aca="false">((H1431 / 800) / (IF(ISBLANK(S1431), 100, IF(ISNA(VLOOKUP(S1431, Lives!$A$2:$C$35, 2, 0)), S1431, VLOOKUP(S1431, Lives!$A$2:$C$35, 2, 0))) * 12) + (IF(ISBLANK(Q1431), 0, IF(ISNA(VLOOKUP(Q1431, Wages!$A$2:$C$17, 2, 0)), Q1431, VLOOKUP(Q1431, Wages!$A$2:$C$17, 2, 0))) * IF(ISBLANK(N1431), 0, IF(ISNA(VLOOKUP(N1431, Crews!$A$2:$C$28, 2, 0)), N1431, VLOOKUP(N1431, Crews!$A$2:$C$28, 2, 0))))) * 400</f>
        <v>5553.571429</v>
      </c>
      <c r="K1431" s="1"/>
      <c r="L1431" s="1" t="s">
        <v>2833</v>
      </c>
      <c r="M1431" s="1" t="n">
        <v>5</v>
      </c>
      <c r="N1431" s="1" t="s">
        <v>25</v>
      </c>
      <c r="O1431" s="1"/>
      <c r="P1431" s="1"/>
      <c r="Q1431" s="1" t="s">
        <v>378</v>
      </c>
      <c r="R1431" s="1" t="s">
        <v>689</v>
      </c>
      <c r="S1431" s="1" t="s">
        <v>856</v>
      </c>
      <c r="T1431" s="1"/>
    </row>
    <row r="1432" customFormat="false" ht="15" hidden="false" customHeight="true" outlineLevel="0" collapsed="false">
      <c r="A1432" s="1" t="s">
        <v>2838</v>
      </c>
      <c r="B1432" s="1" t="n">
        <v>1926</v>
      </c>
      <c r="C1432" s="1" t="n">
        <v>9</v>
      </c>
      <c r="D1432" s="1" t="s">
        <v>38</v>
      </c>
      <c r="E1432" s="1"/>
      <c r="F1432" s="1"/>
      <c r="G1432" s="1" t="n">
        <v>160</v>
      </c>
      <c r="H1432" s="2" t="n">
        <v>633000</v>
      </c>
      <c r="I1432" s="2" t="n">
        <f aca="false">(((H1432 / 800) / IF(ISBLANK(R1432), 1000000, IF(ISNA(VLOOKUP(R1432, Mileages!$A$2:$C$34, 2, 0)), R1432, VLOOKUP(R1432, Mileages!$A$2:$C$34, 2, 0)))) + (F1432 * IF(ISBLANK(P1432), 1, P1432) * IF(ISBLANK(T1432), 0, IF(ISNA(VLOOKUP(T1432, 'Fuel Costs'!$A$2:$C$42, 2, 0)), T1432, VLOOKUP(T1432, 'Fuel Costs'!$A$2:$C$42, 2, 0))) / IF(ISBLANK(O1432), 1, O1432))) * 100</f>
        <v>0.0659375</v>
      </c>
      <c r="J1432" s="2" t="n">
        <f aca="false">((H1432 / 800) / (IF(ISBLANK(S1432), 100, IF(ISNA(VLOOKUP(S1432, Lives!$A$2:$C$35, 2, 0)), S1432, VLOOKUP(S1432, Lives!$A$2:$C$35, 2, 0))) * 12) + (IF(ISBLANK(Q1432), 0, IF(ISNA(VLOOKUP(Q1432, Wages!$A$2:$C$17, 2, 0)), Q1432, VLOOKUP(Q1432, Wages!$A$2:$C$17, 2, 0))) * IF(ISBLANK(N1432), 0, IF(ISNA(VLOOKUP(N1432, Crews!$A$2:$C$28, 2, 0)), N1432, VLOOKUP(N1432, Crews!$A$2:$C$28, 2, 0))))) * 400</f>
        <v>263.75</v>
      </c>
      <c r="K1432" s="1"/>
      <c r="L1432" s="1" t="s">
        <v>2833</v>
      </c>
      <c r="M1432" s="1" t="n">
        <v>8</v>
      </c>
      <c r="N1432" s="1"/>
      <c r="O1432" s="1"/>
      <c r="P1432" s="1"/>
      <c r="Q1432" s="1"/>
      <c r="R1432" s="1" t="s">
        <v>689</v>
      </c>
      <c r="S1432" s="5" t="s">
        <v>389</v>
      </c>
      <c r="T1432" s="1"/>
    </row>
    <row r="1433" customFormat="false" ht="15" hidden="false" customHeight="true" outlineLevel="0" collapsed="false">
      <c r="A1433" s="1" t="s">
        <v>2839</v>
      </c>
      <c r="B1433" s="1" t="n">
        <v>1926</v>
      </c>
      <c r="C1433" s="1" t="n">
        <v>9</v>
      </c>
      <c r="D1433" s="1" t="s">
        <v>38</v>
      </c>
      <c r="E1433" s="1"/>
      <c r="F1433" s="1"/>
      <c r="G1433" s="1" t="n">
        <v>160</v>
      </c>
      <c r="H1433" s="2" t="n">
        <v>675000</v>
      </c>
      <c r="I1433" s="2" t="n">
        <f aca="false">(((H1433 / 800) / IF(ISBLANK(R1433), 1000000, IF(ISNA(VLOOKUP(R1433, Mileages!$A$2:$C$34, 2, 0)), R1433, VLOOKUP(R1433, Mileages!$A$2:$C$34, 2, 0)))) + (F1433 * IF(ISBLANK(P1433), 1, P1433) * IF(ISBLANK(T1433), 0, IF(ISNA(VLOOKUP(T1433, 'Fuel Costs'!$A$2:$C$42, 2, 0)), T1433, VLOOKUP(T1433, 'Fuel Costs'!$A$2:$C$42, 2, 0))) / IF(ISBLANK(O1433), 1, O1433))) * 100</f>
        <v>0.0703125</v>
      </c>
      <c r="J1433" s="2" t="n">
        <f aca="false">((H1433 / 800) / (IF(ISBLANK(S1433), 100, IF(ISNA(VLOOKUP(S1433, Lives!$A$2:$C$35, 2, 0)), S1433, VLOOKUP(S1433, Lives!$A$2:$C$35, 2, 0))) * 12) + (IF(ISBLANK(Q1433), 0, IF(ISNA(VLOOKUP(Q1433, Wages!$A$2:$C$17, 2, 0)), Q1433, VLOOKUP(Q1433, Wages!$A$2:$C$17, 2, 0))) * IF(ISBLANK(N1433), 0, IF(ISNA(VLOOKUP(N1433, Crews!$A$2:$C$28, 2, 0)), N1433, VLOOKUP(N1433, Crews!$A$2:$C$28, 2, 0))))) * 400</f>
        <v>24281.25</v>
      </c>
      <c r="K1433" s="1"/>
      <c r="L1433" s="1" t="s">
        <v>2833</v>
      </c>
      <c r="M1433" s="1" t="n">
        <v>9</v>
      </c>
      <c r="N1433" s="1" t="s">
        <v>551</v>
      </c>
      <c r="O1433" s="1"/>
      <c r="P1433" s="1"/>
      <c r="Q1433" s="1" t="s">
        <v>551</v>
      </c>
      <c r="R1433" s="1" t="s">
        <v>689</v>
      </c>
      <c r="S1433" s="1" t="s">
        <v>389</v>
      </c>
      <c r="T1433" s="1"/>
    </row>
    <row r="1434" customFormat="false" ht="15" hidden="false" customHeight="true" outlineLevel="0" collapsed="false">
      <c r="A1434" s="1" t="s">
        <v>2840</v>
      </c>
      <c r="B1434" s="1" t="n">
        <v>1927</v>
      </c>
      <c r="C1434" s="1" t="n">
        <v>1</v>
      </c>
      <c r="D1434" s="1" t="s">
        <v>29</v>
      </c>
      <c r="E1434" s="1" t="s">
        <v>2039</v>
      </c>
      <c r="F1434" s="1" t="n">
        <v>1250</v>
      </c>
      <c r="G1434" s="1" t="n">
        <v>30</v>
      </c>
      <c r="H1434" s="2" t="n">
        <v>273750</v>
      </c>
      <c r="I1434" s="2" t="n">
        <f aca="false">(((H1434 / 800) / IF(ISBLANK(R1434), 1000000, IF(ISNA(VLOOKUP(R1434, Mileages!$A$2:$C$34, 2, 0)), R1434, VLOOKUP(R1434, Mileages!$A$2:$C$34, 2, 0)))) + (F1434 * IF(ISBLANK(P1434), 1, P1434) * IF(ISBLANK(T1434), 0, IF(ISNA(VLOOKUP(T1434, 'Fuel Costs'!$A$2:$C$42, 2, 0)), T1434, VLOOKUP(T1434, 'Fuel Costs'!$A$2:$C$42, 2, 0))) / IF(ISBLANK(O1434), 1, O1434))) * 100</f>
        <v>25.01710938</v>
      </c>
      <c r="J1434" s="2" t="n">
        <f aca="false">((H1434 / 800) / (IF(ISBLANK(S1434), 100, IF(ISNA(VLOOKUP(S1434, Lives!$A$2:$C$35, 2, 0)), S1434, VLOOKUP(S1434, Lives!$A$2:$C$35, 2, 0))) * 12) + (IF(ISBLANK(Q1434), 0, IF(ISNA(VLOOKUP(Q1434, Wages!$A$2:$C$17, 2, 0)), Q1434, VLOOKUP(Q1434, Wages!$A$2:$C$17, 2, 0))) * IF(ISBLANK(N1434), 0, IF(ISNA(VLOOKUP(N1434, Crews!$A$2:$C$28, 2, 0)), N1434, VLOOKUP(N1434, Crews!$A$2:$C$28, 2, 0))))) * 400</f>
        <v>16114.0625</v>
      </c>
      <c r="K1434" s="3" t="s">
        <v>935</v>
      </c>
      <c r="L1434" s="1" t="s">
        <v>936</v>
      </c>
      <c r="M1434" s="1" t="n">
        <v>0</v>
      </c>
      <c r="N1434" s="1" t="s">
        <v>33</v>
      </c>
      <c r="O1434" s="1" t="n">
        <v>0.5</v>
      </c>
      <c r="P1434" s="1" t="n">
        <v>0.02</v>
      </c>
      <c r="Q1434" s="1" t="s">
        <v>34</v>
      </c>
      <c r="R1434" s="1" t="s">
        <v>574</v>
      </c>
      <c r="S1434" s="1" t="s">
        <v>574</v>
      </c>
      <c r="T1434" s="1" t="s">
        <v>2041</v>
      </c>
    </row>
    <row r="1435" customFormat="false" ht="15" hidden="false" customHeight="true" outlineLevel="0" collapsed="false">
      <c r="A1435" s="1" t="s">
        <v>2841</v>
      </c>
      <c r="B1435" s="1" t="n">
        <v>1927</v>
      </c>
      <c r="C1435" s="1" t="n">
        <v>1</v>
      </c>
      <c r="D1435" s="1" t="s">
        <v>38</v>
      </c>
      <c r="E1435" s="1" t="s">
        <v>1346</v>
      </c>
      <c r="F1435" s="1" t="n">
        <v>410</v>
      </c>
      <c r="G1435" s="1" t="n">
        <v>65</v>
      </c>
      <c r="H1435" s="2" t="n">
        <v>4600000</v>
      </c>
      <c r="I1435" s="2" t="n">
        <f aca="false">(((H1435 / 800) / IF(ISBLANK(R1435), 1000000, IF(ISNA(VLOOKUP(R1435, Mileages!$A$2:$C$34, 2, 0)), R1435, VLOOKUP(R1435, Mileages!$A$2:$C$34, 2, 0)))) + (F1435 * IF(ISBLANK(P1435), 1, P1435) * IF(ISBLANK(T1435), 0, IF(ISNA(VLOOKUP(T1435, 'Fuel Costs'!$A$2:$C$42, 2, 0)), T1435, VLOOKUP(T1435, 'Fuel Costs'!$A$2:$C$42, 2, 0))) / IF(ISBLANK(O1435), 1, O1435))) * 100</f>
        <v>164.575</v>
      </c>
      <c r="J1435" s="2" t="n">
        <f aca="false">((H1435 / 800) / (IF(ISBLANK(S1435), 100, IF(ISNA(VLOOKUP(S1435, Lives!$A$2:$C$35, 2, 0)), S1435, VLOOKUP(S1435, Lives!$A$2:$C$35, 2, 0))) * 12) + (IF(ISBLANK(Q1435), 0, IF(ISNA(VLOOKUP(Q1435, Wages!$A$2:$C$17, 2, 0)), Q1435, VLOOKUP(Q1435, Wages!$A$2:$C$17, 2, 0))) * IF(ISBLANK(N1435), 0, IF(ISNA(VLOOKUP(N1435, Crews!$A$2:$C$28, 2, 0)), N1435, VLOOKUP(N1435, Crews!$A$2:$C$28, 2, 0))))) * 400</f>
        <v>9833.333333</v>
      </c>
      <c r="K1435" s="3" t="s">
        <v>2842</v>
      </c>
      <c r="L1435" s="1" t="s">
        <v>2843</v>
      </c>
      <c r="M1435" s="1" t="n">
        <v>0</v>
      </c>
      <c r="N1435" s="1" t="s">
        <v>1512</v>
      </c>
      <c r="O1435" s="1" t="n">
        <v>1</v>
      </c>
      <c r="P1435" s="1"/>
      <c r="Q1435" s="1" t="str">
        <f aca="false">IF(ISBLANK('Pak128 Britain In'!$N1435),,'Pak128 Britain In'!$N1435)</f>
        <v>ElectricMultipleUnit</v>
      </c>
      <c r="R1435" s="1" t="s">
        <v>1349</v>
      </c>
      <c r="S1435" s="1" t="s">
        <v>1350</v>
      </c>
      <c r="T1435" s="1" t="s">
        <v>2580</v>
      </c>
    </row>
    <row r="1436" customFormat="false" ht="15" hidden="false" customHeight="true" outlineLevel="0" collapsed="false">
      <c r="A1436" s="1" t="s">
        <v>2844</v>
      </c>
      <c r="B1436" s="1" t="n">
        <v>1927</v>
      </c>
      <c r="C1436" s="1" t="n">
        <v>1</v>
      </c>
      <c r="D1436" s="1" t="s">
        <v>38</v>
      </c>
      <c r="E1436" s="1" t="s">
        <v>1346</v>
      </c>
      <c r="F1436" s="1" t="n">
        <v>0</v>
      </c>
      <c r="G1436" s="1" t="n">
        <v>65</v>
      </c>
      <c r="H1436" s="2" t="n">
        <v>875000</v>
      </c>
      <c r="I1436" s="2" t="n">
        <f aca="false">(((H1436 / 800) / IF(ISBLANK(R1436), 1000000, IF(ISNA(VLOOKUP(R1436, Mileages!$A$2:$C$34, 2, 0)), R1436, VLOOKUP(R1436, Mileages!$A$2:$C$34, 2, 0)))) + (F1436 * IF(ISBLANK(P1436), 1, P1436) * IF(ISBLANK(T1436), 0, IF(ISNA(VLOOKUP(T1436, 'Fuel Costs'!$A$2:$C$42, 2, 0)), T1436, VLOOKUP(T1436, 'Fuel Costs'!$A$2:$C$42, 2, 0))) / IF(ISBLANK(O1436), 1, O1436))) * 100</f>
        <v>0.09114583333</v>
      </c>
      <c r="J1436" s="2" t="n">
        <f aca="false">((H1436 / 800) / (IF(ISBLANK(S1436), 100, IF(ISNA(VLOOKUP(S1436, Lives!$A$2:$C$35, 2, 0)), S1436, VLOOKUP(S1436, Lives!$A$2:$C$35, 2, 0))) * 12) + (IF(ISBLANK(Q1436), 0, IF(ISNA(VLOOKUP(Q1436, Wages!$A$2:$C$17, 2, 0)), Q1436, VLOOKUP(Q1436, Wages!$A$2:$C$17, 2, 0))) * IF(ISBLANK(N1436), 0, IF(ISNA(VLOOKUP(N1436, Crews!$A$2:$C$28, 2, 0)), N1436, VLOOKUP(N1436, Crews!$A$2:$C$28, 2, 0))))) * 400</f>
        <v>1041.666667</v>
      </c>
      <c r="K1436" s="1"/>
      <c r="L1436" s="1" t="s">
        <v>2843</v>
      </c>
      <c r="M1436" s="1" t="n">
        <v>1</v>
      </c>
      <c r="N1436" s="1"/>
      <c r="O1436" s="1"/>
      <c r="P1436" s="1"/>
      <c r="Q1436" s="1"/>
      <c r="R1436" s="1" t="s">
        <v>689</v>
      </c>
      <c r="S1436" s="1" t="s">
        <v>856</v>
      </c>
      <c r="T1436" s="1"/>
    </row>
    <row r="1437" customFormat="false" ht="15" hidden="false" customHeight="true" outlineLevel="0" collapsed="false">
      <c r="A1437" s="1" t="s">
        <v>2845</v>
      </c>
      <c r="B1437" s="1" t="n">
        <v>1927</v>
      </c>
      <c r="C1437" s="1" t="n">
        <v>1</v>
      </c>
      <c r="D1437" s="1" t="s">
        <v>38</v>
      </c>
      <c r="E1437" s="1" t="s">
        <v>1346</v>
      </c>
      <c r="F1437" s="1" t="n">
        <v>410</v>
      </c>
      <c r="G1437" s="1" t="n">
        <v>65</v>
      </c>
      <c r="H1437" s="2" t="n">
        <v>4600000</v>
      </c>
      <c r="I1437" s="2" t="n">
        <f aca="false">(((H1437 / 800) / IF(ISBLANK(R1437), 1000000, IF(ISNA(VLOOKUP(R1437, Mileages!$A$2:$C$34, 2, 0)), R1437, VLOOKUP(R1437, Mileages!$A$2:$C$34, 2, 0)))) + (F1437 * IF(ISBLANK(P1437), 1, P1437) * IF(ISBLANK(T1437), 0, IF(ISNA(VLOOKUP(T1437, 'Fuel Costs'!$A$2:$C$42, 2, 0)), T1437, VLOOKUP(T1437, 'Fuel Costs'!$A$2:$C$42, 2, 0))) / IF(ISBLANK(O1437), 1, O1437))) * 100</f>
        <v>164.575</v>
      </c>
      <c r="J1437" s="2" t="n">
        <f aca="false">((H1437 / 800) / (IF(ISBLANK(S1437), 100, IF(ISNA(VLOOKUP(S1437, Lives!$A$2:$C$35, 2, 0)), S1437, VLOOKUP(S1437, Lives!$A$2:$C$35, 2, 0))) * 12) + (IF(ISBLANK(Q1437), 0, IF(ISNA(VLOOKUP(Q1437, Wages!$A$2:$C$17, 2, 0)), Q1437, VLOOKUP(Q1437, Wages!$A$2:$C$17, 2, 0))) * IF(ISBLANK(N1437), 0, IF(ISNA(VLOOKUP(N1437, Crews!$A$2:$C$28, 2, 0)), N1437, VLOOKUP(N1437, Crews!$A$2:$C$28, 2, 0))))) * 400</f>
        <v>9833.333333</v>
      </c>
      <c r="K1437" s="1" t="s">
        <v>437</v>
      </c>
      <c r="L1437" s="1" t="s">
        <v>2843</v>
      </c>
      <c r="M1437" s="1" t="n">
        <v>2</v>
      </c>
      <c r="N1437" s="1" t="s">
        <v>1512</v>
      </c>
      <c r="O1437" s="1" t="n">
        <v>1</v>
      </c>
      <c r="P1437" s="1"/>
      <c r="Q1437" s="1" t="str">
        <f aca="false">IF(ISBLANK('Pak128 Britain In'!$N1437),,'Pak128 Britain In'!$N1437)</f>
        <v>ElectricMultipleUnit</v>
      </c>
      <c r="R1437" s="1" t="s">
        <v>1349</v>
      </c>
      <c r="S1437" s="1" t="s">
        <v>1350</v>
      </c>
      <c r="T1437" s="1" t="s">
        <v>2580</v>
      </c>
    </row>
    <row r="1438" customFormat="false" ht="15" hidden="false" customHeight="true" outlineLevel="0" collapsed="false">
      <c r="A1438" s="1" t="s">
        <v>2846</v>
      </c>
      <c r="B1438" s="1" t="n">
        <v>1927</v>
      </c>
      <c r="C1438" s="1" t="n">
        <v>4</v>
      </c>
      <c r="D1438" s="1" t="s">
        <v>38</v>
      </c>
      <c r="E1438" s="1" t="s">
        <v>274</v>
      </c>
      <c r="F1438" s="1" t="n">
        <v>623</v>
      </c>
      <c r="G1438" s="1" t="n">
        <v>155</v>
      </c>
      <c r="H1438" s="2" t="n">
        <v>6975000</v>
      </c>
      <c r="I1438" s="2" t="n">
        <f aca="false">(((H1438 / 800) / IF(ISBLANK(R1438), 1000000, IF(ISNA(VLOOKUP(R1438, Mileages!$A$2:$C$34, 2, 0)), R1438, VLOOKUP(R1438, Mileages!$A$2:$C$34, 2, 0)))) + (F1438 * IF(ISBLANK(P1438), 1, P1438) * IF(ISBLANK(T1438), 0, IF(ISNA(VLOOKUP(T1438, 'Fuel Costs'!$A$2:$C$42, 2, 0)), T1438, VLOOKUP(T1438, 'Fuel Costs'!$A$2:$C$42, 2, 0))) / IF(ISBLANK(O1438), 1, O1438))) * 100</f>
        <v>357.453125</v>
      </c>
      <c r="J1438" s="2" t="n">
        <f aca="false">((H1438 / 800) / (IF(ISBLANK(S1438), 100, IF(ISNA(VLOOKUP(S1438, Lives!$A$2:$C$35, 2, 0)), S1438, VLOOKUP(S1438, Lives!$A$2:$C$35, 2, 0))) * 12) + (IF(ISBLANK(Q1438), 0, IF(ISNA(VLOOKUP(Q1438, Wages!$A$2:$C$17, 2, 0)), Q1438, VLOOKUP(Q1438, Wages!$A$2:$C$17, 2, 0))) * IF(ISBLANK(N1438), 0, IF(ISNA(VLOOKUP(N1438, Crews!$A$2:$C$28, 2, 0)), N1438, VLOOKUP(N1438, Crews!$A$2:$C$28, 2, 0))))) * 400</f>
        <v>54531.25</v>
      </c>
      <c r="K1438" s="3" t="s">
        <v>2847</v>
      </c>
      <c r="L1438" s="1" t="s">
        <v>2848</v>
      </c>
      <c r="M1438" s="1" t="n">
        <v>0</v>
      </c>
      <c r="N1438" s="1" t="s">
        <v>1705</v>
      </c>
      <c r="O1438" s="1" t="n">
        <v>0.7</v>
      </c>
      <c r="P1438" s="1"/>
      <c r="Q1438" s="5" t="s">
        <v>284</v>
      </c>
      <c r="R1438" s="1" t="s">
        <v>2617</v>
      </c>
      <c r="S1438" s="1" t="s">
        <v>2617</v>
      </c>
      <c r="T1438" s="1" t="s">
        <v>2252</v>
      </c>
    </row>
    <row r="1439" customFormat="false" ht="15" hidden="false" customHeight="true" outlineLevel="0" collapsed="false">
      <c r="A1439" s="1" t="s">
        <v>2849</v>
      </c>
      <c r="B1439" s="1" t="n">
        <v>1927</v>
      </c>
      <c r="C1439" s="1" t="n">
        <v>4</v>
      </c>
      <c r="D1439" s="1" t="s">
        <v>38</v>
      </c>
      <c r="E1439" s="1"/>
      <c r="F1439" s="1" t="n">
        <v>0</v>
      </c>
      <c r="G1439" s="1" t="n">
        <v>155</v>
      </c>
      <c r="H1439" s="2" t="n">
        <v>0</v>
      </c>
      <c r="I1439" s="2" t="n">
        <f aca="false">(((H1439 / 800) / IF(ISBLANK(R1439), 1000000, IF(ISNA(VLOOKUP(R1439, Mileages!$A$2:$C$34, 2, 0)), R1439, VLOOKUP(R1439, Mileages!$A$2:$C$34, 2, 0)))) + (F1439 * IF(ISBLANK(P1439), 1, P1439) * IF(ISBLANK(T1439), 0, IF(ISNA(VLOOKUP(T1439, 'Fuel Costs'!$A$2:$C$42, 2, 0)), T1439, VLOOKUP(T1439, 'Fuel Costs'!$A$2:$C$42, 2, 0))) / IF(ISBLANK(O1439), 1, O1439))) * 100</f>
        <v>0</v>
      </c>
      <c r="J1439" s="2" t="n">
        <f aca="false">((H1439 / 800) / (IF(ISBLANK(S1439), 100, IF(ISNA(VLOOKUP(S1439, Lives!$A$2:$C$35, 2, 0)), S1439, VLOOKUP(S1439, Lives!$A$2:$C$35, 2, 0))) * 12) + (IF(ISBLANK(Q1439), 0, IF(ISNA(VLOOKUP(Q1439, Wages!$A$2:$C$17, 2, 0)), Q1439, VLOOKUP(Q1439, Wages!$A$2:$C$17, 2, 0))) * IF(ISBLANK(N1439), 0, IF(ISNA(VLOOKUP(N1439, Crews!$A$2:$C$28, 2, 0)), N1439, VLOOKUP(N1439, Crews!$A$2:$C$28, 2, 0))))) * 400</f>
        <v>0</v>
      </c>
      <c r="K1439" s="1"/>
      <c r="L1439" s="1" t="s">
        <v>2848</v>
      </c>
      <c r="M1439" s="1" t="n">
        <v>1</v>
      </c>
      <c r="N1439" s="1"/>
      <c r="O1439" s="1"/>
      <c r="P1439" s="1"/>
      <c r="Q1439" s="1"/>
      <c r="R1439" s="1"/>
      <c r="S1439" s="1"/>
      <c r="T1439" s="1"/>
    </row>
    <row r="1440" customFormat="false" ht="15" hidden="false" customHeight="true" outlineLevel="0" collapsed="false">
      <c r="A1440" s="1" t="s">
        <v>2850</v>
      </c>
      <c r="B1440" s="1" t="n">
        <v>1927</v>
      </c>
      <c r="C1440" s="1" t="n">
        <v>4</v>
      </c>
      <c r="D1440" s="1" t="s">
        <v>38</v>
      </c>
      <c r="E1440" s="1" t="s">
        <v>274</v>
      </c>
      <c r="F1440" s="1" t="n">
        <v>609</v>
      </c>
      <c r="G1440" s="1" t="n">
        <v>80</v>
      </c>
      <c r="H1440" s="2" t="n">
        <v>12672000</v>
      </c>
      <c r="I1440" s="2" t="n">
        <f aca="false">(((H1440 / 800) / IF(ISBLANK(R1440), 1000000, IF(ISNA(VLOOKUP(R1440, Mileages!$A$2:$C$34, 2, 0)), R1440, VLOOKUP(R1440, Mileages!$A$2:$C$34, 2, 0)))) + (F1440 * IF(ISBLANK(P1440), 1, P1440) * IF(ISBLANK(T1440), 0, IF(ISNA(VLOOKUP(T1440, 'Fuel Costs'!$A$2:$C$42, 2, 0)), T1440, VLOOKUP(T1440, 'Fuel Costs'!$A$2:$C$42, 2, 0))) / IF(ISBLANK(O1440), 1, O1440))) * 100</f>
        <v>350.64</v>
      </c>
      <c r="J1440" s="2" t="n">
        <f aca="false">((H1440 / 800) / (IF(ISBLANK(S1440), 100, IF(ISNA(VLOOKUP(S1440, Lives!$A$2:$C$35, 2, 0)), S1440, VLOOKUP(S1440, Lives!$A$2:$C$35, 2, 0))) * 12) + (IF(ISBLANK(Q1440), 0, IF(ISNA(VLOOKUP(Q1440, Wages!$A$2:$C$17, 2, 0)), Q1440, VLOOKUP(Q1440, Wages!$A$2:$C$17, 2, 0))) * IF(ISBLANK(N1440), 0, IF(ISNA(VLOOKUP(N1440, Crews!$A$2:$C$28, 2, 0)), N1440, VLOOKUP(N1440, Crews!$A$2:$C$28, 2, 0))))) * 400</f>
        <v>66400</v>
      </c>
      <c r="K1440" s="3" t="s">
        <v>2851</v>
      </c>
      <c r="L1440" s="1" t="s">
        <v>2852</v>
      </c>
      <c r="M1440" s="1" t="n">
        <v>0</v>
      </c>
      <c r="N1440" s="1" t="s">
        <v>1705</v>
      </c>
      <c r="O1440" s="1" t="n">
        <v>0.7</v>
      </c>
      <c r="P1440" s="1"/>
      <c r="Q1440" s="5" t="s">
        <v>284</v>
      </c>
      <c r="R1440" s="1" t="s">
        <v>2617</v>
      </c>
      <c r="S1440" s="1" t="s">
        <v>2617</v>
      </c>
      <c r="T1440" s="1" t="s">
        <v>2252</v>
      </c>
    </row>
    <row r="1441" customFormat="false" ht="15" hidden="false" customHeight="true" outlineLevel="0" collapsed="false">
      <c r="A1441" s="1" t="s">
        <v>2853</v>
      </c>
      <c r="B1441" s="1" t="n">
        <v>1927</v>
      </c>
      <c r="C1441" s="1" t="n">
        <v>4</v>
      </c>
      <c r="D1441" s="1" t="s">
        <v>38</v>
      </c>
      <c r="E1441" s="1" t="s">
        <v>274</v>
      </c>
      <c r="F1441" s="1" t="n">
        <v>0</v>
      </c>
      <c r="G1441" s="1" t="n">
        <v>80</v>
      </c>
      <c r="H1441" s="2" t="n">
        <v>0</v>
      </c>
      <c r="I1441" s="2" t="n">
        <f aca="false">(((H1441 / 800) / IF(ISBLANK(R1441), 1000000, IF(ISNA(VLOOKUP(R1441, Mileages!$A$2:$C$34, 2, 0)), R1441, VLOOKUP(R1441, Mileages!$A$2:$C$34, 2, 0)))) + (F1441 * IF(ISBLANK(P1441), 1, P1441) * IF(ISBLANK(T1441), 0, IF(ISNA(VLOOKUP(T1441, 'Fuel Costs'!$A$2:$C$42, 2, 0)), T1441, VLOOKUP(T1441, 'Fuel Costs'!$A$2:$C$42, 2, 0))) / IF(ISBLANK(O1441), 1, O1441))) * 100</f>
        <v>0</v>
      </c>
      <c r="J1441" s="2" t="n">
        <f aca="false">((H1441 / 800) / (IF(ISBLANK(S1441), 100, IF(ISNA(VLOOKUP(S1441, Lives!$A$2:$C$35, 2, 0)), S1441, VLOOKUP(S1441, Lives!$A$2:$C$35, 2, 0))) * 12) + (IF(ISBLANK(Q1441), 0, IF(ISNA(VLOOKUP(Q1441, Wages!$A$2:$C$17, 2, 0)), Q1441, VLOOKUP(Q1441, Wages!$A$2:$C$17, 2, 0))) * IF(ISBLANK(N1441), 0, IF(ISNA(VLOOKUP(N1441, Crews!$A$2:$C$28, 2, 0)), N1441, VLOOKUP(N1441, Crews!$A$2:$C$28, 2, 0))))) * 400</f>
        <v>0</v>
      </c>
      <c r="K1441" s="1"/>
      <c r="L1441" s="1" t="s">
        <v>2854</v>
      </c>
      <c r="M1441" s="1" t="n">
        <v>0</v>
      </c>
      <c r="N1441" s="1"/>
      <c r="O1441" s="1"/>
      <c r="P1441" s="1"/>
      <c r="Q1441" s="1"/>
      <c r="R1441" s="1" t="s">
        <v>689</v>
      </c>
      <c r="S1441" s="1" t="s">
        <v>856</v>
      </c>
      <c r="T1441" s="1" t="s">
        <v>2252</v>
      </c>
    </row>
    <row r="1442" customFormat="false" ht="15" hidden="false" customHeight="true" outlineLevel="0" collapsed="false">
      <c r="A1442" s="1" t="s">
        <v>2855</v>
      </c>
      <c r="B1442" s="1" t="n">
        <v>1927</v>
      </c>
      <c r="C1442" s="1" t="n">
        <v>4</v>
      </c>
      <c r="D1442" s="1" t="s">
        <v>38</v>
      </c>
      <c r="E1442" s="1" t="s">
        <v>274</v>
      </c>
      <c r="F1442" s="1" t="n">
        <v>377</v>
      </c>
      <c r="G1442" s="1" t="n">
        <v>126</v>
      </c>
      <c r="H1442" s="2" t="n">
        <v>3755000</v>
      </c>
      <c r="I1442" s="2" t="n">
        <f aca="false">(((H1442 / 800) / IF(ISBLANK(R1442), 1000000, IF(ISNA(VLOOKUP(R1442, Mileages!$A$2:$C$34, 2, 0)), R1442, VLOOKUP(R1442, Mileages!$A$2:$C$34, 2, 0)))) + (F1442 * IF(ISBLANK(P1442), 1, P1442) * IF(ISBLANK(T1442), 0, IF(ISNA(VLOOKUP(T1442, 'Fuel Costs'!$A$2:$C$42, 2, 0)), T1442, VLOOKUP(T1442, 'Fuel Costs'!$A$2:$C$42, 2, 0))) / IF(ISBLANK(O1442), 1, O1442))) * 100</f>
        <v>188.969375</v>
      </c>
      <c r="J1442" s="2" t="n">
        <f aca="false">((H1442 / 800) / (IF(ISBLANK(S1442), 100, IF(ISNA(VLOOKUP(S1442, Lives!$A$2:$C$35, 2, 0)), S1442, VLOOKUP(S1442, Lives!$A$2:$C$35, 2, 0))) * 12) + (IF(ISBLANK(Q1442), 0, IF(ISNA(VLOOKUP(Q1442, Wages!$A$2:$C$17, 2, 0)), Q1442, VLOOKUP(Q1442, Wages!$A$2:$C$17, 2, 0))) * IF(ISBLANK(N1442), 0, IF(ISNA(VLOOKUP(N1442, Crews!$A$2:$C$28, 2, 0)), N1442, VLOOKUP(N1442, Crews!$A$2:$C$28, 2, 0))))) * 400</f>
        <v>27129.16667</v>
      </c>
      <c r="K1442" s="1" t="s">
        <v>1692</v>
      </c>
      <c r="L1442" s="1" t="s">
        <v>2856</v>
      </c>
      <c r="M1442" s="1" t="n">
        <v>0</v>
      </c>
      <c r="N1442" s="1" t="s">
        <v>590</v>
      </c>
      <c r="O1442" s="1" t="n">
        <v>0.8</v>
      </c>
      <c r="P1442" s="1"/>
      <c r="Q1442" s="5" t="s">
        <v>284</v>
      </c>
      <c r="R1442" s="1" t="s">
        <v>677</v>
      </c>
      <c r="S1442" s="1" t="s">
        <v>677</v>
      </c>
      <c r="T1442" s="1" t="s">
        <v>2252</v>
      </c>
    </row>
    <row r="1443" customFormat="false" ht="15" hidden="false" customHeight="true" outlineLevel="0" collapsed="false">
      <c r="A1443" s="1" t="s">
        <v>2857</v>
      </c>
      <c r="B1443" s="1" t="n">
        <v>1927</v>
      </c>
      <c r="C1443" s="1" t="n">
        <v>4</v>
      </c>
      <c r="D1443" s="1" t="s">
        <v>38</v>
      </c>
      <c r="E1443" s="1" t="s">
        <v>274</v>
      </c>
      <c r="F1443" s="1" t="n">
        <v>0</v>
      </c>
      <c r="G1443" s="1" t="n">
        <v>80</v>
      </c>
      <c r="H1443" s="2" t="n">
        <v>0</v>
      </c>
      <c r="I1443" s="2" t="n">
        <f aca="false">(((H1443 / 800) / IF(ISBLANK(R1443), 1000000, IF(ISNA(VLOOKUP(R1443, Mileages!$A$2:$C$34, 2, 0)), R1443, VLOOKUP(R1443, Mileages!$A$2:$C$34, 2, 0)))) + (F1443 * IF(ISBLANK(P1443), 1, P1443) * IF(ISBLANK(T1443), 0, IF(ISNA(VLOOKUP(T1443, 'Fuel Costs'!$A$2:$C$42, 2, 0)), T1443, VLOOKUP(T1443, 'Fuel Costs'!$A$2:$C$42, 2, 0))) / IF(ISBLANK(O1443), 1, O1443))) * 100</f>
        <v>0</v>
      </c>
      <c r="J1443" s="2" t="n">
        <f aca="false">((H1443 / 800) / (IF(ISBLANK(S1443), 100, IF(ISNA(VLOOKUP(S1443, Lives!$A$2:$C$35, 2, 0)), S1443, VLOOKUP(S1443, Lives!$A$2:$C$35, 2, 0))) * 12) + (IF(ISBLANK(Q1443), 0, IF(ISNA(VLOOKUP(Q1443, Wages!$A$2:$C$17, 2, 0)), Q1443, VLOOKUP(Q1443, Wages!$A$2:$C$17, 2, 0))) * IF(ISBLANK(N1443), 0, IF(ISNA(VLOOKUP(N1443, Crews!$A$2:$C$28, 2, 0)), N1443, VLOOKUP(N1443, Crews!$A$2:$C$28, 2, 0))))) * 400</f>
        <v>0</v>
      </c>
      <c r="K1443" s="1"/>
      <c r="L1443" s="1" t="s">
        <v>2858</v>
      </c>
      <c r="M1443" s="1" t="n">
        <v>0</v>
      </c>
      <c r="N1443" s="1"/>
      <c r="O1443" s="1"/>
      <c r="P1443" s="1"/>
      <c r="Q1443" s="1"/>
      <c r="R1443" s="1" t="s">
        <v>689</v>
      </c>
      <c r="S1443" s="1" t="s">
        <v>856</v>
      </c>
      <c r="T1443" s="1" t="s">
        <v>2252</v>
      </c>
    </row>
    <row r="1444" customFormat="false" ht="15" hidden="false" customHeight="true" outlineLevel="0" collapsed="false">
      <c r="A1444" s="1" t="s">
        <v>2859</v>
      </c>
      <c r="B1444" s="1" t="n">
        <v>1927</v>
      </c>
      <c r="C1444" s="1" t="n">
        <v>5</v>
      </c>
      <c r="D1444" s="1" t="s">
        <v>157</v>
      </c>
      <c r="E1444" s="1" t="s">
        <v>274</v>
      </c>
      <c r="F1444" s="1" t="n">
        <v>198</v>
      </c>
      <c r="G1444" s="1" t="n">
        <v>60</v>
      </c>
      <c r="H1444" s="2" t="n">
        <v>8972500</v>
      </c>
      <c r="I1444" s="2" t="n">
        <f aca="false">(((H1444 / 800) / IF(ISBLANK(R1444), 1000000, IF(ISNA(VLOOKUP(R1444, Mileages!$A$2:$C$34, 2, 0)), R1444, VLOOKUP(R1444, Mileages!$A$2:$C$34, 2, 0)))) + (F1444 * IF(ISBLANK(P1444), 1, P1444) * IF(ISBLANK(T1444), 0, IF(ISNA(VLOOKUP(T1444, 'Fuel Costs'!$A$2:$C$42, 2, 0)), T1444, VLOOKUP(T1444, 'Fuel Costs'!$A$2:$C$42, 2, 0))) / IF(ISBLANK(O1444), 1, O1444))) * 100</f>
        <v>114.2644196</v>
      </c>
      <c r="J1444" s="2" t="n">
        <f aca="false">((H1444 / 800) / (IF(ISBLANK(S1444), 100, IF(ISNA(VLOOKUP(S1444, Lives!$A$2:$C$35, 2, 0)), S1444, VLOOKUP(S1444, Lives!$A$2:$C$35, 2, 0))) * 12) + (IF(ISBLANK(Q1444), 0, IF(ISNA(VLOOKUP(Q1444, Wages!$A$2:$C$17, 2, 0)), Q1444, VLOOKUP(Q1444, Wages!$A$2:$C$17, 2, 0))) * IF(ISBLANK(N1444), 0, IF(ISNA(VLOOKUP(N1444, Crews!$A$2:$C$28, 2, 0)), N1444, VLOOKUP(N1444, Crews!$A$2:$C$28, 2, 0))))) * 400</f>
        <v>23477.08333</v>
      </c>
      <c r="K1444" s="3" t="s">
        <v>2860</v>
      </c>
      <c r="L1444" s="1" t="s">
        <v>2861</v>
      </c>
      <c r="M1444" s="1" t="n">
        <v>0</v>
      </c>
      <c r="N1444" s="1" t="s">
        <v>283</v>
      </c>
      <c r="O1444" s="1" t="n">
        <v>0.7</v>
      </c>
      <c r="P1444" s="1"/>
      <c r="Q1444" s="1" t="s">
        <v>284</v>
      </c>
      <c r="R1444" s="1" t="s">
        <v>677</v>
      </c>
      <c r="S1444" s="1" t="s">
        <v>677</v>
      </c>
      <c r="T1444" s="1" t="s">
        <v>2252</v>
      </c>
    </row>
    <row r="1445" customFormat="false" ht="15" hidden="false" customHeight="true" outlineLevel="0" collapsed="false">
      <c r="A1445" s="1" t="s">
        <v>2862</v>
      </c>
      <c r="B1445" s="1" t="n">
        <v>1927</v>
      </c>
      <c r="C1445" s="1" t="n">
        <v>5</v>
      </c>
      <c r="D1445" s="1" t="s">
        <v>157</v>
      </c>
      <c r="E1445" s="1" t="s">
        <v>274</v>
      </c>
      <c r="F1445" s="1" t="n">
        <v>0</v>
      </c>
      <c r="G1445" s="1" t="n">
        <v>60</v>
      </c>
      <c r="H1445" s="2" t="n">
        <v>0</v>
      </c>
      <c r="I1445" s="2" t="n">
        <v>0</v>
      </c>
      <c r="J1445" s="2"/>
      <c r="K1445" s="1" t="s">
        <v>2863</v>
      </c>
      <c r="L1445" s="1" t="s">
        <v>2861</v>
      </c>
      <c r="M1445" s="1" t="n">
        <v>1</v>
      </c>
      <c r="N1445" s="1"/>
      <c r="O1445" s="1"/>
      <c r="P1445" s="1"/>
      <c r="Q1445" s="1"/>
      <c r="R1445" s="1"/>
      <c r="S1445" s="1"/>
      <c r="T1445" s="1"/>
    </row>
    <row r="1446" customFormat="false" ht="15" hidden="false" customHeight="true" outlineLevel="0" collapsed="false">
      <c r="A1446" s="1" t="s">
        <v>2864</v>
      </c>
      <c r="B1446" s="1" t="n">
        <v>1927</v>
      </c>
      <c r="C1446" s="1" t="n">
        <v>5</v>
      </c>
      <c r="D1446" s="1" t="s">
        <v>157</v>
      </c>
      <c r="E1446" s="1" t="s">
        <v>274</v>
      </c>
      <c r="F1446" s="1" t="n">
        <v>0</v>
      </c>
      <c r="G1446" s="1" t="n">
        <v>60</v>
      </c>
      <c r="H1446" s="2" t="n">
        <v>0</v>
      </c>
      <c r="I1446" s="2" t="n">
        <v>0</v>
      </c>
      <c r="J1446" s="2"/>
      <c r="K1446" s="1" t="s">
        <v>2863</v>
      </c>
      <c r="L1446" s="1" t="s">
        <v>2861</v>
      </c>
      <c r="M1446" s="1" t="n">
        <v>2</v>
      </c>
      <c r="N1446" s="1"/>
      <c r="O1446" s="1"/>
      <c r="P1446" s="1"/>
      <c r="Q1446" s="1"/>
      <c r="R1446" s="1"/>
      <c r="S1446" s="1"/>
      <c r="T1446" s="1"/>
    </row>
    <row r="1447" customFormat="false" ht="15" hidden="false" customHeight="true" outlineLevel="0" collapsed="false">
      <c r="A1447" s="1" t="s">
        <v>2865</v>
      </c>
      <c r="B1447" s="1" t="n">
        <v>1927</v>
      </c>
      <c r="C1447" s="1" t="n">
        <v>6</v>
      </c>
      <c r="D1447" s="1" t="s">
        <v>876</v>
      </c>
      <c r="E1447" s="1" t="s">
        <v>1346</v>
      </c>
      <c r="F1447" s="1" t="n">
        <v>75</v>
      </c>
      <c r="G1447" s="1" t="n">
        <v>32</v>
      </c>
      <c r="H1447" s="2" t="n">
        <v>416000</v>
      </c>
      <c r="I1447" s="2" t="n">
        <f aca="false">(((H1447 / 800) / IF(ISBLANK(R1447), 1000000, IF(ISNA(VLOOKUP(R1447, Mileages!$A$2:$C$34, 2, 0)), R1447, VLOOKUP(R1447, Mileages!$A$2:$C$34, 2, 0)))) + (F1447 * IF(ISBLANK(P1447), 1, P1447) * IF(ISBLANK(T1447), 0, IF(ISNA(VLOOKUP(T1447, 'Fuel Costs'!$A$2:$C$42, 2, 0)), T1447, VLOOKUP(T1447, 'Fuel Costs'!$A$2:$C$42, 2, 0))) / IF(ISBLANK(O1447), 1, O1447))) * 100</f>
        <v>30.052</v>
      </c>
      <c r="J1447" s="2" t="n">
        <f aca="false">((H1447 / 800) / (IF(ISBLANK(S1447), 100, IF(ISNA(VLOOKUP(S1447, Lives!$A$2:$C$35, 2, 0)), S1447, VLOOKUP(S1447, Lives!$A$2:$C$35, 2, 0))) * 12) + (IF(ISBLANK(Q1447), 0, IF(ISNA(VLOOKUP(Q1447, Wages!$A$2:$C$17, 2, 0)), Q1447, VLOOKUP(Q1447, Wages!$A$2:$C$17, 2, 0))) * IF(ISBLANK(N1447), 0, IF(ISNA(VLOOKUP(N1447, Crews!$A$2:$C$28, 2, 0)), N1447, VLOOKUP(N1447, Crews!$A$2:$C$28, 2, 0))))) * 400</f>
        <v>6346.666667</v>
      </c>
      <c r="K1447" s="3" t="s">
        <v>2866</v>
      </c>
      <c r="L1447" s="1" t="s">
        <v>2867</v>
      </c>
      <c r="M1447" s="1" t="n">
        <v>0</v>
      </c>
      <c r="N1447" s="1" t="s">
        <v>895</v>
      </c>
      <c r="O1447" s="1"/>
      <c r="P1447" s="1"/>
      <c r="Q1447" s="1" t="s">
        <v>895</v>
      </c>
      <c r="R1447" s="1" t="s">
        <v>1349</v>
      </c>
      <c r="S1447" s="1" t="s">
        <v>1350</v>
      </c>
      <c r="T1447" s="1" t="s">
        <v>2580</v>
      </c>
    </row>
    <row r="1448" customFormat="false" ht="15" hidden="false" customHeight="true" outlineLevel="0" collapsed="false">
      <c r="A1448" s="1" t="s">
        <v>2868</v>
      </c>
      <c r="B1448" s="1" t="n">
        <v>1927</v>
      </c>
      <c r="C1448" s="1" t="n">
        <v>7</v>
      </c>
      <c r="D1448" s="1" t="s">
        <v>38</v>
      </c>
      <c r="E1448" s="1" t="s">
        <v>1346</v>
      </c>
      <c r="F1448" s="1" t="n">
        <v>325</v>
      </c>
      <c r="G1448" s="1" t="n">
        <v>72</v>
      </c>
      <c r="H1448" s="2" t="n">
        <v>7000000</v>
      </c>
      <c r="I1448" s="2" t="n">
        <f aca="false">(((H1448 / 800) / IF(ISBLANK(R1448), 1000000, IF(ISNA(VLOOKUP(R1448, Mileages!$A$2:$C$34, 2, 0)), R1448, VLOOKUP(R1448, Mileages!$A$2:$C$34, 2, 0)))) + (F1448 * IF(ISBLANK(P1448), 1, P1448) * IF(ISBLANK(T1448), 0, IF(ISNA(VLOOKUP(T1448, 'Fuel Costs'!$A$2:$C$42, 2, 0)), T1448, VLOOKUP(T1448, 'Fuel Costs'!$A$2:$C$42, 2, 0))) / IF(ISBLANK(O1448), 1, O1448))) * 100</f>
        <v>130.875</v>
      </c>
      <c r="J1448" s="2" t="n">
        <f aca="false">((H1448 / 800) / (IF(ISBLANK(S1448), 100, IF(ISNA(VLOOKUP(S1448, Lives!$A$2:$C$35, 2, 0)), S1448, VLOOKUP(S1448, Lives!$A$2:$C$35, 2, 0))) * 12) + (IF(ISBLANK(Q1448), 0, IF(ISNA(VLOOKUP(Q1448, Wages!$A$2:$C$17, 2, 0)), Q1448, VLOOKUP(Q1448, Wages!$A$2:$C$17, 2, 0))) * IF(ISBLANK(N1448), 0, IF(ISNA(VLOOKUP(N1448, Crews!$A$2:$C$28, 2, 0)), N1448, VLOOKUP(N1448, Crews!$A$2:$C$28, 2, 0))))) * 400</f>
        <v>11833.33333</v>
      </c>
      <c r="K1448" s="3" t="s">
        <v>2869</v>
      </c>
      <c r="L1448" s="1" t="s">
        <v>2870</v>
      </c>
      <c r="M1448" s="1" t="n">
        <v>0</v>
      </c>
      <c r="N1448" s="1" t="s">
        <v>1512</v>
      </c>
      <c r="O1448" s="1" t="n">
        <v>1</v>
      </c>
      <c r="P1448" s="1"/>
      <c r="Q1448" s="1" t="str">
        <f aca="false">IF(ISBLANK('Pak128 Britain In'!$N1448),,'Pak128 Britain In'!$N1448)</f>
        <v>ElectricMultipleUnit</v>
      </c>
      <c r="R1448" s="1" t="s">
        <v>1349</v>
      </c>
      <c r="S1448" s="1" t="s">
        <v>1350</v>
      </c>
      <c r="T1448" s="1" t="s">
        <v>2580</v>
      </c>
    </row>
    <row r="1449" customFormat="false" ht="15" hidden="false" customHeight="true" outlineLevel="0" collapsed="false">
      <c r="A1449" s="1" t="s">
        <v>2871</v>
      </c>
      <c r="B1449" s="1" t="n">
        <v>1927</v>
      </c>
      <c r="C1449" s="1" t="n">
        <v>7</v>
      </c>
      <c r="D1449" s="1" t="s">
        <v>38</v>
      </c>
      <c r="E1449" s="1" t="s">
        <v>1346</v>
      </c>
      <c r="F1449" s="1"/>
      <c r="G1449" s="1" t="n">
        <v>72</v>
      </c>
      <c r="H1449" s="2" t="n">
        <v>1400000</v>
      </c>
      <c r="I1449" s="2" t="n">
        <f aca="false">(((H1449 / 800) / IF(ISBLANK(R1449), 1000000, IF(ISNA(VLOOKUP(R1449, Mileages!$A$2:$C$34, 2, 0)), R1449, VLOOKUP(R1449, Mileages!$A$2:$C$34, 2, 0)))) + (F1449 * IF(ISBLANK(P1449), 1, P1449) * IF(ISBLANK(T1449), 0, IF(ISNA(VLOOKUP(T1449, 'Fuel Costs'!$A$2:$C$42, 2, 0)), T1449, VLOOKUP(T1449, 'Fuel Costs'!$A$2:$C$42, 2, 0))) / IF(ISBLANK(O1449), 1, O1449))) * 100</f>
        <v>0.1458333333</v>
      </c>
      <c r="J1449" s="2" t="n">
        <f aca="false">((H1449 / 800) / (IF(ISBLANK(S1449), 100, IF(ISNA(VLOOKUP(S1449, Lives!$A$2:$C$35, 2, 0)), S1449, VLOOKUP(S1449, Lives!$A$2:$C$35, 2, 0))) * 12) + (IF(ISBLANK(Q1449), 0, IF(ISNA(VLOOKUP(Q1449, Wages!$A$2:$C$17, 2, 0)), Q1449, VLOOKUP(Q1449, Wages!$A$2:$C$17, 2, 0))) * IF(ISBLANK(N1449), 0, IF(ISNA(VLOOKUP(N1449, Crews!$A$2:$C$28, 2, 0)), N1449, VLOOKUP(N1449, Crews!$A$2:$C$28, 2, 0))))) * 400</f>
        <v>1666.666667</v>
      </c>
      <c r="K1449" s="1"/>
      <c r="L1449" s="1" t="s">
        <v>2870</v>
      </c>
      <c r="M1449" s="1" t="n">
        <v>1</v>
      </c>
      <c r="N1449" s="1"/>
      <c r="O1449" s="1"/>
      <c r="P1449" s="1"/>
      <c r="Q1449" s="1"/>
      <c r="R1449" s="1" t="s">
        <v>689</v>
      </c>
      <c r="S1449" s="1" t="s">
        <v>856</v>
      </c>
      <c r="T1449" s="1"/>
    </row>
    <row r="1450" customFormat="false" ht="15" hidden="false" customHeight="true" outlineLevel="0" collapsed="false">
      <c r="A1450" s="1" t="s">
        <v>2872</v>
      </c>
      <c r="B1450" s="1" t="n">
        <v>1927</v>
      </c>
      <c r="C1450" s="1" t="n">
        <v>7</v>
      </c>
      <c r="D1450" s="1" t="s">
        <v>38</v>
      </c>
      <c r="E1450" s="1" t="s">
        <v>1346</v>
      </c>
      <c r="F1450" s="1" t="n">
        <v>325</v>
      </c>
      <c r="G1450" s="1" t="n">
        <v>72</v>
      </c>
      <c r="H1450" s="2" t="n">
        <v>7000000</v>
      </c>
      <c r="I1450" s="2" t="n">
        <f aca="false">(((H1450 / 800) / IF(ISBLANK(R1450), 1000000, IF(ISNA(VLOOKUP(R1450, Mileages!$A$2:$C$34, 2, 0)), R1450, VLOOKUP(R1450, Mileages!$A$2:$C$34, 2, 0)))) + (F1450 * IF(ISBLANK(P1450), 1, P1450) * IF(ISBLANK(T1450), 0, IF(ISNA(VLOOKUP(T1450, 'Fuel Costs'!$A$2:$C$42, 2, 0)), T1450, VLOOKUP(T1450, 'Fuel Costs'!$A$2:$C$42, 2, 0))) / IF(ISBLANK(O1450), 1, O1450))) * 100</f>
        <v>130.875</v>
      </c>
      <c r="J1450" s="2" t="n">
        <f aca="false">((H1450 / 800) / (IF(ISBLANK(S1450), 100, IF(ISNA(VLOOKUP(S1450, Lives!$A$2:$C$35, 2, 0)), S1450, VLOOKUP(S1450, Lives!$A$2:$C$35, 2, 0))) * 12) + (IF(ISBLANK(Q1450), 0, IF(ISNA(VLOOKUP(Q1450, Wages!$A$2:$C$17, 2, 0)), Q1450, VLOOKUP(Q1450, Wages!$A$2:$C$17, 2, 0))) * IF(ISBLANK(N1450), 0, IF(ISNA(VLOOKUP(N1450, Crews!$A$2:$C$28, 2, 0)), N1450, VLOOKUP(N1450, Crews!$A$2:$C$28, 2, 0))))) * 400</f>
        <v>11833.33333</v>
      </c>
      <c r="K1450" s="1"/>
      <c r="L1450" s="1" t="s">
        <v>2870</v>
      </c>
      <c r="M1450" s="1" t="n">
        <v>2</v>
      </c>
      <c r="N1450" s="1" t="s">
        <v>1512</v>
      </c>
      <c r="O1450" s="1" t="n">
        <v>1</v>
      </c>
      <c r="P1450" s="1"/>
      <c r="Q1450" s="1" t="str">
        <f aca="false">IF(ISBLANK('Pak128 Britain In'!$N1450),,'Pak128 Britain In'!$N1450)</f>
        <v>ElectricMultipleUnit</v>
      </c>
      <c r="R1450" s="1" t="s">
        <v>1349</v>
      </c>
      <c r="S1450" s="1" t="s">
        <v>1350</v>
      </c>
      <c r="T1450" s="1" t="s">
        <v>2580</v>
      </c>
    </row>
    <row r="1451" customFormat="false" ht="15" hidden="false" customHeight="true" outlineLevel="0" collapsed="false">
      <c r="A1451" s="1" t="s">
        <v>2873</v>
      </c>
      <c r="B1451" s="1" t="n">
        <v>1927</v>
      </c>
      <c r="C1451" s="1" t="n">
        <v>8</v>
      </c>
      <c r="D1451" s="1" t="s">
        <v>38</v>
      </c>
      <c r="E1451" s="1" t="s">
        <v>274</v>
      </c>
      <c r="F1451" s="1" t="n">
        <v>622</v>
      </c>
      <c r="G1451" s="1" t="n">
        <v>155</v>
      </c>
      <c r="H1451" s="2" t="n">
        <v>11404800</v>
      </c>
      <c r="I1451" s="2" t="n">
        <f aca="false">(((H1451 / 800) / IF(ISBLANK(R1451), 1000000, IF(ISNA(VLOOKUP(R1451, Mileages!$A$2:$C$34, 2, 0)), R1451, VLOOKUP(R1451, Mileages!$A$2:$C$34, 2, 0)))) + (F1451 * IF(ISBLANK(P1451), 1, P1451) * IF(ISBLANK(T1451), 0, IF(ISNA(VLOOKUP(T1451, 'Fuel Costs'!$A$2:$C$42, 2, 0)), T1451, VLOOKUP(T1451, 'Fuel Costs'!$A$2:$C$42, 2, 0))) / IF(ISBLANK(O1451), 1, O1451))) * 100</f>
        <v>357.8045714</v>
      </c>
      <c r="J1451" s="2" t="n">
        <f aca="false">((H1451 / 800) / (IF(ISBLANK(S1451), 100, IF(ISNA(VLOOKUP(S1451, Lives!$A$2:$C$35, 2, 0)), S1451, VLOOKUP(S1451, Lives!$A$2:$C$35, 2, 0))) * 12) + (IF(ISBLANK(Q1451), 0, IF(ISNA(VLOOKUP(Q1451, Wages!$A$2:$C$17, 2, 0)), Q1451, VLOOKUP(Q1451, Wages!$A$2:$C$17, 2, 0))) * IF(ISBLANK(N1451), 0, IF(ISNA(VLOOKUP(N1451, Crews!$A$2:$C$28, 2, 0)), N1451, VLOOKUP(N1451, Crews!$A$2:$C$28, 2, 0))))) * 400</f>
        <v>63760</v>
      </c>
      <c r="K1451" s="3" t="s">
        <v>2874</v>
      </c>
      <c r="L1451" s="1" t="s">
        <v>2875</v>
      </c>
      <c r="M1451" s="1" t="n">
        <v>0</v>
      </c>
      <c r="N1451" s="1" t="s">
        <v>1705</v>
      </c>
      <c r="O1451" s="1" t="n">
        <v>0.7</v>
      </c>
      <c r="P1451" s="1"/>
      <c r="Q1451" s="5" t="s">
        <v>284</v>
      </c>
      <c r="R1451" s="1" t="s">
        <v>2617</v>
      </c>
      <c r="S1451" s="1" t="s">
        <v>2617</v>
      </c>
      <c r="T1451" s="1" t="s">
        <v>2252</v>
      </c>
    </row>
    <row r="1452" customFormat="false" ht="15" hidden="false" customHeight="true" outlineLevel="0" collapsed="false">
      <c r="A1452" s="1" t="s">
        <v>2876</v>
      </c>
      <c r="B1452" s="1" t="n">
        <v>1927</v>
      </c>
      <c r="C1452" s="1" t="n">
        <v>8</v>
      </c>
      <c r="D1452" s="1" t="s">
        <v>38</v>
      </c>
      <c r="E1452" s="1"/>
      <c r="F1452" s="1" t="n">
        <v>0</v>
      </c>
      <c r="G1452" s="1" t="n">
        <v>155</v>
      </c>
      <c r="H1452" s="2" t="n">
        <v>0</v>
      </c>
      <c r="I1452" s="2" t="n">
        <f aca="false">(((H1452 / 800) / IF(ISBLANK(R1452), 1000000, IF(ISNA(VLOOKUP(R1452, Mileages!$A$2:$C$34, 2, 0)), R1452, VLOOKUP(R1452, Mileages!$A$2:$C$34, 2, 0)))) + (F1452 * IF(ISBLANK(P1452), 1, P1452) * IF(ISBLANK(T1452), 0, IF(ISNA(VLOOKUP(T1452, 'Fuel Costs'!$A$2:$C$42, 2, 0)), T1452, VLOOKUP(T1452, 'Fuel Costs'!$A$2:$C$42, 2, 0))) / IF(ISBLANK(O1452), 1, O1452))) * 100</f>
        <v>0</v>
      </c>
      <c r="J1452" s="2" t="n">
        <f aca="false">((H1452 / 800) / (IF(ISBLANK(S1452), 100, IF(ISNA(VLOOKUP(S1452, Lives!$A$2:$C$35, 2, 0)), S1452, VLOOKUP(S1452, Lives!$A$2:$C$35, 2, 0))) * 12) + (IF(ISBLANK(Q1452), 0, IF(ISNA(VLOOKUP(Q1452, Wages!$A$2:$C$17, 2, 0)), Q1452, VLOOKUP(Q1452, Wages!$A$2:$C$17, 2, 0))) * IF(ISBLANK(N1452), 0, IF(ISNA(VLOOKUP(N1452, Crews!$A$2:$C$28, 2, 0)), N1452, VLOOKUP(N1452, Crews!$A$2:$C$28, 2, 0))))) * 400</f>
        <v>0</v>
      </c>
      <c r="K1452" s="1"/>
      <c r="L1452" s="1" t="s">
        <v>2877</v>
      </c>
      <c r="M1452" s="1" t="n">
        <v>0</v>
      </c>
      <c r="N1452" s="1"/>
      <c r="O1452" s="1"/>
      <c r="P1452" s="1"/>
      <c r="Q1452" s="1"/>
      <c r="R1452" s="1"/>
      <c r="S1452" s="1"/>
      <c r="T1452" s="1"/>
    </row>
    <row r="1453" customFormat="false" ht="15" hidden="false" customHeight="true" outlineLevel="0" collapsed="false">
      <c r="A1453" s="1" t="s">
        <v>2878</v>
      </c>
      <c r="B1453" s="1" t="n">
        <v>1927</v>
      </c>
      <c r="C1453" s="1" t="n">
        <v>10</v>
      </c>
      <c r="D1453" s="1" t="s">
        <v>38</v>
      </c>
      <c r="E1453" s="1" t="s">
        <v>274</v>
      </c>
      <c r="F1453" s="1" t="n">
        <v>375</v>
      </c>
      <c r="G1453" s="1" t="n">
        <v>145</v>
      </c>
      <c r="H1453" s="2" t="n">
        <v>6943104</v>
      </c>
      <c r="I1453" s="2" t="n">
        <f aca="false">(((H1453 / 800) / IF(ISBLANK(R1453), 1000000, IF(ISNA(VLOOKUP(R1453, Mileages!$A$2:$C$34, 2, 0)), R1453, VLOOKUP(R1453, Mileages!$A$2:$C$34, 2, 0)))) + (F1453 * IF(ISBLANK(P1453), 1, P1453) * IF(ISBLANK(T1453), 0, IF(ISNA(VLOOKUP(T1453, 'Fuel Costs'!$A$2:$C$42, 2, 0)), T1453, VLOOKUP(T1453, 'Fuel Costs'!$A$2:$C$42, 2, 0))) / IF(ISBLANK(O1453), 1, O1453))) * 100</f>
        <v>215.1536023</v>
      </c>
      <c r="J1453" s="2" t="n">
        <f aca="false">((H1453 / 800) / (IF(ISBLANK(S1453), 100, IF(ISNA(VLOOKUP(S1453, Lives!$A$2:$C$35, 2, 0)), S1453, VLOOKUP(S1453, Lives!$A$2:$C$35, 2, 0))) * 12) + (IF(ISBLANK(Q1453), 0, IF(ISNA(VLOOKUP(Q1453, Wages!$A$2:$C$17, 2, 0)), Q1453, VLOOKUP(Q1453, Wages!$A$2:$C$17, 2, 0))) * IF(ISBLANK(N1453), 0, IF(ISNA(VLOOKUP(N1453, Crews!$A$2:$C$28, 2, 0)), N1453, VLOOKUP(N1453, Crews!$A$2:$C$28, 2, 0))))) * 400</f>
        <v>29785.92</v>
      </c>
      <c r="K1453" s="3" t="s">
        <v>2879</v>
      </c>
      <c r="L1453" s="1" t="s">
        <v>2880</v>
      </c>
      <c r="M1453" s="1" t="n">
        <v>0</v>
      </c>
      <c r="N1453" s="1" t="s">
        <v>590</v>
      </c>
      <c r="O1453" s="1" t="n">
        <v>0.7</v>
      </c>
      <c r="P1453" s="1"/>
      <c r="Q1453" s="5" t="s">
        <v>284</v>
      </c>
      <c r="R1453" s="1" t="s">
        <v>677</v>
      </c>
      <c r="S1453" s="1" t="s">
        <v>677</v>
      </c>
      <c r="T1453" s="1" t="s">
        <v>2252</v>
      </c>
    </row>
    <row r="1454" customFormat="false" ht="15" hidden="false" customHeight="true" outlineLevel="0" collapsed="false">
      <c r="A1454" s="1" t="s">
        <v>2881</v>
      </c>
      <c r="B1454" s="1" t="n">
        <v>1927</v>
      </c>
      <c r="C1454" s="1" t="n">
        <v>10</v>
      </c>
      <c r="D1454" s="1" t="s">
        <v>38</v>
      </c>
      <c r="E1454" s="1"/>
      <c r="F1454" s="1" t="n">
        <v>0</v>
      </c>
      <c r="G1454" s="1" t="n">
        <v>145</v>
      </c>
      <c r="H1454" s="2" t="n">
        <v>0</v>
      </c>
      <c r="I1454" s="2" t="n">
        <f aca="false">(((H1454 / 800) / IF(ISBLANK(R1454), 1000000, IF(ISNA(VLOOKUP(R1454, Mileages!$A$2:$C$34, 2, 0)), R1454, VLOOKUP(R1454, Mileages!$A$2:$C$34, 2, 0)))) + (F1454 * IF(ISBLANK(P1454), 1, P1454) * IF(ISBLANK(T1454), 0, IF(ISNA(VLOOKUP(T1454, 'Fuel Costs'!$A$2:$C$42, 2, 0)), T1454, VLOOKUP(T1454, 'Fuel Costs'!$A$2:$C$42, 2, 0))) / IF(ISBLANK(O1454), 1, O1454))) * 100</f>
        <v>0</v>
      </c>
      <c r="J1454" s="2" t="n">
        <f aca="false">((H1454 / 800) / (IF(ISBLANK(S1454), 100, IF(ISNA(VLOOKUP(S1454, Lives!$A$2:$C$35, 2, 0)), S1454, VLOOKUP(S1454, Lives!$A$2:$C$35, 2, 0))) * 12) + (IF(ISBLANK(Q1454), 0, IF(ISNA(VLOOKUP(Q1454, Wages!$A$2:$C$17, 2, 0)), Q1454, VLOOKUP(Q1454, Wages!$A$2:$C$17, 2, 0))) * IF(ISBLANK(N1454), 0, IF(ISNA(VLOOKUP(N1454, Crews!$A$2:$C$28, 2, 0)), N1454, VLOOKUP(N1454, Crews!$A$2:$C$28, 2, 0))))) * 400</f>
        <v>0</v>
      </c>
      <c r="K1454" s="1"/>
      <c r="L1454" s="1" t="s">
        <v>2880</v>
      </c>
      <c r="M1454" s="1" t="n">
        <v>1</v>
      </c>
      <c r="N1454" s="1"/>
      <c r="O1454" s="1"/>
      <c r="P1454" s="1"/>
      <c r="Q1454" s="1"/>
      <c r="R1454" s="1"/>
      <c r="S1454" s="1"/>
      <c r="T1454" s="1"/>
    </row>
    <row r="1455" customFormat="false" ht="15" hidden="false" customHeight="true" outlineLevel="0" collapsed="false">
      <c r="A1455" s="1" t="s">
        <v>2882</v>
      </c>
      <c r="B1455" s="1" t="n">
        <v>1927</v>
      </c>
      <c r="C1455" s="1" t="n">
        <v>10</v>
      </c>
      <c r="D1455" s="1" t="s">
        <v>38</v>
      </c>
      <c r="E1455" s="1" t="s">
        <v>274</v>
      </c>
      <c r="F1455" s="1" t="n">
        <v>683</v>
      </c>
      <c r="G1455" s="1" t="n">
        <v>160</v>
      </c>
      <c r="H1455" s="2" t="n">
        <v>11818000</v>
      </c>
      <c r="I1455" s="2" t="n">
        <f aca="false">(((H1455 / 800) / IF(ISBLANK(R1455), 1000000, IF(ISNA(VLOOKUP(R1455, Mileages!$A$2:$C$34, 2, 0)), R1455, VLOOKUP(R1455, Mileages!$A$2:$C$34, 2, 0)))) + (F1455 * IF(ISBLANK(P1455), 1, P1455) * IF(ISBLANK(T1455), 0, IF(ISNA(VLOOKUP(T1455, 'Fuel Costs'!$A$2:$C$42, 2, 0)), T1455, VLOOKUP(T1455, 'Fuel Costs'!$A$2:$C$42, 2, 0))) / IF(ISBLANK(O1455), 1, O1455))) * 100</f>
        <v>392.7477976</v>
      </c>
      <c r="J1455" s="2" t="n">
        <f aca="false">((H1455 / 800) / (IF(ISBLANK(S1455), 100, IF(ISNA(VLOOKUP(S1455, Lives!$A$2:$C$35, 2, 0)), S1455, VLOOKUP(S1455, Lives!$A$2:$C$35, 2, 0))) * 12) + (IF(ISBLANK(Q1455), 0, IF(ISNA(VLOOKUP(Q1455, Wages!$A$2:$C$17, 2, 0)), Q1455, VLOOKUP(Q1455, Wages!$A$2:$C$17, 2, 0))) * IF(ISBLANK(N1455), 0, IF(ISNA(VLOOKUP(N1455, Crews!$A$2:$C$28, 2, 0)), N1455, VLOOKUP(N1455, Crews!$A$2:$C$28, 2, 0))))) * 400</f>
        <v>64620.83333</v>
      </c>
      <c r="K1455" s="3" t="s">
        <v>2883</v>
      </c>
      <c r="L1455" s="1" t="s">
        <v>2884</v>
      </c>
      <c r="M1455" s="1" t="n">
        <v>0</v>
      </c>
      <c r="N1455" s="1" t="s">
        <v>1705</v>
      </c>
      <c r="O1455" s="1" t="n">
        <v>0.7</v>
      </c>
      <c r="P1455" s="1"/>
      <c r="Q1455" s="5" t="s">
        <v>284</v>
      </c>
      <c r="R1455" s="1" t="s">
        <v>2617</v>
      </c>
      <c r="S1455" s="1" t="s">
        <v>2617</v>
      </c>
      <c r="T1455" s="1" t="s">
        <v>2252</v>
      </c>
    </row>
    <row r="1456" customFormat="false" ht="15" hidden="false" customHeight="true" outlineLevel="0" collapsed="false">
      <c r="A1456" s="1" t="s">
        <v>2885</v>
      </c>
      <c r="B1456" s="1" t="n">
        <v>1928</v>
      </c>
      <c r="C1456" s="1" t="n">
        <v>1</v>
      </c>
      <c r="D1456" s="1" t="s">
        <v>38</v>
      </c>
      <c r="E1456" s="1" t="s">
        <v>274</v>
      </c>
      <c r="F1456" s="1" t="n">
        <v>410</v>
      </c>
      <c r="G1456" s="1" t="n">
        <v>137</v>
      </c>
      <c r="H1456" s="2" t="n">
        <v>9121000</v>
      </c>
      <c r="I1456" s="2" t="n">
        <f aca="false">(((H1456 / 800) / IF(ISBLANK(R1456), 1000000, IF(ISNA(VLOOKUP(R1456, Mileages!$A$2:$C$34, 2, 0)), R1456, VLOOKUP(R1456, Mileages!$A$2:$C$34, 2, 0)))) + (F1456 * IF(ISBLANK(P1456), 1, P1456) * IF(ISBLANK(T1456), 0, IF(ISNA(VLOOKUP(T1456, 'Fuel Costs'!$A$2:$C$42, 2, 0)), T1456, VLOOKUP(T1456, 'Fuel Costs'!$A$2:$C$42, 2, 0))) / IF(ISBLANK(O1456), 1, O1456))) * 100</f>
        <v>235.4258393</v>
      </c>
      <c r="J1456" s="2" t="n">
        <f aca="false">((H1456 / 800) / (IF(ISBLANK(S1456), 100, IF(ISNA(VLOOKUP(S1456, Lives!$A$2:$C$35, 2, 0)), S1456, VLOOKUP(S1456, Lives!$A$2:$C$35, 2, 0))) * 12) + (IF(ISBLANK(Q1456), 0, IF(ISNA(VLOOKUP(Q1456, Wages!$A$2:$C$17, 2, 0)), Q1456, VLOOKUP(Q1456, Wages!$A$2:$C$17, 2, 0))) * IF(ISBLANK(N1456), 0, IF(ISNA(VLOOKUP(N1456, Crews!$A$2:$C$28, 2, 0)), N1456, VLOOKUP(N1456, Crews!$A$2:$C$28, 2, 0))))) * 400</f>
        <v>31600.83333</v>
      </c>
      <c r="K1456" s="3" t="s">
        <v>2886</v>
      </c>
      <c r="L1456" s="1" t="s">
        <v>2887</v>
      </c>
      <c r="M1456" s="1" t="n">
        <v>0</v>
      </c>
      <c r="N1456" s="1" t="s">
        <v>590</v>
      </c>
      <c r="O1456" s="1" t="n">
        <v>0.7</v>
      </c>
      <c r="P1456" s="1"/>
      <c r="Q1456" s="5" t="s">
        <v>284</v>
      </c>
      <c r="R1456" s="1" t="s">
        <v>677</v>
      </c>
      <c r="S1456" s="1" t="s">
        <v>677</v>
      </c>
      <c r="T1456" s="1" t="s">
        <v>2252</v>
      </c>
    </row>
    <row r="1457" customFormat="false" ht="15" hidden="false" customHeight="true" outlineLevel="0" collapsed="false">
      <c r="A1457" s="1" t="s">
        <v>2888</v>
      </c>
      <c r="B1457" s="1" t="n">
        <v>1928</v>
      </c>
      <c r="C1457" s="1" t="n">
        <v>1</v>
      </c>
      <c r="D1457" s="1" t="s">
        <v>38</v>
      </c>
      <c r="E1457" s="1"/>
      <c r="F1457" s="1" t="n">
        <v>0</v>
      </c>
      <c r="G1457" s="1" t="n">
        <v>137</v>
      </c>
      <c r="H1457" s="2" t="n">
        <v>0</v>
      </c>
      <c r="I1457" s="2" t="n">
        <f aca="false">(((H1457 / 800) / IF(ISBLANK(R1457), 1000000, IF(ISNA(VLOOKUP(R1457, Mileages!$A$2:$C$34, 2, 0)), R1457, VLOOKUP(R1457, Mileages!$A$2:$C$34, 2, 0)))) + (F1457 * IF(ISBLANK(P1457), 1, P1457) * IF(ISBLANK(T1457), 0, IF(ISNA(VLOOKUP(T1457, 'Fuel Costs'!$A$2:$C$42, 2, 0)), T1457, VLOOKUP(T1457, 'Fuel Costs'!$A$2:$C$42, 2, 0))) / IF(ISBLANK(O1457), 1, O1457))) * 100</f>
        <v>0</v>
      </c>
      <c r="J1457" s="2" t="n">
        <f aca="false">((H1457 / 800) / (IF(ISBLANK(S1457), 100, IF(ISNA(VLOOKUP(S1457, Lives!$A$2:$C$35, 2, 0)), S1457, VLOOKUP(S1457, Lives!$A$2:$C$35, 2, 0))) * 12) + (IF(ISBLANK(Q1457), 0, IF(ISNA(VLOOKUP(Q1457, Wages!$A$2:$C$17, 2, 0)), Q1457, VLOOKUP(Q1457, Wages!$A$2:$C$17, 2, 0))) * IF(ISBLANK(N1457), 0, IF(ISNA(VLOOKUP(N1457, Crews!$A$2:$C$28, 2, 0)), N1457, VLOOKUP(N1457, Crews!$A$2:$C$28, 2, 0))))) * 400</f>
        <v>0</v>
      </c>
      <c r="K1457" s="1"/>
      <c r="L1457" s="1" t="s">
        <v>2887</v>
      </c>
      <c r="M1457" s="1" t="n">
        <v>1</v>
      </c>
      <c r="N1457" s="1"/>
      <c r="O1457" s="1"/>
      <c r="P1457" s="1"/>
      <c r="Q1457" s="1"/>
      <c r="R1457" s="1"/>
      <c r="S1457" s="1"/>
      <c r="T1457" s="1"/>
    </row>
    <row r="1458" customFormat="false" ht="15" hidden="false" customHeight="true" outlineLevel="0" collapsed="false">
      <c r="A1458" s="1" t="s">
        <v>2889</v>
      </c>
      <c r="B1458" s="1" t="n">
        <v>1928</v>
      </c>
      <c r="C1458" s="1" t="n">
        <v>1</v>
      </c>
      <c r="D1458" s="1" t="s">
        <v>38</v>
      </c>
      <c r="E1458" s="1" t="s">
        <v>274</v>
      </c>
      <c r="F1458" s="1" t="n">
        <v>298</v>
      </c>
      <c r="G1458" s="1" t="n">
        <v>140</v>
      </c>
      <c r="H1458" s="2" t="n">
        <v>7025000</v>
      </c>
      <c r="I1458" s="2" t="n">
        <f aca="false">(((H1458 / 800) / IF(ISBLANK(R1458), 1000000, IF(ISNA(VLOOKUP(R1458, Mileages!$A$2:$C$34, 2, 0)), R1458, VLOOKUP(R1458, Mileages!$A$2:$C$34, 2, 0)))) + (F1458 * IF(ISBLANK(P1458), 1, P1458) * IF(ISBLANK(T1458), 0, IF(ISNA(VLOOKUP(T1458, 'Fuel Costs'!$A$2:$C$42, 2, 0)), T1458, VLOOKUP(T1458, 'Fuel Costs'!$A$2:$C$42, 2, 0))) / IF(ISBLANK(O1458), 1, O1458))) * 100</f>
        <v>171.1638393</v>
      </c>
      <c r="J1458" s="2" t="n">
        <f aca="false">((H1458 / 800) / (IF(ISBLANK(S1458), 100, IF(ISNA(VLOOKUP(S1458, Lives!$A$2:$C$35, 2, 0)), S1458, VLOOKUP(S1458, Lives!$A$2:$C$35, 2, 0))) * 12) + (IF(ISBLANK(Q1458), 0, IF(ISNA(VLOOKUP(Q1458, Wages!$A$2:$C$17, 2, 0)), Q1458, VLOOKUP(Q1458, Wages!$A$2:$C$17, 2, 0))) * IF(ISBLANK(N1458), 0, IF(ISNA(VLOOKUP(N1458, Crews!$A$2:$C$28, 2, 0)), N1458, VLOOKUP(N1458, Crews!$A$2:$C$28, 2, 0))))) * 400</f>
        <v>29854.16667</v>
      </c>
      <c r="K1458" s="3" t="s">
        <v>2890</v>
      </c>
      <c r="L1458" s="1" t="s">
        <v>2891</v>
      </c>
      <c r="M1458" s="1" t="n">
        <v>0</v>
      </c>
      <c r="N1458" s="1" t="s">
        <v>590</v>
      </c>
      <c r="O1458" s="1" t="n">
        <v>0.7</v>
      </c>
      <c r="P1458" s="1"/>
      <c r="Q1458" s="5" t="s">
        <v>284</v>
      </c>
      <c r="R1458" s="1" t="s">
        <v>677</v>
      </c>
      <c r="S1458" s="1" t="s">
        <v>677</v>
      </c>
      <c r="T1458" s="1" t="s">
        <v>2252</v>
      </c>
    </row>
    <row r="1459" customFormat="false" ht="15" hidden="false" customHeight="true" outlineLevel="0" collapsed="false">
      <c r="A1459" s="1" t="s">
        <v>2892</v>
      </c>
      <c r="B1459" s="1" t="n">
        <v>1928</v>
      </c>
      <c r="C1459" s="1" t="n">
        <v>1</v>
      </c>
      <c r="D1459" s="1" t="s">
        <v>38</v>
      </c>
      <c r="E1459" s="1"/>
      <c r="F1459" s="1" t="n">
        <v>0</v>
      </c>
      <c r="G1459" s="1" t="n">
        <v>140</v>
      </c>
      <c r="H1459" s="2" t="n">
        <v>0</v>
      </c>
      <c r="I1459" s="2" t="n">
        <f aca="false">(((H1459 / 800) / IF(ISBLANK(R1459), 1000000, IF(ISNA(VLOOKUP(R1459, Mileages!$A$2:$C$34, 2, 0)), R1459, VLOOKUP(R1459, Mileages!$A$2:$C$34, 2, 0)))) + (F1459 * IF(ISBLANK(P1459), 1, P1459) * IF(ISBLANK(T1459), 0, IF(ISNA(VLOOKUP(T1459, 'Fuel Costs'!$A$2:$C$42, 2, 0)), T1459, VLOOKUP(T1459, 'Fuel Costs'!$A$2:$C$42, 2, 0))) / IF(ISBLANK(O1459), 1, O1459))) * 100</f>
        <v>0</v>
      </c>
      <c r="J1459" s="2" t="n">
        <f aca="false">((H1459 / 800) / (IF(ISBLANK(S1459), 100, IF(ISNA(VLOOKUP(S1459, Lives!$A$2:$C$35, 2, 0)), S1459, VLOOKUP(S1459, Lives!$A$2:$C$35, 2, 0))) * 12) + (IF(ISBLANK(Q1459), 0, IF(ISNA(VLOOKUP(Q1459, Wages!$A$2:$C$17, 2, 0)), Q1459, VLOOKUP(Q1459, Wages!$A$2:$C$17, 2, 0))) * IF(ISBLANK(N1459), 0, IF(ISNA(VLOOKUP(N1459, Crews!$A$2:$C$28, 2, 0)), N1459, VLOOKUP(N1459, Crews!$A$2:$C$28, 2, 0))))) * 400</f>
        <v>0</v>
      </c>
      <c r="K1459" s="1"/>
      <c r="L1459" s="1" t="s">
        <v>2891</v>
      </c>
      <c r="M1459" s="1" t="n">
        <v>1</v>
      </c>
      <c r="N1459" s="1"/>
      <c r="O1459" s="1"/>
      <c r="P1459" s="1"/>
      <c r="Q1459" s="1"/>
      <c r="R1459" s="1"/>
      <c r="S1459" s="1"/>
      <c r="T1459" s="1"/>
    </row>
    <row r="1460" customFormat="false" ht="15" hidden="false" customHeight="true" outlineLevel="0" collapsed="false">
      <c r="A1460" s="1" t="s">
        <v>2893</v>
      </c>
      <c r="B1460" s="1" t="n">
        <v>1928</v>
      </c>
      <c r="C1460" s="1" t="n">
        <v>1</v>
      </c>
      <c r="D1460" s="1" t="s">
        <v>21</v>
      </c>
      <c r="E1460" s="1" t="s">
        <v>274</v>
      </c>
      <c r="F1460" s="1" t="n">
        <v>72</v>
      </c>
      <c r="G1460" s="1" t="n">
        <v>20</v>
      </c>
      <c r="H1460" s="2" t="n">
        <v>156500</v>
      </c>
      <c r="I1460" s="2" t="n">
        <f aca="false">(((H1460 / 800) / IF(ISBLANK(R1460), 1000000, IF(ISNA(VLOOKUP(R1460, Mileages!$A$2:$C$34, 2, 0)), R1460, VLOOKUP(R1460, Mileages!$A$2:$C$34, 2, 0)))) + (F1460 * IF(ISBLANK(P1460), 1, P1460) * IF(ISBLANK(T1460), 0, IF(ISNA(VLOOKUP(T1460, 'Fuel Costs'!$A$2:$C$42, 2, 0)), T1460, VLOOKUP(T1460, 'Fuel Costs'!$A$2:$C$42, 2, 0))) / IF(ISBLANK(O1460), 1, O1460))) * 100</f>
        <v>48.039125</v>
      </c>
      <c r="J1460" s="2" t="n">
        <f aca="false">((H1460 / 800) / (IF(ISBLANK(S1460), 100, IF(ISNA(VLOOKUP(S1460, Lives!$A$2:$C$35, 2, 0)), S1460, VLOOKUP(S1460, Lives!$A$2:$C$35, 2, 0))) * 12) + (IF(ISBLANK(Q1460), 0, IF(ISNA(VLOOKUP(Q1460, Wages!$A$2:$C$17, 2, 0)), Q1460, VLOOKUP(Q1460, Wages!$A$2:$C$17, 2, 0))) * IF(ISBLANK(N1460), 0, IF(ISNA(VLOOKUP(N1460, Crews!$A$2:$C$28, 2, 0)), N1460, VLOOKUP(N1460, Crews!$A$2:$C$28, 2, 0))))) * 400</f>
        <v>8081.510417</v>
      </c>
      <c r="K1460" s="1"/>
      <c r="L1460" s="1" t="s">
        <v>2894</v>
      </c>
      <c r="M1460" s="1" t="n">
        <v>3</v>
      </c>
      <c r="N1460" s="1" t="s">
        <v>25</v>
      </c>
      <c r="O1460" s="1" t="n">
        <v>0.6</v>
      </c>
      <c r="P1460" s="1"/>
      <c r="Q1460" s="1" t="s">
        <v>1815</v>
      </c>
      <c r="R1460" s="1" t="s">
        <v>837</v>
      </c>
      <c r="S1460" s="1" t="s">
        <v>837</v>
      </c>
      <c r="T1460" s="1" t="s">
        <v>2252</v>
      </c>
    </row>
    <row r="1461" customFormat="false" ht="15" hidden="false" customHeight="true" outlineLevel="0" collapsed="false">
      <c r="A1461" s="1" t="s">
        <v>2895</v>
      </c>
      <c r="B1461" s="1" t="n">
        <v>1928</v>
      </c>
      <c r="C1461" s="1" t="n">
        <v>3</v>
      </c>
      <c r="D1461" s="1" t="s">
        <v>38</v>
      </c>
      <c r="E1461" s="1" t="s">
        <v>274</v>
      </c>
      <c r="F1461" s="1" t="n">
        <v>347</v>
      </c>
      <c r="G1461" s="1" t="n">
        <v>117</v>
      </c>
      <c r="H1461" s="2" t="n">
        <v>8075000</v>
      </c>
      <c r="I1461" s="2" t="n">
        <f aca="false">(((H1461 / 800) / IF(ISBLANK(R1461), 1000000, IF(ISNA(VLOOKUP(R1461, Mileages!$A$2:$C$34, 2, 0)), R1461, VLOOKUP(R1461, Mileages!$A$2:$C$34, 2, 0)))) + (F1461 * IF(ISBLANK(P1461), 1, P1461) * IF(ISBLANK(T1461), 0, IF(ISNA(VLOOKUP(T1461, 'Fuel Costs'!$A$2:$C$42, 2, 0)), T1461, VLOOKUP(T1461, 'Fuel Costs'!$A$2:$C$42, 2, 0))) / IF(ISBLANK(O1461), 1, O1461))) * 100</f>
        <v>199.2950893</v>
      </c>
      <c r="J1461" s="2" t="n">
        <f aca="false">((H1461 / 800) / (IF(ISBLANK(S1461), 100, IF(ISNA(VLOOKUP(S1461, Lives!$A$2:$C$35, 2, 0)), S1461, VLOOKUP(S1461, Lives!$A$2:$C$35, 2, 0))) * 12) + (IF(ISBLANK(Q1461), 0, IF(ISNA(VLOOKUP(Q1461, Wages!$A$2:$C$17, 2, 0)), Q1461, VLOOKUP(Q1461, Wages!$A$2:$C$17, 2, 0))) * IF(ISBLANK(N1461), 0, IF(ISNA(VLOOKUP(N1461, Crews!$A$2:$C$28, 2, 0)), N1461, VLOOKUP(N1461, Crews!$A$2:$C$28, 2, 0))))) * 400</f>
        <v>30729.16667</v>
      </c>
      <c r="K1461" s="3" t="s">
        <v>2896</v>
      </c>
      <c r="L1461" s="1" t="s">
        <v>2897</v>
      </c>
      <c r="M1461" s="1" t="n">
        <v>0</v>
      </c>
      <c r="N1461" s="1" t="s">
        <v>590</v>
      </c>
      <c r="O1461" s="1" t="n">
        <v>0.7</v>
      </c>
      <c r="P1461" s="1"/>
      <c r="Q1461" s="5" t="s">
        <v>284</v>
      </c>
      <c r="R1461" s="1" t="s">
        <v>677</v>
      </c>
      <c r="S1461" s="1" t="s">
        <v>677</v>
      </c>
      <c r="T1461" s="1" t="s">
        <v>2252</v>
      </c>
    </row>
    <row r="1462" customFormat="false" ht="15" hidden="false" customHeight="true" outlineLevel="0" collapsed="false">
      <c r="A1462" s="1" t="s">
        <v>2898</v>
      </c>
      <c r="B1462" s="1" t="n">
        <v>1928</v>
      </c>
      <c r="C1462" s="1" t="n">
        <v>3</v>
      </c>
      <c r="D1462" s="1" t="s">
        <v>2225</v>
      </c>
      <c r="E1462" s="1" t="s">
        <v>1839</v>
      </c>
      <c r="F1462" s="1" t="n">
        <v>302</v>
      </c>
      <c r="G1462" s="1" t="n">
        <v>285</v>
      </c>
      <c r="H1462" s="2" t="n">
        <v>2290000</v>
      </c>
      <c r="I1462" s="2" t="n">
        <f aca="false">(((H1462 / 800) / IF(ISBLANK(R1462), 1000000, IF(ISNA(VLOOKUP(R1462, Mileages!$A$2:$C$34, 2, 0)), R1462, VLOOKUP(R1462, Mileages!$A$2:$C$34, 2, 0)))) + (F1462 * IF(ISBLANK(P1462), 1, P1462) * IF(ISBLANK(T1462), 0, IF(ISNA(VLOOKUP(T1462, 'Fuel Costs'!$A$2:$C$42, 2, 0)), T1462, VLOOKUP(T1462, 'Fuel Costs'!$A$2:$C$42, 2, 0))) / IF(ISBLANK(O1462), 1, O1462))) * 100</f>
        <v>15.15725</v>
      </c>
      <c r="J1462" s="2" t="n">
        <f aca="false">((H1462 / 800) / (IF(ISBLANK(S1462), 100, IF(ISNA(VLOOKUP(S1462, Lives!$A$2:$C$35, 2, 0)), S1462, VLOOKUP(S1462, Lives!$A$2:$C$35, 2, 0))) * 12) + (IF(ISBLANK(Q1462), 0, IF(ISNA(VLOOKUP(Q1462, Wages!$A$2:$C$17, 2, 0)), Q1462, VLOOKUP(Q1462, Wages!$A$2:$C$17, 2, 0))) * IF(ISBLANK(N1462), 0, IF(ISNA(VLOOKUP(N1462, Crews!$A$2:$C$28, 2, 0)), N1462, VLOOKUP(N1462, Crews!$A$2:$C$28, 2, 0))))) * 400</f>
        <v>51590.27778</v>
      </c>
      <c r="K1462" s="3" t="s">
        <v>2899</v>
      </c>
      <c r="L1462" s="1" t="s">
        <v>2900</v>
      </c>
      <c r="M1462" s="1" t="n">
        <v>0</v>
      </c>
      <c r="N1462" s="1" t="s">
        <v>2342</v>
      </c>
      <c r="O1462" s="1"/>
      <c r="P1462" s="1" t="n">
        <v>0.1</v>
      </c>
      <c r="Q1462" s="1" t="s">
        <v>2229</v>
      </c>
      <c r="R1462" s="1" t="s">
        <v>2229</v>
      </c>
      <c r="S1462" s="1" t="s">
        <v>2229</v>
      </c>
      <c r="T1462" s="1" t="s">
        <v>2572</v>
      </c>
    </row>
    <row r="1463" customFormat="false" ht="15" hidden="false" customHeight="true" outlineLevel="0" collapsed="false">
      <c r="A1463" s="1" t="s">
        <v>2901</v>
      </c>
      <c r="B1463" s="1" t="n">
        <v>1928</v>
      </c>
      <c r="C1463" s="1" t="n">
        <v>3</v>
      </c>
      <c r="D1463" s="1" t="s">
        <v>2225</v>
      </c>
      <c r="E1463" s="1" t="s">
        <v>1839</v>
      </c>
      <c r="F1463" s="1" t="n">
        <v>302</v>
      </c>
      <c r="G1463" s="1" t="n">
        <v>285</v>
      </c>
      <c r="H1463" s="2" t="n">
        <v>2290000</v>
      </c>
      <c r="I1463" s="2" t="n">
        <f aca="false">(((H1463 / 800) / IF(ISBLANK(R1463), 1000000, IF(ISNA(VLOOKUP(R1463, Mileages!$A$2:$C$34, 2, 0)), R1463, VLOOKUP(R1463, Mileages!$A$2:$C$34, 2, 0)))) + (F1463 * IF(ISBLANK(P1463), 1, P1463) * IF(ISBLANK(T1463), 0, IF(ISNA(VLOOKUP(T1463, 'Fuel Costs'!$A$2:$C$42, 2, 0)), T1463, VLOOKUP(T1463, 'Fuel Costs'!$A$2:$C$42, 2, 0))) / IF(ISBLANK(O1463), 1, O1463))) * 100</f>
        <v>15.15725</v>
      </c>
      <c r="J1463" s="2" t="n">
        <f aca="false">((H1463 / 800) / (IF(ISBLANK(S1463), 100, IF(ISNA(VLOOKUP(S1463, Lives!$A$2:$C$35, 2, 0)), S1463, VLOOKUP(S1463, Lives!$A$2:$C$35, 2, 0))) * 12) + (IF(ISBLANK(Q1463), 0, IF(ISNA(VLOOKUP(Q1463, Wages!$A$2:$C$17, 2, 0)), Q1463, VLOOKUP(Q1463, Wages!$A$2:$C$17, 2, 0))) * IF(ISBLANK(N1463), 0, IF(ISNA(VLOOKUP(N1463, Crews!$A$2:$C$28, 2, 0)), N1463, VLOOKUP(N1463, Crews!$A$2:$C$28, 2, 0))))) * 400</f>
        <v>11590.27778</v>
      </c>
      <c r="K1463" s="3" t="s">
        <v>2902</v>
      </c>
      <c r="L1463" s="1" t="s">
        <v>2900</v>
      </c>
      <c r="M1463" s="1" t="n">
        <v>1</v>
      </c>
      <c r="N1463" s="1" t="s">
        <v>25</v>
      </c>
      <c r="O1463" s="1"/>
      <c r="P1463" s="1" t="n">
        <v>0.1</v>
      </c>
      <c r="Q1463" s="1" t="s">
        <v>2229</v>
      </c>
      <c r="R1463" s="1" t="s">
        <v>2229</v>
      </c>
      <c r="S1463" s="1" t="s">
        <v>2229</v>
      </c>
      <c r="T1463" s="1" t="s">
        <v>2572</v>
      </c>
    </row>
    <row r="1464" customFormat="false" ht="15" hidden="false" customHeight="true" outlineLevel="0" collapsed="false">
      <c r="A1464" s="1" t="s">
        <v>2903</v>
      </c>
      <c r="B1464" s="1" t="n">
        <v>1928</v>
      </c>
      <c r="C1464" s="1" t="n">
        <v>3</v>
      </c>
      <c r="D1464" s="1" t="s">
        <v>38</v>
      </c>
      <c r="E1464" s="1"/>
      <c r="F1464" s="1"/>
      <c r="G1464" s="1" t="n">
        <v>160</v>
      </c>
      <c r="H1464" s="2" t="n">
        <v>633000</v>
      </c>
      <c r="I1464" s="2" t="n">
        <f aca="false">(((H1464 / 800) / IF(ISBLANK(R1464), 1000000, IF(ISNA(VLOOKUP(R1464, Mileages!$A$2:$C$34, 2, 0)), R1464, VLOOKUP(R1464, Mileages!$A$2:$C$34, 2, 0)))) + (F1464 * IF(ISBLANK(P1464), 1, P1464) * IF(ISBLANK(T1464), 0, IF(ISNA(VLOOKUP(T1464, 'Fuel Costs'!$A$2:$C$42, 2, 0)), T1464, VLOOKUP(T1464, 'Fuel Costs'!$A$2:$C$42, 2, 0))) / IF(ISBLANK(O1464), 1, O1464))) * 100</f>
        <v>0.0659375</v>
      </c>
      <c r="J1464" s="2" t="n">
        <f aca="false">((H1464 / 800) / (IF(ISBLANK(S1464), 100, IF(ISNA(VLOOKUP(S1464, Lives!$A$2:$C$35, 2, 0)), S1464, VLOOKUP(S1464, Lives!$A$2:$C$35, 2, 0))) * 12) + (IF(ISBLANK(Q1464), 0, IF(ISNA(VLOOKUP(Q1464, Wages!$A$2:$C$17, 2, 0)), Q1464, VLOOKUP(Q1464, Wages!$A$2:$C$17, 2, 0))) * IF(ISBLANK(N1464), 0, IF(ISNA(VLOOKUP(N1464, Crews!$A$2:$C$28, 2, 0)), N1464, VLOOKUP(N1464, Crews!$A$2:$C$28, 2, 0))))) * 400</f>
        <v>263.75</v>
      </c>
      <c r="K1464" s="1"/>
      <c r="L1464" s="1" t="s">
        <v>2833</v>
      </c>
      <c r="M1464" s="1" t="n">
        <v>6</v>
      </c>
      <c r="N1464" s="1"/>
      <c r="O1464" s="1"/>
      <c r="P1464" s="1"/>
      <c r="Q1464" s="1"/>
      <c r="R1464" s="1" t="s">
        <v>689</v>
      </c>
      <c r="S1464" s="1" t="s">
        <v>389</v>
      </c>
      <c r="T1464" s="1"/>
    </row>
    <row r="1465" customFormat="false" ht="15" hidden="false" customHeight="true" outlineLevel="0" collapsed="false">
      <c r="A1465" s="1" t="s">
        <v>2904</v>
      </c>
      <c r="B1465" s="1" t="n">
        <v>1928</v>
      </c>
      <c r="C1465" s="1" t="n">
        <v>3</v>
      </c>
      <c r="D1465" s="1" t="s">
        <v>38</v>
      </c>
      <c r="E1465" s="1"/>
      <c r="F1465" s="1"/>
      <c r="G1465" s="1" t="n">
        <v>160</v>
      </c>
      <c r="H1465" s="2" t="n">
        <v>633000</v>
      </c>
      <c r="I1465" s="2" t="n">
        <f aca="false">(((H1465 / 800) / IF(ISBLANK(R1465), 1000000, IF(ISNA(VLOOKUP(R1465, Mileages!$A$2:$C$34, 2, 0)), R1465, VLOOKUP(R1465, Mileages!$A$2:$C$34, 2, 0)))) + (F1465 * IF(ISBLANK(P1465), 1, P1465) * IF(ISBLANK(T1465), 0, IF(ISNA(VLOOKUP(T1465, 'Fuel Costs'!$A$2:$C$42, 2, 0)), T1465, VLOOKUP(T1465, 'Fuel Costs'!$A$2:$C$42, 2, 0))) / IF(ISBLANK(O1465), 1, O1465))) * 100</f>
        <v>0.0659375</v>
      </c>
      <c r="J1465" s="2" t="n">
        <f aca="false">((H1465 / 800) / (IF(ISBLANK(S1465), 100, IF(ISNA(VLOOKUP(S1465, Lives!$A$2:$C$35, 2, 0)), S1465, VLOOKUP(S1465, Lives!$A$2:$C$35, 2, 0))) * 12) + (IF(ISBLANK(Q1465), 0, IF(ISNA(VLOOKUP(Q1465, Wages!$A$2:$C$17, 2, 0)), Q1465, VLOOKUP(Q1465, Wages!$A$2:$C$17, 2, 0))) * IF(ISBLANK(N1465), 0, IF(ISNA(VLOOKUP(N1465, Crews!$A$2:$C$28, 2, 0)), N1465, VLOOKUP(N1465, Crews!$A$2:$C$28, 2, 0))))) * 400</f>
        <v>5063.75</v>
      </c>
      <c r="K1465" s="1"/>
      <c r="L1465" s="1" t="s">
        <v>2833</v>
      </c>
      <c r="M1465" s="1" t="n">
        <v>7</v>
      </c>
      <c r="N1465" s="1" t="s">
        <v>25</v>
      </c>
      <c r="O1465" s="1"/>
      <c r="P1465" s="1"/>
      <c r="Q1465" s="1" t="s">
        <v>378</v>
      </c>
      <c r="R1465" s="1" t="s">
        <v>689</v>
      </c>
      <c r="S1465" s="1" t="s">
        <v>389</v>
      </c>
      <c r="T1465" s="1"/>
    </row>
    <row r="1466" customFormat="false" ht="15" hidden="false" customHeight="true" outlineLevel="0" collapsed="false">
      <c r="A1466" s="1" t="s">
        <v>2905</v>
      </c>
      <c r="B1466" s="1" t="n">
        <v>1928</v>
      </c>
      <c r="C1466" s="1" t="n">
        <v>4</v>
      </c>
      <c r="D1466" s="1" t="s">
        <v>21</v>
      </c>
      <c r="E1466" s="1" t="s">
        <v>274</v>
      </c>
      <c r="F1466" s="1" t="n">
        <v>72</v>
      </c>
      <c r="G1466" s="1" t="n">
        <v>20</v>
      </c>
      <c r="H1466" s="2" t="n">
        <v>156500</v>
      </c>
      <c r="I1466" s="2" t="n">
        <f aca="false">(((H1466 / 800) / IF(ISBLANK(R1466), 1000000, IF(ISNA(VLOOKUP(R1466, Mileages!$A$2:$C$34, 2, 0)), R1466, VLOOKUP(R1466, Mileages!$A$2:$C$34, 2, 0)))) + (F1466 * IF(ISBLANK(P1466), 1, P1466) * IF(ISBLANK(T1466), 0, IF(ISNA(VLOOKUP(T1466, 'Fuel Costs'!$A$2:$C$42, 2, 0)), T1466, VLOOKUP(T1466, 'Fuel Costs'!$A$2:$C$42, 2, 0))) / IF(ISBLANK(O1466), 1, O1466))) * 100</f>
        <v>48.039125</v>
      </c>
      <c r="J1466" s="2" t="n">
        <f aca="false">((H1466 / 800) / (IF(ISBLANK(S1466), 100, IF(ISNA(VLOOKUP(S1466, Lives!$A$2:$C$35, 2, 0)), S1466, VLOOKUP(S1466, Lives!$A$2:$C$35, 2, 0))) * 12) + (IF(ISBLANK(Q1466), 0, IF(ISNA(VLOOKUP(Q1466, Wages!$A$2:$C$17, 2, 0)), Q1466, VLOOKUP(Q1466, Wages!$A$2:$C$17, 2, 0))) * IF(ISBLANK(N1466), 0, IF(ISNA(VLOOKUP(N1466, Crews!$A$2:$C$28, 2, 0)), N1466, VLOOKUP(N1466, Crews!$A$2:$C$28, 2, 0))))) * 400</f>
        <v>8081.510417</v>
      </c>
      <c r="K1466" s="3" t="s">
        <v>2906</v>
      </c>
      <c r="L1466" s="1" t="s">
        <v>2894</v>
      </c>
      <c r="M1466" s="1" t="n">
        <v>0</v>
      </c>
      <c r="N1466" s="1" t="s">
        <v>25</v>
      </c>
      <c r="O1466" s="1" t="n">
        <v>0.6</v>
      </c>
      <c r="P1466" s="1"/>
      <c r="Q1466" s="1" t="s">
        <v>1815</v>
      </c>
      <c r="R1466" s="1" t="s">
        <v>837</v>
      </c>
      <c r="S1466" s="1" t="s">
        <v>837</v>
      </c>
      <c r="T1466" s="1" t="s">
        <v>2252</v>
      </c>
    </row>
    <row r="1467" customFormat="false" ht="15" hidden="false" customHeight="true" outlineLevel="0" collapsed="false">
      <c r="A1467" s="1" t="s">
        <v>2907</v>
      </c>
      <c r="B1467" s="1" t="n">
        <v>1928</v>
      </c>
      <c r="C1467" s="1" t="n">
        <v>4</v>
      </c>
      <c r="D1467" s="1" t="s">
        <v>21</v>
      </c>
      <c r="E1467" s="1" t="s">
        <v>274</v>
      </c>
      <c r="F1467" s="1" t="n">
        <v>72</v>
      </c>
      <c r="G1467" s="1" t="n">
        <v>20</v>
      </c>
      <c r="H1467" s="2" t="n">
        <v>156500</v>
      </c>
      <c r="I1467" s="2" t="n">
        <f aca="false">(((H1467 / 800) / IF(ISBLANK(R1467), 1000000, IF(ISNA(VLOOKUP(R1467, Mileages!$A$2:$C$34, 2, 0)), R1467, VLOOKUP(R1467, Mileages!$A$2:$C$34, 2, 0)))) + (F1467 * IF(ISBLANK(P1467), 1, P1467) * IF(ISBLANK(T1467), 0, IF(ISNA(VLOOKUP(T1467, 'Fuel Costs'!$A$2:$C$42, 2, 0)), T1467, VLOOKUP(T1467, 'Fuel Costs'!$A$2:$C$42, 2, 0))) / IF(ISBLANK(O1467), 1, O1467))) * 100</f>
        <v>48.039125</v>
      </c>
      <c r="J1467" s="2" t="n">
        <f aca="false">((H1467 / 800) / (IF(ISBLANK(S1467), 100, IF(ISNA(VLOOKUP(S1467, Lives!$A$2:$C$35, 2, 0)), S1467, VLOOKUP(S1467, Lives!$A$2:$C$35, 2, 0))) * 12) + (IF(ISBLANK(Q1467), 0, IF(ISNA(VLOOKUP(Q1467, Wages!$A$2:$C$17, 2, 0)), Q1467, VLOOKUP(Q1467, Wages!$A$2:$C$17, 2, 0))) * IF(ISBLANK(N1467), 0, IF(ISNA(VLOOKUP(N1467, Crews!$A$2:$C$28, 2, 0)), N1467, VLOOKUP(N1467, Crews!$A$2:$C$28, 2, 0))))) * 400</f>
        <v>8081.510417</v>
      </c>
      <c r="K1467" s="1"/>
      <c r="L1467" s="1" t="s">
        <v>2894</v>
      </c>
      <c r="M1467" s="1" t="n">
        <v>1</v>
      </c>
      <c r="N1467" s="1" t="s">
        <v>25</v>
      </c>
      <c r="O1467" s="1" t="n">
        <v>0.6</v>
      </c>
      <c r="P1467" s="1"/>
      <c r="Q1467" s="1" t="s">
        <v>1815</v>
      </c>
      <c r="R1467" s="1" t="s">
        <v>837</v>
      </c>
      <c r="S1467" s="1" t="s">
        <v>837</v>
      </c>
      <c r="T1467" s="1" t="s">
        <v>2252</v>
      </c>
    </row>
    <row r="1468" customFormat="false" ht="15" hidden="false" customHeight="true" outlineLevel="0" collapsed="false">
      <c r="A1468" s="1" t="s">
        <v>2908</v>
      </c>
      <c r="B1468" s="1" t="n">
        <v>1928</v>
      </c>
      <c r="C1468" s="1" t="n">
        <v>4</v>
      </c>
      <c r="D1468" s="1" t="s">
        <v>21</v>
      </c>
      <c r="E1468" s="1" t="s">
        <v>274</v>
      </c>
      <c r="F1468" s="1" t="n">
        <v>72</v>
      </c>
      <c r="G1468" s="1" t="n">
        <v>20</v>
      </c>
      <c r="H1468" s="2" t="n">
        <v>156500</v>
      </c>
      <c r="I1468" s="2" t="n">
        <f aca="false">(((H1468 / 800) / IF(ISBLANK(R1468), 1000000, IF(ISNA(VLOOKUP(R1468, Mileages!$A$2:$C$34, 2, 0)), R1468, VLOOKUP(R1468, Mileages!$A$2:$C$34, 2, 0)))) + (F1468 * IF(ISBLANK(P1468), 1, P1468) * IF(ISBLANK(T1468), 0, IF(ISNA(VLOOKUP(T1468, 'Fuel Costs'!$A$2:$C$42, 2, 0)), T1468, VLOOKUP(T1468, 'Fuel Costs'!$A$2:$C$42, 2, 0))) / IF(ISBLANK(O1468), 1, O1468))) * 100</f>
        <v>48.039125</v>
      </c>
      <c r="J1468" s="2" t="n">
        <f aca="false">((H1468 / 800) / (IF(ISBLANK(S1468), 100, IF(ISNA(VLOOKUP(S1468, Lives!$A$2:$C$35, 2, 0)), S1468, VLOOKUP(S1468, Lives!$A$2:$C$35, 2, 0))) * 12) + (IF(ISBLANK(Q1468), 0, IF(ISNA(VLOOKUP(Q1468, Wages!$A$2:$C$17, 2, 0)), Q1468, VLOOKUP(Q1468, Wages!$A$2:$C$17, 2, 0))) * IF(ISBLANK(N1468), 0, IF(ISNA(VLOOKUP(N1468, Crews!$A$2:$C$28, 2, 0)), N1468, VLOOKUP(N1468, Crews!$A$2:$C$28, 2, 0))))) * 400</f>
        <v>8081.510417</v>
      </c>
      <c r="K1468" s="1"/>
      <c r="L1468" s="1" t="s">
        <v>2894</v>
      </c>
      <c r="M1468" s="1" t="n">
        <v>2</v>
      </c>
      <c r="N1468" s="1" t="s">
        <v>25</v>
      </c>
      <c r="O1468" s="1" t="n">
        <v>0.6</v>
      </c>
      <c r="P1468" s="1"/>
      <c r="Q1468" s="1" t="s">
        <v>1815</v>
      </c>
      <c r="R1468" s="1" t="s">
        <v>837</v>
      </c>
      <c r="S1468" s="1" t="s">
        <v>837</v>
      </c>
      <c r="T1468" s="1" t="s">
        <v>2252</v>
      </c>
    </row>
    <row r="1469" customFormat="false" ht="15" hidden="false" customHeight="true" outlineLevel="0" collapsed="false">
      <c r="A1469" s="1" t="s">
        <v>2909</v>
      </c>
      <c r="B1469" s="1" t="n">
        <v>1928</v>
      </c>
      <c r="C1469" s="1" t="n">
        <v>4</v>
      </c>
      <c r="D1469" s="1" t="s">
        <v>21</v>
      </c>
      <c r="E1469" s="1" t="s">
        <v>274</v>
      </c>
      <c r="F1469" s="1" t="n">
        <v>72</v>
      </c>
      <c r="G1469" s="1" t="n">
        <v>20</v>
      </c>
      <c r="H1469" s="2" t="n">
        <v>156500</v>
      </c>
      <c r="I1469" s="2" t="n">
        <f aca="false">(((H1469 / 800) / IF(ISBLANK(R1469), 1000000, IF(ISNA(VLOOKUP(R1469, Mileages!$A$2:$C$34, 2, 0)), R1469, VLOOKUP(R1469, Mileages!$A$2:$C$34, 2, 0)))) + (F1469 * IF(ISBLANK(P1469), 1, P1469) * IF(ISBLANK(T1469), 0, IF(ISNA(VLOOKUP(T1469, 'Fuel Costs'!$A$2:$C$42, 2, 0)), T1469, VLOOKUP(T1469, 'Fuel Costs'!$A$2:$C$42, 2, 0))) / IF(ISBLANK(O1469), 1, O1469))) * 100</f>
        <v>48.039125</v>
      </c>
      <c r="J1469" s="2" t="n">
        <f aca="false">((H1469 / 800) / (IF(ISBLANK(S1469), 100, IF(ISNA(VLOOKUP(S1469, Lives!$A$2:$C$35, 2, 0)), S1469, VLOOKUP(S1469, Lives!$A$2:$C$35, 2, 0))) * 12) + (IF(ISBLANK(Q1469), 0, IF(ISNA(VLOOKUP(Q1469, Wages!$A$2:$C$17, 2, 0)), Q1469, VLOOKUP(Q1469, Wages!$A$2:$C$17, 2, 0))) * IF(ISBLANK(N1469), 0, IF(ISNA(VLOOKUP(N1469, Crews!$A$2:$C$28, 2, 0)), N1469, VLOOKUP(N1469, Crews!$A$2:$C$28, 2, 0))))) * 400</f>
        <v>8081.510417</v>
      </c>
      <c r="K1469" s="1"/>
      <c r="L1469" s="1" t="s">
        <v>2894</v>
      </c>
      <c r="M1469" s="1" t="n">
        <v>4</v>
      </c>
      <c r="N1469" s="1" t="s">
        <v>25</v>
      </c>
      <c r="O1469" s="1" t="n">
        <v>0.6</v>
      </c>
      <c r="P1469" s="1"/>
      <c r="Q1469" s="1" t="s">
        <v>1815</v>
      </c>
      <c r="R1469" s="1" t="s">
        <v>837</v>
      </c>
      <c r="S1469" s="1" t="s">
        <v>837</v>
      </c>
      <c r="T1469" s="1" t="s">
        <v>2252</v>
      </c>
    </row>
    <row r="1470" customFormat="false" ht="15" hidden="false" customHeight="true" outlineLevel="0" collapsed="false">
      <c r="A1470" s="1" t="s">
        <v>2910</v>
      </c>
      <c r="B1470" s="1" t="n">
        <v>1928</v>
      </c>
      <c r="C1470" s="1" t="n">
        <v>4</v>
      </c>
      <c r="D1470" s="1" t="s">
        <v>21</v>
      </c>
      <c r="E1470" s="1" t="s">
        <v>274</v>
      </c>
      <c r="F1470" s="1" t="n">
        <v>72</v>
      </c>
      <c r="G1470" s="1" t="n">
        <v>20</v>
      </c>
      <c r="H1470" s="2" t="n">
        <v>156500</v>
      </c>
      <c r="I1470" s="2" t="n">
        <f aca="false">(((H1470 / 800) / IF(ISBLANK(R1470), 1000000, IF(ISNA(VLOOKUP(R1470, Mileages!$A$2:$C$34, 2, 0)), R1470, VLOOKUP(R1470, Mileages!$A$2:$C$34, 2, 0)))) + (F1470 * IF(ISBLANK(P1470), 1, P1470) * IF(ISBLANK(T1470), 0, IF(ISNA(VLOOKUP(T1470, 'Fuel Costs'!$A$2:$C$42, 2, 0)), T1470, VLOOKUP(T1470, 'Fuel Costs'!$A$2:$C$42, 2, 0))) / IF(ISBLANK(O1470), 1, O1470))) * 100</f>
        <v>48.039125</v>
      </c>
      <c r="J1470" s="2" t="n">
        <f aca="false">((H1470 / 800) / (IF(ISBLANK(S1470), 100, IF(ISNA(VLOOKUP(S1470, Lives!$A$2:$C$35, 2, 0)), S1470, VLOOKUP(S1470, Lives!$A$2:$C$35, 2, 0))) * 12) + (IF(ISBLANK(Q1470), 0, IF(ISNA(VLOOKUP(Q1470, Wages!$A$2:$C$17, 2, 0)), Q1470, VLOOKUP(Q1470, Wages!$A$2:$C$17, 2, 0))) * IF(ISBLANK(N1470), 0, IF(ISNA(VLOOKUP(N1470, Crews!$A$2:$C$28, 2, 0)), N1470, VLOOKUP(N1470, Crews!$A$2:$C$28, 2, 0))))) * 400</f>
        <v>8081.510417</v>
      </c>
      <c r="K1470" s="1"/>
      <c r="L1470" s="1" t="s">
        <v>2894</v>
      </c>
      <c r="M1470" s="1" t="n">
        <v>5</v>
      </c>
      <c r="N1470" s="1" t="s">
        <v>25</v>
      </c>
      <c r="O1470" s="1" t="n">
        <v>0.6</v>
      </c>
      <c r="P1470" s="1"/>
      <c r="Q1470" s="1" t="s">
        <v>1815</v>
      </c>
      <c r="R1470" s="1" t="s">
        <v>837</v>
      </c>
      <c r="S1470" s="1" t="s">
        <v>837</v>
      </c>
      <c r="T1470" s="1" t="s">
        <v>2252</v>
      </c>
    </row>
    <row r="1471" customFormat="false" ht="15" hidden="false" customHeight="true" outlineLevel="0" collapsed="false">
      <c r="A1471" s="1" t="s">
        <v>2911</v>
      </c>
      <c r="B1471" s="1" t="n">
        <v>1928</v>
      </c>
      <c r="C1471" s="1" t="n">
        <v>4</v>
      </c>
      <c r="D1471" s="1" t="s">
        <v>21</v>
      </c>
      <c r="E1471" s="1" t="s">
        <v>274</v>
      </c>
      <c r="F1471" s="1" t="n">
        <v>72</v>
      </c>
      <c r="G1471" s="1" t="n">
        <v>20</v>
      </c>
      <c r="H1471" s="2" t="n">
        <v>166800</v>
      </c>
      <c r="I1471" s="2" t="n">
        <f aca="false">(((H1471 / 800) / IF(ISBLANK(R1471), 1000000, IF(ISNA(VLOOKUP(R1471, Mileages!$A$2:$C$34, 2, 0)), R1471, VLOOKUP(R1471, Mileages!$A$2:$C$34, 2, 0)))) + (F1471 * IF(ISBLANK(P1471), 1, P1471) * IF(ISBLANK(T1471), 0, IF(ISNA(VLOOKUP(T1471, 'Fuel Costs'!$A$2:$C$42, 2, 0)), T1471, VLOOKUP(T1471, 'Fuel Costs'!$A$2:$C$42, 2, 0))) / IF(ISBLANK(O1471), 1, O1471))) * 100</f>
        <v>48.0417</v>
      </c>
      <c r="J1471" s="2" t="n">
        <f aca="false">((H1471 / 800) / (IF(ISBLANK(S1471), 100, IF(ISNA(VLOOKUP(S1471, Lives!$A$2:$C$35, 2, 0)), S1471, VLOOKUP(S1471, Lives!$A$2:$C$35, 2, 0))) * 12) + (IF(ISBLANK(Q1471), 0, IF(ISNA(VLOOKUP(Q1471, Wages!$A$2:$C$17, 2, 0)), Q1471, VLOOKUP(Q1471, Wages!$A$2:$C$17, 2, 0))) * IF(ISBLANK(N1471), 0, IF(ISNA(VLOOKUP(N1471, Crews!$A$2:$C$28, 2, 0)), N1471, VLOOKUP(N1471, Crews!$A$2:$C$28, 2, 0))))) * 400</f>
        <v>8086.875</v>
      </c>
      <c r="K1471" s="3" t="s">
        <v>2912</v>
      </c>
      <c r="L1471" s="1" t="s">
        <v>2913</v>
      </c>
      <c r="M1471" s="1" t="n">
        <v>0</v>
      </c>
      <c r="N1471" s="1" t="s">
        <v>25</v>
      </c>
      <c r="O1471" s="1" t="n">
        <v>0.6</v>
      </c>
      <c r="P1471" s="1"/>
      <c r="Q1471" s="1" t="s">
        <v>1815</v>
      </c>
      <c r="R1471" s="1" t="s">
        <v>837</v>
      </c>
      <c r="S1471" s="1" t="s">
        <v>837</v>
      </c>
      <c r="T1471" s="1" t="s">
        <v>2252</v>
      </c>
    </row>
    <row r="1472" customFormat="false" ht="15" hidden="false" customHeight="true" outlineLevel="0" collapsed="false">
      <c r="A1472" s="1" t="s">
        <v>2914</v>
      </c>
      <c r="B1472" s="1" t="n">
        <v>1928</v>
      </c>
      <c r="C1472" s="1" t="n">
        <v>4</v>
      </c>
      <c r="D1472" s="1" t="s">
        <v>21</v>
      </c>
      <c r="E1472" s="1" t="s">
        <v>274</v>
      </c>
      <c r="F1472" s="1" t="n">
        <v>72</v>
      </c>
      <c r="G1472" s="1" t="n">
        <v>20</v>
      </c>
      <c r="H1472" s="2" t="n">
        <v>166800</v>
      </c>
      <c r="I1472" s="2" t="n">
        <f aca="false">(((H1472 / 800) / IF(ISBLANK(R1472), 1000000, IF(ISNA(VLOOKUP(R1472, Mileages!$A$2:$C$34, 2, 0)), R1472, VLOOKUP(R1472, Mileages!$A$2:$C$34, 2, 0)))) + (F1472 * IF(ISBLANK(P1472), 1, P1472) * IF(ISBLANK(T1472), 0, IF(ISNA(VLOOKUP(T1472, 'Fuel Costs'!$A$2:$C$42, 2, 0)), T1472, VLOOKUP(T1472, 'Fuel Costs'!$A$2:$C$42, 2, 0))) / IF(ISBLANK(O1472), 1, O1472))) * 100</f>
        <v>48.0417</v>
      </c>
      <c r="J1472" s="2" t="n">
        <f aca="false">((H1472 / 800) / (IF(ISBLANK(S1472), 100, IF(ISNA(VLOOKUP(S1472, Lives!$A$2:$C$35, 2, 0)), S1472, VLOOKUP(S1472, Lives!$A$2:$C$35, 2, 0))) * 12) + (IF(ISBLANK(Q1472), 0, IF(ISNA(VLOOKUP(Q1472, Wages!$A$2:$C$17, 2, 0)), Q1472, VLOOKUP(Q1472, Wages!$A$2:$C$17, 2, 0))) * IF(ISBLANK(N1472), 0, IF(ISNA(VLOOKUP(N1472, Crews!$A$2:$C$28, 2, 0)), N1472, VLOOKUP(N1472, Crews!$A$2:$C$28, 2, 0))))) * 400</f>
        <v>8086.875</v>
      </c>
      <c r="K1472" s="1"/>
      <c r="L1472" s="1" t="s">
        <v>2913</v>
      </c>
      <c r="M1472" s="1" t="n">
        <v>1</v>
      </c>
      <c r="N1472" s="1" t="s">
        <v>25</v>
      </c>
      <c r="O1472" s="1" t="n">
        <v>0.6</v>
      </c>
      <c r="P1472" s="1"/>
      <c r="Q1472" s="1" t="s">
        <v>1815</v>
      </c>
      <c r="R1472" s="1" t="s">
        <v>837</v>
      </c>
      <c r="S1472" s="1" t="s">
        <v>837</v>
      </c>
      <c r="T1472" s="1" t="s">
        <v>2252</v>
      </c>
    </row>
    <row r="1473" customFormat="false" ht="15" hidden="false" customHeight="true" outlineLevel="0" collapsed="false">
      <c r="A1473" s="1" t="s">
        <v>2915</v>
      </c>
      <c r="B1473" s="1" t="n">
        <v>1928</v>
      </c>
      <c r="C1473" s="1" t="n">
        <v>4</v>
      </c>
      <c r="D1473" s="1" t="s">
        <v>21</v>
      </c>
      <c r="E1473" s="1" t="s">
        <v>274</v>
      </c>
      <c r="F1473" s="1" t="n">
        <v>72</v>
      </c>
      <c r="G1473" s="1" t="n">
        <v>20</v>
      </c>
      <c r="H1473" s="2" t="n">
        <v>166800</v>
      </c>
      <c r="I1473" s="2" t="n">
        <f aca="false">(((H1473 / 800) / IF(ISBLANK(R1473), 1000000, IF(ISNA(VLOOKUP(R1473, Mileages!$A$2:$C$34, 2, 0)), R1473, VLOOKUP(R1473, Mileages!$A$2:$C$34, 2, 0)))) + (F1473 * IF(ISBLANK(P1473), 1, P1473) * IF(ISBLANK(T1473), 0, IF(ISNA(VLOOKUP(T1473, 'Fuel Costs'!$A$2:$C$42, 2, 0)), T1473, VLOOKUP(T1473, 'Fuel Costs'!$A$2:$C$42, 2, 0))) / IF(ISBLANK(O1473), 1, O1473))) * 100</f>
        <v>48.0417</v>
      </c>
      <c r="J1473" s="2" t="n">
        <f aca="false">((H1473 / 800) / (IF(ISBLANK(S1473), 100, IF(ISNA(VLOOKUP(S1473, Lives!$A$2:$C$35, 2, 0)), S1473, VLOOKUP(S1473, Lives!$A$2:$C$35, 2, 0))) * 12) + (IF(ISBLANK(Q1473), 0, IF(ISNA(VLOOKUP(Q1473, Wages!$A$2:$C$17, 2, 0)), Q1473, VLOOKUP(Q1473, Wages!$A$2:$C$17, 2, 0))) * IF(ISBLANK(N1473), 0, IF(ISNA(VLOOKUP(N1473, Crews!$A$2:$C$28, 2, 0)), N1473, VLOOKUP(N1473, Crews!$A$2:$C$28, 2, 0))))) * 400</f>
        <v>8086.875</v>
      </c>
      <c r="K1473" s="1"/>
      <c r="L1473" s="1" t="s">
        <v>2913</v>
      </c>
      <c r="M1473" s="1" t="n">
        <v>2</v>
      </c>
      <c r="N1473" s="1" t="s">
        <v>25</v>
      </c>
      <c r="O1473" s="1" t="n">
        <v>0.6</v>
      </c>
      <c r="P1473" s="1"/>
      <c r="Q1473" s="1" t="s">
        <v>1815</v>
      </c>
      <c r="R1473" s="1" t="s">
        <v>837</v>
      </c>
      <c r="S1473" s="1" t="s">
        <v>837</v>
      </c>
      <c r="T1473" s="1" t="s">
        <v>2252</v>
      </c>
    </row>
    <row r="1474" customFormat="false" ht="15" hidden="false" customHeight="true" outlineLevel="0" collapsed="false">
      <c r="A1474" s="1" t="s">
        <v>2916</v>
      </c>
      <c r="B1474" s="1" t="n">
        <v>1928</v>
      </c>
      <c r="C1474" s="1" t="n">
        <v>4</v>
      </c>
      <c r="D1474" s="1" t="s">
        <v>21</v>
      </c>
      <c r="E1474" s="1" t="s">
        <v>274</v>
      </c>
      <c r="F1474" s="1" t="n">
        <v>72</v>
      </c>
      <c r="G1474" s="1" t="n">
        <v>20</v>
      </c>
      <c r="H1474" s="2" t="n">
        <v>166800</v>
      </c>
      <c r="I1474" s="2" t="n">
        <f aca="false">(((H1474 / 800) / IF(ISBLANK(R1474), 1000000, IF(ISNA(VLOOKUP(R1474, Mileages!$A$2:$C$34, 2, 0)), R1474, VLOOKUP(R1474, Mileages!$A$2:$C$34, 2, 0)))) + (F1474 * IF(ISBLANK(P1474), 1, P1474) * IF(ISBLANK(T1474), 0, IF(ISNA(VLOOKUP(T1474, 'Fuel Costs'!$A$2:$C$42, 2, 0)), T1474, VLOOKUP(T1474, 'Fuel Costs'!$A$2:$C$42, 2, 0))) / IF(ISBLANK(O1474), 1, O1474))) * 100</f>
        <v>48.0417</v>
      </c>
      <c r="J1474" s="2" t="n">
        <f aca="false">((H1474 / 800) / (IF(ISBLANK(S1474), 100, IF(ISNA(VLOOKUP(S1474, Lives!$A$2:$C$35, 2, 0)), S1474, VLOOKUP(S1474, Lives!$A$2:$C$35, 2, 0))) * 12) + (IF(ISBLANK(Q1474), 0, IF(ISNA(VLOOKUP(Q1474, Wages!$A$2:$C$17, 2, 0)), Q1474, VLOOKUP(Q1474, Wages!$A$2:$C$17, 2, 0))) * IF(ISBLANK(N1474), 0, IF(ISNA(VLOOKUP(N1474, Crews!$A$2:$C$28, 2, 0)), N1474, VLOOKUP(N1474, Crews!$A$2:$C$28, 2, 0))))) * 400</f>
        <v>8086.875</v>
      </c>
      <c r="K1474" s="1"/>
      <c r="L1474" s="1" t="s">
        <v>2913</v>
      </c>
      <c r="M1474" s="1" t="n">
        <v>3</v>
      </c>
      <c r="N1474" s="1" t="s">
        <v>25</v>
      </c>
      <c r="O1474" s="1" t="n">
        <v>0.6</v>
      </c>
      <c r="P1474" s="1"/>
      <c r="Q1474" s="1" t="s">
        <v>1815</v>
      </c>
      <c r="R1474" s="1" t="s">
        <v>837</v>
      </c>
      <c r="S1474" s="1" t="s">
        <v>837</v>
      </c>
      <c r="T1474" s="1" t="s">
        <v>2252</v>
      </c>
    </row>
    <row r="1475" customFormat="false" ht="15" hidden="false" customHeight="true" outlineLevel="0" collapsed="false">
      <c r="A1475" s="1" t="s">
        <v>2917</v>
      </c>
      <c r="B1475" s="1" t="n">
        <v>1928</v>
      </c>
      <c r="C1475" s="1" t="n">
        <v>4</v>
      </c>
      <c r="D1475" s="1" t="s">
        <v>21</v>
      </c>
      <c r="E1475" s="1" t="s">
        <v>274</v>
      </c>
      <c r="F1475" s="1" t="n">
        <v>72</v>
      </c>
      <c r="G1475" s="1" t="n">
        <v>20</v>
      </c>
      <c r="H1475" s="2" t="n">
        <v>166800</v>
      </c>
      <c r="I1475" s="2" t="n">
        <f aca="false">(((H1475 / 800) / IF(ISBLANK(R1475), 1000000, IF(ISNA(VLOOKUP(R1475, Mileages!$A$2:$C$34, 2, 0)), R1475, VLOOKUP(R1475, Mileages!$A$2:$C$34, 2, 0)))) + (F1475 * IF(ISBLANK(P1475), 1, P1475) * IF(ISBLANK(T1475), 0, IF(ISNA(VLOOKUP(T1475, 'Fuel Costs'!$A$2:$C$42, 2, 0)), T1475, VLOOKUP(T1475, 'Fuel Costs'!$A$2:$C$42, 2, 0))) / IF(ISBLANK(O1475), 1, O1475))) * 100</f>
        <v>48.0417</v>
      </c>
      <c r="J1475" s="2" t="n">
        <f aca="false">((H1475 / 800) / (IF(ISBLANK(S1475), 100, IF(ISNA(VLOOKUP(S1475, Lives!$A$2:$C$35, 2, 0)), S1475, VLOOKUP(S1475, Lives!$A$2:$C$35, 2, 0))) * 12) + (IF(ISBLANK(Q1475), 0, IF(ISNA(VLOOKUP(Q1475, Wages!$A$2:$C$17, 2, 0)), Q1475, VLOOKUP(Q1475, Wages!$A$2:$C$17, 2, 0))) * IF(ISBLANK(N1475), 0, IF(ISNA(VLOOKUP(N1475, Crews!$A$2:$C$28, 2, 0)), N1475, VLOOKUP(N1475, Crews!$A$2:$C$28, 2, 0))))) * 400</f>
        <v>8086.875</v>
      </c>
      <c r="K1475" s="1"/>
      <c r="L1475" s="1" t="s">
        <v>2913</v>
      </c>
      <c r="M1475" s="1" t="n">
        <v>4</v>
      </c>
      <c r="N1475" s="1" t="s">
        <v>25</v>
      </c>
      <c r="O1475" s="1" t="n">
        <v>0.6</v>
      </c>
      <c r="P1475" s="1"/>
      <c r="Q1475" s="1" t="s">
        <v>1815</v>
      </c>
      <c r="R1475" s="1" t="s">
        <v>837</v>
      </c>
      <c r="S1475" s="1" t="s">
        <v>837</v>
      </c>
      <c r="T1475" s="1" t="s">
        <v>2252</v>
      </c>
    </row>
    <row r="1476" customFormat="false" ht="15" hidden="false" customHeight="true" outlineLevel="0" collapsed="false">
      <c r="A1476" s="1" t="s">
        <v>2918</v>
      </c>
      <c r="B1476" s="1" t="n">
        <v>1928</v>
      </c>
      <c r="C1476" s="1" t="n">
        <v>4</v>
      </c>
      <c r="D1476" s="1" t="s">
        <v>21</v>
      </c>
      <c r="E1476" s="1" t="s">
        <v>274</v>
      </c>
      <c r="F1476" s="1" t="n">
        <v>72</v>
      </c>
      <c r="G1476" s="1" t="n">
        <v>20</v>
      </c>
      <c r="H1476" s="2" t="n">
        <v>166800</v>
      </c>
      <c r="I1476" s="2" t="n">
        <f aca="false">(((H1476 / 800) / IF(ISBLANK(R1476), 1000000, IF(ISNA(VLOOKUP(R1476, Mileages!$A$2:$C$34, 2, 0)), R1476, VLOOKUP(R1476, Mileages!$A$2:$C$34, 2, 0)))) + (F1476 * IF(ISBLANK(P1476), 1, P1476) * IF(ISBLANK(T1476), 0, IF(ISNA(VLOOKUP(T1476, 'Fuel Costs'!$A$2:$C$42, 2, 0)), T1476, VLOOKUP(T1476, 'Fuel Costs'!$A$2:$C$42, 2, 0))) / IF(ISBLANK(O1476), 1, O1476))) * 100</f>
        <v>48.0417</v>
      </c>
      <c r="J1476" s="2" t="n">
        <f aca="false">((H1476 / 800) / (IF(ISBLANK(S1476), 100, IF(ISNA(VLOOKUP(S1476, Lives!$A$2:$C$35, 2, 0)), S1476, VLOOKUP(S1476, Lives!$A$2:$C$35, 2, 0))) * 12) + (IF(ISBLANK(Q1476), 0, IF(ISNA(VLOOKUP(Q1476, Wages!$A$2:$C$17, 2, 0)), Q1476, VLOOKUP(Q1476, Wages!$A$2:$C$17, 2, 0))) * IF(ISBLANK(N1476), 0, IF(ISNA(VLOOKUP(N1476, Crews!$A$2:$C$28, 2, 0)), N1476, VLOOKUP(N1476, Crews!$A$2:$C$28, 2, 0))))) * 400</f>
        <v>8086.875</v>
      </c>
      <c r="K1476" s="1"/>
      <c r="L1476" s="1" t="s">
        <v>2913</v>
      </c>
      <c r="M1476" s="1" t="n">
        <v>5</v>
      </c>
      <c r="N1476" s="1" t="s">
        <v>25</v>
      </c>
      <c r="O1476" s="1" t="n">
        <v>0.6</v>
      </c>
      <c r="P1476" s="1"/>
      <c r="Q1476" s="1" t="s">
        <v>1815</v>
      </c>
      <c r="R1476" s="1" t="s">
        <v>837</v>
      </c>
      <c r="S1476" s="1" t="s">
        <v>837</v>
      </c>
      <c r="T1476" s="1" t="s">
        <v>2252</v>
      </c>
    </row>
    <row r="1477" customFormat="false" ht="15" hidden="false" customHeight="true" outlineLevel="0" collapsed="false">
      <c r="A1477" s="1" t="s">
        <v>2919</v>
      </c>
      <c r="B1477" s="1" t="n">
        <v>1928</v>
      </c>
      <c r="C1477" s="1" t="n">
        <v>7</v>
      </c>
      <c r="D1477" s="1" t="s">
        <v>876</v>
      </c>
      <c r="E1477" s="1" t="s">
        <v>1346</v>
      </c>
      <c r="F1477" s="1" t="n">
        <v>89</v>
      </c>
      <c r="G1477" s="1" t="n">
        <v>32</v>
      </c>
      <c r="H1477" s="2" t="n">
        <v>382000</v>
      </c>
      <c r="I1477" s="2" t="n">
        <f aca="false">(((H1477 / 800) / IF(ISBLANK(R1477), 1000000, IF(ISNA(VLOOKUP(R1477, Mileages!$A$2:$C$34, 2, 0)), R1477, VLOOKUP(R1477, Mileages!$A$2:$C$34, 2, 0)))) + (F1477 * IF(ISBLANK(P1477), 1, P1477) * IF(ISBLANK(T1477), 0, IF(ISNA(VLOOKUP(T1477, 'Fuel Costs'!$A$2:$C$42, 2, 0)), T1477, VLOOKUP(T1477, 'Fuel Costs'!$A$2:$C$42, 2, 0))) / IF(ISBLANK(O1477), 1, O1477))) * 100</f>
        <v>35.64775</v>
      </c>
      <c r="J1477" s="2" t="n">
        <f aca="false">((H1477 / 800) / (IF(ISBLANK(S1477), 100, IF(ISNA(VLOOKUP(S1477, Lives!$A$2:$C$35, 2, 0)), S1477, VLOOKUP(S1477, Lives!$A$2:$C$35, 2, 0))) * 12) + (IF(ISBLANK(Q1477), 0, IF(ISNA(VLOOKUP(Q1477, Wages!$A$2:$C$17, 2, 0)), Q1477, VLOOKUP(Q1477, Wages!$A$2:$C$17, 2, 0))) * IF(ISBLANK(N1477), 0, IF(ISNA(VLOOKUP(N1477, Crews!$A$2:$C$28, 2, 0)), N1477, VLOOKUP(N1477, Crews!$A$2:$C$28, 2, 0))))) * 400</f>
        <v>6318.333333</v>
      </c>
      <c r="K1477" s="1" t="s">
        <v>2920</v>
      </c>
      <c r="L1477" s="1" t="s">
        <v>1719</v>
      </c>
      <c r="M1477" s="1" t="n">
        <v>2</v>
      </c>
      <c r="N1477" s="1" t="s">
        <v>895</v>
      </c>
      <c r="O1477" s="1"/>
      <c r="P1477" s="1"/>
      <c r="Q1477" s="1" t="s">
        <v>895</v>
      </c>
      <c r="R1477" s="1" t="s">
        <v>1349</v>
      </c>
      <c r="S1477" s="1" t="s">
        <v>1350</v>
      </c>
      <c r="T1477" s="1" t="s">
        <v>2580</v>
      </c>
    </row>
    <row r="1478" customFormat="false" ht="15" hidden="false" customHeight="true" outlineLevel="0" collapsed="false">
      <c r="A1478" s="1" t="s">
        <v>2921</v>
      </c>
      <c r="B1478" s="1" t="n">
        <v>1928</v>
      </c>
      <c r="C1478" s="1" t="n">
        <v>7</v>
      </c>
      <c r="D1478" s="1" t="s">
        <v>21</v>
      </c>
      <c r="E1478" s="1" t="s">
        <v>1839</v>
      </c>
      <c r="F1478" s="1" t="n">
        <v>26</v>
      </c>
      <c r="G1478" s="1" t="n">
        <v>32</v>
      </c>
      <c r="H1478" s="2" t="n">
        <v>255800</v>
      </c>
      <c r="I1478" s="2" t="n">
        <f aca="false">(((H1478 / 800) / IF(ISBLANK(R1478), 1000000, IF(ISNA(VLOOKUP(R1478, Mileages!$A$2:$C$34, 2, 0)), R1478, VLOOKUP(R1478, Mileages!$A$2:$C$34, 2, 0)))) + (F1478 * IF(ISBLANK(P1478), 1, P1478) * IF(ISBLANK(T1478), 0, IF(ISNA(VLOOKUP(T1478, 'Fuel Costs'!$A$2:$C$42, 2, 0)), T1478, VLOOKUP(T1478, 'Fuel Costs'!$A$2:$C$42, 2, 0))) / IF(ISBLANK(O1478), 1, O1478))) * 100</f>
        <v>26.06395</v>
      </c>
      <c r="J1478" s="2" t="n">
        <f aca="false">((H1478 / 800) / (IF(ISBLANK(S1478), 100, IF(ISNA(VLOOKUP(S1478, Lives!$A$2:$C$35, 2, 0)), S1478, VLOOKUP(S1478, Lives!$A$2:$C$35, 2, 0))) * 12) + (IF(ISBLANK(Q1478), 0, IF(ISNA(VLOOKUP(Q1478, Wages!$A$2:$C$17, 2, 0)), Q1478, VLOOKUP(Q1478, Wages!$A$2:$C$17, 2, 0))) * IF(ISBLANK(N1478), 0, IF(ISNA(VLOOKUP(N1478, Crews!$A$2:$C$28, 2, 0)), N1478, VLOOKUP(N1478, Crews!$A$2:$C$28, 2, 0))))) * 400</f>
        <v>8133.229167</v>
      </c>
      <c r="K1478" s="3" t="s">
        <v>2922</v>
      </c>
      <c r="L1478" s="1" t="s">
        <v>2715</v>
      </c>
      <c r="M1478" s="1" t="n">
        <v>2</v>
      </c>
      <c r="N1478" s="1" t="s">
        <v>25</v>
      </c>
      <c r="O1478" s="1" t="n">
        <v>0.6</v>
      </c>
      <c r="P1478" s="1"/>
      <c r="Q1478" s="1" t="s">
        <v>1815</v>
      </c>
      <c r="R1478" s="1" t="s">
        <v>1842</v>
      </c>
      <c r="S1478" s="1" t="s">
        <v>1843</v>
      </c>
      <c r="T1478" s="1" t="s">
        <v>2534</v>
      </c>
    </row>
    <row r="1479" customFormat="false" ht="15" hidden="false" customHeight="true" outlineLevel="0" collapsed="false">
      <c r="A1479" s="1" t="s">
        <v>2923</v>
      </c>
      <c r="B1479" s="1" t="n">
        <v>1928</v>
      </c>
      <c r="C1479" s="1" t="n">
        <v>8</v>
      </c>
      <c r="D1479" s="1" t="s">
        <v>38</v>
      </c>
      <c r="E1479" s="1"/>
      <c r="F1479" s="1" t="n">
        <v>0</v>
      </c>
      <c r="G1479" s="1" t="n">
        <v>147</v>
      </c>
      <c r="H1479" s="2" t="n">
        <v>0</v>
      </c>
      <c r="I1479" s="2" t="n">
        <f aca="false">(((H1479 / 800) / IF(ISBLANK(R1479), 1000000, IF(ISNA(VLOOKUP(R1479, Mileages!$A$2:$C$34, 2, 0)), R1479, VLOOKUP(R1479, Mileages!$A$2:$C$34, 2, 0)))) + (F1479 * IF(ISBLANK(P1479), 1, P1479) * IF(ISBLANK(T1479), 0, IF(ISNA(VLOOKUP(T1479, 'Fuel Costs'!$A$2:$C$42, 2, 0)), T1479, VLOOKUP(T1479, 'Fuel Costs'!$A$2:$C$42, 2, 0))) / IF(ISBLANK(O1479), 1, O1479))) * 100</f>
        <v>0</v>
      </c>
      <c r="J1479" s="2" t="n">
        <f aca="false">((H1479 / 800) / (IF(ISBLANK(S1479), 100, IF(ISNA(VLOOKUP(S1479, Lives!$A$2:$C$35, 2, 0)), S1479, VLOOKUP(S1479, Lives!$A$2:$C$35, 2, 0))) * 12) + (IF(ISBLANK(Q1479), 0, IF(ISNA(VLOOKUP(Q1479, Wages!$A$2:$C$17, 2, 0)), Q1479, VLOOKUP(Q1479, Wages!$A$2:$C$17, 2, 0))) * IF(ISBLANK(N1479), 0, IF(ISNA(VLOOKUP(N1479, Crews!$A$2:$C$28, 2, 0)), N1479, VLOOKUP(N1479, Crews!$A$2:$C$28, 2, 0))))) * 400</f>
        <v>0</v>
      </c>
      <c r="K1479" s="1" t="s">
        <v>2924</v>
      </c>
      <c r="L1479" s="1" t="s">
        <v>2897</v>
      </c>
      <c r="M1479" s="1" t="n">
        <v>1</v>
      </c>
      <c r="N1479" s="1"/>
      <c r="O1479" s="1"/>
      <c r="P1479" s="1"/>
      <c r="Q1479" s="1"/>
      <c r="R1479" s="1"/>
      <c r="S1479" s="1"/>
      <c r="T1479" s="1"/>
    </row>
    <row r="1480" customFormat="false" ht="15" hidden="false" customHeight="true" outlineLevel="0" collapsed="false">
      <c r="A1480" s="1" t="s">
        <v>2925</v>
      </c>
      <c r="B1480" s="1" t="n">
        <v>1928</v>
      </c>
      <c r="C1480" s="1" t="n">
        <v>8</v>
      </c>
      <c r="D1480" s="1" t="s">
        <v>38</v>
      </c>
      <c r="E1480" s="1" t="s">
        <v>274</v>
      </c>
      <c r="F1480" s="1" t="n">
        <v>350</v>
      </c>
      <c r="G1480" s="1" t="n">
        <v>120</v>
      </c>
      <c r="H1480" s="2" t="n">
        <v>7521000</v>
      </c>
      <c r="I1480" s="2" t="n">
        <f aca="false">(((H1480 / 800) / IF(ISBLANK(R1480), 1000000, IF(ISNA(VLOOKUP(R1480, Mileages!$A$2:$C$34, 2, 0)), R1480, VLOOKUP(R1480, Mileages!$A$2:$C$34, 2, 0)))) + (F1480 * IF(ISBLANK(P1480), 1, P1480) * IF(ISBLANK(T1480), 0, IF(ISNA(VLOOKUP(T1480, 'Fuel Costs'!$A$2:$C$42, 2, 0)), T1480, VLOOKUP(T1480, 'Fuel Costs'!$A$2:$C$42, 2, 0))) / IF(ISBLANK(O1480), 1, O1480))) * 100</f>
        <v>200.940125</v>
      </c>
      <c r="J1480" s="2" t="n">
        <f aca="false">((H1480 / 800) / (IF(ISBLANK(S1480), 100, IF(ISNA(VLOOKUP(S1480, Lives!$A$2:$C$35, 2, 0)), S1480, VLOOKUP(S1480, Lives!$A$2:$C$35, 2, 0))) * 12) + (IF(ISBLANK(Q1480), 0, IF(ISNA(VLOOKUP(Q1480, Wages!$A$2:$C$17, 2, 0)), Q1480, VLOOKUP(Q1480, Wages!$A$2:$C$17, 2, 0))) * IF(ISBLANK(N1480), 0, IF(ISNA(VLOOKUP(N1480, Crews!$A$2:$C$28, 2, 0)), N1480, VLOOKUP(N1480, Crews!$A$2:$C$28, 2, 0))))) * 400</f>
        <v>30267.5</v>
      </c>
      <c r="K1480" s="3" t="s">
        <v>2926</v>
      </c>
      <c r="L1480" s="1" t="s">
        <v>2927</v>
      </c>
      <c r="M1480" s="1" t="n">
        <v>0</v>
      </c>
      <c r="N1480" s="1" t="s">
        <v>590</v>
      </c>
      <c r="O1480" s="1" t="n">
        <v>0.7</v>
      </c>
      <c r="P1480" s="1"/>
      <c r="Q1480" s="5" t="s">
        <v>284</v>
      </c>
      <c r="R1480" s="1" t="s">
        <v>677</v>
      </c>
      <c r="S1480" s="1" t="s">
        <v>677</v>
      </c>
      <c r="T1480" s="1" t="s">
        <v>2252</v>
      </c>
    </row>
    <row r="1481" customFormat="false" ht="15" hidden="false" customHeight="true" outlineLevel="0" collapsed="false">
      <c r="A1481" s="1" t="s">
        <v>2928</v>
      </c>
      <c r="B1481" s="1" t="n">
        <v>1928</v>
      </c>
      <c r="C1481" s="1" t="n">
        <v>8</v>
      </c>
      <c r="D1481" s="1" t="s">
        <v>38</v>
      </c>
      <c r="E1481" s="1"/>
      <c r="F1481" s="1" t="n">
        <v>0</v>
      </c>
      <c r="G1481" s="1" t="n">
        <v>147</v>
      </c>
      <c r="H1481" s="2" t="n">
        <v>0</v>
      </c>
      <c r="I1481" s="2" t="n">
        <f aca="false">(((H1481 / 800) / IF(ISBLANK(R1481), 1000000, IF(ISNA(VLOOKUP(R1481, Mileages!$A$2:$C$34, 2, 0)), R1481, VLOOKUP(R1481, Mileages!$A$2:$C$34, 2, 0)))) + (F1481 * IF(ISBLANK(P1481), 1, P1481) * IF(ISBLANK(T1481), 0, IF(ISNA(VLOOKUP(T1481, 'Fuel Costs'!$A$2:$C$42, 2, 0)), T1481, VLOOKUP(T1481, 'Fuel Costs'!$A$2:$C$42, 2, 0))) / IF(ISBLANK(O1481), 1, O1481))) * 100</f>
        <v>0</v>
      </c>
      <c r="J1481" s="2" t="n">
        <f aca="false">((H1481 / 800) / (IF(ISBLANK(S1481), 100, IF(ISNA(VLOOKUP(S1481, Lives!$A$2:$C$35, 2, 0)), S1481, VLOOKUP(S1481, Lives!$A$2:$C$35, 2, 0))) * 12) + (IF(ISBLANK(Q1481), 0, IF(ISNA(VLOOKUP(Q1481, Wages!$A$2:$C$17, 2, 0)), Q1481, VLOOKUP(Q1481, Wages!$A$2:$C$17, 2, 0))) * IF(ISBLANK(N1481), 0, IF(ISNA(VLOOKUP(N1481, Crews!$A$2:$C$28, 2, 0)), N1481, VLOOKUP(N1481, Crews!$A$2:$C$28, 2, 0))))) * 400</f>
        <v>0</v>
      </c>
      <c r="K1481" s="1" t="s">
        <v>2924</v>
      </c>
      <c r="L1481" s="1" t="s">
        <v>2927</v>
      </c>
      <c r="M1481" s="1" t="n">
        <v>1</v>
      </c>
      <c r="N1481" s="1"/>
      <c r="O1481" s="1"/>
      <c r="P1481" s="1"/>
      <c r="Q1481" s="1"/>
      <c r="R1481" s="1"/>
      <c r="S1481" s="1"/>
      <c r="T1481" s="1"/>
    </row>
    <row r="1482" customFormat="false" ht="15" hidden="false" customHeight="true" outlineLevel="0" collapsed="false">
      <c r="A1482" s="1" t="s">
        <v>2929</v>
      </c>
      <c r="B1482" s="1" t="n">
        <v>1928</v>
      </c>
      <c r="C1482" s="1" t="n">
        <v>9</v>
      </c>
      <c r="D1482" s="1" t="s">
        <v>2225</v>
      </c>
      <c r="E1482" s="1" t="s">
        <v>1839</v>
      </c>
      <c r="F1482" s="1" t="n">
        <v>1765</v>
      </c>
      <c r="G1482" s="1" t="n">
        <v>117</v>
      </c>
      <c r="H1482" s="2" t="n">
        <v>20000000</v>
      </c>
      <c r="I1482" s="2" t="n">
        <f aca="false">(((H1482 / 800) / IF(ISBLANK(R1482), 1000000, IF(ISNA(VLOOKUP(R1482, Mileages!$A$2:$C$34, 2, 0)), R1482, VLOOKUP(R1482, Mileages!$A$2:$C$34, 2, 0)))) + (F1482 * IF(ISBLANK(P1482), 1, P1482) * IF(ISBLANK(T1482), 0, IF(ISNA(VLOOKUP(T1482, 'Fuel Costs'!$A$2:$C$42, 2, 0)), T1482, VLOOKUP(T1482, 'Fuel Costs'!$A$2:$C$42, 2, 0))) / IF(ISBLANK(O1482), 1, O1482))) * 100</f>
        <v>88.75</v>
      </c>
      <c r="J1482" s="2" t="n">
        <f aca="false">((H1482 / 800) / (IF(ISBLANK(S1482), 100, IF(ISNA(VLOOKUP(S1482, Lives!$A$2:$C$35, 2, 0)), S1482, VLOOKUP(S1482, Lives!$A$2:$C$35, 2, 0))) * 12) + (IF(ISBLANK(Q1482), 0, IF(ISNA(VLOOKUP(Q1482, Wages!$A$2:$C$17, 2, 0)), Q1482, VLOOKUP(Q1482, Wages!$A$2:$C$17, 2, 0))) * IF(ISBLANK(N1482), 0, IF(ISNA(VLOOKUP(N1482, Crews!$A$2:$C$28, 2, 0)), N1482, VLOOKUP(N1482, Crews!$A$2:$C$28, 2, 0))))) * 400</f>
        <v>190416.6667</v>
      </c>
      <c r="K1482" s="3" t="s">
        <v>2930</v>
      </c>
      <c r="L1482" s="1" t="s">
        <v>2931</v>
      </c>
      <c r="M1482" s="1" t="n">
        <v>0</v>
      </c>
      <c r="N1482" s="1" t="s">
        <v>2228</v>
      </c>
      <c r="O1482" s="1"/>
      <c r="P1482" s="1" t="n">
        <v>0.1</v>
      </c>
      <c r="Q1482" s="1" t="s">
        <v>2228</v>
      </c>
      <c r="R1482" s="1" t="s">
        <v>2229</v>
      </c>
      <c r="S1482" s="1" t="s">
        <v>2228</v>
      </c>
      <c r="T1482" s="1" t="s">
        <v>2228</v>
      </c>
    </row>
    <row r="1483" customFormat="false" ht="15" hidden="false" customHeight="true" outlineLevel="0" collapsed="false">
      <c r="A1483" s="1" t="s">
        <v>2932</v>
      </c>
      <c r="B1483" s="1" t="n">
        <v>1928</v>
      </c>
      <c r="C1483" s="1" t="n">
        <v>9</v>
      </c>
      <c r="D1483" s="1" t="s">
        <v>21</v>
      </c>
      <c r="E1483" s="1" t="s">
        <v>1839</v>
      </c>
      <c r="F1483" s="1" t="n">
        <v>36</v>
      </c>
      <c r="G1483" s="1" t="n">
        <v>32</v>
      </c>
      <c r="H1483" s="2" t="n">
        <v>101000</v>
      </c>
      <c r="I1483" s="2" t="n">
        <f aca="false">(((H1483 / 800) / IF(ISBLANK(R1483), 1000000, IF(ISNA(VLOOKUP(R1483, Mileages!$A$2:$C$34, 2, 0)), R1483, VLOOKUP(R1483, Mileages!$A$2:$C$34, 2, 0)))) + (F1483 * IF(ISBLANK(P1483), 1, P1483) * IF(ISBLANK(T1483), 0, IF(ISNA(VLOOKUP(T1483, 'Fuel Costs'!$A$2:$C$42, 2, 0)), T1483, VLOOKUP(T1483, 'Fuel Costs'!$A$2:$C$42, 2, 0))) / IF(ISBLANK(O1483), 1, O1483))) * 100</f>
        <v>36.02525</v>
      </c>
      <c r="J1483" s="2" t="n">
        <f aca="false">((H1483 / 800) / (IF(ISBLANK(S1483), 100, IF(ISNA(VLOOKUP(S1483, Lives!$A$2:$C$35, 2, 0)), S1483, VLOOKUP(S1483, Lives!$A$2:$C$35, 2, 0))) * 12) + (IF(ISBLANK(Q1483), 0, IF(ISNA(VLOOKUP(Q1483, Wages!$A$2:$C$17, 2, 0)), Q1483, VLOOKUP(Q1483, Wages!$A$2:$C$17, 2, 0))) * IF(ISBLANK(N1483), 0, IF(ISNA(VLOOKUP(N1483, Crews!$A$2:$C$28, 2, 0)), N1483, VLOOKUP(N1483, Crews!$A$2:$C$28, 2, 0))))) * 400</f>
        <v>8052.604167</v>
      </c>
      <c r="K1483" s="3" t="s">
        <v>2673</v>
      </c>
      <c r="L1483" s="1" t="s">
        <v>2933</v>
      </c>
      <c r="M1483" s="1" t="n">
        <v>0</v>
      </c>
      <c r="N1483" s="1" t="s">
        <v>25</v>
      </c>
      <c r="O1483" s="1" t="n">
        <v>0.6</v>
      </c>
      <c r="P1483" s="1"/>
      <c r="Q1483" s="1" t="s">
        <v>1815</v>
      </c>
      <c r="R1483" s="1" t="s">
        <v>1842</v>
      </c>
      <c r="S1483" s="1" t="s">
        <v>1843</v>
      </c>
      <c r="T1483" s="1" t="s">
        <v>2534</v>
      </c>
    </row>
    <row r="1484" customFormat="false" ht="15" hidden="false" customHeight="true" outlineLevel="0" collapsed="false">
      <c r="A1484" s="1" t="s">
        <v>2934</v>
      </c>
      <c r="B1484" s="1" t="n">
        <v>1928</v>
      </c>
      <c r="C1484" s="1" t="n">
        <v>9</v>
      </c>
      <c r="D1484" s="1" t="s">
        <v>2225</v>
      </c>
      <c r="E1484" s="1" t="s">
        <v>1839</v>
      </c>
      <c r="F1484" s="1" t="n">
        <v>1765</v>
      </c>
      <c r="G1484" s="1" t="n">
        <v>117</v>
      </c>
      <c r="H1484" s="2" t="n">
        <v>20000000</v>
      </c>
      <c r="I1484" s="2" t="n">
        <f aca="false">(((H1484 / 800) / IF(ISBLANK(R1484), 1000000, IF(ISNA(VLOOKUP(R1484, Mileages!$A$2:$C$34, 2, 0)), R1484, VLOOKUP(R1484, Mileages!$A$2:$C$34, 2, 0)))) + (F1484 * IF(ISBLANK(P1484), 1, P1484) * IF(ISBLANK(T1484), 0, IF(ISNA(VLOOKUP(T1484, 'Fuel Costs'!$A$2:$C$42, 2, 0)), T1484, VLOOKUP(T1484, 'Fuel Costs'!$A$2:$C$42, 2, 0))) / IF(ISBLANK(O1484), 1, O1484))) * 100</f>
        <v>88.75</v>
      </c>
      <c r="J1484" s="2" t="n">
        <f aca="false">((H1484 / 800) / (IF(ISBLANK(S1484), 100, IF(ISNA(VLOOKUP(S1484, Lives!$A$2:$C$35, 2, 0)), S1484, VLOOKUP(S1484, Lives!$A$2:$C$35, 2, 0))) * 12) + (IF(ISBLANK(Q1484), 0, IF(ISNA(VLOOKUP(Q1484, Wages!$A$2:$C$17, 2, 0)), Q1484, VLOOKUP(Q1484, Wages!$A$2:$C$17, 2, 0))) * IF(ISBLANK(N1484), 0, IF(ISNA(VLOOKUP(N1484, Crews!$A$2:$C$28, 2, 0)), N1484, VLOOKUP(N1484, Crews!$A$2:$C$28, 2, 0))))) * 400</f>
        <v>190416.6667</v>
      </c>
      <c r="K1484" s="3" t="s">
        <v>2935</v>
      </c>
      <c r="L1484" s="1" t="s">
        <v>2936</v>
      </c>
      <c r="M1484" s="1" t="n">
        <v>0</v>
      </c>
      <c r="N1484" s="1" t="s">
        <v>2228</v>
      </c>
      <c r="O1484" s="1"/>
      <c r="P1484" s="1" t="n">
        <v>0.1</v>
      </c>
      <c r="Q1484" s="1" t="s">
        <v>2228</v>
      </c>
      <c r="R1484" s="1" t="s">
        <v>2229</v>
      </c>
      <c r="S1484" s="1" t="s">
        <v>2228</v>
      </c>
      <c r="T1484" s="1" t="s">
        <v>2228</v>
      </c>
    </row>
    <row r="1485" customFormat="false" ht="15" hidden="false" customHeight="true" outlineLevel="0" collapsed="false">
      <c r="A1485" s="1" t="s">
        <v>2937</v>
      </c>
      <c r="B1485" s="1" t="n">
        <v>1928</v>
      </c>
      <c r="C1485" s="1" t="n">
        <v>9</v>
      </c>
      <c r="D1485" s="1" t="s">
        <v>21</v>
      </c>
      <c r="E1485" s="1" t="s">
        <v>1839</v>
      </c>
      <c r="F1485" s="1" t="n">
        <v>36</v>
      </c>
      <c r="G1485" s="1" t="n">
        <v>32</v>
      </c>
      <c r="H1485" s="2" t="n">
        <v>106000</v>
      </c>
      <c r="I1485" s="2" t="n">
        <f aca="false">(((H1485 / 800) / IF(ISBLANK(R1485), 1000000, IF(ISNA(VLOOKUP(R1485, Mileages!$A$2:$C$34, 2, 0)), R1485, VLOOKUP(R1485, Mileages!$A$2:$C$34, 2, 0)))) + (F1485 * IF(ISBLANK(P1485), 1, P1485) * IF(ISBLANK(T1485), 0, IF(ISNA(VLOOKUP(T1485, 'Fuel Costs'!$A$2:$C$42, 2, 0)), T1485, VLOOKUP(T1485, 'Fuel Costs'!$A$2:$C$42, 2, 0))) / IF(ISBLANK(O1485), 1, O1485))) * 100</f>
        <v>36.0265</v>
      </c>
      <c r="J1485" s="2" t="n">
        <f aca="false">((H1485 / 800) / (IF(ISBLANK(S1485), 100, IF(ISNA(VLOOKUP(S1485, Lives!$A$2:$C$35, 2, 0)), S1485, VLOOKUP(S1485, Lives!$A$2:$C$35, 2, 0))) * 12) + (IF(ISBLANK(Q1485), 0, IF(ISNA(VLOOKUP(Q1485, Wages!$A$2:$C$17, 2, 0)), Q1485, VLOOKUP(Q1485, Wages!$A$2:$C$17, 2, 0))) * IF(ISBLANK(N1485), 0, IF(ISNA(VLOOKUP(N1485, Crews!$A$2:$C$28, 2, 0)), N1485, VLOOKUP(N1485, Crews!$A$2:$C$28, 2, 0))))) * 400</f>
        <v>8055.208333</v>
      </c>
      <c r="K1485" s="3" t="s">
        <v>2643</v>
      </c>
      <c r="L1485" s="1" t="s">
        <v>2938</v>
      </c>
      <c r="M1485" s="1" t="n">
        <v>0</v>
      </c>
      <c r="N1485" s="1" t="s">
        <v>25</v>
      </c>
      <c r="O1485" s="1" t="n">
        <v>0.6</v>
      </c>
      <c r="P1485" s="1"/>
      <c r="Q1485" s="1" t="s">
        <v>1815</v>
      </c>
      <c r="R1485" s="1" t="s">
        <v>1842</v>
      </c>
      <c r="S1485" s="1" t="s">
        <v>1843</v>
      </c>
      <c r="T1485" s="1" t="s">
        <v>2534</v>
      </c>
    </row>
    <row r="1486" customFormat="false" ht="15" hidden="false" customHeight="true" outlineLevel="0" collapsed="false">
      <c r="A1486" s="1" t="s">
        <v>2939</v>
      </c>
      <c r="B1486" s="1" t="n">
        <v>1928</v>
      </c>
      <c r="C1486" s="1" t="n">
        <v>11</v>
      </c>
      <c r="D1486" s="1" t="s">
        <v>38</v>
      </c>
      <c r="E1486" s="1" t="s">
        <v>274</v>
      </c>
      <c r="F1486" s="1" t="n">
        <v>403</v>
      </c>
      <c r="G1486" s="1" t="n">
        <v>150</v>
      </c>
      <c r="H1486" s="2" t="n">
        <v>8467200</v>
      </c>
      <c r="I1486" s="2" t="n">
        <f aca="false">(((H1486 / 800) / IF(ISBLANK(R1486), 1000000, IF(ISNA(VLOOKUP(R1486, Mileages!$A$2:$C$34, 2, 0)), R1486, VLOOKUP(R1486, Mileages!$A$2:$C$34, 2, 0)))) + (F1486 * IF(ISBLANK(P1486), 1, P1486) * IF(ISBLANK(T1486), 0, IF(ISNA(VLOOKUP(T1486, 'Fuel Costs'!$A$2:$C$42, 2, 0)), T1486, VLOOKUP(T1486, 'Fuel Costs'!$A$2:$C$42, 2, 0))) / IF(ISBLANK(O1486), 1, O1486))) * 100</f>
        <v>231.3441143</v>
      </c>
      <c r="J1486" s="2" t="n">
        <f aca="false">((H1486 / 800) / (IF(ISBLANK(S1486), 100, IF(ISNA(VLOOKUP(S1486, Lives!$A$2:$C$35, 2, 0)), S1486, VLOOKUP(S1486, Lives!$A$2:$C$35, 2, 0))) * 12) + (IF(ISBLANK(Q1486), 0, IF(ISNA(VLOOKUP(Q1486, Wages!$A$2:$C$17, 2, 0)), Q1486, VLOOKUP(Q1486, Wages!$A$2:$C$17, 2, 0))) * IF(ISBLANK(N1486), 0, IF(ISNA(VLOOKUP(N1486, Crews!$A$2:$C$28, 2, 0)), N1486, VLOOKUP(N1486, Crews!$A$2:$C$28, 2, 0))))) * 400</f>
        <v>31056</v>
      </c>
      <c r="K1486" s="3" t="s">
        <v>2940</v>
      </c>
      <c r="L1486" s="1" t="s">
        <v>2941</v>
      </c>
      <c r="M1486" s="1" t="n">
        <v>0</v>
      </c>
      <c r="N1486" s="1" t="s">
        <v>590</v>
      </c>
      <c r="O1486" s="1" t="n">
        <v>0.7</v>
      </c>
      <c r="P1486" s="1"/>
      <c r="Q1486" s="5" t="s">
        <v>284</v>
      </c>
      <c r="R1486" s="1" t="s">
        <v>677</v>
      </c>
      <c r="S1486" s="1" t="s">
        <v>677</v>
      </c>
      <c r="T1486" s="1" t="s">
        <v>2252</v>
      </c>
    </row>
    <row r="1487" customFormat="false" ht="15" hidden="false" customHeight="true" outlineLevel="0" collapsed="false">
      <c r="A1487" s="1" t="s">
        <v>2942</v>
      </c>
      <c r="B1487" s="1" t="n">
        <v>1928</v>
      </c>
      <c r="C1487" s="1" t="n">
        <v>11</v>
      </c>
      <c r="D1487" s="1" t="s">
        <v>38</v>
      </c>
      <c r="E1487" s="1"/>
      <c r="F1487" s="1" t="n">
        <v>0</v>
      </c>
      <c r="G1487" s="1" t="n">
        <v>155</v>
      </c>
      <c r="H1487" s="2" t="n">
        <v>0</v>
      </c>
      <c r="I1487" s="2" t="n">
        <f aca="false">(((H1487 / 800) / IF(ISBLANK(R1487), 1000000, IF(ISNA(VLOOKUP(R1487, Mileages!$A$2:$C$34, 2, 0)), R1487, VLOOKUP(R1487, Mileages!$A$2:$C$34, 2, 0)))) + (F1487 * IF(ISBLANK(P1487), 1, P1487) * IF(ISBLANK(T1487), 0, IF(ISNA(VLOOKUP(T1487, 'Fuel Costs'!$A$2:$C$42, 2, 0)), T1487, VLOOKUP(T1487, 'Fuel Costs'!$A$2:$C$42, 2, 0))) / IF(ISBLANK(O1487), 1, O1487))) * 100</f>
        <v>0</v>
      </c>
      <c r="J1487" s="2" t="n">
        <f aca="false">((H1487 / 800) / (IF(ISBLANK(S1487), 100, IF(ISNA(VLOOKUP(S1487, Lives!$A$2:$C$35, 2, 0)), S1487, VLOOKUP(S1487, Lives!$A$2:$C$35, 2, 0))) * 12) + (IF(ISBLANK(Q1487), 0, IF(ISNA(VLOOKUP(Q1487, Wages!$A$2:$C$17, 2, 0)), Q1487, VLOOKUP(Q1487, Wages!$A$2:$C$17, 2, 0))) * IF(ISBLANK(N1487), 0, IF(ISNA(VLOOKUP(N1487, Crews!$A$2:$C$28, 2, 0)), N1487, VLOOKUP(N1487, Crews!$A$2:$C$28, 2, 0))))) * 400</f>
        <v>0</v>
      </c>
      <c r="K1487" s="1"/>
      <c r="L1487" s="1" t="s">
        <v>2943</v>
      </c>
      <c r="M1487" s="1" t="n">
        <v>0</v>
      </c>
      <c r="N1487" s="1"/>
      <c r="O1487" s="1"/>
      <c r="P1487" s="1"/>
      <c r="Q1487" s="1"/>
      <c r="R1487" s="1"/>
      <c r="S1487" s="1"/>
      <c r="T1487" s="1"/>
    </row>
    <row r="1488" customFormat="false" ht="15" hidden="false" customHeight="true" outlineLevel="0" collapsed="false">
      <c r="A1488" s="1" t="s">
        <v>2944</v>
      </c>
      <c r="B1488" s="1" t="n">
        <v>1928</v>
      </c>
      <c r="C1488" s="1" t="n">
        <v>11</v>
      </c>
      <c r="D1488" s="1" t="s">
        <v>21</v>
      </c>
      <c r="E1488" s="1" t="s">
        <v>1839</v>
      </c>
      <c r="F1488" s="1" t="n">
        <v>31</v>
      </c>
      <c r="G1488" s="1" t="n">
        <v>45</v>
      </c>
      <c r="H1488" s="2" t="n">
        <v>525000</v>
      </c>
      <c r="I1488" s="2" t="n">
        <f aca="false">(((H1488 / 800) / IF(ISBLANK(R1488), 1000000, IF(ISNA(VLOOKUP(R1488, Mileages!$A$2:$C$34, 2, 0)), R1488, VLOOKUP(R1488, Mileages!$A$2:$C$34, 2, 0)))) + (F1488 * IF(ISBLANK(P1488), 1, P1488) * IF(ISBLANK(T1488), 0, IF(ISNA(VLOOKUP(T1488, 'Fuel Costs'!$A$2:$C$42, 2, 0)), T1488, VLOOKUP(T1488, 'Fuel Costs'!$A$2:$C$42, 2, 0))) / IF(ISBLANK(O1488), 1, O1488))) * 100</f>
        <v>31.13125</v>
      </c>
      <c r="J1488" s="2" t="n">
        <f aca="false">((H1488 / 800) / (IF(ISBLANK(S1488), 100, IF(ISNA(VLOOKUP(S1488, Lives!$A$2:$C$35, 2, 0)), S1488, VLOOKUP(S1488, Lives!$A$2:$C$35, 2, 0))) * 12) + (IF(ISBLANK(Q1488), 0, IF(ISNA(VLOOKUP(Q1488, Wages!$A$2:$C$17, 2, 0)), Q1488, VLOOKUP(Q1488, Wages!$A$2:$C$17, 2, 0))) * IF(ISBLANK(N1488), 0, IF(ISNA(VLOOKUP(N1488, Crews!$A$2:$C$28, 2, 0)), N1488, VLOOKUP(N1488, Crews!$A$2:$C$28, 2, 0))))) * 400</f>
        <v>8273.4375</v>
      </c>
      <c r="K1488" s="3" t="s">
        <v>2945</v>
      </c>
      <c r="L1488" s="1" t="s">
        <v>2946</v>
      </c>
      <c r="M1488" s="1" t="n">
        <v>0</v>
      </c>
      <c r="N1488" s="1" t="s">
        <v>25</v>
      </c>
      <c r="O1488" s="1" t="n">
        <v>0.6</v>
      </c>
      <c r="P1488" s="1"/>
      <c r="Q1488" s="1" t="s">
        <v>1815</v>
      </c>
      <c r="R1488" s="1" t="s">
        <v>1842</v>
      </c>
      <c r="S1488" s="1" t="s">
        <v>1843</v>
      </c>
      <c r="T1488" s="1" t="s">
        <v>2534</v>
      </c>
    </row>
    <row r="1489" customFormat="false" ht="15" hidden="false" customHeight="true" outlineLevel="0" collapsed="false">
      <c r="A1489" s="1" t="s">
        <v>2947</v>
      </c>
      <c r="B1489" s="1" t="n">
        <v>1928</v>
      </c>
      <c r="C1489" s="1" t="n">
        <v>11</v>
      </c>
      <c r="D1489" s="1" t="s">
        <v>21</v>
      </c>
      <c r="E1489" s="1" t="s">
        <v>1839</v>
      </c>
      <c r="F1489" s="1" t="n">
        <v>31</v>
      </c>
      <c r="G1489" s="1" t="n">
        <v>60</v>
      </c>
      <c r="H1489" s="2" t="n">
        <v>528750</v>
      </c>
      <c r="I1489" s="2" t="n">
        <f aca="false">(((H1489 / 800) / IF(ISBLANK(R1489), 1000000, IF(ISNA(VLOOKUP(R1489, Mileages!$A$2:$C$34, 2, 0)), R1489, VLOOKUP(R1489, Mileages!$A$2:$C$34, 2, 0)))) + (F1489 * IF(ISBLANK(P1489), 1, P1489) * IF(ISBLANK(T1489), 0, IF(ISNA(VLOOKUP(T1489, 'Fuel Costs'!$A$2:$C$42, 2, 0)), T1489, VLOOKUP(T1489, 'Fuel Costs'!$A$2:$C$42, 2, 0))) / IF(ISBLANK(O1489), 1, O1489))) * 100</f>
        <v>31.1321875</v>
      </c>
      <c r="J1489" s="2" t="n">
        <f aca="false">((H1489 / 800) / (IF(ISBLANK(S1489), 100, IF(ISNA(VLOOKUP(S1489, Lives!$A$2:$C$35, 2, 0)), S1489, VLOOKUP(S1489, Lives!$A$2:$C$35, 2, 0))) * 12) + (IF(ISBLANK(Q1489), 0, IF(ISNA(VLOOKUP(Q1489, Wages!$A$2:$C$17, 2, 0)), Q1489, VLOOKUP(Q1489, Wages!$A$2:$C$17, 2, 0))) * IF(ISBLANK(N1489), 0, IF(ISNA(VLOOKUP(N1489, Crews!$A$2:$C$28, 2, 0)), N1489, VLOOKUP(N1489, Crews!$A$2:$C$28, 2, 0))))) * 400</f>
        <v>8275.390625</v>
      </c>
      <c r="K1489" s="3" t="s">
        <v>2948</v>
      </c>
      <c r="L1489" s="1" t="s">
        <v>2949</v>
      </c>
      <c r="M1489" s="1" t="n">
        <v>0</v>
      </c>
      <c r="N1489" s="1" t="s">
        <v>25</v>
      </c>
      <c r="O1489" s="1" t="n">
        <v>0.6</v>
      </c>
      <c r="P1489" s="1"/>
      <c r="Q1489" s="1" t="s">
        <v>1815</v>
      </c>
      <c r="R1489" s="1" t="s">
        <v>1842</v>
      </c>
      <c r="S1489" s="1" t="s">
        <v>1843</v>
      </c>
      <c r="T1489" s="1" t="s">
        <v>2534</v>
      </c>
    </row>
    <row r="1490" customFormat="false" ht="15" hidden="false" customHeight="true" outlineLevel="0" collapsed="false">
      <c r="A1490" s="1" t="s">
        <v>2950</v>
      </c>
      <c r="B1490" s="1" t="n">
        <v>1929</v>
      </c>
      <c r="C1490" s="1" t="n">
        <v>4</v>
      </c>
      <c r="D1490" s="1" t="s">
        <v>38</v>
      </c>
      <c r="E1490" s="1" t="s">
        <v>274</v>
      </c>
      <c r="F1490" s="1" t="n">
        <v>255</v>
      </c>
      <c r="G1490" s="1" t="n">
        <v>95</v>
      </c>
      <c r="H1490" s="2" t="n">
        <v>2772000</v>
      </c>
      <c r="I1490" s="2" t="n">
        <f aca="false">(((H1490 / 800) / IF(ISBLANK(R1490), 1000000, IF(ISNA(VLOOKUP(R1490, Mileages!$A$2:$C$34, 2, 0)), R1490, VLOOKUP(R1490, Mileages!$A$2:$C$34, 2, 0)))) + (F1490 * IF(ISBLANK(P1490), 1, P1490) * IF(ISBLANK(T1490), 0, IF(ISNA(VLOOKUP(T1490, 'Fuel Costs'!$A$2:$C$42, 2, 0)), T1490, VLOOKUP(T1490, 'Fuel Costs'!$A$2:$C$42, 2, 0))) / IF(ISBLANK(O1490), 1, O1490))) * 100</f>
        <v>127.8465</v>
      </c>
      <c r="J1490" s="2" t="n">
        <f aca="false">((H1490 / 800) / (IF(ISBLANK(S1490), 100, IF(ISNA(VLOOKUP(S1490, Lives!$A$2:$C$35, 2, 0)), S1490, VLOOKUP(S1490, Lives!$A$2:$C$35, 2, 0))) * 12) + (IF(ISBLANK(Q1490), 0, IF(ISNA(VLOOKUP(Q1490, Wages!$A$2:$C$17, 2, 0)), Q1490, VLOOKUP(Q1490, Wages!$A$2:$C$17, 2, 0))) * IF(ISBLANK(N1490), 0, IF(ISNA(VLOOKUP(N1490, Crews!$A$2:$C$28, 2, 0)), N1490, VLOOKUP(N1490, Crews!$A$2:$C$28, 2, 0))))) * 400</f>
        <v>26310</v>
      </c>
      <c r="K1490" s="3" t="s">
        <v>2951</v>
      </c>
      <c r="L1490" s="1" t="s">
        <v>2952</v>
      </c>
      <c r="M1490" s="1" t="n">
        <v>0</v>
      </c>
      <c r="N1490" s="1" t="s">
        <v>590</v>
      </c>
      <c r="O1490" s="1" t="n">
        <v>0.8</v>
      </c>
      <c r="P1490" s="1"/>
      <c r="Q1490" s="5" t="s">
        <v>284</v>
      </c>
      <c r="R1490" s="1" t="s">
        <v>677</v>
      </c>
      <c r="S1490" s="1" t="s">
        <v>677</v>
      </c>
      <c r="T1490" s="1" t="s">
        <v>2252</v>
      </c>
    </row>
    <row r="1491" customFormat="false" ht="15" hidden="false" customHeight="true" outlineLevel="0" collapsed="false">
      <c r="A1491" s="1" t="s">
        <v>2953</v>
      </c>
      <c r="B1491" s="1" t="n">
        <v>1929</v>
      </c>
      <c r="C1491" s="1" t="n">
        <v>4</v>
      </c>
      <c r="D1491" s="1" t="s">
        <v>38</v>
      </c>
      <c r="E1491" s="1" t="s">
        <v>274</v>
      </c>
      <c r="F1491" s="1" t="n">
        <v>331</v>
      </c>
      <c r="G1491" s="1" t="n">
        <v>95</v>
      </c>
      <c r="H1491" s="2" t="n">
        <v>4286000</v>
      </c>
      <c r="I1491" s="2" t="n">
        <f aca="false">(((H1491 / 800) / IF(ISBLANK(R1491), 1000000, IF(ISNA(VLOOKUP(R1491, Mileages!$A$2:$C$34, 2, 0)), R1491, VLOOKUP(R1491, Mileages!$A$2:$C$34, 2, 0)))) + (F1491 * IF(ISBLANK(P1491), 1, P1491) * IF(ISBLANK(T1491), 0, IF(ISNA(VLOOKUP(T1491, 'Fuel Costs'!$A$2:$C$42, 2, 0)), T1491, VLOOKUP(T1491, 'Fuel Costs'!$A$2:$C$42, 2, 0))) / IF(ISBLANK(O1491), 1, O1491))) * 100</f>
        <v>189.6786071</v>
      </c>
      <c r="J1491" s="2" t="n">
        <f aca="false">((H1491 / 800) / (IF(ISBLANK(S1491), 100, IF(ISNA(VLOOKUP(S1491, Lives!$A$2:$C$35, 2, 0)), S1491, VLOOKUP(S1491, Lives!$A$2:$C$35, 2, 0))) * 12) + (IF(ISBLANK(Q1491), 0, IF(ISNA(VLOOKUP(Q1491, Wages!$A$2:$C$17, 2, 0)), Q1491, VLOOKUP(Q1491, Wages!$A$2:$C$17, 2, 0))) * IF(ISBLANK(N1491), 0, IF(ISNA(VLOOKUP(N1491, Crews!$A$2:$C$28, 2, 0)), N1491, VLOOKUP(N1491, Crews!$A$2:$C$28, 2, 0))))) * 400</f>
        <v>27571.66667</v>
      </c>
      <c r="K1491" s="1" t="s">
        <v>1692</v>
      </c>
      <c r="L1491" s="1" t="s">
        <v>2954</v>
      </c>
      <c r="M1491" s="1" t="n">
        <v>0</v>
      </c>
      <c r="N1491" s="1" t="s">
        <v>590</v>
      </c>
      <c r="O1491" s="1" t="n">
        <v>0.7</v>
      </c>
      <c r="P1491" s="1"/>
      <c r="Q1491" s="5" t="s">
        <v>284</v>
      </c>
      <c r="R1491" s="1" t="s">
        <v>677</v>
      </c>
      <c r="S1491" s="1" t="s">
        <v>677</v>
      </c>
      <c r="T1491" s="1" t="s">
        <v>2252</v>
      </c>
    </row>
    <row r="1492" customFormat="false" ht="15" hidden="false" customHeight="true" outlineLevel="0" collapsed="false">
      <c r="A1492" s="1" t="s">
        <v>2955</v>
      </c>
      <c r="B1492" s="1" t="n">
        <v>1929</v>
      </c>
      <c r="C1492" s="1" t="n">
        <v>4</v>
      </c>
      <c r="D1492" s="1" t="s">
        <v>38</v>
      </c>
      <c r="E1492" s="1"/>
      <c r="F1492" s="1" t="n">
        <v>0</v>
      </c>
      <c r="G1492" s="1" t="n">
        <v>95</v>
      </c>
      <c r="H1492" s="2" t="n">
        <v>0</v>
      </c>
      <c r="I1492" s="2" t="n">
        <f aca="false">(((H1492 / 800) / IF(ISBLANK(R1492), 1000000, IF(ISNA(VLOOKUP(R1492, Mileages!$A$2:$C$34, 2, 0)), R1492, VLOOKUP(R1492, Mileages!$A$2:$C$34, 2, 0)))) + (F1492 * IF(ISBLANK(P1492), 1, P1492) * IF(ISBLANK(T1492), 0, IF(ISNA(VLOOKUP(T1492, 'Fuel Costs'!$A$2:$C$42, 2, 0)), T1492, VLOOKUP(T1492, 'Fuel Costs'!$A$2:$C$42, 2, 0))) / IF(ISBLANK(O1492), 1, O1492))) * 100</f>
        <v>0</v>
      </c>
      <c r="J1492" s="2" t="n">
        <f aca="false">((H1492 / 800) / (IF(ISBLANK(S1492), 100, IF(ISNA(VLOOKUP(S1492, Lives!$A$2:$C$35, 2, 0)), S1492, VLOOKUP(S1492, Lives!$A$2:$C$35, 2, 0))) * 12) + (IF(ISBLANK(Q1492), 0, IF(ISNA(VLOOKUP(Q1492, Wages!$A$2:$C$17, 2, 0)), Q1492, VLOOKUP(Q1492, Wages!$A$2:$C$17, 2, 0))) * IF(ISBLANK(N1492), 0, IF(ISNA(VLOOKUP(N1492, Crews!$A$2:$C$28, 2, 0)), N1492, VLOOKUP(N1492, Crews!$A$2:$C$28, 2, 0))))) * 400</f>
        <v>0</v>
      </c>
      <c r="K1492" s="1"/>
      <c r="L1492" s="1" t="s">
        <v>2954</v>
      </c>
      <c r="M1492" s="1" t="n">
        <v>1</v>
      </c>
      <c r="N1492" s="1"/>
      <c r="O1492" s="1"/>
      <c r="P1492" s="1"/>
      <c r="Q1492" s="1"/>
      <c r="R1492" s="1"/>
      <c r="S1492" s="1"/>
      <c r="T1492" s="1"/>
    </row>
    <row r="1493" customFormat="false" ht="15" hidden="false" customHeight="true" outlineLevel="0" collapsed="false">
      <c r="A1493" s="1" t="s">
        <v>2956</v>
      </c>
      <c r="B1493" s="1" t="n">
        <v>1929</v>
      </c>
      <c r="C1493" s="1" t="n">
        <v>10</v>
      </c>
      <c r="D1493" s="1" t="s">
        <v>21</v>
      </c>
      <c r="E1493" s="1" t="s">
        <v>1839</v>
      </c>
      <c r="F1493" s="1" t="n">
        <v>34</v>
      </c>
      <c r="G1493" s="1" t="n">
        <v>50</v>
      </c>
      <c r="H1493" s="2" t="n">
        <v>420000</v>
      </c>
      <c r="I1493" s="2" t="n">
        <f aca="false">(((H1493 / 800) / IF(ISBLANK(R1493), 1000000, IF(ISNA(VLOOKUP(R1493, Mileages!$A$2:$C$34, 2, 0)), R1493, VLOOKUP(R1493, Mileages!$A$2:$C$34, 2, 0)))) + (F1493 * IF(ISBLANK(P1493), 1, P1493) * IF(ISBLANK(T1493), 0, IF(ISNA(VLOOKUP(T1493, 'Fuel Costs'!$A$2:$C$42, 2, 0)), T1493, VLOOKUP(T1493, 'Fuel Costs'!$A$2:$C$42, 2, 0))) / IF(ISBLANK(O1493), 1, O1493))) * 100</f>
        <v>34.105</v>
      </c>
      <c r="J1493" s="2" t="n">
        <f aca="false">((H1493 / 800) / (IF(ISBLANK(S1493), 100, IF(ISNA(VLOOKUP(S1493, Lives!$A$2:$C$35, 2, 0)), S1493, VLOOKUP(S1493, Lives!$A$2:$C$35, 2, 0))) * 12) + (IF(ISBLANK(Q1493), 0, IF(ISNA(VLOOKUP(Q1493, Wages!$A$2:$C$17, 2, 0)), Q1493, VLOOKUP(Q1493, Wages!$A$2:$C$17, 2, 0))) * IF(ISBLANK(N1493), 0, IF(ISNA(VLOOKUP(N1493, Crews!$A$2:$C$28, 2, 0)), N1493, VLOOKUP(N1493, Crews!$A$2:$C$28, 2, 0))))) * 400</f>
        <v>8218.75</v>
      </c>
      <c r="K1493" s="3" t="s">
        <v>2957</v>
      </c>
      <c r="L1493" s="1" t="s">
        <v>2958</v>
      </c>
      <c r="M1493" s="1" t="n">
        <v>0</v>
      </c>
      <c r="N1493" s="1" t="s">
        <v>25</v>
      </c>
      <c r="O1493" s="1" t="n">
        <v>0.6</v>
      </c>
      <c r="P1493" s="1"/>
      <c r="Q1493" s="1" t="s">
        <v>1815</v>
      </c>
      <c r="R1493" s="1" t="s">
        <v>1842</v>
      </c>
      <c r="S1493" s="1" t="s">
        <v>1843</v>
      </c>
      <c r="T1493" s="1" t="s">
        <v>2534</v>
      </c>
    </row>
    <row r="1494" customFormat="false" ht="15" hidden="false" customHeight="true" outlineLevel="0" collapsed="false">
      <c r="A1494" s="1" t="s">
        <v>2959</v>
      </c>
      <c r="B1494" s="1" t="n">
        <v>1929</v>
      </c>
      <c r="C1494" s="1" t="n">
        <v>10</v>
      </c>
      <c r="D1494" s="1" t="s">
        <v>21</v>
      </c>
      <c r="E1494" s="1" t="s">
        <v>1839</v>
      </c>
      <c r="F1494" s="1" t="n">
        <v>34</v>
      </c>
      <c r="G1494" s="1" t="n">
        <v>50</v>
      </c>
      <c r="H1494" s="2" t="n">
        <v>725200</v>
      </c>
      <c r="I1494" s="2" t="n">
        <f aca="false">(((H1494 / 800) / IF(ISBLANK(R1494), 1000000, IF(ISNA(VLOOKUP(R1494, Mileages!$A$2:$C$34, 2, 0)), R1494, VLOOKUP(R1494, Mileages!$A$2:$C$34, 2, 0)))) + (F1494 * IF(ISBLANK(P1494), 1, P1494) * IF(ISBLANK(T1494), 0, IF(ISNA(VLOOKUP(T1494, 'Fuel Costs'!$A$2:$C$42, 2, 0)), T1494, VLOOKUP(T1494, 'Fuel Costs'!$A$2:$C$42, 2, 0))) / IF(ISBLANK(O1494), 1, O1494))) * 100</f>
        <v>34.1813</v>
      </c>
      <c r="J1494" s="2" t="n">
        <f aca="false">((H1494 / 800) / (IF(ISBLANK(S1494), 100, IF(ISNA(VLOOKUP(S1494, Lives!$A$2:$C$35, 2, 0)), S1494, VLOOKUP(S1494, Lives!$A$2:$C$35, 2, 0))) * 12) + (IF(ISBLANK(Q1494), 0, IF(ISNA(VLOOKUP(Q1494, Wages!$A$2:$C$17, 2, 0)), Q1494, VLOOKUP(Q1494, Wages!$A$2:$C$17, 2, 0))) * IF(ISBLANK(N1494), 0, IF(ISNA(VLOOKUP(N1494, Crews!$A$2:$C$28, 2, 0)), N1494, VLOOKUP(N1494, Crews!$A$2:$C$28, 2, 0))))) * 400</f>
        <v>8377.708333</v>
      </c>
      <c r="K1494" s="3" t="s">
        <v>2960</v>
      </c>
      <c r="L1494" s="1" t="s">
        <v>2961</v>
      </c>
      <c r="M1494" s="1" t="n">
        <v>0</v>
      </c>
      <c r="N1494" s="1" t="s">
        <v>25</v>
      </c>
      <c r="O1494" s="1" t="n">
        <v>0.6</v>
      </c>
      <c r="P1494" s="1"/>
      <c r="Q1494" s="1" t="s">
        <v>1815</v>
      </c>
      <c r="R1494" s="1" t="s">
        <v>1842</v>
      </c>
      <c r="S1494" s="1" t="s">
        <v>1843</v>
      </c>
      <c r="T1494" s="1" t="s">
        <v>2534</v>
      </c>
    </row>
    <row r="1495" customFormat="false" ht="15" hidden="false" customHeight="true" outlineLevel="0" collapsed="false">
      <c r="A1495" s="1" t="s">
        <v>2962</v>
      </c>
      <c r="B1495" s="1" t="n">
        <v>1929</v>
      </c>
      <c r="C1495" s="1" t="n">
        <v>12</v>
      </c>
      <c r="D1495" s="1" t="s">
        <v>21</v>
      </c>
      <c r="E1495" s="1" t="s">
        <v>1839</v>
      </c>
      <c r="F1495" s="1" t="n">
        <v>34</v>
      </c>
      <c r="G1495" s="1" t="n">
        <v>50</v>
      </c>
      <c r="H1495" s="2" t="n">
        <v>362000</v>
      </c>
      <c r="I1495" s="2" t="n">
        <f aca="false">(((H1495 / 800) / IF(ISBLANK(R1495), 1000000, IF(ISNA(VLOOKUP(R1495, Mileages!$A$2:$C$34, 2, 0)), R1495, VLOOKUP(R1495, Mileages!$A$2:$C$34, 2, 0)))) + (F1495 * IF(ISBLANK(P1495), 1, P1495) * IF(ISBLANK(T1495), 0, IF(ISNA(VLOOKUP(T1495, 'Fuel Costs'!$A$2:$C$42, 2, 0)), T1495, VLOOKUP(T1495, 'Fuel Costs'!$A$2:$C$42, 2, 0))) / IF(ISBLANK(O1495), 1, O1495))) * 100</f>
        <v>34.0905</v>
      </c>
      <c r="J1495" s="2" t="n">
        <f aca="false">((H1495 / 800) / (IF(ISBLANK(S1495), 100, IF(ISNA(VLOOKUP(S1495, Lives!$A$2:$C$35, 2, 0)), S1495, VLOOKUP(S1495, Lives!$A$2:$C$35, 2, 0))) * 12) + (IF(ISBLANK(Q1495), 0, IF(ISNA(VLOOKUP(Q1495, Wages!$A$2:$C$17, 2, 0)), Q1495, VLOOKUP(Q1495, Wages!$A$2:$C$17, 2, 0))) * IF(ISBLANK(N1495), 0, IF(ISNA(VLOOKUP(N1495, Crews!$A$2:$C$28, 2, 0)), N1495, VLOOKUP(N1495, Crews!$A$2:$C$28, 2, 0))))) * 400</f>
        <v>8188.541667</v>
      </c>
      <c r="K1495" s="3" t="s">
        <v>2963</v>
      </c>
      <c r="L1495" s="1" t="s">
        <v>2964</v>
      </c>
      <c r="M1495" s="1" t="n">
        <v>0</v>
      </c>
      <c r="N1495" s="1" t="s">
        <v>25</v>
      </c>
      <c r="O1495" s="1" t="n">
        <v>0.6</v>
      </c>
      <c r="P1495" s="1"/>
      <c r="Q1495" s="1" t="s">
        <v>1815</v>
      </c>
      <c r="R1495" s="1" t="s">
        <v>1842</v>
      </c>
      <c r="S1495" s="1" t="s">
        <v>1843</v>
      </c>
      <c r="T1495" s="1" t="s">
        <v>2534</v>
      </c>
    </row>
    <row r="1496" customFormat="false" ht="15" hidden="false" customHeight="true" outlineLevel="0" collapsed="false">
      <c r="A1496" s="1" t="s">
        <v>2965</v>
      </c>
      <c r="B1496" s="1" t="n">
        <v>1930</v>
      </c>
      <c r="C1496" s="1" t="n">
        <v>1</v>
      </c>
      <c r="D1496" s="1" t="s">
        <v>29</v>
      </c>
      <c r="E1496" s="1"/>
      <c r="F1496" s="1"/>
      <c r="G1496" s="1" t="n">
        <v>8</v>
      </c>
      <c r="H1496" s="2" t="n">
        <v>200000</v>
      </c>
      <c r="I1496" s="2" t="n">
        <f aca="false">(((H1496 / 800) / IF(ISBLANK(R1496), 1000000, IF(ISNA(VLOOKUP(R1496, Mileages!$A$2:$C$34, 2, 0)), R1496, VLOOKUP(R1496, Mileages!$A$2:$C$34, 2, 0)))) + (F1496 * IF(ISBLANK(P1496), 1, P1496) * IF(ISBLANK(T1496), 0, IF(ISNA(VLOOKUP(T1496, 'Fuel Costs'!$A$2:$C$42, 2, 0)), T1496, VLOOKUP(T1496, 'Fuel Costs'!$A$2:$C$42, 2, 0))) / IF(ISBLANK(O1496), 1, O1496))) * 100</f>
        <v>0.0125</v>
      </c>
      <c r="J1496" s="2" t="n">
        <f aca="false">((H1496 / 800) / (IF(ISBLANK(S1496), 100, IF(ISNA(VLOOKUP(S1496, Lives!$A$2:$C$35, 2, 0)), S1496, VLOOKUP(S1496, Lives!$A$2:$C$35, 2, 0))) * 12) + (IF(ISBLANK(Q1496), 0, IF(ISNA(VLOOKUP(Q1496, Wages!$A$2:$C$17, 2, 0)), Q1496, VLOOKUP(Q1496, Wages!$A$2:$C$17, 2, 0))) * IF(ISBLANK(N1496), 0, IF(ISNA(VLOOKUP(N1496, Crews!$A$2:$C$28, 2, 0)), N1496, VLOOKUP(N1496, Crews!$A$2:$C$28, 2, 0))))) * 400</f>
        <v>83.33333333</v>
      </c>
      <c r="K1496" s="1" t="s">
        <v>96</v>
      </c>
      <c r="L1496" s="1" t="s">
        <v>2966</v>
      </c>
      <c r="M1496" s="1" t="n">
        <v>0</v>
      </c>
      <c r="N1496" s="1"/>
      <c r="O1496" s="1"/>
      <c r="P1496" s="1"/>
      <c r="Q1496" s="1"/>
      <c r="R1496" s="1" t="s">
        <v>574</v>
      </c>
      <c r="S1496" s="1" t="s">
        <v>574</v>
      </c>
      <c r="T1496" s="1"/>
    </row>
    <row r="1497" customFormat="false" ht="15" hidden="false" customHeight="true" outlineLevel="0" collapsed="false">
      <c r="A1497" s="1" t="s">
        <v>2967</v>
      </c>
      <c r="B1497" s="1" t="n">
        <v>1930</v>
      </c>
      <c r="C1497" s="1" t="n">
        <v>1</v>
      </c>
      <c r="D1497" s="1" t="s">
        <v>29</v>
      </c>
      <c r="E1497" s="1"/>
      <c r="F1497" s="1"/>
      <c r="G1497" s="1" t="n">
        <v>8</v>
      </c>
      <c r="H1497" s="2" t="n">
        <v>200000</v>
      </c>
      <c r="I1497" s="2" t="n">
        <f aca="false">(((H1497 / 800) / IF(ISBLANK(R1497), 1000000, IF(ISNA(VLOOKUP(R1497, Mileages!$A$2:$C$34, 2, 0)), R1497, VLOOKUP(R1497, Mileages!$A$2:$C$34, 2, 0)))) + (F1497 * IF(ISBLANK(P1497), 1, P1497) * IF(ISBLANK(T1497), 0, IF(ISNA(VLOOKUP(T1497, 'Fuel Costs'!$A$2:$C$42, 2, 0)), T1497, VLOOKUP(T1497, 'Fuel Costs'!$A$2:$C$42, 2, 0))) / IF(ISBLANK(O1497), 1, O1497))) * 100</f>
        <v>0.0125</v>
      </c>
      <c r="J1497" s="2" t="n">
        <f aca="false">((H1497 / 800) / (IF(ISBLANK(S1497), 100, IF(ISNA(VLOOKUP(S1497, Lives!$A$2:$C$35, 2, 0)), S1497, VLOOKUP(S1497, Lives!$A$2:$C$35, 2, 0))) * 12) + (IF(ISBLANK(Q1497), 0, IF(ISNA(VLOOKUP(Q1497, Wages!$A$2:$C$17, 2, 0)), Q1497, VLOOKUP(Q1497, Wages!$A$2:$C$17, 2, 0))) * IF(ISBLANK(N1497), 0, IF(ISNA(VLOOKUP(N1497, Crews!$A$2:$C$28, 2, 0)), N1497, VLOOKUP(N1497, Crews!$A$2:$C$28, 2, 0))))) * 400</f>
        <v>83.33333333</v>
      </c>
      <c r="K1497" s="1" t="s">
        <v>96</v>
      </c>
      <c r="L1497" s="1" t="s">
        <v>2966</v>
      </c>
      <c r="M1497" s="1" t="n">
        <v>1</v>
      </c>
      <c r="N1497" s="1"/>
      <c r="O1497" s="1"/>
      <c r="P1497" s="1"/>
      <c r="Q1497" s="1"/>
      <c r="R1497" s="1" t="s">
        <v>574</v>
      </c>
      <c r="S1497" s="1" t="s">
        <v>574</v>
      </c>
      <c r="T1497" s="1"/>
    </row>
    <row r="1498" customFormat="false" ht="15" hidden="false" customHeight="true" outlineLevel="0" collapsed="false">
      <c r="A1498" s="1" t="s">
        <v>2968</v>
      </c>
      <c r="B1498" s="1" t="n">
        <v>1930</v>
      </c>
      <c r="C1498" s="1" t="n">
        <v>1</v>
      </c>
      <c r="D1498" s="1" t="s">
        <v>29</v>
      </c>
      <c r="E1498" s="1"/>
      <c r="F1498" s="1"/>
      <c r="G1498" s="1" t="n">
        <v>8</v>
      </c>
      <c r="H1498" s="2" t="n">
        <v>200000</v>
      </c>
      <c r="I1498" s="2" t="n">
        <f aca="false">(((H1498 / 800) / IF(ISBLANK(R1498), 1000000, IF(ISNA(VLOOKUP(R1498, Mileages!$A$2:$C$34, 2, 0)), R1498, VLOOKUP(R1498, Mileages!$A$2:$C$34, 2, 0)))) + (F1498 * IF(ISBLANK(P1498), 1, P1498) * IF(ISBLANK(T1498), 0, IF(ISNA(VLOOKUP(T1498, 'Fuel Costs'!$A$2:$C$42, 2, 0)), T1498, VLOOKUP(T1498, 'Fuel Costs'!$A$2:$C$42, 2, 0))) / IF(ISBLANK(O1498), 1, O1498))) * 100</f>
        <v>0.0125</v>
      </c>
      <c r="J1498" s="2" t="n">
        <f aca="false">((H1498 / 800) / (IF(ISBLANK(S1498), 100, IF(ISNA(VLOOKUP(S1498, Lives!$A$2:$C$35, 2, 0)), S1498, VLOOKUP(S1498, Lives!$A$2:$C$35, 2, 0))) * 12) + (IF(ISBLANK(Q1498), 0, IF(ISNA(VLOOKUP(Q1498, Wages!$A$2:$C$17, 2, 0)), Q1498, VLOOKUP(Q1498, Wages!$A$2:$C$17, 2, 0))) * IF(ISBLANK(N1498), 0, IF(ISNA(VLOOKUP(N1498, Crews!$A$2:$C$28, 2, 0)), N1498, VLOOKUP(N1498, Crews!$A$2:$C$28, 2, 0))))) * 400</f>
        <v>83.33333333</v>
      </c>
      <c r="K1498" s="1" t="s">
        <v>96</v>
      </c>
      <c r="L1498" s="1" t="s">
        <v>2966</v>
      </c>
      <c r="M1498" s="1" t="n">
        <v>2</v>
      </c>
      <c r="N1498" s="1"/>
      <c r="O1498" s="1"/>
      <c r="P1498" s="1"/>
      <c r="Q1498" s="1"/>
      <c r="R1498" s="1" t="s">
        <v>574</v>
      </c>
      <c r="S1498" s="1" t="s">
        <v>574</v>
      </c>
      <c r="T1498" s="1"/>
    </row>
    <row r="1499" customFormat="false" ht="15" hidden="false" customHeight="true" outlineLevel="0" collapsed="false">
      <c r="A1499" s="1" t="s">
        <v>2969</v>
      </c>
      <c r="B1499" s="1" t="n">
        <v>1930</v>
      </c>
      <c r="C1499" s="1" t="n">
        <v>1</v>
      </c>
      <c r="D1499" s="1" t="s">
        <v>29</v>
      </c>
      <c r="E1499" s="1"/>
      <c r="F1499" s="1"/>
      <c r="G1499" s="1" t="n">
        <v>8</v>
      </c>
      <c r="H1499" s="2" t="n">
        <v>200000</v>
      </c>
      <c r="I1499" s="2" t="n">
        <f aca="false">(((H1499 / 800) / IF(ISBLANK(R1499), 1000000, IF(ISNA(VLOOKUP(R1499, Mileages!$A$2:$C$34, 2, 0)), R1499, VLOOKUP(R1499, Mileages!$A$2:$C$34, 2, 0)))) + (F1499 * IF(ISBLANK(P1499), 1, P1499) * IF(ISBLANK(T1499), 0, IF(ISNA(VLOOKUP(T1499, 'Fuel Costs'!$A$2:$C$42, 2, 0)), T1499, VLOOKUP(T1499, 'Fuel Costs'!$A$2:$C$42, 2, 0))) / IF(ISBLANK(O1499), 1, O1499))) * 100</f>
        <v>0.0125</v>
      </c>
      <c r="J1499" s="2" t="n">
        <f aca="false">((H1499 / 800) / (IF(ISBLANK(S1499), 100, IF(ISNA(VLOOKUP(S1499, Lives!$A$2:$C$35, 2, 0)), S1499, VLOOKUP(S1499, Lives!$A$2:$C$35, 2, 0))) * 12) + (IF(ISBLANK(Q1499), 0, IF(ISNA(VLOOKUP(Q1499, Wages!$A$2:$C$17, 2, 0)), Q1499, VLOOKUP(Q1499, Wages!$A$2:$C$17, 2, 0))) * IF(ISBLANK(N1499), 0, IF(ISNA(VLOOKUP(N1499, Crews!$A$2:$C$28, 2, 0)), N1499, VLOOKUP(N1499, Crews!$A$2:$C$28, 2, 0))))) * 400</f>
        <v>83.33333333</v>
      </c>
      <c r="K1499" s="1" t="s">
        <v>96</v>
      </c>
      <c r="L1499" s="1" t="s">
        <v>2966</v>
      </c>
      <c r="M1499" s="1" t="n">
        <v>3</v>
      </c>
      <c r="N1499" s="1"/>
      <c r="O1499" s="1"/>
      <c r="P1499" s="1"/>
      <c r="Q1499" s="1"/>
      <c r="R1499" s="1" t="s">
        <v>574</v>
      </c>
      <c r="S1499" s="1" t="s">
        <v>574</v>
      </c>
      <c r="T1499" s="1"/>
    </row>
    <row r="1500" customFormat="false" ht="15" hidden="false" customHeight="true" outlineLevel="0" collapsed="false">
      <c r="A1500" s="1" t="s">
        <v>2970</v>
      </c>
      <c r="B1500" s="1" t="n">
        <v>1930</v>
      </c>
      <c r="C1500" s="1" t="n">
        <v>1</v>
      </c>
      <c r="D1500" s="1" t="s">
        <v>29</v>
      </c>
      <c r="E1500" s="1"/>
      <c r="F1500" s="1"/>
      <c r="G1500" s="1" t="n">
        <v>8</v>
      </c>
      <c r="H1500" s="2" t="n">
        <v>200000</v>
      </c>
      <c r="I1500" s="2" t="n">
        <f aca="false">(((H1500 / 800) / IF(ISBLANK(R1500), 1000000, IF(ISNA(VLOOKUP(R1500, Mileages!$A$2:$C$34, 2, 0)), R1500, VLOOKUP(R1500, Mileages!$A$2:$C$34, 2, 0)))) + (F1500 * IF(ISBLANK(P1500), 1, P1500) * IF(ISBLANK(T1500), 0, IF(ISNA(VLOOKUP(T1500, 'Fuel Costs'!$A$2:$C$42, 2, 0)), T1500, VLOOKUP(T1500, 'Fuel Costs'!$A$2:$C$42, 2, 0))) / IF(ISBLANK(O1500), 1, O1500))) * 100</f>
        <v>0.0125</v>
      </c>
      <c r="J1500" s="2" t="n">
        <f aca="false">((H1500 / 800) / (IF(ISBLANK(S1500), 100, IF(ISNA(VLOOKUP(S1500, Lives!$A$2:$C$35, 2, 0)), S1500, VLOOKUP(S1500, Lives!$A$2:$C$35, 2, 0))) * 12) + (IF(ISBLANK(Q1500), 0, IF(ISNA(VLOOKUP(Q1500, Wages!$A$2:$C$17, 2, 0)), Q1500, VLOOKUP(Q1500, Wages!$A$2:$C$17, 2, 0))) * IF(ISBLANK(N1500), 0, IF(ISNA(VLOOKUP(N1500, Crews!$A$2:$C$28, 2, 0)), N1500, VLOOKUP(N1500, Crews!$A$2:$C$28, 2, 0))))) * 400</f>
        <v>83.33333333</v>
      </c>
      <c r="K1500" s="1" t="s">
        <v>96</v>
      </c>
      <c r="L1500" s="1" t="s">
        <v>2966</v>
      </c>
      <c r="M1500" s="1" t="n">
        <v>4</v>
      </c>
      <c r="N1500" s="1"/>
      <c r="O1500" s="1"/>
      <c r="P1500" s="1"/>
      <c r="Q1500" s="1"/>
      <c r="R1500" s="1" t="s">
        <v>574</v>
      </c>
      <c r="S1500" s="1" t="s">
        <v>574</v>
      </c>
      <c r="T1500" s="1"/>
    </row>
    <row r="1501" customFormat="false" ht="15" hidden="false" customHeight="true" outlineLevel="0" collapsed="false">
      <c r="A1501" s="1" t="s">
        <v>2971</v>
      </c>
      <c r="B1501" s="1" t="n">
        <v>1930</v>
      </c>
      <c r="C1501" s="1" t="n">
        <v>1</v>
      </c>
      <c r="D1501" s="1" t="s">
        <v>29</v>
      </c>
      <c r="E1501" s="1"/>
      <c r="F1501" s="1"/>
      <c r="G1501" s="1" t="n">
        <v>8</v>
      </c>
      <c r="H1501" s="2" t="n">
        <v>200000</v>
      </c>
      <c r="I1501" s="2" t="n">
        <f aca="false">(((H1501 / 800) / IF(ISBLANK(R1501), 1000000, IF(ISNA(VLOOKUP(R1501, Mileages!$A$2:$C$34, 2, 0)), R1501, VLOOKUP(R1501, Mileages!$A$2:$C$34, 2, 0)))) + (F1501 * IF(ISBLANK(P1501), 1, P1501) * IF(ISBLANK(T1501), 0, IF(ISNA(VLOOKUP(T1501, 'Fuel Costs'!$A$2:$C$42, 2, 0)), T1501, VLOOKUP(T1501, 'Fuel Costs'!$A$2:$C$42, 2, 0))) / IF(ISBLANK(O1501), 1, O1501))) * 100</f>
        <v>0.0125</v>
      </c>
      <c r="J1501" s="2" t="n">
        <f aca="false">((H1501 / 800) / (IF(ISBLANK(S1501), 100, IF(ISNA(VLOOKUP(S1501, Lives!$A$2:$C$35, 2, 0)), S1501, VLOOKUP(S1501, Lives!$A$2:$C$35, 2, 0))) * 12) + (IF(ISBLANK(Q1501), 0, IF(ISNA(VLOOKUP(Q1501, Wages!$A$2:$C$17, 2, 0)), Q1501, VLOOKUP(Q1501, Wages!$A$2:$C$17, 2, 0))) * IF(ISBLANK(N1501), 0, IF(ISNA(VLOOKUP(N1501, Crews!$A$2:$C$28, 2, 0)), N1501, VLOOKUP(N1501, Crews!$A$2:$C$28, 2, 0))))) * 400</f>
        <v>83.33333333</v>
      </c>
      <c r="K1501" s="1" t="s">
        <v>96</v>
      </c>
      <c r="L1501" s="1" t="s">
        <v>2966</v>
      </c>
      <c r="M1501" s="1" t="n">
        <v>5</v>
      </c>
      <c r="N1501" s="1"/>
      <c r="O1501" s="1"/>
      <c r="P1501" s="1"/>
      <c r="Q1501" s="1"/>
      <c r="R1501" s="1" t="s">
        <v>574</v>
      </c>
      <c r="S1501" s="1" t="s">
        <v>574</v>
      </c>
      <c r="T1501" s="1"/>
    </row>
    <row r="1502" customFormat="false" ht="15" hidden="false" customHeight="true" outlineLevel="0" collapsed="false">
      <c r="A1502" s="1" t="s">
        <v>2972</v>
      </c>
      <c r="B1502" s="1" t="n">
        <v>1930</v>
      </c>
      <c r="C1502" s="1" t="n">
        <v>2</v>
      </c>
      <c r="D1502" s="1" t="s">
        <v>38</v>
      </c>
      <c r="E1502" s="1" t="s">
        <v>274</v>
      </c>
      <c r="F1502" s="1" t="n">
        <v>350</v>
      </c>
      <c r="G1502" s="1" t="n">
        <v>95</v>
      </c>
      <c r="H1502" s="2" t="n">
        <v>3950000</v>
      </c>
      <c r="I1502" s="2" t="n">
        <f aca="false">(((H1502 / 800) / IF(ISBLANK(R1502), 1000000, IF(ISNA(VLOOKUP(R1502, Mileages!$A$2:$C$34, 2, 0)), R1502, VLOOKUP(R1502, Mileages!$A$2:$C$34, 2, 0)))) + (F1502 * IF(ISBLANK(P1502), 1, P1502) * IF(ISBLANK(T1502), 0, IF(ISNA(VLOOKUP(T1502, 'Fuel Costs'!$A$2:$C$42, 2, 0)), T1502, VLOOKUP(T1502, 'Fuel Costs'!$A$2:$C$42, 2, 0))) / IF(ISBLANK(O1502), 1, O1502))) * 100</f>
        <v>200.49375</v>
      </c>
      <c r="J1502" s="2" t="n">
        <f aca="false">((H1502 / 800) / (IF(ISBLANK(S1502), 100, IF(ISNA(VLOOKUP(S1502, Lives!$A$2:$C$35, 2, 0)), S1502, VLOOKUP(S1502, Lives!$A$2:$C$35, 2, 0))) * 12) + (IF(ISBLANK(Q1502), 0, IF(ISNA(VLOOKUP(Q1502, Wages!$A$2:$C$17, 2, 0)), Q1502, VLOOKUP(Q1502, Wages!$A$2:$C$17, 2, 0))) * IF(ISBLANK(N1502), 0, IF(ISNA(VLOOKUP(N1502, Crews!$A$2:$C$28, 2, 0)), N1502, VLOOKUP(N1502, Crews!$A$2:$C$28, 2, 0))))) * 400</f>
        <v>27291.66667</v>
      </c>
      <c r="K1502" s="1" t="s">
        <v>1692</v>
      </c>
      <c r="L1502" s="1" t="s">
        <v>2973</v>
      </c>
      <c r="M1502" s="1" t="n">
        <v>0</v>
      </c>
      <c r="N1502" s="1" t="s">
        <v>590</v>
      </c>
      <c r="O1502" s="1" t="n">
        <v>0.7</v>
      </c>
      <c r="P1502" s="1"/>
      <c r="Q1502" s="5" t="s">
        <v>284</v>
      </c>
      <c r="R1502" s="1" t="s">
        <v>677</v>
      </c>
      <c r="S1502" s="1" t="s">
        <v>677</v>
      </c>
      <c r="T1502" s="1" t="s">
        <v>2252</v>
      </c>
    </row>
    <row r="1503" customFormat="false" ht="15" hidden="false" customHeight="true" outlineLevel="0" collapsed="false">
      <c r="A1503" s="1" t="s">
        <v>2974</v>
      </c>
      <c r="B1503" s="1" t="n">
        <v>1930</v>
      </c>
      <c r="C1503" s="1" t="n">
        <v>3</v>
      </c>
      <c r="D1503" s="1" t="s">
        <v>21</v>
      </c>
      <c r="E1503" s="1" t="s">
        <v>1839</v>
      </c>
      <c r="F1503" s="1" t="n">
        <v>39</v>
      </c>
      <c r="G1503" s="1" t="n">
        <v>84</v>
      </c>
      <c r="H1503" s="2" t="n">
        <v>388750</v>
      </c>
      <c r="I1503" s="2" t="n">
        <f aca="false">(((H1503 / 800) / IF(ISBLANK(R1503), 1000000, IF(ISNA(VLOOKUP(R1503, Mileages!$A$2:$C$34, 2, 0)), R1503, VLOOKUP(R1503, Mileages!$A$2:$C$34, 2, 0)))) + (F1503 * IF(ISBLANK(P1503), 1, P1503) * IF(ISBLANK(T1503), 0, IF(ISNA(VLOOKUP(T1503, 'Fuel Costs'!$A$2:$C$42, 2, 0)), T1503, VLOOKUP(T1503, 'Fuel Costs'!$A$2:$C$42, 2, 0))) / IF(ISBLANK(O1503), 1, O1503))) * 100</f>
        <v>39.0971875</v>
      </c>
      <c r="J1503" s="2" t="n">
        <f aca="false">((H1503 / 800) / (IF(ISBLANK(S1503), 100, IF(ISNA(VLOOKUP(S1503, Lives!$A$2:$C$35, 2, 0)), S1503, VLOOKUP(S1503, Lives!$A$2:$C$35, 2, 0))) * 12) + (IF(ISBLANK(Q1503), 0, IF(ISNA(VLOOKUP(Q1503, Wages!$A$2:$C$17, 2, 0)), Q1503, VLOOKUP(Q1503, Wages!$A$2:$C$17, 2, 0))) * IF(ISBLANK(N1503), 0, IF(ISNA(VLOOKUP(N1503, Crews!$A$2:$C$28, 2, 0)), N1503, VLOOKUP(N1503, Crews!$A$2:$C$28, 2, 0))))) * 400</f>
        <v>8202.473958</v>
      </c>
      <c r="K1503" s="3" t="s">
        <v>2975</v>
      </c>
      <c r="L1503" s="1" t="s">
        <v>2976</v>
      </c>
      <c r="M1503" s="1" t="n">
        <v>0</v>
      </c>
      <c r="N1503" s="1" t="s">
        <v>25</v>
      </c>
      <c r="O1503" s="1" t="n">
        <v>0.6</v>
      </c>
      <c r="P1503" s="1"/>
      <c r="Q1503" s="1" t="s">
        <v>1815</v>
      </c>
      <c r="R1503" s="1" t="s">
        <v>1842</v>
      </c>
      <c r="S1503" s="1" t="s">
        <v>1843</v>
      </c>
      <c r="T1503" s="1" t="s">
        <v>2534</v>
      </c>
    </row>
    <row r="1504" customFormat="false" ht="15" hidden="false" customHeight="true" outlineLevel="0" collapsed="false">
      <c r="A1504" s="1" t="s">
        <v>2977</v>
      </c>
      <c r="B1504" s="1" t="n">
        <v>1930</v>
      </c>
      <c r="C1504" s="1" t="n">
        <v>3</v>
      </c>
      <c r="D1504" s="1" t="s">
        <v>38</v>
      </c>
      <c r="E1504" s="1" t="s">
        <v>274</v>
      </c>
      <c r="F1504" s="1" t="n">
        <v>262</v>
      </c>
      <c r="G1504" s="1" t="n">
        <v>110</v>
      </c>
      <c r="H1504" s="2" t="n">
        <v>2826214</v>
      </c>
      <c r="I1504" s="2" t="n">
        <f aca="false">(((H1504 / 800) / IF(ISBLANK(R1504), 1000000, IF(ISNA(VLOOKUP(R1504, Mileages!$A$2:$C$34, 2, 0)), R1504, VLOOKUP(R1504, Mileages!$A$2:$C$34, 2, 0)))) + (F1504 * IF(ISBLANK(P1504), 1, P1504) * IF(ISBLANK(T1504), 0, IF(ISNA(VLOOKUP(T1504, 'Fuel Costs'!$A$2:$C$42, 2, 0)), T1504, VLOOKUP(T1504, 'Fuel Costs'!$A$2:$C$42, 2, 0))) / IF(ISBLANK(O1504), 1, O1504))) * 100</f>
        <v>131.3532768</v>
      </c>
      <c r="J1504" s="2" t="n">
        <f aca="false">((H1504 / 800) / (IF(ISBLANK(S1504), 100, IF(ISNA(VLOOKUP(S1504, Lives!$A$2:$C$35, 2, 0)), S1504, VLOOKUP(S1504, Lives!$A$2:$C$35, 2, 0))) * 12) + (IF(ISBLANK(Q1504), 0, IF(ISNA(VLOOKUP(Q1504, Wages!$A$2:$C$17, 2, 0)), Q1504, VLOOKUP(Q1504, Wages!$A$2:$C$17, 2, 0))) * IF(ISBLANK(N1504), 0, IF(ISNA(VLOOKUP(N1504, Crews!$A$2:$C$28, 2, 0)), N1504, VLOOKUP(N1504, Crews!$A$2:$C$28, 2, 0))))) * 400</f>
        <v>26355.17833</v>
      </c>
      <c r="K1504" s="1" t="s">
        <v>1692</v>
      </c>
      <c r="L1504" s="1" t="s">
        <v>2978</v>
      </c>
      <c r="M1504" s="1" t="n">
        <v>0</v>
      </c>
      <c r="N1504" s="1" t="s">
        <v>590</v>
      </c>
      <c r="O1504" s="1" t="n">
        <v>0.8</v>
      </c>
      <c r="P1504" s="1"/>
      <c r="Q1504" s="5" t="s">
        <v>284</v>
      </c>
      <c r="R1504" s="1" t="s">
        <v>677</v>
      </c>
      <c r="S1504" s="1" t="s">
        <v>677</v>
      </c>
      <c r="T1504" s="1" t="s">
        <v>2252</v>
      </c>
    </row>
    <row r="1505" customFormat="false" ht="15" hidden="false" customHeight="true" outlineLevel="0" collapsed="false">
      <c r="A1505" s="1" t="s">
        <v>2979</v>
      </c>
      <c r="B1505" s="1" t="n">
        <v>1930</v>
      </c>
      <c r="C1505" s="1" t="n">
        <v>3</v>
      </c>
      <c r="D1505" s="1" t="s">
        <v>38</v>
      </c>
      <c r="E1505" s="1" t="s">
        <v>274</v>
      </c>
      <c r="F1505" s="1" t="n">
        <v>154</v>
      </c>
      <c r="G1505" s="1" t="n">
        <v>110</v>
      </c>
      <c r="H1505" s="2" t="n">
        <v>3006214</v>
      </c>
      <c r="I1505" s="2" t="n">
        <f aca="false">(((H1505 / 800) / IF(ISBLANK(R1505), 1000000, IF(ISNA(VLOOKUP(R1505, Mileages!$A$2:$C$34, 2, 0)), R1505, VLOOKUP(R1505, Mileages!$A$2:$C$34, 2, 0)))) + (F1505 * IF(ISBLANK(P1505), 1, P1505) * IF(ISBLANK(T1505), 0, IF(ISNA(VLOOKUP(T1505, 'Fuel Costs'!$A$2:$C$42, 2, 0)), T1505, VLOOKUP(T1505, 'Fuel Costs'!$A$2:$C$42, 2, 0))) / IF(ISBLANK(O1505), 1, O1505))) * 100</f>
        <v>77.37577675</v>
      </c>
      <c r="J1505" s="2" t="n">
        <f aca="false">((H1505 / 800) / (IF(ISBLANK(S1505), 100, IF(ISNA(VLOOKUP(S1505, Lives!$A$2:$C$35, 2, 0)), S1505, VLOOKUP(S1505, Lives!$A$2:$C$35, 2, 0))) * 12) + (IF(ISBLANK(Q1505), 0, IF(ISNA(VLOOKUP(Q1505, Wages!$A$2:$C$17, 2, 0)), Q1505, VLOOKUP(Q1505, Wages!$A$2:$C$17, 2, 0))) * IF(ISBLANK(N1505), 0, IF(ISNA(VLOOKUP(N1505, Crews!$A$2:$C$28, 2, 0)), N1505, VLOOKUP(N1505, Crews!$A$2:$C$28, 2, 0))))) * 400</f>
        <v>26505.17833</v>
      </c>
      <c r="K1505" s="1" t="s">
        <v>1692</v>
      </c>
      <c r="L1505" s="1" t="s">
        <v>2978</v>
      </c>
      <c r="M1505" s="1" t="n">
        <v>1</v>
      </c>
      <c r="N1505" s="1" t="s">
        <v>590</v>
      </c>
      <c r="O1505" s="1" t="n">
        <v>0.8</v>
      </c>
      <c r="P1505" s="1"/>
      <c r="Q1505" s="5" t="s">
        <v>284</v>
      </c>
      <c r="R1505" s="1" t="s">
        <v>677</v>
      </c>
      <c r="S1505" s="1" t="s">
        <v>677</v>
      </c>
      <c r="T1505" s="1" t="s">
        <v>2252</v>
      </c>
    </row>
    <row r="1506" customFormat="false" ht="15" hidden="false" customHeight="true" outlineLevel="0" collapsed="false">
      <c r="A1506" s="1" t="s">
        <v>2980</v>
      </c>
      <c r="B1506" s="1" t="n">
        <v>1930</v>
      </c>
      <c r="C1506" s="1" t="n">
        <v>3</v>
      </c>
      <c r="D1506" s="1" t="s">
        <v>38</v>
      </c>
      <c r="E1506" s="1"/>
      <c r="F1506" s="1"/>
      <c r="G1506" s="1" t="n">
        <v>160</v>
      </c>
      <c r="H1506" s="2" t="n">
        <v>625000</v>
      </c>
      <c r="I1506" s="2" t="n">
        <f aca="false">(((H1506 / 800) / IF(ISBLANK(R1506), 1000000, IF(ISNA(VLOOKUP(R1506, Mileages!$A$2:$C$34, 2, 0)), R1506, VLOOKUP(R1506, Mileages!$A$2:$C$34, 2, 0)))) + (F1506 * IF(ISBLANK(P1506), 1, P1506) * IF(ISBLANK(T1506), 0, IF(ISNA(VLOOKUP(T1506, 'Fuel Costs'!$A$2:$C$42, 2, 0)), T1506, VLOOKUP(T1506, 'Fuel Costs'!$A$2:$C$42, 2, 0))) / IF(ISBLANK(O1506), 1, O1506))) * 100</f>
        <v>0.06510416667</v>
      </c>
      <c r="J1506" s="2" t="n">
        <f aca="false">((H1506 / 800) / (IF(ISBLANK(S1506), 100, IF(ISNA(VLOOKUP(S1506, Lives!$A$2:$C$35, 2, 0)), S1506, VLOOKUP(S1506, Lives!$A$2:$C$35, 2, 0))) * 12) + (IF(ISBLANK(Q1506), 0, IF(ISNA(VLOOKUP(Q1506, Wages!$A$2:$C$17, 2, 0)), Q1506, VLOOKUP(Q1506, Wages!$A$2:$C$17, 2, 0))) * IF(ISBLANK(N1506), 0, IF(ISNA(VLOOKUP(N1506, Crews!$A$2:$C$28, 2, 0)), N1506, VLOOKUP(N1506, Crews!$A$2:$C$28, 2, 0))))) * 400</f>
        <v>6744.047619</v>
      </c>
      <c r="K1506" s="1"/>
      <c r="L1506" s="1" t="s">
        <v>2833</v>
      </c>
      <c r="M1506" s="1" t="n">
        <v>1</v>
      </c>
      <c r="N1506" s="1" t="s">
        <v>2131</v>
      </c>
      <c r="O1506" s="1"/>
      <c r="P1506" s="1"/>
      <c r="Q1506" s="1" t="s">
        <v>1481</v>
      </c>
      <c r="R1506" s="1" t="s">
        <v>689</v>
      </c>
      <c r="S1506" s="1" t="s">
        <v>856</v>
      </c>
      <c r="T1506" s="1"/>
    </row>
    <row r="1507" customFormat="false" ht="15" hidden="false" customHeight="true" outlineLevel="0" collapsed="false">
      <c r="A1507" s="1" t="s">
        <v>2981</v>
      </c>
      <c r="B1507" s="1" t="n">
        <v>1930</v>
      </c>
      <c r="C1507" s="1" t="n">
        <v>4</v>
      </c>
      <c r="D1507" s="1" t="s">
        <v>29</v>
      </c>
      <c r="E1507" s="1" t="s">
        <v>2039</v>
      </c>
      <c r="F1507" s="1" t="n">
        <v>50</v>
      </c>
      <c r="G1507" s="1" t="n">
        <v>8</v>
      </c>
      <c r="H1507" s="2" t="n">
        <v>240000</v>
      </c>
      <c r="I1507" s="2" t="n">
        <f aca="false">(((H1507 / 800) / IF(ISBLANK(R1507), 1000000, IF(ISNA(VLOOKUP(R1507, Mileages!$A$2:$C$34, 2, 0)), R1507, VLOOKUP(R1507, Mileages!$A$2:$C$34, 2, 0)))) + (F1507 * IF(ISBLANK(P1507), 1, P1507) * IF(ISBLANK(T1507), 0, IF(ISNA(VLOOKUP(T1507, 'Fuel Costs'!$A$2:$C$42, 2, 0)), T1507, VLOOKUP(T1507, 'Fuel Costs'!$A$2:$C$42, 2, 0))) / IF(ISBLANK(O1507), 1, O1507))) * 100</f>
        <v>10.015</v>
      </c>
      <c r="J1507" s="2" t="n">
        <f aca="false">((H1507 / 800) / (IF(ISBLANK(S1507), 100, IF(ISNA(VLOOKUP(S1507, Lives!$A$2:$C$35, 2, 0)), S1507, VLOOKUP(S1507, Lives!$A$2:$C$35, 2, 0))) * 12) + (IF(ISBLANK(Q1507), 0, IF(ISNA(VLOOKUP(Q1507, Wages!$A$2:$C$17, 2, 0)), Q1507, VLOOKUP(Q1507, Wages!$A$2:$C$17, 2, 0))) * IF(ISBLANK(N1507), 0, IF(ISNA(VLOOKUP(N1507, Crews!$A$2:$C$28, 2, 0)), N1507, VLOOKUP(N1507, Crews!$A$2:$C$28, 2, 0))))) * 400</f>
        <v>16100</v>
      </c>
      <c r="K1507" s="3" t="s">
        <v>1439</v>
      </c>
      <c r="L1507" s="1" t="s">
        <v>2982</v>
      </c>
      <c r="M1507" s="1" t="n">
        <v>0</v>
      </c>
      <c r="N1507" s="1" t="s">
        <v>33</v>
      </c>
      <c r="O1507" s="1" t="n">
        <v>0.5</v>
      </c>
      <c r="P1507" s="1" t="n">
        <v>0.2</v>
      </c>
      <c r="Q1507" s="1" t="s">
        <v>34</v>
      </c>
      <c r="R1507" s="1" t="s">
        <v>574</v>
      </c>
      <c r="S1507" s="1" t="s">
        <v>574</v>
      </c>
      <c r="T1507" s="1" t="s">
        <v>2041</v>
      </c>
    </row>
    <row r="1508" customFormat="false" ht="15" hidden="false" customHeight="true" outlineLevel="0" collapsed="false">
      <c r="A1508" s="1" t="s">
        <v>2983</v>
      </c>
      <c r="B1508" s="1" t="n">
        <v>1930</v>
      </c>
      <c r="C1508" s="1" t="n">
        <v>4</v>
      </c>
      <c r="D1508" s="1" t="s">
        <v>29</v>
      </c>
      <c r="E1508" s="1" t="s">
        <v>2039</v>
      </c>
      <c r="F1508" s="1" t="n">
        <v>50</v>
      </c>
      <c r="G1508" s="1" t="n">
        <v>8</v>
      </c>
      <c r="H1508" s="2" t="n">
        <v>240000</v>
      </c>
      <c r="I1508" s="2" t="n">
        <f aca="false">(((H1508 / 800) / IF(ISBLANK(R1508), 1000000, IF(ISNA(VLOOKUP(R1508, Mileages!$A$2:$C$34, 2, 0)), R1508, VLOOKUP(R1508, Mileages!$A$2:$C$34, 2, 0)))) + (F1508 * IF(ISBLANK(P1508), 1, P1508) * IF(ISBLANK(T1508), 0, IF(ISNA(VLOOKUP(T1508, 'Fuel Costs'!$A$2:$C$42, 2, 0)), T1508, VLOOKUP(T1508, 'Fuel Costs'!$A$2:$C$42, 2, 0))) / IF(ISBLANK(O1508), 1, O1508))) * 100</f>
        <v>10.015</v>
      </c>
      <c r="J1508" s="2" t="n">
        <f aca="false">((H1508 / 800) / (IF(ISBLANK(S1508), 100, IF(ISNA(VLOOKUP(S1508, Lives!$A$2:$C$35, 2, 0)), S1508, VLOOKUP(S1508, Lives!$A$2:$C$35, 2, 0))) * 12) + (IF(ISBLANK(Q1508), 0, IF(ISNA(VLOOKUP(Q1508, Wages!$A$2:$C$17, 2, 0)), Q1508, VLOOKUP(Q1508, Wages!$A$2:$C$17, 2, 0))) * IF(ISBLANK(N1508), 0, IF(ISNA(VLOOKUP(N1508, Crews!$A$2:$C$28, 2, 0)), N1508, VLOOKUP(N1508, Crews!$A$2:$C$28, 2, 0))))) * 400</f>
        <v>16100</v>
      </c>
      <c r="K1508" s="3" t="s">
        <v>1439</v>
      </c>
      <c r="L1508" s="1" t="s">
        <v>2982</v>
      </c>
      <c r="M1508" s="1" t="n">
        <v>1</v>
      </c>
      <c r="N1508" s="1" t="s">
        <v>33</v>
      </c>
      <c r="O1508" s="1" t="n">
        <v>0.5</v>
      </c>
      <c r="P1508" s="1" t="n">
        <v>0.2</v>
      </c>
      <c r="Q1508" s="1" t="s">
        <v>34</v>
      </c>
      <c r="R1508" s="1" t="s">
        <v>574</v>
      </c>
      <c r="S1508" s="1" t="s">
        <v>574</v>
      </c>
      <c r="T1508" s="1" t="s">
        <v>2041</v>
      </c>
    </row>
    <row r="1509" customFormat="false" ht="15" hidden="false" customHeight="true" outlineLevel="0" collapsed="false">
      <c r="A1509" s="1" t="s">
        <v>2984</v>
      </c>
      <c r="B1509" s="1" t="n">
        <v>1930</v>
      </c>
      <c r="C1509" s="1" t="n">
        <v>4</v>
      </c>
      <c r="D1509" s="1" t="s">
        <v>29</v>
      </c>
      <c r="E1509" s="1" t="s">
        <v>2039</v>
      </c>
      <c r="F1509" s="1" t="n">
        <v>50</v>
      </c>
      <c r="G1509" s="1" t="n">
        <v>8</v>
      </c>
      <c r="H1509" s="2" t="n">
        <v>240000</v>
      </c>
      <c r="I1509" s="2" t="n">
        <f aca="false">(((H1509 / 800) / IF(ISBLANK(R1509), 1000000, IF(ISNA(VLOOKUP(R1509, Mileages!$A$2:$C$34, 2, 0)), R1509, VLOOKUP(R1509, Mileages!$A$2:$C$34, 2, 0)))) + (F1509 * IF(ISBLANK(P1509), 1, P1509) * IF(ISBLANK(T1509), 0, IF(ISNA(VLOOKUP(T1509, 'Fuel Costs'!$A$2:$C$42, 2, 0)), T1509, VLOOKUP(T1509, 'Fuel Costs'!$A$2:$C$42, 2, 0))) / IF(ISBLANK(O1509), 1, O1509))) * 100</f>
        <v>10.015</v>
      </c>
      <c r="J1509" s="2" t="n">
        <f aca="false">((H1509 / 800) / (IF(ISBLANK(S1509), 100, IF(ISNA(VLOOKUP(S1509, Lives!$A$2:$C$35, 2, 0)), S1509, VLOOKUP(S1509, Lives!$A$2:$C$35, 2, 0))) * 12) + (IF(ISBLANK(Q1509), 0, IF(ISNA(VLOOKUP(Q1509, Wages!$A$2:$C$17, 2, 0)), Q1509, VLOOKUP(Q1509, Wages!$A$2:$C$17, 2, 0))) * IF(ISBLANK(N1509), 0, IF(ISNA(VLOOKUP(N1509, Crews!$A$2:$C$28, 2, 0)), N1509, VLOOKUP(N1509, Crews!$A$2:$C$28, 2, 0))))) * 400</f>
        <v>16100</v>
      </c>
      <c r="K1509" s="3" t="s">
        <v>1439</v>
      </c>
      <c r="L1509" s="1" t="s">
        <v>2982</v>
      </c>
      <c r="M1509" s="1" t="n">
        <v>2</v>
      </c>
      <c r="N1509" s="1" t="s">
        <v>33</v>
      </c>
      <c r="O1509" s="1" t="n">
        <v>0.5</v>
      </c>
      <c r="P1509" s="1" t="n">
        <v>0.2</v>
      </c>
      <c r="Q1509" s="1" t="s">
        <v>34</v>
      </c>
      <c r="R1509" s="1" t="s">
        <v>574</v>
      </c>
      <c r="S1509" s="1" t="s">
        <v>574</v>
      </c>
      <c r="T1509" s="1" t="s">
        <v>2041</v>
      </c>
    </row>
    <row r="1510" customFormat="false" ht="15" hidden="false" customHeight="true" outlineLevel="0" collapsed="false">
      <c r="A1510" s="1" t="s">
        <v>2985</v>
      </c>
      <c r="B1510" s="1" t="n">
        <v>1930</v>
      </c>
      <c r="C1510" s="1" t="n">
        <v>4</v>
      </c>
      <c r="D1510" s="1" t="s">
        <v>29</v>
      </c>
      <c r="E1510" s="1" t="s">
        <v>2039</v>
      </c>
      <c r="F1510" s="1" t="n">
        <v>50</v>
      </c>
      <c r="G1510" s="1" t="n">
        <v>8</v>
      </c>
      <c r="H1510" s="2" t="n">
        <v>240000</v>
      </c>
      <c r="I1510" s="2" t="n">
        <f aca="false">(((H1510 / 800) / IF(ISBLANK(R1510), 1000000, IF(ISNA(VLOOKUP(R1510, Mileages!$A$2:$C$34, 2, 0)), R1510, VLOOKUP(R1510, Mileages!$A$2:$C$34, 2, 0)))) + (F1510 * IF(ISBLANK(P1510), 1, P1510) * IF(ISBLANK(T1510), 0, IF(ISNA(VLOOKUP(T1510, 'Fuel Costs'!$A$2:$C$42, 2, 0)), T1510, VLOOKUP(T1510, 'Fuel Costs'!$A$2:$C$42, 2, 0))) / IF(ISBLANK(O1510), 1, O1510))) * 100</f>
        <v>10.015</v>
      </c>
      <c r="J1510" s="2" t="n">
        <f aca="false">((H1510 / 800) / (IF(ISBLANK(S1510), 100, IF(ISNA(VLOOKUP(S1510, Lives!$A$2:$C$35, 2, 0)), S1510, VLOOKUP(S1510, Lives!$A$2:$C$35, 2, 0))) * 12) + (IF(ISBLANK(Q1510), 0, IF(ISNA(VLOOKUP(Q1510, Wages!$A$2:$C$17, 2, 0)), Q1510, VLOOKUP(Q1510, Wages!$A$2:$C$17, 2, 0))) * IF(ISBLANK(N1510), 0, IF(ISNA(VLOOKUP(N1510, Crews!$A$2:$C$28, 2, 0)), N1510, VLOOKUP(N1510, Crews!$A$2:$C$28, 2, 0))))) * 400</f>
        <v>16100</v>
      </c>
      <c r="K1510" s="3" t="s">
        <v>1439</v>
      </c>
      <c r="L1510" s="1" t="s">
        <v>2982</v>
      </c>
      <c r="M1510" s="1" t="n">
        <v>3</v>
      </c>
      <c r="N1510" s="1" t="s">
        <v>33</v>
      </c>
      <c r="O1510" s="1" t="n">
        <v>0.5</v>
      </c>
      <c r="P1510" s="1" t="n">
        <v>0.2</v>
      </c>
      <c r="Q1510" s="1" t="s">
        <v>34</v>
      </c>
      <c r="R1510" s="1" t="s">
        <v>574</v>
      </c>
      <c r="S1510" s="1" t="s">
        <v>574</v>
      </c>
      <c r="T1510" s="1" t="s">
        <v>2041</v>
      </c>
    </row>
    <row r="1511" customFormat="false" ht="15" hidden="false" customHeight="true" outlineLevel="0" collapsed="false">
      <c r="A1511" s="1" t="s">
        <v>2986</v>
      </c>
      <c r="B1511" s="1" t="n">
        <v>1930</v>
      </c>
      <c r="C1511" s="1" t="n">
        <v>4</v>
      </c>
      <c r="D1511" s="1" t="s">
        <v>29</v>
      </c>
      <c r="E1511" s="1" t="s">
        <v>2039</v>
      </c>
      <c r="F1511" s="1" t="n">
        <v>50</v>
      </c>
      <c r="G1511" s="1" t="n">
        <v>8</v>
      </c>
      <c r="H1511" s="2" t="n">
        <v>240000</v>
      </c>
      <c r="I1511" s="2" t="n">
        <f aca="false">(((H1511 / 800) / IF(ISBLANK(R1511), 1000000, IF(ISNA(VLOOKUP(R1511, Mileages!$A$2:$C$34, 2, 0)), R1511, VLOOKUP(R1511, Mileages!$A$2:$C$34, 2, 0)))) + (F1511 * IF(ISBLANK(P1511), 1, P1511) * IF(ISBLANK(T1511), 0, IF(ISNA(VLOOKUP(T1511, 'Fuel Costs'!$A$2:$C$42, 2, 0)), T1511, VLOOKUP(T1511, 'Fuel Costs'!$A$2:$C$42, 2, 0))) / IF(ISBLANK(O1511), 1, O1511))) * 100</f>
        <v>10.015</v>
      </c>
      <c r="J1511" s="2" t="n">
        <f aca="false">((H1511 / 800) / (IF(ISBLANK(S1511), 100, IF(ISNA(VLOOKUP(S1511, Lives!$A$2:$C$35, 2, 0)), S1511, VLOOKUP(S1511, Lives!$A$2:$C$35, 2, 0))) * 12) + (IF(ISBLANK(Q1511), 0, IF(ISNA(VLOOKUP(Q1511, Wages!$A$2:$C$17, 2, 0)), Q1511, VLOOKUP(Q1511, Wages!$A$2:$C$17, 2, 0))) * IF(ISBLANK(N1511), 0, IF(ISNA(VLOOKUP(N1511, Crews!$A$2:$C$28, 2, 0)), N1511, VLOOKUP(N1511, Crews!$A$2:$C$28, 2, 0))))) * 400</f>
        <v>16100</v>
      </c>
      <c r="K1511" s="3" t="s">
        <v>1439</v>
      </c>
      <c r="L1511" s="1" t="s">
        <v>2982</v>
      </c>
      <c r="M1511" s="1" t="n">
        <v>4</v>
      </c>
      <c r="N1511" s="1" t="s">
        <v>33</v>
      </c>
      <c r="O1511" s="1" t="n">
        <v>0.5</v>
      </c>
      <c r="P1511" s="1" t="n">
        <v>0.2</v>
      </c>
      <c r="Q1511" s="1" t="s">
        <v>34</v>
      </c>
      <c r="R1511" s="1" t="s">
        <v>574</v>
      </c>
      <c r="S1511" s="1" t="s">
        <v>574</v>
      </c>
      <c r="T1511" s="1" t="s">
        <v>2041</v>
      </c>
    </row>
    <row r="1512" customFormat="false" ht="15" hidden="false" customHeight="true" outlineLevel="0" collapsed="false">
      <c r="A1512" s="1" t="s">
        <v>2987</v>
      </c>
      <c r="B1512" s="1" t="n">
        <v>1930</v>
      </c>
      <c r="C1512" s="1" t="n">
        <v>4</v>
      </c>
      <c r="D1512" s="1" t="s">
        <v>29</v>
      </c>
      <c r="E1512" s="1" t="s">
        <v>2039</v>
      </c>
      <c r="F1512" s="1" t="n">
        <v>50</v>
      </c>
      <c r="G1512" s="1" t="n">
        <v>8</v>
      </c>
      <c r="H1512" s="2" t="n">
        <v>240000</v>
      </c>
      <c r="I1512" s="2" t="n">
        <f aca="false">(((H1512 / 800) / IF(ISBLANK(R1512), 1000000, IF(ISNA(VLOOKUP(R1512, Mileages!$A$2:$C$34, 2, 0)), R1512, VLOOKUP(R1512, Mileages!$A$2:$C$34, 2, 0)))) + (F1512 * IF(ISBLANK(P1512), 1, P1512) * IF(ISBLANK(T1512), 0, IF(ISNA(VLOOKUP(T1512, 'Fuel Costs'!$A$2:$C$42, 2, 0)), T1512, VLOOKUP(T1512, 'Fuel Costs'!$A$2:$C$42, 2, 0))) / IF(ISBLANK(O1512), 1, O1512))) * 100</f>
        <v>10.015</v>
      </c>
      <c r="J1512" s="2" t="n">
        <f aca="false">((H1512 / 800) / (IF(ISBLANK(S1512), 100, IF(ISNA(VLOOKUP(S1512, Lives!$A$2:$C$35, 2, 0)), S1512, VLOOKUP(S1512, Lives!$A$2:$C$35, 2, 0))) * 12) + (IF(ISBLANK(Q1512), 0, IF(ISNA(VLOOKUP(Q1512, Wages!$A$2:$C$17, 2, 0)), Q1512, VLOOKUP(Q1512, Wages!$A$2:$C$17, 2, 0))) * IF(ISBLANK(N1512), 0, IF(ISNA(VLOOKUP(N1512, Crews!$A$2:$C$28, 2, 0)), N1512, VLOOKUP(N1512, Crews!$A$2:$C$28, 2, 0))))) * 400</f>
        <v>16100</v>
      </c>
      <c r="K1512" s="3" t="s">
        <v>1439</v>
      </c>
      <c r="L1512" s="1" t="s">
        <v>2982</v>
      </c>
      <c r="M1512" s="1" t="n">
        <v>5</v>
      </c>
      <c r="N1512" s="1" t="s">
        <v>33</v>
      </c>
      <c r="O1512" s="1" t="n">
        <v>0.5</v>
      </c>
      <c r="P1512" s="1" t="n">
        <v>0.2</v>
      </c>
      <c r="Q1512" s="1" t="s">
        <v>34</v>
      </c>
      <c r="R1512" s="1" t="s">
        <v>574</v>
      </c>
      <c r="S1512" s="1" t="s">
        <v>574</v>
      </c>
      <c r="T1512" s="1" t="s">
        <v>2041</v>
      </c>
    </row>
    <row r="1513" customFormat="false" ht="15" hidden="false" customHeight="true" outlineLevel="0" collapsed="false">
      <c r="A1513" s="1" t="s">
        <v>2988</v>
      </c>
      <c r="B1513" s="1" t="n">
        <v>1930</v>
      </c>
      <c r="C1513" s="1" t="n">
        <v>5</v>
      </c>
      <c r="D1513" s="1" t="s">
        <v>38</v>
      </c>
      <c r="E1513" s="1" t="s">
        <v>274</v>
      </c>
      <c r="F1513" s="1" t="n">
        <v>197</v>
      </c>
      <c r="G1513" s="1" t="n">
        <v>87</v>
      </c>
      <c r="H1513" s="2" t="n">
        <v>1372000</v>
      </c>
      <c r="I1513" s="2" t="n">
        <f aca="false">(((H1513 / 800) / IF(ISBLANK(R1513), 1000000, IF(ISNA(VLOOKUP(R1513, Mileages!$A$2:$C$34, 2, 0)), R1513, VLOOKUP(R1513, Mileages!$A$2:$C$34, 2, 0)))) + (F1513 * IF(ISBLANK(P1513), 1, P1513) * IF(ISBLANK(T1513), 0, IF(ISNA(VLOOKUP(T1513, 'Fuel Costs'!$A$2:$C$42, 2, 0)), T1513, VLOOKUP(T1513, 'Fuel Costs'!$A$2:$C$42, 2, 0))) / IF(ISBLANK(O1513), 1, O1513))) * 100</f>
        <v>98.6715</v>
      </c>
      <c r="J1513" s="2" t="n">
        <f aca="false">((H1513 / 800) / (IF(ISBLANK(S1513), 100, IF(ISNA(VLOOKUP(S1513, Lives!$A$2:$C$35, 2, 0)), S1513, VLOOKUP(S1513, Lives!$A$2:$C$35, 2, 0))) * 12) + (IF(ISBLANK(Q1513), 0, IF(ISNA(VLOOKUP(Q1513, Wages!$A$2:$C$17, 2, 0)), Q1513, VLOOKUP(Q1513, Wages!$A$2:$C$17, 2, 0))) * IF(ISBLANK(N1513), 0, IF(ISNA(VLOOKUP(N1513, Crews!$A$2:$C$28, 2, 0)), N1513, VLOOKUP(N1513, Crews!$A$2:$C$28, 2, 0))))) * 400</f>
        <v>17143.33333</v>
      </c>
      <c r="K1513" s="3" t="s">
        <v>2989</v>
      </c>
      <c r="L1513" s="1" t="s">
        <v>2990</v>
      </c>
      <c r="M1513" s="1" t="n">
        <v>0</v>
      </c>
      <c r="N1513" s="1" t="s">
        <v>283</v>
      </c>
      <c r="O1513" s="1" t="n">
        <v>0.8</v>
      </c>
      <c r="P1513" s="1"/>
      <c r="Q1513" s="5" t="s">
        <v>284</v>
      </c>
      <c r="R1513" s="1" t="s">
        <v>677</v>
      </c>
      <c r="S1513" s="1" t="s">
        <v>677</v>
      </c>
      <c r="T1513" s="1" t="s">
        <v>2252</v>
      </c>
    </row>
    <row r="1514" customFormat="false" ht="15" hidden="false" customHeight="true" outlineLevel="0" collapsed="false">
      <c r="A1514" s="1" t="s">
        <v>2991</v>
      </c>
      <c r="B1514" s="1" t="n">
        <v>1930</v>
      </c>
      <c r="C1514" s="1" t="n">
        <v>5</v>
      </c>
      <c r="D1514" s="1" t="s">
        <v>876</v>
      </c>
      <c r="E1514" s="1" t="s">
        <v>1346</v>
      </c>
      <c r="F1514" s="1" t="n">
        <v>104</v>
      </c>
      <c r="G1514" s="1" t="n">
        <v>65</v>
      </c>
      <c r="H1514" s="2" t="n">
        <v>550000</v>
      </c>
      <c r="I1514" s="2" t="n">
        <f aca="false">(((H1514 / 800) / IF(ISBLANK(R1514), 1000000, IF(ISNA(VLOOKUP(R1514, Mileages!$A$2:$C$34, 2, 0)), R1514, VLOOKUP(R1514, Mileages!$A$2:$C$34, 2, 0)))) + (F1514 * IF(ISBLANK(P1514), 1, P1514) * IF(ISBLANK(T1514), 0, IF(ISNA(VLOOKUP(T1514, 'Fuel Costs'!$A$2:$C$42, 2, 0)), T1514, VLOOKUP(T1514, 'Fuel Costs'!$A$2:$C$42, 2, 0))) / IF(ISBLANK(O1514), 1, O1514))) * 100</f>
        <v>41.66875</v>
      </c>
      <c r="J1514" s="2" t="n">
        <f aca="false">((H1514 / 800) / (IF(ISBLANK(S1514), 100, IF(ISNA(VLOOKUP(S1514, Lives!$A$2:$C$35, 2, 0)), S1514, VLOOKUP(S1514, Lives!$A$2:$C$35, 2, 0))) * 12) + (IF(ISBLANK(Q1514), 0, IF(ISNA(VLOOKUP(Q1514, Wages!$A$2:$C$17, 2, 0)), Q1514, VLOOKUP(Q1514, Wages!$A$2:$C$17, 2, 0))) * IF(ISBLANK(N1514), 0, IF(ISNA(VLOOKUP(N1514, Crews!$A$2:$C$28, 2, 0)), N1514, VLOOKUP(N1514, Crews!$A$2:$C$28, 2, 0))))) * 400</f>
        <v>6458.333333</v>
      </c>
      <c r="K1514" s="3" t="s">
        <v>2992</v>
      </c>
      <c r="L1514" s="1" t="s">
        <v>2993</v>
      </c>
      <c r="M1514" s="1" t="n">
        <v>0</v>
      </c>
      <c r="N1514" s="1" t="s">
        <v>895</v>
      </c>
      <c r="O1514" s="1"/>
      <c r="P1514" s="1"/>
      <c r="Q1514" s="1" t="s">
        <v>895</v>
      </c>
      <c r="R1514" s="1" t="s">
        <v>1349</v>
      </c>
      <c r="S1514" s="1" t="s">
        <v>1350</v>
      </c>
      <c r="T1514" s="1" t="s">
        <v>2580</v>
      </c>
    </row>
    <row r="1515" customFormat="false" ht="15" hidden="false" customHeight="true" outlineLevel="0" collapsed="false">
      <c r="A1515" s="1" t="s">
        <v>2994</v>
      </c>
      <c r="B1515" s="1" t="n">
        <v>1930</v>
      </c>
      <c r="C1515" s="1" t="n">
        <v>6</v>
      </c>
      <c r="D1515" s="1" t="s">
        <v>38</v>
      </c>
      <c r="E1515" s="1" t="s">
        <v>1346</v>
      </c>
      <c r="F1515" s="1" t="n">
        <v>410</v>
      </c>
      <c r="G1515" s="1" t="n">
        <v>120</v>
      </c>
      <c r="H1515" s="2" t="n">
        <v>1421000</v>
      </c>
      <c r="I1515" s="2" t="n">
        <f aca="false">(((H1515 / 800) / IF(ISBLANK(R1515), 1000000, IF(ISNA(VLOOKUP(R1515, Mileages!$A$2:$C$34, 2, 0)), R1515, VLOOKUP(R1515, Mileages!$A$2:$C$34, 2, 0)))) + (F1515 * IF(ISBLANK(P1515), 1, P1515) * IF(ISBLANK(T1515), 0, IF(ISNA(VLOOKUP(T1515, 'Fuel Costs'!$A$2:$C$42, 2, 0)), T1515, VLOOKUP(T1515, 'Fuel Costs'!$A$2:$C$42, 2, 0))) / IF(ISBLANK(O1515), 1, O1515))) * 100</f>
        <v>164.177625</v>
      </c>
      <c r="J1515" s="2" t="n">
        <f aca="false">((H1515 / 800) / (IF(ISBLANK(S1515), 100, IF(ISNA(VLOOKUP(S1515, Lives!$A$2:$C$35, 2, 0)), S1515, VLOOKUP(S1515, Lives!$A$2:$C$35, 2, 0))) * 12) + (IF(ISBLANK(Q1515), 0, IF(ISNA(VLOOKUP(Q1515, Wages!$A$2:$C$17, 2, 0)), Q1515, VLOOKUP(Q1515, Wages!$A$2:$C$17, 2, 0))) * IF(ISBLANK(N1515), 0, IF(ISNA(VLOOKUP(N1515, Crews!$A$2:$C$28, 2, 0)), N1515, VLOOKUP(N1515, Crews!$A$2:$C$28, 2, 0))))) * 400</f>
        <v>7184.166667</v>
      </c>
      <c r="K1515" s="1"/>
      <c r="L1515" s="1" t="s">
        <v>2995</v>
      </c>
      <c r="M1515" s="1" t="n">
        <v>0</v>
      </c>
      <c r="N1515" s="1" t="s">
        <v>1512</v>
      </c>
      <c r="O1515" s="1" t="n">
        <v>1</v>
      </c>
      <c r="P1515" s="1"/>
      <c r="Q1515" s="1" t="str">
        <f aca="false">IF(ISBLANK('Pak128 Britain In'!$N1515),,'Pak128 Britain In'!$N1515)</f>
        <v>ElectricMultipleUnit</v>
      </c>
      <c r="R1515" s="1" t="s">
        <v>1349</v>
      </c>
      <c r="S1515" s="1" t="s">
        <v>1350</v>
      </c>
      <c r="T1515" s="1" t="s">
        <v>2580</v>
      </c>
    </row>
    <row r="1516" customFormat="false" ht="15" hidden="false" customHeight="true" outlineLevel="0" collapsed="false">
      <c r="A1516" s="1" t="s">
        <v>2996</v>
      </c>
      <c r="B1516" s="1" t="n">
        <v>1930</v>
      </c>
      <c r="C1516" s="1" t="n">
        <v>6</v>
      </c>
      <c r="D1516" s="1" t="s">
        <v>38</v>
      </c>
      <c r="E1516" s="1" t="s">
        <v>1346</v>
      </c>
      <c r="F1516" s="1" t="n">
        <v>0</v>
      </c>
      <c r="G1516" s="1" t="n">
        <v>120</v>
      </c>
      <c r="H1516" s="2" t="n">
        <v>801000</v>
      </c>
      <c r="I1516" s="2" t="n">
        <f aca="false">(((H1516 / 800) / IF(ISBLANK(R1516), 1000000, IF(ISNA(VLOOKUP(R1516, Mileages!$A$2:$C$34, 2, 0)), R1516, VLOOKUP(R1516, Mileages!$A$2:$C$34, 2, 0)))) + (F1516 * IF(ISBLANK(P1516), 1, P1516) * IF(ISBLANK(T1516), 0, IF(ISNA(VLOOKUP(T1516, 'Fuel Costs'!$A$2:$C$42, 2, 0)), T1516, VLOOKUP(T1516, 'Fuel Costs'!$A$2:$C$42, 2, 0))) / IF(ISBLANK(O1516), 1, O1516))) * 100</f>
        <v>0.0834375</v>
      </c>
      <c r="J1516" s="2" t="n">
        <f aca="false">((H1516 / 800) / (IF(ISBLANK(S1516), 100, IF(ISNA(VLOOKUP(S1516, Lives!$A$2:$C$35, 2, 0)), S1516, VLOOKUP(S1516, Lives!$A$2:$C$35, 2, 0))) * 12) + (IF(ISBLANK(Q1516), 0, IF(ISNA(VLOOKUP(Q1516, Wages!$A$2:$C$17, 2, 0)), Q1516, VLOOKUP(Q1516, Wages!$A$2:$C$17, 2, 0))) * IF(ISBLANK(N1516), 0, IF(ISNA(VLOOKUP(N1516, Crews!$A$2:$C$28, 2, 0)), N1516, VLOOKUP(N1516, Crews!$A$2:$C$28, 2, 0))))) * 400</f>
        <v>953.5714286</v>
      </c>
      <c r="K1516" s="1"/>
      <c r="L1516" s="1" t="s">
        <v>2995</v>
      </c>
      <c r="M1516" s="1" t="n">
        <v>1</v>
      </c>
      <c r="N1516" s="1"/>
      <c r="O1516" s="1"/>
      <c r="P1516" s="1"/>
      <c r="Q1516" s="1"/>
      <c r="R1516" s="1" t="s">
        <v>689</v>
      </c>
      <c r="S1516" s="1" t="s">
        <v>856</v>
      </c>
      <c r="T1516" s="1"/>
    </row>
    <row r="1517" customFormat="false" ht="15" hidden="false" customHeight="true" outlineLevel="0" collapsed="false">
      <c r="A1517" s="1" t="s">
        <v>2997</v>
      </c>
      <c r="B1517" s="1" t="n">
        <v>1930</v>
      </c>
      <c r="C1517" s="1" t="n">
        <v>6</v>
      </c>
      <c r="D1517" s="1" t="s">
        <v>38</v>
      </c>
      <c r="E1517" s="1" t="s">
        <v>1346</v>
      </c>
      <c r="F1517" s="1" t="n">
        <v>0</v>
      </c>
      <c r="G1517" s="1" t="n">
        <v>120</v>
      </c>
      <c r="H1517" s="2" t="n">
        <v>901200</v>
      </c>
      <c r="I1517" s="2" t="n">
        <f aca="false">(((H1517 / 800) / IF(ISBLANK(R1517), 1000000, IF(ISNA(VLOOKUP(R1517, Mileages!$A$2:$C$34, 2, 0)), R1517, VLOOKUP(R1517, Mileages!$A$2:$C$34, 2, 0)))) + (F1517 * IF(ISBLANK(P1517), 1, P1517) * IF(ISBLANK(T1517), 0, IF(ISNA(VLOOKUP(T1517, 'Fuel Costs'!$A$2:$C$42, 2, 0)), T1517, VLOOKUP(T1517, 'Fuel Costs'!$A$2:$C$42, 2, 0))) / IF(ISBLANK(O1517), 1, O1517))) * 100</f>
        <v>0.093875</v>
      </c>
      <c r="J1517" s="2" t="n">
        <f aca="false">((H1517 / 800) / (IF(ISBLANK(S1517), 100, IF(ISNA(VLOOKUP(S1517, Lives!$A$2:$C$35, 2, 0)), S1517, VLOOKUP(S1517, Lives!$A$2:$C$35, 2, 0))) * 12) + (IF(ISBLANK(Q1517), 0, IF(ISNA(VLOOKUP(Q1517, Wages!$A$2:$C$17, 2, 0)), Q1517, VLOOKUP(Q1517, Wages!$A$2:$C$17, 2, 0))) * IF(ISBLANK(N1517), 0, IF(ISNA(VLOOKUP(N1517, Crews!$A$2:$C$28, 2, 0)), N1517, VLOOKUP(N1517, Crews!$A$2:$C$28, 2, 0))))) * 400</f>
        <v>1072.857143</v>
      </c>
      <c r="K1517" s="1"/>
      <c r="L1517" s="1" t="s">
        <v>2995</v>
      </c>
      <c r="M1517" s="1" t="n">
        <v>2</v>
      </c>
      <c r="N1517" s="1"/>
      <c r="O1517" s="1"/>
      <c r="P1517" s="1"/>
      <c r="Q1517" s="1"/>
      <c r="R1517" s="1" t="s">
        <v>689</v>
      </c>
      <c r="S1517" s="1" t="s">
        <v>856</v>
      </c>
      <c r="T1517" s="1"/>
    </row>
    <row r="1518" customFormat="false" ht="15" hidden="false" customHeight="true" outlineLevel="0" collapsed="false">
      <c r="A1518" s="1" t="s">
        <v>2998</v>
      </c>
      <c r="B1518" s="1" t="n">
        <v>1930</v>
      </c>
      <c r="C1518" s="1" t="n">
        <v>6</v>
      </c>
      <c r="D1518" s="1" t="s">
        <v>38</v>
      </c>
      <c r="E1518" s="1" t="s">
        <v>1346</v>
      </c>
      <c r="F1518" s="1" t="n">
        <v>410</v>
      </c>
      <c r="G1518" s="1" t="n">
        <v>120</v>
      </c>
      <c r="H1518" s="2" t="n">
        <v>1421000</v>
      </c>
      <c r="I1518" s="2" t="n">
        <f aca="false">(((H1518 / 800) / IF(ISBLANK(R1518), 1000000, IF(ISNA(VLOOKUP(R1518, Mileages!$A$2:$C$34, 2, 0)), R1518, VLOOKUP(R1518, Mileages!$A$2:$C$34, 2, 0)))) + (F1518 * IF(ISBLANK(P1518), 1, P1518) * IF(ISBLANK(T1518), 0, IF(ISNA(VLOOKUP(T1518, 'Fuel Costs'!$A$2:$C$42, 2, 0)), T1518, VLOOKUP(T1518, 'Fuel Costs'!$A$2:$C$42, 2, 0))) / IF(ISBLANK(O1518), 1, O1518))) * 100</f>
        <v>164.177625</v>
      </c>
      <c r="J1518" s="2" t="n">
        <f aca="false">((H1518 / 800) / (IF(ISBLANK(S1518), 100, IF(ISNA(VLOOKUP(S1518, Lives!$A$2:$C$35, 2, 0)), S1518, VLOOKUP(S1518, Lives!$A$2:$C$35, 2, 0))) * 12) + (IF(ISBLANK(Q1518), 0, IF(ISNA(VLOOKUP(Q1518, Wages!$A$2:$C$17, 2, 0)), Q1518, VLOOKUP(Q1518, Wages!$A$2:$C$17, 2, 0))) * IF(ISBLANK(N1518), 0, IF(ISNA(VLOOKUP(N1518, Crews!$A$2:$C$28, 2, 0)), N1518, VLOOKUP(N1518, Crews!$A$2:$C$28, 2, 0))))) * 400</f>
        <v>7184.166667</v>
      </c>
      <c r="K1518" s="1"/>
      <c r="L1518" s="1" t="s">
        <v>2995</v>
      </c>
      <c r="M1518" s="1" t="n">
        <v>3</v>
      </c>
      <c r="N1518" s="1" t="s">
        <v>1512</v>
      </c>
      <c r="O1518" s="1" t="n">
        <v>1</v>
      </c>
      <c r="P1518" s="1"/>
      <c r="Q1518" s="1" t="str">
        <f aca="false">IF(ISBLANK('Pak128 Britain In'!$N1518),,'Pak128 Britain In'!$N1518)</f>
        <v>ElectricMultipleUnit</v>
      </c>
      <c r="R1518" s="1" t="s">
        <v>1349</v>
      </c>
      <c r="S1518" s="1" t="s">
        <v>1350</v>
      </c>
      <c r="T1518" s="1" t="s">
        <v>2580</v>
      </c>
    </row>
    <row r="1519" customFormat="false" ht="15" hidden="false" customHeight="true" outlineLevel="0" collapsed="false">
      <c r="A1519" s="1" t="s">
        <v>2999</v>
      </c>
      <c r="B1519" s="1" t="n">
        <v>1930</v>
      </c>
      <c r="C1519" s="1" t="n">
        <v>8</v>
      </c>
      <c r="D1519" s="1" t="s">
        <v>38</v>
      </c>
      <c r="E1519" s="1" t="s">
        <v>274</v>
      </c>
      <c r="F1519" s="1" t="n">
        <v>403</v>
      </c>
      <c r="G1519" s="1" t="n">
        <v>153</v>
      </c>
      <c r="H1519" s="2" t="n">
        <v>8064000</v>
      </c>
      <c r="I1519" s="2" t="n">
        <f aca="false">(((H1519 / 800) / IF(ISBLANK(R1519), 1000000, IF(ISNA(VLOOKUP(R1519, Mileages!$A$2:$C$34, 2, 0)), R1519, VLOOKUP(R1519, Mileages!$A$2:$C$34, 2, 0)))) + (F1519 * IF(ISBLANK(P1519), 1, P1519) * IF(ISBLANK(T1519), 0, IF(ISNA(VLOOKUP(T1519, 'Fuel Costs'!$A$2:$C$42, 2, 0)), T1519, VLOOKUP(T1519, 'Fuel Costs'!$A$2:$C$42, 2, 0))) / IF(ISBLANK(O1519), 1, O1519))) * 100</f>
        <v>231.2937143</v>
      </c>
      <c r="J1519" s="2" t="n">
        <f aca="false">((H1519 / 800) / (IF(ISBLANK(S1519), 100, IF(ISNA(VLOOKUP(S1519, Lives!$A$2:$C$35, 2, 0)), S1519, VLOOKUP(S1519, Lives!$A$2:$C$35, 2, 0))) * 12) + (IF(ISBLANK(Q1519), 0, IF(ISNA(VLOOKUP(Q1519, Wages!$A$2:$C$17, 2, 0)), Q1519, VLOOKUP(Q1519, Wages!$A$2:$C$17, 2, 0))) * IF(ISBLANK(N1519), 0, IF(ISNA(VLOOKUP(N1519, Crews!$A$2:$C$28, 2, 0)), N1519, VLOOKUP(N1519, Crews!$A$2:$C$28, 2, 0))))) * 400</f>
        <v>30720</v>
      </c>
      <c r="K1519" s="3" t="s">
        <v>3000</v>
      </c>
      <c r="L1519" s="1" t="s">
        <v>3001</v>
      </c>
      <c r="M1519" s="1" t="n">
        <v>0</v>
      </c>
      <c r="N1519" s="1" t="s">
        <v>590</v>
      </c>
      <c r="O1519" s="1" t="n">
        <v>0.7</v>
      </c>
      <c r="P1519" s="1"/>
      <c r="Q1519" s="5" t="s">
        <v>284</v>
      </c>
      <c r="R1519" s="1" t="s">
        <v>677</v>
      </c>
      <c r="S1519" s="1" t="s">
        <v>677</v>
      </c>
      <c r="T1519" s="1" t="s">
        <v>2252</v>
      </c>
    </row>
    <row r="1520" customFormat="false" ht="15" hidden="false" customHeight="true" outlineLevel="0" collapsed="false">
      <c r="A1520" s="1" t="s">
        <v>3002</v>
      </c>
      <c r="B1520" s="1" t="n">
        <v>1930</v>
      </c>
      <c r="C1520" s="1" t="n">
        <v>8</v>
      </c>
      <c r="D1520" s="1" t="s">
        <v>38</v>
      </c>
      <c r="E1520" s="1"/>
      <c r="F1520" s="1" t="n">
        <v>0</v>
      </c>
      <c r="G1520" s="1" t="n">
        <v>153</v>
      </c>
      <c r="H1520" s="2" t="n">
        <v>0</v>
      </c>
      <c r="I1520" s="2" t="n">
        <f aca="false">(((H1520 / 800) / IF(ISBLANK(R1520), 1000000, IF(ISNA(VLOOKUP(R1520, Mileages!$A$2:$C$34, 2, 0)), R1520, VLOOKUP(R1520, Mileages!$A$2:$C$34, 2, 0)))) + (F1520 * IF(ISBLANK(P1520), 1, P1520) * IF(ISBLANK(T1520), 0, IF(ISNA(VLOOKUP(T1520, 'Fuel Costs'!$A$2:$C$42, 2, 0)), T1520, VLOOKUP(T1520, 'Fuel Costs'!$A$2:$C$42, 2, 0))) / IF(ISBLANK(O1520), 1, O1520))) * 100</f>
        <v>0</v>
      </c>
      <c r="J1520" s="2" t="n">
        <f aca="false">((H1520 / 800) / (IF(ISBLANK(S1520), 100, IF(ISNA(VLOOKUP(S1520, Lives!$A$2:$C$35, 2, 0)), S1520, VLOOKUP(S1520, Lives!$A$2:$C$35, 2, 0))) * 12) + (IF(ISBLANK(Q1520), 0, IF(ISNA(VLOOKUP(Q1520, Wages!$A$2:$C$17, 2, 0)), Q1520, VLOOKUP(Q1520, Wages!$A$2:$C$17, 2, 0))) * IF(ISBLANK(N1520), 0, IF(ISNA(VLOOKUP(N1520, Crews!$A$2:$C$28, 2, 0)), N1520, VLOOKUP(N1520, Crews!$A$2:$C$28, 2, 0))))) * 400</f>
        <v>0</v>
      </c>
      <c r="K1520" s="1"/>
      <c r="L1520" s="1" t="s">
        <v>3003</v>
      </c>
      <c r="M1520" s="1" t="n">
        <v>0</v>
      </c>
      <c r="N1520" s="1"/>
      <c r="O1520" s="1"/>
      <c r="P1520" s="1"/>
      <c r="Q1520" s="1"/>
      <c r="R1520" s="1"/>
      <c r="S1520" s="1"/>
      <c r="T1520" s="1"/>
    </row>
    <row r="1521" customFormat="false" ht="15" hidden="false" customHeight="true" outlineLevel="0" collapsed="false">
      <c r="A1521" s="1" t="s">
        <v>3004</v>
      </c>
      <c r="B1521" s="1" t="n">
        <v>1930</v>
      </c>
      <c r="C1521" s="1" t="n">
        <v>9</v>
      </c>
      <c r="D1521" s="1" t="s">
        <v>876</v>
      </c>
      <c r="E1521" s="1" t="s">
        <v>1346</v>
      </c>
      <c r="F1521" s="1" t="n">
        <v>89</v>
      </c>
      <c r="G1521" s="1" t="n">
        <v>50</v>
      </c>
      <c r="H1521" s="2" t="n">
        <v>467000</v>
      </c>
      <c r="I1521" s="2" t="n">
        <f aca="false">(((H1521 / 800) / IF(ISBLANK(R1521), 1000000, IF(ISNA(VLOOKUP(R1521, Mileages!$A$2:$C$34, 2, 0)), R1521, VLOOKUP(R1521, Mileages!$A$2:$C$34, 2, 0)))) + (F1521 * IF(ISBLANK(P1521), 1, P1521) * IF(ISBLANK(T1521), 0, IF(ISNA(VLOOKUP(T1521, 'Fuel Costs'!$A$2:$C$42, 2, 0)), T1521, VLOOKUP(T1521, 'Fuel Costs'!$A$2:$C$42, 2, 0))) / IF(ISBLANK(O1521), 1, O1521))) * 100</f>
        <v>35.658375</v>
      </c>
      <c r="J1521" s="2" t="n">
        <f aca="false">((H1521 / 800) / (IF(ISBLANK(S1521), 100, IF(ISNA(VLOOKUP(S1521, Lives!$A$2:$C$35, 2, 0)), S1521, VLOOKUP(S1521, Lives!$A$2:$C$35, 2, 0))) * 12) + (IF(ISBLANK(Q1521), 0, IF(ISNA(VLOOKUP(Q1521, Wages!$A$2:$C$17, 2, 0)), Q1521, VLOOKUP(Q1521, Wages!$A$2:$C$17, 2, 0))) * IF(ISBLANK(N1521), 0, IF(ISNA(VLOOKUP(N1521, Crews!$A$2:$C$28, 2, 0)), N1521, VLOOKUP(N1521, Crews!$A$2:$C$28, 2, 0))))) * 400</f>
        <v>6389.166667</v>
      </c>
      <c r="K1521" s="3" t="s">
        <v>3005</v>
      </c>
      <c r="L1521" s="1" t="s">
        <v>3006</v>
      </c>
      <c r="M1521" s="1" t="n">
        <v>0</v>
      </c>
      <c r="N1521" s="1" t="s">
        <v>895</v>
      </c>
      <c r="O1521" s="1"/>
      <c r="P1521" s="1"/>
      <c r="Q1521" s="1" t="s">
        <v>895</v>
      </c>
      <c r="R1521" s="1" t="s">
        <v>1349</v>
      </c>
      <c r="S1521" s="1" t="s">
        <v>1350</v>
      </c>
      <c r="T1521" s="1" t="s">
        <v>2580</v>
      </c>
    </row>
    <row r="1522" customFormat="false" ht="15" hidden="false" customHeight="true" outlineLevel="0" collapsed="false">
      <c r="A1522" s="1" t="s">
        <v>3007</v>
      </c>
      <c r="B1522" s="1" t="n">
        <v>1930</v>
      </c>
      <c r="C1522" s="1" t="n">
        <v>11</v>
      </c>
      <c r="D1522" s="1" t="s">
        <v>38</v>
      </c>
      <c r="E1522" s="1" t="s">
        <v>274</v>
      </c>
      <c r="F1522" s="1" t="n">
        <v>450</v>
      </c>
      <c r="G1522" s="1" t="n">
        <v>150</v>
      </c>
      <c r="H1522" s="2" t="n">
        <v>6624000</v>
      </c>
      <c r="I1522" s="2" t="n">
        <f aca="false">(((H1522 / 800) / IF(ISBLANK(R1522), 1000000, IF(ISNA(VLOOKUP(R1522, Mileages!$A$2:$C$34, 2, 0)), R1522, VLOOKUP(R1522, Mileages!$A$2:$C$34, 2, 0)))) + (F1522 * IF(ISBLANK(P1522), 1, P1522) * IF(ISBLANK(T1522), 0, IF(ISNA(VLOOKUP(T1522, 'Fuel Costs'!$A$2:$C$42, 2, 0)), T1522, VLOOKUP(T1522, 'Fuel Costs'!$A$2:$C$42, 2, 0))) / IF(ISBLANK(O1522), 1, O1522))) * 100</f>
        <v>257.9708571</v>
      </c>
      <c r="J1522" s="2" t="n">
        <f aca="false">((H1522 / 800) / (IF(ISBLANK(S1522), 100, IF(ISNA(VLOOKUP(S1522, Lives!$A$2:$C$35, 2, 0)), S1522, VLOOKUP(S1522, Lives!$A$2:$C$35, 2, 0))) * 12) + (IF(ISBLANK(Q1522), 0, IF(ISNA(VLOOKUP(Q1522, Wages!$A$2:$C$17, 2, 0)), Q1522, VLOOKUP(Q1522, Wages!$A$2:$C$17, 2, 0))) * IF(ISBLANK(N1522), 0, IF(ISNA(VLOOKUP(N1522, Crews!$A$2:$C$28, 2, 0)), N1522, VLOOKUP(N1522, Crews!$A$2:$C$28, 2, 0))))) * 400</f>
        <v>45520</v>
      </c>
      <c r="K1522" s="3" t="s">
        <v>3008</v>
      </c>
      <c r="L1522" s="1" t="s">
        <v>3009</v>
      </c>
      <c r="M1522" s="1" t="n">
        <v>0</v>
      </c>
      <c r="N1522" s="1" t="s">
        <v>1705</v>
      </c>
      <c r="O1522" s="1" t="n">
        <v>0.7</v>
      </c>
      <c r="P1522" s="1"/>
      <c r="Q1522" s="5" t="s">
        <v>284</v>
      </c>
      <c r="R1522" s="1" t="s">
        <v>677</v>
      </c>
      <c r="S1522" s="1" t="s">
        <v>677</v>
      </c>
      <c r="T1522" s="1" t="s">
        <v>2252</v>
      </c>
    </row>
    <row r="1523" customFormat="false" ht="15" hidden="false" customHeight="true" outlineLevel="0" collapsed="false">
      <c r="A1523" s="1" t="s">
        <v>3010</v>
      </c>
      <c r="B1523" s="1" t="n">
        <v>1930</v>
      </c>
      <c r="C1523" s="1" t="n">
        <v>11</v>
      </c>
      <c r="D1523" s="1" t="s">
        <v>38</v>
      </c>
      <c r="E1523" s="1"/>
      <c r="F1523" s="1" t="n">
        <v>0</v>
      </c>
      <c r="G1523" s="1" t="n">
        <v>150</v>
      </c>
      <c r="H1523" s="2" t="n">
        <v>0</v>
      </c>
      <c r="I1523" s="2" t="n">
        <f aca="false">(((H1523 / 800) / IF(ISBLANK(R1523), 1000000, IF(ISNA(VLOOKUP(R1523, Mileages!$A$2:$C$34, 2, 0)), R1523, VLOOKUP(R1523, Mileages!$A$2:$C$34, 2, 0)))) + (F1523 * IF(ISBLANK(P1523), 1, P1523) * IF(ISBLANK(T1523), 0, IF(ISNA(VLOOKUP(T1523, 'Fuel Costs'!$A$2:$C$42, 2, 0)), T1523, VLOOKUP(T1523, 'Fuel Costs'!$A$2:$C$42, 2, 0))) / IF(ISBLANK(O1523), 1, O1523))) * 100</f>
        <v>0</v>
      </c>
      <c r="J1523" s="2" t="n">
        <f aca="false">((H1523 / 800) / (IF(ISBLANK(S1523), 100, IF(ISNA(VLOOKUP(S1523, Lives!$A$2:$C$35, 2, 0)), S1523, VLOOKUP(S1523, Lives!$A$2:$C$35, 2, 0))) * 12) + (IF(ISBLANK(Q1523), 0, IF(ISNA(VLOOKUP(Q1523, Wages!$A$2:$C$17, 2, 0)), Q1523, VLOOKUP(Q1523, Wages!$A$2:$C$17, 2, 0))) * IF(ISBLANK(N1523), 0, IF(ISNA(VLOOKUP(N1523, Crews!$A$2:$C$28, 2, 0)), N1523, VLOOKUP(N1523, Crews!$A$2:$C$28, 2, 0))))) * 400</f>
        <v>0</v>
      </c>
      <c r="K1523" s="1"/>
      <c r="L1523" s="1" t="s">
        <v>3011</v>
      </c>
      <c r="M1523" s="1" t="n">
        <v>0</v>
      </c>
      <c r="N1523" s="1"/>
      <c r="O1523" s="1"/>
      <c r="P1523" s="1"/>
      <c r="Q1523" s="1"/>
      <c r="R1523" s="1"/>
      <c r="S1523" s="1"/>
      <c r="T1523" s="1"/>
    </row>
    <row r="1524" customFormat="false" ht="15" hidden="false" customHeight="true" outlineLevel="0" collapsed="false">
      <c r="A1524" s="1" t="s">
        <v>3012</v>
      </c>
      <c r="B1524" s="1" t="n">
        <v>1930</v>
      </c>
      <c r="C1524" s="1" t="n">
        <v>12</v>
      </c>
      <c r="D1524" s="1" t="s">
        <v>876</v>
      </c>
      <c r="E1524" s="1" t="s">
        <v>1346</v>
      </c>
      <c r="F1524" s="1" t="n">
        <v>104</v>
      </c>
      <c r="G1524" s="1" t="n">
        <v>50</v>
      </c>
      <c r="H1524" s="2" t="n">
        <v>495000</v>
      </c>
      <c r="I1524" s="2" t="n">
        <f aca="false">(((H1524 / 800) / IF(ISBLANK(R1524), 1000000, IF(ISNA(VLOOKUP(R1524, Mileages!$A$2:$C$34, 2, 0)), R1524, VLOOKUP(R1524, Mileages!$A$2:$C$34, 2, 0)))) + (F1524 * IF(ISBLANK(P1524), 1, P1524) * IF(ISBLANK(T1524), 0, IF(ISNA(VLOOKUP(T1524, 'Fuel Costs'!$A$2:$C$42, 2, 0)), T1524, VLOOKUP(T1524, 'Fuel Costs'!$A$2:$C$42, 2, 0))) / IF(ISBLANK(O1524), 1, O1524))) * 100</f>
        <v>41.661875</v>
      </c>
      <c r="J1524" s="2" t="n">
        <f aca="false">((H1524 / 800) / (IF(ISBLANK(S1524), 100, IF(ISNA(VLOOKUP(S1524, Lives!$A$2:$C$35, 2, 0)), S1524, VLOOKUP(S1524, Lives!$A$2:$C$35, 2, 0))) * 12) + (IF(ISBLANK(Q1524), 0, IF(ISNA(VLOOKUP(Q1524, Wages!$A$2:$C$17, 2, 0)), Q1524, VLOOKUP(Q1524, Wages!$A$2:$C$17, 2, 0))) * IF(ISBLANK(N1524), 0, IF(ISNA(VLOOKUP(N1524, Crews!$A$2:$C$28, 2, 0)), N1524, VLOOKUP(N1524, Crews!$A$2:$C$28, 2, 0))))) * 400</f>
        <v>6412.5</v>
      </c>
      <c r="K1524" s="3" t="s">
        <v>3013</v>
      </c>
      <c r="L1524" s="1" t="s">
        <v>3014</v>
      </c>
      <c r="M1524" s="1" t="n">
        <v>0</v>
      </c>
      <c r="N1524" s="1" t="s">
        <v>895</v>
      </c>
      <c r="O1524" s="1"/>
      <c r="P1524" s="1"/>
      <c r="Q1524" s="1" t="s">
        <v>895</v>
      </c>
      <c r="R1524" s="1" t="s">
        <v>1349</v>
      </c>
      <c r="S1524" s="1" t="s">
        <v>1350</v>
      </c>
      <c r="T1524" s="1" t="s">
        <v>2580</v>
      </c>
    </row>
    <row r="1525" customFormat="false" ht="15" hidden="false" customHeight="true" outlineLevel="0" collapsed="false">
      <c r="A1525" s="1" t="s">
        <v>3015</v>
      </c>
      <c r="B1525" s="1" t="n">
        <v>1930</v>
      </c>
      <c r="C1525" s="1" t="n">
        <v>12</v>
      </c>
      <c r="D1525" s="1" t="s">
        <v>21</v>
      </c>
      <c r="E1525" s="1" t="s">
        <v>1839</v>
      </c>
      <c r="F1525" s="1" t="n">
        <v>34</v>
      </c>
      <c r="G1525" s="1" t="n">
        <v>50</v>
      </c>
      <c r="H1525" s="2" t="n">
        <v>723000</v>
      </c>
      <c r="I1525" s="2" t="n">
        <f aca="false">(((H1525 / 800) / IF(ISBLANK(R1525), 1000000, IF(ISNA(VLOOKUP(R1525, Mileages!$A$2:$C$34, 2, 0)), R1525, VLOOKUP(R1525, Mileages!$A$2:$C$34, 2, 0)))) + (F1525 * IF(ISBLANK(P1525), 1, P1525) * IF(ISBLANK(T1525), 0, IF(ISNA(VLOOKUP(T1525, 'Fuel Costs'!$A$2:$C$42, 2, 0)), T1525, VLOOKUP(T1525, 'Fuel Costs'!$A$2:$C$42, 2, 0))) / IF(ISBLANK(O1525), 1, O1525))) * 100</f>
        <v>34.18075</v>
      </c>
      <c r="J1525" s="2" t="n">
        <f aca="false">((H1525 / 800) / (IF(ISBLANK(S1525), 100, IF(ISNA(VLOOKUP(S1525, Lives!$A$2:$C$35, 2, 0)), S1525, VLOOKUP(S1525, Lives!$A$2:$C$35, 2, 0))) * 12) + (IF(ISBLANK(Q1525), 0, IF(ISNA(VLOOKUP(Q1525, Wages!$A$2:$C$17, 2, 0)), Q1525, VLOOKUP(Q1525, Wages!$A$2:$C$17, 2, 0))) * IF(ISBLANK(N1525), 0, IF(ISNA(VLOOKUP(N1525, Crews!$A$2:$C$28, 2, 0)), N1525, VLOOKUP(N1525, Crews!$A$2:$C$28, 2, 0))))) * 400</f>
        <v>8376.5625</v>
      </c>
      <c r="K1525" s="3" t="s">
        <v>3016</v>
      </c>
      <c r="L1525" s="1" t="s">
        <v>3017</v>
      </c>
      <c r="M1525" s="1" t="n">
        <v>0</v>
      </c>
      <c r="N1525" s="1" t="s">
        <v>25</v>
      </c>
      <c r="O1525" s="1" t="n">
        <v>0.6</v>
      </c>
      <c r="P1525" s="1"/>
      <c r="Q1525" s="1" t="s">
        <v>1815</v>
      </c>
      <c r="R1525" s="1" t="s">
        <v>1842</v>
      </c>
      <c r="S1525" s="1" t="s">
        <v>1843</v>
      </c>
      <c r="T1525" s="1" t="s">
        <v>2534</v>
      </c>
    </row>
    <row r="1526" customFormat="false" ht="15" hidden="false" customHeight="true" outlineLevel="0" collapsed="false">
      <c r="A1526" s="1" t="s">
        <v>3018</v>
      </c>
      <c r="B1526" s="1" t="n">
        <v>1931</v>
      </c>
      <c r="C1526" s="1" t="n">
        <v>1</v>
      </c>
      <c r="D1526" s="1" t="s">
        <v>21</v>
      </c>
      <c r="E1526" s="1" t="s">
        <v>274</v>
      </c>
      <c r="F1526" s="1" t="n">
        <v>72</v>
      </c>
      <c r="G1526" s="1" t="n">
        <v>50</v>
      </c>
      <c r="H1526" s="2" t="n">
        <v>160000</v>
      </c>
      <c r="I1526" s="2" t="n">
        <f aca="false">(((H1526 / 800) / IF(ISBLANK(R1526), 1000000, IF(ISNA(VLOOKUP(R1526, Mileages!$A$2:$C$34, 2, 0)), R1526, VLOOKUP(R1526, Mileages!$A$2:$C$34, 2, 0)))) + (F1526 * IF(ISBLANK(P1526), 1, P1526) * IF(ISBLANK(T1526), 0, IF(ISNA(VLOOKUP(T1526, 'Fuel Costs'!$A$2:$C$42, 2, 0)), T1526, VLOOKUP(T1526, 'Fuel Costs'!$A$2:$C$42, 2, 0))) / IF(ISBLANK(O1526), 1, O1526))) * 100</f>
        <v>48.04</v>
      </c>
      <c r="J1526" s="2" t="n">
        <f aca="false">((H1526 / 800) / (IF(ISBLANK(S1526), 100, IF(ISNA(VLOOKUP(S1526, Lives!$A$2:$C$35, 2, 0)), S1526, VLOOKUP(S1526, Lives!$A$2:$C$35, 2, 0))) * 12) + (IF(ISBLANK(Q1526), 0, IF(ISNA(VLOOKUP(Q1526, Wages!$A$2:$C$17, 2, 0)), Q1526, VLOOKUP(Q1526, Wages!$A$2:$C$17, 2, 0))) * IF(ISBLANK(N1526), 0, IF(ISNA(VLOOKUP(N1526, Crews!$A$2:$C$28, 2, 0)), N1526, VLOOKUP(N1526, Crews!$A$2:$C$28, 2, 0))))) * 400</f>
        <v>8083.333333</v>
      </c>
      <c r="K1526" s="3" t="s">
        <v>3019</v>
      </c>
      <c r="L1526" s="1" t="s">
        <v>3020</v>
      </c>
      <c r="M1526" s="1" t="n">
        <v>0</v>
      </c>
      <c r="N1526" s="1" t="s">
        <v>25</v>
      </c>
      <c r="O1526" s="1" t="n">
        <v>0.6</v>
      </c>
      <c r="P1526" s="1"/>
      <c r="Q1526" s="1" t="s">
        <v>1815</v>
      </c>
      <c r="R1526" s="1" t="s">
        <v>837</v>
      </c>
      <c r="S1526" s="1" t="s">
        <v>837</v>
      </c>
      <c r="T1526" s="1" t="s">
        <v>2252</v>
      </c>
    </row>
    <row r="1527" customFormat="false" ht="15" hidden="false" customHeight="true" outlineLevel="0" collapsed="false">
      <c r="A1527" s="1" t="s">
        <v>3021</v>
      </c>
      <c r="B1527" s="1" t="n">
        <v>1931</v>
      </c>
      <c r="C1527" s="1" t="n">
        <v>1</v>
      </c>
      <c r="D1527" s="1" t="s">
        <v>21</v>
      </c>
      <c r="E1527" s="1" t="s">
        <v>274</v>
      </c>
      <c r="F1527" s="1" t="n">
        <v>72</v>
      </c>
      <c r="G1527" s="1" t="n">
        <v>50</v>
      </c>
      <c r="H1527" s="2" t="n">
        <v>160000</v>
      </c>
      <c r="I1527" s="2" t="n">
        <f aca="false">(((H1527 / 800) / IF(ISBLANK(R1527), 1000000, IF(ISNA(VLOOKUP(R1527, Mileages!$A$2:$C$34, 2, 0)), R1527, VLOOKUP(R1527, Mileages!$A$2:$C$34, 2, 0)))) + (F1527 * IF(ISBLANK(P1527), 1, P1527) * IF(ISBLANK(T1527), 0, IF(ISNA(VLOOKUP(T1527, 'Fuel Costs'!$A$2:$C$42, 2, 0)), T1527, VLOOKUP(T1527, 'Fuel Costs'!$A$2:$C$42, 2, 0))) / IF(ISBLANK(O1527), 1, O1527))) * 100</f>
        <v>48.04</v>
      </c>
      <c r="J1527" s="2" t="n">
        <f aca="false">((H1527 / 800) / (IF(ISBLANK(S1527), 100, IF(ISNA(VLOOKUP(S1527, Lives!$A$2:$C$35, 2, 0)), S1527, VLOOKUP(S1527, Lives!$A$2:$C$35, 2, 0))) * 12) + (IF(ISBLANK(Q1527), 0, IF(ISNA(VLOOKUP(Q1527, Wages!$A$2:$C$17, 2, 0)), Q1527, VLOOKUP(Q1527, Wages!$A$2:$C$17, 2, 0))) * IF(ISBLANK(N1527), 0, IF(ISNA(VLOOKUP(N1527, Crews!$A$2:$C$28, 2, 0)), N1527, VLOOKUP(N1527, Crews!$A$2:$C$28, 2, 0))))) * 400</f>
        <v>8083.333333</v>
      </c>
      <c r="K1527" s="1"/>
      <c r="L1527" s="1" t="s">
        <v>3020</v>
      </c>
      <c r="M1527" s="1" t="n">
        <v>1</v>
      </c>
      <c r="N1527" s="1" t="s">
        <v>25</v>
      </c>
      <c r="O1527" s="1" t="n">
        <v>0.6</v>
      </c>
      <c r="P1527" s="1"/>
      <c r="Q1527" s="1" t="s">
        <v>1815</v>
      </c>
      <c r="R1527" s="1" t="s">
        <v>837</v>
      </c>
      <c r="S1527" s="1" t="s">
        <v>837</v>
      </c>
      <c r="T1527" s="1" t="s">
        <v>2252</v>
      </c>
    </row>
    <row r="1528" customFormat="false" ht="15" hidden="false" customHeight="true" outlineLevel="0" collapsed="false">
      <c r="A1528" s="1" t="s">
        <v>3022</v>
      </c>
      <c r="B1528" s="1" t="n">
        <v>1931</v>
      </c>
      <c r="C1528" s="1" t="n">
        <v>1</v>
      </c>
      <c r="D1528" s="1" t="s">
        <v>21</v>
      </c>
      <c r="E1528" s="1" t="s">
        <v>274</v>
      </c>
      <c r="F1528" s="1" t="n">
        <v>72</v>
      </c>
      <c r="G1528" s="1" t="n">
        <v>50</v>
      </c>
      <c r="H1528" s="2" t="n">
        <v>160000</v>
      </c>
      <c r="I1528" s="2" t="n">
        <f aca="false">(((H1528 / 800) / IF(ISBLANK(R1528), 1000000, IF(ISNA(VLOOKUP(R1528, Mileages!$A$2:$C$34, 2, 0)), R1528, VLOOKUP(R1528, Mileages!$A$2:$C$34, 2, 0)))) + (F1528 * IF(ISBLANK(P1528), 1, P1528) * IF(ISBLANK(T1528), 0, IF(ISNA(VLOOKUP(T1528, 'Fuel Costs'!$A$2:$C$42, 2, 0)), T1528, VLOOKUP(T1528, 'Fuel Costs'!$A$2:$C$42, 2, 0))) / IF(ISBLANK(O1528), 1, O1528))) * 100</f>
        <v>48.04</v>
      </c>
      <c r="J1528" s="2" t="n">
        <f aca="false">((H1528 / 800) / (IF(ISBLANK(S1528), 100, IF(ISNA(VLOOKUP(S1528, Lives!$A$2:$C$35, 2, 0)), S1528, VLOOKUP(S1528, Lives!$A$2:$C$35, 2, 0))) * 12) + (IF(ISBLANK(Q1528), 0, IF(ISNA(VLOOKUP(Q1528, Wages!$A$2:$C$17, 2, 0)), Q1528, VLOOKUP(Q1528, Wages!$A$2:$C$17, 2, 0))) * IF(ISBLANK(N1528), 0, IF(ISNA(VLOOKUP(N1528, Crews!$A$2:$C$28, 2, 0)), N1528, VLOOKUP(N1528, Crews!$A$2:$C$28, 2, 0))))) * 400</f>
        <v>8083.333333</v>
      </c>
      <c r="K1528" s="1"/>
      <c r="L1528" s="1" t="s">
        <v>3020</v>
      </c>
      <c r="M1528" s="1" t="n">
        <v>2</v>
      </c>
      <c r="N1528" s="1" t="s">
        <v>25</v>
      </c>
      <c r="O1528" s="1" t="n">
        <v>0.6</v>
      </c>
      <c r="P1528" s="1"/>
      <c r="Q1528" s="1" t="s">
        <v>1815</v>
      </c>
      <c r="R1528" s="1" t="s">
        <v>837</v>
      </c>
      <c r="S1528" s="1" t="s">
        <v>837</v>
      </c>
      <c r="T1528" s="1" t="s">
        <v>2252</v>
      </c>
    </row>
    <row r="1529" customFormat="false" ht="15" hidden="false" customHeight="true" outlineLevel="0" collapsed="false">
      <c r="A1529" s="1" t="s">
        <v>3023</v>
      </c>
      <c r="B1529" s="1" t="n">
        <v>1931</v>
      </c>
      <c r="C1529" s="1" t="n">
        <v>1</v>
      </c>
      <c r="D1529" s="1" t="s">
        <v>21</v>
      </c>
      <c r="E1529" s="1" t="s">
        <v>274</v>
      </c>
      <c r="F1529" s="1" t="n">
        <v>72</v>
      </c>
      <c r="G1529" s="1" t="n">
        <v>50</v>
      </c>
      <c r="H1529" s="2" t="n">
        <v>160000</v>
      </c>
      <c r="I1529" s="2" t="n">
        <f aca="false">(((H1529 / 800) / IF(ISBLANK(R1529), 1000000, IF(ISNA(VLOOKUP(R1529, Mileages!$A$2:$C$34, 2, 0)), R1529, VLOOKUP(R1529, Mileages!$A$2:$C$34, 2, 0)))) + (F1529 * IF(ISBLANK(P1529), 1, P1529) * IF(ISBLANK(T1529), 0, IF(ISNA(VLOOKUP(T1529, 'Fuel Costs'!$A$2:$C$42, 2, 0)), T1529, VLOOKUP(T1529, 'Fuel Costs'!$A$2:$C$42, 2, 0))) / IF(ISBLANK(O1529), 1, O1529))) * 100</f>
        <v>48.04</v>
      </c>
      <c r="J1529" s="2" t="n">
        <f aca="false">((H1529 / 800) / (IF(ISBLANK(S1529), 100, IF(ISNA(VLOOKUP(S1529, Lives!$A$2:$C$35, 2, 0)), S1529, VLOOKUP(S1529, Lives!$A$2:$C$35, 2, 0))) * 12) + (IF(ISBLANK(Q1529), 0, IF(ISNA(VLOOKUP(Q1529, Wages!$A$2:$C$17, 2, 0)), Q1529, VLOOKUP(Q1529, Wages!$A$2:$C$17, 2, 0))) * IF(ISBLANK(N1529), 0, IF(ISNA(VLOOKUP(N1529, Crews!$A$2:$C$28, 2, 0)), N1529, VLOOKUP(N1529, Crews!$A$2:$C$28, 2, 0))))) * 400</f>
        <v>8083.333333</v>
      </c>
      <c r="K1529" s="1"/>
      <c r="L1529" s="1" t="s">
        <v>3020</v>
      </c>
      <c r="M1529" s="1" t="n">
        <v>3</v>
      </c>
      <c r="N1529" s="1" t="s">
        <v>25</v>
      </c>
      <c r="O1529" s="1" t="n">
        <v>0.6</v>
      </c>
      <c r="P1529" s="1"/>
      <c r="Q1529" s="1" t="s">
        <v>1815</v>
      </c>
      <c r="R1529" s="1" t="s">
        <v>837</v>
      </c>
      <c r="S1529" s="1" t="s">
        <v>837</v>
      </c>
      <c r="T1529" s="1" t="s">
        <v>2252</v>
      </c>
    </row>
    <row r="1530" customFormat="false" ht="15" hidden="false" customHeight="true" outlineLevel="0" collapsed="false">
      <c r="A1530" s="1" t="s">
        <v>3024</v>
      </c>
      <c r="B1530" s="1" t="n">
        <v>1931</v>
      </c>
      <c r="C1530" s="1" t="n">
        <v>1</v>
      </c>
      <c r="D1530" s="1" t="s">
        <v>21</v>
      </c>
      <c r="E1530" s="1" t="s">
        <v>274</v>
      </c>
      <c r="F1530" s="1" t="n">
        <v>72</v>
      </c>
      <c r="G1530" s="1" t="n">
        <v>50</v>
      </c>
      <c r="H1530" s="2" t="n">
        <v>160000</v>
      </c>
      <c r="I1530" s="2" t="n">
        <f aca="false">(((H1530 / 800) / IF(ISBLANK(R1530), 1000000, IF(ISNA(VLOOKUP(R1530, Mileages!$A$2:$C$34, 2, 0)), R1530, VLOOKUP(R1530, Mileages!$A$2:$C$34, 2, 0)))) + (F1530 * IF(ISBLANK(P1530), 1, P1530) * IF(ISBLANK(T1530), 0, IF(ISNA(VLOOKUP(T1530, 'Fuel Costs'!$A$2:$C$42, 2, 0)), T1530, VLOOKUP(T1530, 'Fuel Costs'!$A$2:$C$42, 2, 0))) / IF(ISBLANK(O1530), 1, O1530))) * 100</f>
        <v>48.04</v>
      </c>
      <c r="J1530" s="2" t="n">
        <f aca="false">((H1530 / 800) / (IF(ISBLANK(S1530), 100, IF(ISNA(VLOOKUP(S1530, Lives!$A$2:$C$35, 2, 0)), S1530, VLOOKUP(S1530, Lives!$A$2:$C$35, 2, 0))) * 12) + (IF(ISBLANK(Q1530), 0, IF(ISNA(VLOOKUP(Q1530, Wages!$A$2:$C$17, 2, 0)), Q1530, VLOOKUP(Q1530, Wages!$A$2:$C$17, 2, 0))) * IF(ISBLANK(N1530), 0, IF(ISNA(VLOOKUP(N1530, Crews!$A$2:$C$28, 2, 0)), N1530, VLOOKUP(N1530, Crews!$A$2:$C$28, 2, 0))))) * 400</f>
        <v>8083.333333</v>
      </c>
      <c r="K1530" s="1"/>
      <c r="L1530" s="1" t="s">
        <v>3020</v>
      </c>
      <c r="M1530" s="1" t="n">
        <v>4</v>
      </c>
      <c r="N1530" s="1" t="s">
        <v>25</v>
      </c>
      <c r="O1530" s="1" t="n">
        <v>0.6</v>
      </c>
      <c r="P1530" s="1"/>
      <c r="Q1530" s="1" t="s">
        <v>1815</v>
      </c>
      <c r="R1530" s="1" t="s">
        <v>837</v>
      </c>
      <c r="S1530" s="1" t="s">
        <v>837</v>
      </c>
      <c r="T1530" s="1" t="s">
        <v>2252</v>
      </c>
    </row>
    <row r="1531" customFormat="false" ht="15" hidden="false" customHeight="true" outlineLevel="0" collapsed="false">
      <c r="A1531" s="1" t="s">
        <v>3025</v>
      </c>
      <c r="B1531" s="1" t="n">
        <v>1931</v>
      </c>
      <c r="C1531" s="1" t="n">
        <v>1</v>
      </c>
      <c r="D1531" s="1" t="s">
        <v>21</v>
      </c>
      <c r="E1531" s="1" t="s">
        <v>274</v>
      </c>
      <c r="F1531" s="1" t="n">
        <v>72</v>
      </c>
      <c r="G1531" s="1" t="n">
        <v>50</v>
      </c>
      <c r="H1531" s="2" t="n">
        <v>160000</v>
      </c>
      <c r="I1531" s="2" t="n">
        <f aca="false">(((H1531 / 800) / IF(ISBLANK(R1531), 1000000, IF(ISNA(VLOOKUP(R1531, Mileages!$A$2:$C$34, 2, 0)), R1531, VLOOKUP(R1531, Mileages!$A$2:$C$34, 2, 0)))) + (F1531 * IF(ISBLANK(P1531), 1, P1531) * IF(ISBLANK(T1531), 0, IF(ISNA(VLOOKUP(T1531, 'Fuel Costs'!$A$2:$C$42, 2, 0)), T1531, VLOOKUP(T1531, 'Fuel Costs'!$A$2:$C$42, 2, 0))) / IF(ISBLANK(O1531), 1, O1531))) * 100</f>
        <v>48.04</v>
      </c>
      <c r="J1531" s="2" t="n">
        <f aca="false">((H1531 / 800) / (IF(ISBLANK(S1531), 100, IF(ISNA(VLOOKUP(S1531, Lives!$A$2:$C$35, 2, 0)), S1531, VLOOKUP(S1531, Lives!$A$2:$C$35, 2, 0))) * 12) + (IF(ISBLANK(Q1531), 0, IF(ISNA(VLOOKUP(Q1531, Wages!$A$2:$C$17, 2, 0)), Q1531, VLOOKUP(Q1531, Wages!$A$2:$C$17, 2, 0))) * IF(ISBLANK(N1531), 0, IF(ISNA(VLOOKUP(N1531, Crews!$A$2:$C$28, 2, 0)), N1531, VLOOKUP(N1531, Crews!$A$2:$C$28, 2, 0))))) * 400</f>
        <v>8083.333333</v>
      </c>
      <c r="K1531" s="1"/>
      <c r="L1531" s="1" t="s">
        <v>3020</v>
      </c>
      <c r="M1531" s="1" t="n">
        <v>5</v>
      </c>
      <c r="N1531" s="1" t="s">
        <v>25</v>
      </c>
      <c r="O1531" s="1" t="n">
        <v>0.6</v>
      </c>
      <c r="P1531" s="1"/>
      <c r="Q1531" s="1" t="s">
        <v>1815</v>
      </c>
      <c r="R1531" s="1" t="s">
        <v>837</v>
      </c>
      <c r="S1531" s="1" t="s">
        <v>837</v>
      </c>
      <c r="T1531" s="1" t="s">
        <v>2252</v>
      </c>
    </row>
    <row r="1532" customFormat="false" ht="15" hidden="false" customHeight="true" outlineLevel="0" collapsed="false">
      <c r="A1532" s="1" t="s">
        <v>3026</v>
      </c>
      <c r="B1532" s="1" t="n">
        <v>1931</v>
      </c>
      <c r="C1532" s="1" t="n">
        <v>1</v>
      </c>
      <c r="D1532" s="1" t="s">
        <v>21</v>
      </c>
      <c r="E1532" s="1" t="s">
        <v>1839</v>
      </c>
      <c r="F1532" s="1" t="n">
        <v>76</v>
      </c>
      <c r="G1532" s="1" t="n">
        <v>47</v>
      </c>
      <c r="H1532" s="2" t="n">
        <v>140000</v>
      </c>
      <c r="I1532" s="2" t="n">
        <f aca="false">(((H1532 / 800) / IF(ISBLANK(R1532), 1000000, IF(ISNA(VLOOKUP(R1532, Mileages!$A$2:$C$34, 2, 0)), R1532, VLOOKUP(R1532, Mileages!$A$2:$C$34, 2, 0)))) + (F1532 * IF(ISBLANK(P1532), 1, P1532) * IF(ISBLANK(T1532), 0, IF(ISNA(VLOOKUP(T1532, 'Fuel Costs'!$A$2:$C$42, 2, 0)), T1532, VLOOKUP(T1532, 'Fuel Costs'!$A$2:$C$42, 2, 0))) / IF(ISBLANK(O1532), 1, O1532))) * 100</f>
        <v>76.035</v>
      </c>
      <c r="J1532" s="2" t="n">
        <f aca="false">((H1532 / 800) / (IF(ISBLANK(S1532), 100, IF(ISNA(VLOOKUP(S1532, Lives!$A$2:$C$35, 2, 0)), S1532, VLOOKUP(S1532, Lives!$A$2:$C$35, 2, 0))) * 12) + (IF(ISBLANK(Q1532), 0, IF(ISNA(VLOOKUP(Q1532, Wages!$A$2:$C$17, 2, 0)), Q1532, VLOOKUP(Q1532, Wages!$A$2:$C$17, 2, 0))) * IF(ISBLANK(N1532), 0, IF(ISNA(VLOOKUP(N1532, Crews!$A$2:$C$28, 2, 0)), N1532, VLOOKUP(N1532, Crews!$A$2:$C$28, 2, 0))))) * 400</f>
        <v>8072.916667</v>
      </c>
      <c r="K1532" s="3" t="s">
        <v>3027</v>
      </c>
      <c r="L1532" s="1" t="s">
        <v>3028</v>
      </c>
      <c r="M1532" s="1" t="n">
        <v>0</v>
      </c>
      <c r="N1532" s="1" t="s">
        <v>25</v>
      </c>
      <c r="O1532" s="1" t="n">
        <v>0.6</v>
      </c>
      <c r="P1532" s="1"/>
      <c r="Q1532" s="1" t="s">
        <v>1815</v>
      </c>
      <c r="R1532" s="1" t="s">
        <v>1842</v>
      </c>
      <c r="S1532" s="1" t="s">
        <v>1843</v>
      </c>
      <c r="T1532" s="1" t="s">
        <v>2534</v>
      </c>
    </row>
    <row r="1533" customFormat="false" ht="15" hidden="false" customHeight="true" outlineLevel="0" collapsed="false">
      <c r="A1533" s="1" t="s">
        <v>3029</v>
      </c>
      <c r="B1533" s="1" t="n">
        <v>1931</v>
      </c>
      <c r="C1533" s="1" t="n">
        <v>1</v>
      </c>
      <c r="D1533" s="1" t="s">
        <v>21</v>
      </c>
      <c r="E1533" s="1" t="s">
        <v>1839</v>
      </c>
      <c r="F1533" s="1" t="n">
        <v>76</v>
      </c>
      <c r="G1533" s="1" t="n">
        <v>47</v>
      </c>
      <c r="H1533" s="2" t="n">
        <v>140000</v>
      </c>
      <c r="I1533" s="2" t="n">
        <f aca="false">(((H1533 / 800) / IF(ISBLANK(R1533), 1000000, IF(ISNA(VLOOKUP(R1533, Mileages!$A$2:$C$34, 2, 0)), R1533, VLOOKUP(R1533, Mileages!$A$2:$C$34, 2, 0)))) + (F1533 * IF(ISBLANK(P1533), 1, P1533) * IF(ISBLANK(T1533), 0, IF(ISNA(VLOOKUP(T1533, 'Fuel Costs'!$A$2:$C$42, 2, 0)), T1533, VLOOKUP(T1533, 'Fuel Costs'!$A$2:$C$42, 2, 0))) / IF(ISBLANK(O1533), 1, O1533))) * 100</f>
        <v>76.035</v>
      </c>
      <c r="J1533" s="2" t="n">
        <f aca="false">((H1533 / 800) / (IF(ISBLANK(S1533), 100, IF(ISNA(VLOOKUP(S1533, Lives!$A$2:$C$35, 2, 0)), S1533, VLOOKUP(S1533, Lives!$A$2:$C$35, 2, 0))) * 12) + (IF(ISBLANK(Q1533), 0, IF(ISNA(VLOOKUP(Q1533, Wages!$A$2:$C$17, 2, 0)), Q1533, VLOOKUP(Q1533, Wages!$A$2:$C$17, 2, 0))) * IF(ISBLANK(N1533), 0, IF(ISNA(VLOOKUP(N1533, Crews!$A$2:$C$28, 2, 0)), N1533, VLOOKUP(N1533, Crews!$A$2:$C$28, 2, 0))))) * 400</f>
        <v>8072.916667</v>
      </c>
      <c r="K1533" s="1"/>
      <c r="L1533" s="1" t="s">
        <v>3028</v>
      </c>
      <c r="M1533" s="1" t="n">
        <v>1</v>
      </c>
      <c r="N1533" s="1" t="s">
        <v>25</v>
      </c>
      <c r="O1533" s="1" t="n">
        <v>0.6</v>
      </c>
      <c r="P1533" s="1"/>
      <c r="Q1533" s="1" t="s">
        <v>1815</v>
      </c>
      <c r="R1533" s="1" t="s">
        <v>1842</v>
      </c>
      <c r="S1533" s="1" t="s">
        <v>1843</v>
      </c>
      <c r="T1533" s="1" t="s">
        <v>2534</v>
      </c>
    </row>
    <row r="1534" customFormat="false" ht="15" hidden="false" customHeight="true" outlineLevel="0" collapsed="false">
      <c r="A1534" s="1" t="s">
        <v>3030</v>
      </c>
      <c r="B1534" s="1" t="n">
        <v>1931</v>
      </c>
      <c r="C1534" s="1" t="n">
        <v>1</v>
      </c>
      <c r="D1534" s="1" t="s">
        <v>21</v>
      </c>
      <c r="E1534" s="1" t="s">
        <v>1839</v>
      </c>
      <c r="F1534" s="1" t="n">
        <v>76</v>
      </c>
      <c r="G1534" s="1" t="n">
        <v>47</v>
      </c>
      <c r="H1534" s="2" t="n">
        <v>140000</v>
      </c>
      <c r="I1534" s="2" t="n">
        <f aca="false">(((H1534 / 800) / IF(ISBLANK(R1534), 1000000, IF(ISNA(VLOOKUP(R1534, Mileages!$A$2:$C$34, 2, 0)), R1534, VLOOKUP(R1534, Mileages!$A$2:$C$34, 2, 0)))) + (F1534 * IF(ISBLANK(P1534), 1, P1534) * IF(ISBLANK(T1534), 0, IF(ISNA(VLOOKUP(T1534, 'Fuel Costs'!$A$2:$C$42, 2, 0)), T1534, VLOOKUP(T1534, 'Fuel Costs'!$A$2:$C$42, 2, 0))) / IF(ISBLANK(O1534), 1, O1534))) * 100</f>
        <v>76.035</v>
      </c>
      <c r="J1534" s="2" t="n">
        <f aca="false">((H1534 / 800) / (IF(ISBLANK(S1534), 100, IF(ISNA(VLOOKUP(S1534, Lives!$A$2:$C$35, 2, 0)), S1534, VLOOKUP(S1534, Lives!$A$2:$C$35, 2, 0))) * 12) + (IF(ISBLANK(Q1534), 0, IF(ISNA(VLOOKUP(Q1534, Wages!$A$2:$C$17, 2, 0)), Q1534, VLOOKUP(Q1534, Wages!$A$2:$C$17, 2, 0))) * IF(ISBLANK(N1534), 0, IF(ISNA(VLOOKUP(N1534, Crews!$A$2:$C$28, 2, 0)), N1534, VLOOKUP(N1534, Crews!$A$2:$C$28, 2, 0))))) * 400</f>
        <v>8072.916667</v>
      </c>
      <c r="K1534" s="1"/>
      <c r="L1534" s="1" t="s">
        <v>3028</v>
      </c>
      <c r="M1534" s="1" t="n">
        <v>2</v>
      </c>
      <c r="N1534" s="1" t="s">
        <v>25</v>
      </c>
      <c r="O1534" s="1" t="n">
        <v>0.6</v>
      </c>
      <c r="P1534" s="1"/>
      <c r="Q1534" s="1" t="s">
        <v>1815</v>
      </c>
      <c r="R1534" s="1" t="s">
        <v>1842</v>
      </c>
      <c r="S1534" s="1" t="s">
        <v>1843</v>
      </c>
      <c r="T1534" s="1" t="s">
        <v>2534</v>
      </c>
    </row>
    <row r="1535" customFormat="false" ht="15" hidden="false" customHeight="true" outlineLevel="0" collapsed="false">
      <c r="A1535" s="1" t="s">
        <v>3031</v>
      </c>
      <c r="B1535" s="1" t="n">
        <v>1931</v>
      </c>
      <c r="C1535" s="1" t="n">
        <v>1</v>
      </c>
      <c r="D1535" s="1" t="s">
        <v>21</v>
      </c>
      <c r="E1535" s="1" t="s">
        <v>1839</v>
      </c>
      <c r="F1535" s="1" t="n">
        <v>77</v>
      </c>
      <c r="G1535" s="1" t="n">
        <v>47</v>
      </c>
      <c r="H1535" s="2" t="n">
        <v>140000</v>
      </c>
      <c r="I1535" s="2" t="n">
        <f aca="false">(((H1535 / 800) / IF(ISBLANK(R1535), 1000000, IF(ISNA(VLOOKUP(R1535, Mileages!$A$2:$C$34, 2, 0)), R1535, VLOOKUP(R1535, Mileages!$A$2:$C$34, 2, 0)))) + (F1535 * IF(ISBLANK(P1535), 1, P1535) * IF(ISBLANK(T1535), 0, IF(ISNA(VLOOKUP(T1535, 'Fuel Costs'!$A$2:$C$42, 2, 0)), T1535, VLOOKUP(T1535, 'Fuel Costs'!$A$2:$C$42, 2, 0))) / IF(ISBLANK(O1535), 1, O1535))) * 100</f>
        <v>77.035</v>
      </c>
      <c r="J1535" s="2" t="n">
        <f aca="false">((H1535 / 800) / (IF(ISBLANK(S1535), 100, IF(ISNA(VLOOKUP(S1535, Lives!$A$2:$C$35, 2, 0)), S1535, VLOOKUP(S1535, Lives!$A$2:$C$35, 2, 0))) * 12) + (IF(ISBLANK(Q1535), 0, IF(ISNA(VLOOKUP(Q1535, Wages!$A$2:$C$17, 2, 0)), Q1535, VLOOKUP(Q1535, Wages!$A$2:$C$17, 2, 0))) * IF(ISBLANK(N1535), 0, IF(ISNA(VLOOKUP(N1535, Crews!$A$2:$C$28, 2, 0)), N1535, VLOOKUP(N1535, Crews!$A$2:$C$28, 2, 0))))) * 400</f>
        <v>8072.916667</v>
      </c>
      <c r="K1535" s="1"/>
      <c r="L1535" s="1" t="s">
        <v>3028</v>
      </c>
      <c r="M1535" s="1" t="n">
        <v>3</v>
      </c>
      <c r="N1535" s="1" t="s">
        <v>25</v>
      </c>
      <c r="O1535" s="1" t="n">
        <v>0.6</v>
      </c>
      <c r="P1535" s="1"/>
      <c r="Q1535" s="1" t="s">
        <v>1815</v>
      </c>
      <c r="R1535" s="1" t="s">
        <v>1842</v>
      </c>
      <c r="S1535" s="1" t="s">
        <v>1843</v>
      </c>
      <c r="T1535" s="1" t="s">
        <v>2534</v>
      </c>
    </row>
    <row r="1536" customFormat="false" ht="15" hidden="false" customHeight="true" outlineLevel="0" collapsed="false">
      <c r="A1536" s="1" t="s">
        <v>3032</v>
      </c>
      <c r="B1536" s="1" t="n">
        <v>1931</v>
      </c>
      <c r="C1536" s="1" t="n">
        <v>1</v>
      </c>
      <c r="D1536" s="1" t="s">
        <v>21</v>
      </c>
      <c r="E1536" s="1" t="s">
        <v>1839</v>
      </c>
      <c r="F1536" s="1" t="n">
        <v>76</v>
      </c>
      <c r="G1536" s="1" t="n">
        <v>39</v>
      </c>
      <c r="H1536" s="2" t="n">
        <v>140000</v>
      </c>
      <c r="I1536" s="2" t="n">
        <f aca="false">(((H1536 / 800) / IF(ISBLANK(R1536), 1000000, IF(ISNA(VLOOKUP(R1536, Mileages!$A$2:$C$34, 2, 0)), R1536, VLOOKUP(R1536, Mileages!$A$2:$C$34, 2, 0)))) + (F1536 * IF(ISBLANK(P1536), 1, P1536) * IF(ISBLANK(T1536), 0, IF(ISNA(VLOOKUP(T1536, 'Fuel Costs'!$A$2:$C$42, 2, 0)), T1536, VLOOKUP(T1536, 'Fuel Costs'!$A$2:$C$42, 2, 0))) / IF(ISBLANK(O1536), 1, O1536))) * 100</f>
        <v>76.035</v>
      </c>
      <c r="J1536" s="2" t="n">
        <f aca="false">((H1536 / 800) / (IF(ISBLANK(S1536), 100, IF(ISNA(VLOOKUP(S1536, Lives!$A$2:$C$35, 2, 0)), S1536, VLOOKUP(S1536, Lives!$A$2:$C$35, 2, 0))) * 12) + (IF(ISBLANK(Q1536), 0, IF(ISNA(VLOOKUP(Q1536, Wages!$A$2:$C$17, 2, 0)), Q1536, VLOOKUP(Q1536, Wages!$A$2:$C$17, 2, 0))) * IF(ISBLANK(N1536), 0, IF(ISNA(VLOOKUP(N1536, Crews!$A$2:$C$28, 2, 0)), N1536, VLOOKUP(N1536, Crews!$A$2:$C$28, 2, 0))))) * 400</f>
        <v>8072.916667</v>
      </c>
      <c r="K1536" s="1"/>
      <c r="L1536" s="1" t="s">
        <v>3028</v>
      </c>
      <c r="M1536" s="1" t="n">
        <v>4</v>
      </c>
      <c r="N1536" s="1" t="s">
        <v>25</v>
      </c>
      <c r="O1536" s="1" t="n">
        <v>0.6</v>
      </c>
      <c r="P1536" s="1"/>
      <c r="Q1536" s="1" t="s">
        <v>1815</v>
      </c>
      <c r="R1536" s="1" t="s">
        <v>1842</v>
      </c>
      <c r="S1536" s="1" t="s">
        <v>1843</v>
      </c>
      <c r="T1536" s="1" t="s">
        <v>2534</v>
      </c>
    </row>
    <row r="1537" customFormat="false" ht="15" hidden="false" customHeight="true" outlineLevel="0" collapsed="false">
      <c r="A1537" s="1" t="s">
        <v>3033</v>
      </c>
      <c r="B1537" s="1" t="n">
        <v>1931</v>
      </c>
      <c r="C1537" s="1" t="n">
        <v>1</v>
      </c>
      <c r="D1537" s="1" t="s">
        <v>21</v>
      </c>
      <c r="E1537" s="1" t="s">
        <v>1839</v>
      </c>
      <c r="F1537" s="1" t="n">
        <v>76</v>
      </c>
      <c r="G1537" s="1" t="n">
        <v>47</v>
      </c>
      <c r="H1537" s="2" t="n">
        <v>140000</v>
      </c>
      <c r="I1537" s="2" t="n">
        <f aca="false">(((H1537 / 800) / IF(ISBLANK(R1537), 1000000, IF(ISNA(VLOOKUP(R1537, Mileages!$A$2:$C$34, 2, 0)), R1537, VLOOKUP(R1537, Mileages!$A$2:$C$34, 2, 0)))) + (F1537 * IF(ISBLANK(P1537), 1, P1537) * IF(ISBLANK(T1537), 0, IF(ISNA(VLOOKUP(T1537, 'Fuel Costs'!$A$2:$C$42, 2, 0)), T1537, VLOOKUP(T1537, 'Fuel Costs'!$A$2:$C$42, 2, 0))) / IF(ISBLANK(O1537), 1, O1537))) * 100</f>
        <v>76.035</v>
      </c>
      <c r="J1537" s="2" t="n">
        <f aca="false">((H1537 / 800) / (IF(ISBLANK(S1537), 100, IF(ISNA(VLOOKUP(S1537, Lives!$A$2:$C$35, 2, 0)), S1537, VLOOKUP(S1537, Lives!$A$2:$C$35, 2, 0))) * 12) + (IF(ISBLANK(Q1537), 0, IF(ISNA(VLOOKUP(Q1537, Wages!$A$2:$C$17, 2, 0)), Q1537, VLOOKUP(Q1537, Wages!$A$2:$C$17, 2, 0))) * IF(ISBLANK(N1537), 0, IF(ISNA(VLOOKUP(N1537, Crews!$A$2:$C$28, 2, 0)), N1537, VLOOKUP(N1537, Crews!$A$2:$C$28, 2, 0))))) * 400</f>
        <v>8072.916667</v>
      </c>
      <c r="K1537" s="1"/>
      <c r="L1537" s="1" t="s">
        <v>3028</v>
      </c>
      <c r="M1537" s="1" t="n">
        <v>5</v>
      </c>
      <c r="N1537" s="1" t="s">
        <v>25</v>
      </c>
      <c r="O1537" s="1" t="n">
        <v>0.6</v>
      </c>
      <c r="P1537" s="1"/>
      <c r="Q1537" s="1" t="s">
        <v>1815</v>
      </c>
      <c r="R1537" s="1" t="s">
        <v>1842</v>
      </c>
      <c r="S1537" s="1" t="s">
        <v>1843</v>
      </c>
      <c r="T1537" s="1" t="s">
        <v>2534</v>
      </c>
    </row>
    <row r="1538" customFormat="false" ht="15" hidden="false" customHeight="true" outlineLevel="0" collapsed="false">
      <c r="A1538" s="1" t="s">
        <v>3034</v>
      </c>
      <c r="B1538" s="1" t="n">
        <v>1931</v>
      </c>
      <c r="C1538" s="1" t="n">
        <v>1</v>
      </c>
      <c r="D1538" s="1" t="s">
        <v>21</v>
      </c>
      <c r="E1538" s="1" t="s">
        <v>1839</v>
      </c>
      <c r="F1538" s="1" t="n">
        <v>76</v>
      </c>
      <c r="G1538" s="1" t="n">
        <v>47</v>
      </c>
      <c r="H1538" s="2" t="n">
        <v>140000</v>
      </c>
      <c r="I1538" s="2" t="n">
        <f aca="false">(((H1538 / 800) / IF(ISBLANK(R1538), 1000000, IF(ISNA(VLOOKUP(R1538, Mileages!$A$2:$C$34, 2, 0)), R1538, VLOOKUP(R1538, Mileages!$A$2:$C$34, 2, 0)))) + (F1538 * IF(ISBLANK(P1538), 1, P1538) * IF(ISBLANK(T1538), 0, IF(ISNA(VLOOKUP(T1538, 'Fuel Costs'!$A$2:$C$42, 2, 0)), T1538, VLOOKUP(T1538, 'Fuel Costs'!$A$2:$C$42, 2, 0))) / IF(ISBLANK(O1538), 1, O1538))) * 100</f>
        <v>76.035</v>
      </c>
      <c r="J1538" s="2" t="n">
        <f aca="false">((H1538 / 800) / (IF(ISBLANK(S1538), 100, IF(ISNA(VLOOKUP(S1538, Lives!$A$2:$C$35, 2, 0)), S1538, VLOOKUP(S1538, Lives!$A$2:$C$35, 2, 0))) * 12) + (IF(ISBLANK(Q1538), 0, IF(ISNA(VLOOKUP(Q1538, Wages!$A$2:$C$17, 2, 0)), Q1538, VLOOKUP(Q1538, Wages!$A$2:$C$17, 2, 0))) * IF(ISBLANK(N1538), 0, IF(ISNA(VLOOKUP(N1538, Crews!$A$2:$C$28, 2, 0)), N1538, VLOOKUP(N1538, Crews!$A$2:$C$28, 2, 0))))) * 400</f>
        <v>8072.916667</v>
      </c>
      <c r="K1538" s="1"/>
      <c r="L1538" s="1" t="s">
        <v>3028</v>
      </c>
      <c r="M1538" s="1" t="n">
        <v>6</v>
      </c>
      <c r="N1538" s="1" t="s">
        <v>25</v>
      </c>
      <c r="O1538" s="1" t="n">
        <v>0.6</v>
      </c>
      <c r="P1538" s="1"/>
      <c r="Q1538" s="1" t="s">
        <v>1815</v>
      </c>
      <c r="R1538" s="1" t="s">
        <v>1842</v>
      </c>
      <c r="S1538" s="1" t="s">
        <v>1843</v>
      </c>
      <c r="T1538" s="1" t="s">
        <v>2534</v>
      </c>
    </row>
    <row r="1539" customFormat="false" ht="15" hidden="false" customHeight="true" outlineLevel="0" collapsed="false">
      <c r="A1539" s="1" t="s">
        <v>3035</v>
      </c>
      <c r="B1539" s="1" t="n">
        <v>1931</v>
      </c>
      <c r="C1539" s="1" t="n">
        <v>2</v>
      </c>
      <c r="D1539" s="1" t="s">
        <v>2225</v>
      </c>
      <c r="E1539" s="1" t="s">
        <v>1839</v>
      </c>
      <c r="F1539" s="1" t="n">
        <v>1599</v>
      </c>
      <c r="G1539" s="1" t="n">
        <v>222</v>
      </c>
      <c r="H1539" s="2" t="n">
        <v>2400000</v>
      </c>
      <c r="I1539" s="2" t="n">
        <f aca="false">(((H1539 / 800) / IF(ISBLANK(R1539), 1000000, IF(ISNA(VLOOKUP(R1539, Mileages!$A$2:$C$34, 2, 0)), R1539, VLOOKUP(R1539, Mileages!$A$2:$C$34, 2, 0)))) + (F1539 * IF(ISBLANK(P1539), 1, P1539) * IF(ISBLANK(T1539), 0, IF(ISNA(VLOOKUP(T1539, 'Fuel Costs'!$A$2:$C$42, 2, 0)), T1539, VLOOKUP(T1539, 'Fuel Costs'!$A$2:$C$42, 2, 0))) / IF(ISBLANK(O1539), 1, O1539))) * 100</f>
        <v>80.01</v>
      </c>
      <c r="J1539" s="2" t="n">
        <f aca="false">((H1539 / 800) / (IF(ISBLANK(S1539), 100, IF(ISNA(VLOOKUP(S1539, Lives!$A$2:$C$35, 2, 0)), S1539, VLOOKUP(S1539, Lives!$A$2:$C$35, 2, 0))) * 12) + (IF(ISBLANK(Q1539), 0, IF(ISNA(VLOOKUP(Q1539, Wages!$A$2:$C$17, 2, 0)), Q1539, VLOOKUP(Q1539, Wages!$A$2:$C$17, 2, 0))) * IF(ISBLANK(N1539), 0, IF(ISNA(VLOOKUP(N1539, Crews!$A$2:$C$28, 2, 0)), N1539, VLOOKUP(N1539, Crews!$A$2:$C$28, 2, 0))))) * 400</f>
        <v>51666.66667</v>
      </c>
      <c r="K1539" s="3" t="s">
        <v>3036</v>
      </c>
      <c r="L1539" s="1" t="s">
        <v>3037</v>
      </c>
      <c r="M1539" s="1" t="n">
        <v>0</v>
      </c>
      <c r="N1539" s="1" t="s">
        <v>2342</v>
      </c>
      <c r="O1539" s="1"/>
      <c r="P1539" s="1" t="n">
        <v>0.1</v>
      </c>
      <c r="Q1539" s="1" t="s">
        <v>2229</v>
      </c>
      <c r="R1539" s="1" t="s">
        <v>2229</v>
      </c>
      <c r="S1539" s="1" t="s">
        <v>2229</v>
      </c>
      <c r="T1539" s="1" t="s">
        <v>2572</v>
      </c>
    </row>
    <row r="1540" customFormat="false" ht="15" hidden="false" customHeight="true" outlineLevel="0" collapsed="false">
      <c r="A1540" s="1" t="s">
        <v>3038</v>
      </c>
      <c r="B1540" s="1" t="n">
        <v>1931</v>
      </c>
      <c r="C1540" s="1" t="n">
        <v>3</v>
      </c>
      <c r="D1540" s="1" t="s">
        <v>21</v>
      </c>
      <c r="E1540" s="1" t="s">
        <v>274</v>
      </c>
      <c r="F1540" s="1" t="n">
        <v>65</v>
      </c>
      <c r="G1540" s="1" t="n">
        <v>55</v>
      </c>
      <c r="H1540" s="2" t="n">
        <v>220000</v>
      </c>
      <c r="I1540" s="2" t="n">
        <f aca="false">(((H1540 / 800) / IF(ISBLANK(R1540), 1000000, IF(ISNA(VLOOKUP(R1540, Mileages!$A$2:$C$34, 2, 0)), R1540, VLOOKUP(R1540, Mileages!$A$2:$C$34, 2, 0)))) + (F1540 * IF(ISBLANK(P1540), 1, P1540) * IF(ISBLANK(T1540), 0, IF(ISNA(VLOOKUP(T1540, 'Fuel Costs'!$A$2:$C$42, 2, 0)), T1540, VLOOKUP(T1540, 'Fuel Costs'!$A$2:$C$42, 2, 0))) / IF(ISBLANK(O1540), 1, O1540))) * 100</f>
        <v>43.38833333</v>
      </c>
      <c r="J1540" s="2" t="n">
        <f aca="false">((H1540 / 800) / (IF(ISBLANK(S1540), 100, IF(ISNA(VLOOKUP(S1540, Lives!$A$2:$C$35, 2, 0)), S1540, VLOOKUP(S1540, Lives!$A$2:$C$35, 2, 0))) * 12) + (IF(ISBLANK(Q1540), 0, IF(ISNA(VLOOKUP(Q1540, Wages!$A$2:$C$17, 2, 0)), Q1540, VLOOKUP(Q1540, Wages!$A$2:$C$17, 2, 0))) * IF(ISBLANK(N1540), 0, IF(ISNA(VLOOKUP(N1540, Crews!$A$2:$C$28, 2, 0)), N1540, VLOOKUP(N1540, Crews!$A$2:$C$28, 2, 0))))) * 400</f>
        <v>8114.583333</v>
      </c>
      <c r="K1540" s="3" t="s">
        <v>3039</v>
      </c>
      <c r="L1540" s="1" t="s">
        <v>3040</v>
      </c>
      <c r="M1540" s="1" t="n">
        <v>0</v>
      </c>
      <c r="N1540" s="1" t="s">
        <v>25</v>
      </c>
      <c r="O1540" s="1" t="n">
        <v>0.6</v>
      </c>
      <c r="P1540" s="1"/>
      <c r="Q1540" s="1" t="s">
        <v>1815</v>
      </c>
      <c r="R1540" s="1" t="s">
        <v>837</v>
      </c>
      <c r="S1540" s="1" t="s">
        <v>837</v>
      </c>
      <c r="T1540" s="1" t="s">
        <v>2252</v>
      </c>
    </row>
    <row r="1541" customFormat="false" ht="15" hidden="false" customHeight="true" outlineLevel="0" collapsed="false">
      <c r="A1541" s="1" t="s">
        <v>3041</v>
      </c>
      <c r="B1541" s="1" t="n">
        <v>1931</v>
      </c>
      <c r="C1541" s="1" t="n">
        <v>3</v>
      </c>
      <c r="D1541" s="1" t="s">
        <v>21</v>
      </c>
      <c r="E1541" s="1" t="s">
        <v>274</v>
      </c>
      <c r="F1541" s="1" t="n">
        <v>65</v>
      </c>
      <c r="G1541" s="1" t="n">
        <v>55</v>
      </c>
      <c r="H1541" s="2" t="n">
        <v>220000</v>
      </c>
      <c r="I1541" s="2" t="n">
        <f aca="false">(((H1541 / 800) / IF(ISBLANK(R1541), 1000000, IF(ISNA(VLOOKUP(R1541, Mileages!$A$2:$C$34, 2, 0)), R1541, VLOOKUP(R1541, Mileages!$A$2:$C$34, 2, 0)))) + (F1541 * IF(ISBLANK(P1541), 1, P1541) * IF(ISBLANK(T1541), 0, IF(ISNA(VLOOKUP(T1541, 'Fuel Costs'!$A$2:$C$42, 2, 0)), T1541, VLOOKUP(T1541, 'Fuel Costs'!$A$2:$C$42, 2, 0))) / IF(ISBLANK(O1541), 1, O1541))) * 100</f>
        <v>43.38833333</v>
      </c>
      <c r="J1541" s="2" t="n">
        <f aca="false">((H1541 / 800) / (IF(ISBLANK(S1541), 100, IF(ISNA(VLOOKUP(S1541, Lives!$A$2:$C$35, 2, 0)), S1541, VLOOKUP(S1541, Lives!$A$2:$C$35, 2, 0))) * 12) + (IF(ISBLANK(Q1541), 0, IF(ISNA(VLOOKUP(Q1541, Wages!$A$2:$C$17, 2, 0)), Q1541, VLOOKUP(Q1541, Wages!$A$2:$C$17, 2, 0))) * IF(ISBLANK(N1541), 0, IF(ISNA(VLOOKUP(N1541, Crews!$A$2:$C$28, 2, 0)), N1541, VLOOKUP(N1541, Crews!$A$2:$C$28, 2, 0))))) * 400</f>
        <v>8114.583333</v>
      </c>
      <c r="K1541" s="1"/>
      <c r="L1541" s="1" t="s">
        <v>3040</v>
      </c>
      <c r="M1541" s="1" t="n">
        <v>1</v>
      </c>
      <c r="N1541" s="1" t="s">
        <v>25</v>
      </c>
      <c r="O1541" s="1" t="n">
        <v>0.6</v>
      </c>
      <c r="P1541" s="1"/>
      <c r="Q1541" s="1" t="s">
        <v>1815</v>
      </c>
      <c r="R1541" s="1" t="s">
        <v>837</v>
      </c>
      <c r="S1541" s="1" t="s">
        <v>837</v>
      </c>
      <c r="T1541" s="1" t="s">
        <v>2252</v>
      </c>
    </row>
    <row r="1542" customFormat="false" ht="15" hidden="false" customHeight="true" outlineLevel="0" collapsed="false">
      <c r="A1542" s="1" t="s">
        <v>3042</v>
      </c>
      <c r="B1542" s="1" t="n">
        <v>1931</v>
      </c>
      <c r="C1542" s="1" t="n">
        <v>3</v>
      </c>
      <c r="D1542" s="1" t="s">
        <v>21</v>
      </c>
      <c r="E1542" s="1" t="s">
        <v>274</v>
      </c>
      <c r="F1542" s="1" t="n">
        <v>65</v>
      </c>
      <c r="G1542" s="1" t="n">
        <v>55</v>
      </c>
      <c r="H1542" s="2" t="n">
        <v>240000</v>
      </c>
      <c r="I1542" s="2" t="n">
        <f aca="false">(((H1542 / 800) / IF(ISBLANK(R1542), 1000000, IF(ISNA(VLOOKUP(R1542, Mileages!$A$2:$C$34, 2, 0)), R1542, VLOOKUP(R1542, Mileages!$A$2:$C$34, 2, 0)))) + (F1542 * IF(ISBLANK(P1542), 1, P1542) * IF(ISBLANK(T1542), 0, IF(ISNA(VLOOKUP(T1542, 'Fuel Costs'!$A$2:$C$42, 2, 0)), T1542, VLOOKUP(T1542, 'Fuel Costs'!$A$2:$C$42, 2, 0))) / IF(ISBLANK(O1542), 1, O1542))) * 100</f>
        <v>43.39333333</v>
      </c>
      <c r="J1542" s="2" t="n">
        <f aca="false">((H1542 / 800) / (IF(ISBLANK(S1542), 100, IF(ISNA(VLOOKUP(S1542, Lives!$A$2:$C$35, 2, 0)), S1542, VLOOKUP(S1542, Lives!$A$2:$C$35, 2, 0))) * 12) + (IF(ISBLANK(Q1542), 0, IF(ISNA(VLOOKUP(Q1542, Wages!$A$2:$C$17, 2, 0)), Q1542, VLOOKUP(Q1542, Wages!$A$2:$C$17, 2, 0))) * IF(ISBLANK(N1542), 0, IF(ISNA(VLOOKUP(N1542, Crews!$A$2:$C$28, 2, 0)), N1542, VLOOKUP(N1542, Crews!$A$2:$C$28, 2, 0))))) * 400</f>
        <v>8125</v>
      </c>
      <c r="K1542" s="1"/>
      <c r="L1542" s="1" t="s">
        <v>3040</v>
      </c>
      <c r="M1542" s="1" t="n">
        <v>2</v>
      </c>
      <c r="N1542" s="1" t="s">
        <v>25</v>
      </c>
      <c r="O1542" s="1" t="n">
        <v>0.6</v>
      </c>
      <c r="P1542" s="1"/>
      <c r="Q1542" s="1" t="s">
        <v>1815</v>
      </c>
      <c r="R1542" s="1" t="s">
        <v>837</v>
      </c>
      <c r="S1542" s="1" t="s">
        <v>837</v>
      </c>
      <c r="T1542" s="1" t="s">
        <v>2252</v>
      </c>
    </row>
    <row r="1543" customFormat="false" ht="15" hidden="false" customHeight="true" outlineLevel="0" collapsed="false">
      <c r="A1543" s="1" t="s">
        <v>3043</v>
      </c>
      <c r="B1543" s="1" t="n">
        <v>1931</v>
      </c>
      <c r="C1543" s="1" t="n">
        <v>3</v>
      </c>
      <c r="D1543" s="1" t="s">
        <v>21</v>
      </c>
      <c r="E1543" s="1" t="s">
        <v>274</v>
      </c>
      <c r="F1543" s="1" t="n">
        <v>65</v>
      </c>
      <c r="G1543" s="1" t="n">
        <v>55</v>
      </c>
      <c r="H1543" s="2" t="n">
        <v>240000</v>
      </c>
      <c r="I1543" s="2" t="n">
        <f aca="false">(((H1543 / 800) / IF(ISBLANK(R1543), 1000000, IF(ISNA(VLOOKUP(R1543, Mileages!$A$2:$C$34, 2, 0)), R1543, VLOOKUP(R1543, Mileages!$A$2:$C$34, 2, 0)))) + (F1543 * IF(ISBLANK(P1543), 1, P1543) * IF(ISBLANK(T1543), 0, IF(ISNA(VLOOKUP(T1543, 'Fuel Costs'!$A$2:$C$42, 2, 0)), T1543, VLOOKUP(T1543, 'Fuel Costs'!$A$2:$C$42, 2, 0))) / IF(ISBLANK(O1543), 1, O1543))) * 100</f>
        <v>43.39333333</v>
      </c>
      <c r="J1543" s="2" t="n">
        <f aca="false">((H1543 / 800) / (IF(ISBLANK(S1543), 100, IF(ISNA(VLOOKUP(S1543, Lives!$A$2:$C$35, 2, 0)), S1543, VLOOKUP(S1543, Lives!$A$2:$C$35, 2, 0))) * 12) + (IF(ISBLANK(Q1543), 0, IF(ISNA(VLOOKUP(Q1543, Wages!$A$2:$C$17, 2, 0)), Q1543, VLOOKUP(Q1543, Wages!$A$2:$C$17, 2, 0))) * IF(ISBLANK(N1543), 0, IF(ISNA(VLOOKUP(N1543, Crews!$A$2:$C$28, 2, 0)), N1543, VLOOKUP(N1543, Crews!$A$2:$C$28, 2, 0))))) * 400</f>
        <v>8125</v>
      </c>
      <c r="K1543" s="1"/>
      <c r="L1543" s="1" t="s">
        <v>3040</v>
      </c>
      <c r="M1543" s="1" t="n">
        <v>3</v>
      </c>
      <c r="N1543" s="1" t="s">
        <v>25</v>
      </c>
      <c r="O1543" s="1" t="n">
        <v>0.6</v>
      </c>
      <c r="P1543" s="1"/>
      <c r="Q1543" s="1" t="s">
        <v>1815</v>
      </c>
      <c r="R1543" s="1" t="s">
        <v>837</v>
      </c>
      <c r="S1543" s="1" t="s">
        <v>837</v>
      </c>
      <c r="T1543" s="1" t="s">
        <v>2252</v>
      </c>
    </row>
    <row r="1544" customFormat="false" ht="15" hidden="false" customHeight="true" outlineLevel="0" collapsed="false">
      <c r="A1544" s="1" t="s">
        <v>3044</v>
      </c>
      <c r="B1544" s="1" t="n">
        <v>1931</v>
      </c>
      <c r="C1544" s="1" t="n">
        <v>3</v>
      </c>
      <c r="D1544" s="1" t="s">
        <v>21</v>
      </c>
      <c r="E1544" s="1" t="s">
        <v>274</v>
      </c>
      <c r="F1544" s="1" t="n">
        <v>65</v>
      </c>
      <c r="G1544" s="1" t="n">
        <v>55</v>
      </c>
      <c r="H1544" s="2" t="n">
        <v>240000</v>
      </c>
      <c r="I1544" s="2" t="n">
        <f aca="false">(((H1544 / 800) / IF(ISBLANK(R1544), 1000000, IF(ISNA(VLOOKUP(R1544, Mileages!$A$2:$C$34, 2, 0)), R1544, VLOOKUP(R1544, Mileages!$A$2:$C$34, 2, 0)))) + (F1544 * IF(ISBLANK(P1544), 1, P1544) * IF(ISBLANK(T1544), 0, IF(ISNA(VLOOKUP(T1544, 'Fuel Costs'!$A$2:$C$42, 2, 0)), T1544, VLOOKUP(T1544, 'Fuel Costs'!$A$2:$C$42, 2, 0))) / IF(ISBLANK(O1544), 1, O1544))) * 100</f>
        <v>43.39333333</v>
      </c>
      <c r="J1544" s="2" t="n">
        <f aca="false">((H1544 / 800) / (IF(ISBLANK(S1544), 100, IF(ISNA(VLOOKUP(S1544, Lives!$A$2:$C$35, 2, 0)), S1544, VLOOKUP(S1544, Lives!$A$2:$C$35, 2, 0))) * 12) + (IF(ISBLANK(Q1544), 0, IF(ISNA(VLOOKUP(Q1544, Wages!$A$2:$C$17, 2, 0)), Q1544, VLOOKUP(Q1544, Wages!$A$2:$C$17, 2, 0))) * IF(ISBLANK(N1544), 0, IF(ISNA(VLOOKUP(N1544, Crews!$A$2:$C$28, 2, 0)), N1544, VLOOKUP(N1544, Crews!$A$2:$C$28, 2, 0))))) * 400</f>
        <v>8125</v>
      </c>
      <c r="K1544" s="1"/>
      <c r="L1544" s="1" t="s">
        <v>3040</v>
      </c>
      <c r="M1544" s="1" t="n">
        <v>4</v>
      </c>
      <c r="N1544" s="1" t="s">
        <v>25</v>
      </c>
      <c r="O1544" s="1" t="n">
        <v>0.6</v>
      </c>
      <c r="P1544" s="1"/>
      <c r="Q1544" s="1" t="s">
        <v>1815</v>
      </c>
      <c r="R1544" s="1" t="s">
        <v>837</v>
      </c>
      <c r="S1544" s="1" t="s">
        <v>837</v>
      </c>
      <c r="T1544" s="1" t="s">
        <v>2252</v>
      </c>
    </row>
    <row r="1545" customFormat="false" ht="15" hidden="false" customHeight="true" outlineLevel="0" collapsed="false">
      <c r="A1545" s="1" t="s">
        <v>3045</v>
      </c>
      <c r="B1545" s="1" t="n">
        <v>1931</v>
      </c>
      <c r="C1545" s="1" t="n">
        <v>3</v>
      </c>
      <c r="D1545" s="1" t="s">
        <v>21</v>
      </c>
      <c r="E1545" s="1" t="s">
        <v>274</v>
      </c>
      <c r="F1545" s="1" t="n">
        <v>65</v>
      </c>
      <c r="G1545" s="1" t="n">
        <v>55</v>
      </c>
      <c r="H1545" s="2" t="n">
        <v>240000</v>
      </c>
      <c r="I1545" s="2" t="n">
        <f aca="false">(((H1545 / 800) / IF(ISBLANK(R1545), 1000000, IF(ISNA(VLOOKUP(R1545, Mileages!$A$2:$C$34, 2, 0)), R1545, VLOOKUP(R1545, Mileages!$A$2:$C$34, 2, 0)))) + (F1545 * IF(ISBLANK(P1545), 1, P1545) * IF(ISBLANK(T1545), 0, IF(ISNA(VLOOKUP(T1545, 'Fuel Costs'!$A$2:$C$42, 2, 0)), T1545, VLOOKUP(T1545, 'Fuel Costs'!$A$2:$C$42, 2, 0))) / IF(ISBLANK(O1545), 1, O1545))) * 100</f>
        <v>43.39333333</v>
      </c>
      <c r="J1545" s="2" t="n">
        <f aca="false">((H1545 / 800) / (IF(ISBLANK(S1545), 100, IF(ISNA(VLOOKUP(S1545, Lives!$A$2:$C$35, 2, 0)), S1545, VLOOKUP(S1545, Lives!$A$2:$C$35, 2, 0))) * 12) + (IF(ISBLANK(Q1545), 0, IF(ISNA(VLOOKUP(Q1545, Wages!$A$2:$C$17, 2, 0)), Q1545, VLOOKUP(Q1545, Wages!$A$2:$C$17, 2, 0))) * IF(ISBLANK(N1545), 0, IF(ISNA(VLOOKUP(N1545, Crews!$A$2:$C$28, 2, 0)), N1545, VLOOKUP(N1545, Crews!$A$2:$C$28, 2, 0))))) * 400</f>
        <v>8125</v>
      </c>
      <c r="K1545" s="1"/>
      <c r="L1545" s="1" t="s">
        <v>3040</v>
      </c>
      <c r="M1545" s="1" t="n">
        <v>5</v>
      </c>
      <c r="N1545" s="1" t="s">
        <v>25</v>
      </c>
      <c r="O1545" s="1" t="n">
        <v>0.6</v>
      </c>
      <c r="P1545" s="1"/>
      <c r="Q1545" s="1" t="s">
        <v>1815</v>
      </c>
      <c r="R1545" s="1" t="s">
        <v>837</v>
      </c>
      <c r="S1545" s="1" t="s">
        <v>837</v>
      </c>
      <c r="T1545" s="1" t="s">
        <v>2252</v>
      </c>
    </row>
    <row r="1546" customFormat="false" ht="15" hidden="false" customHeight="true" outlineLevel="0" collapsed="false">
      <c r="A1546" s="1" t="s">
        <v>3046</v>
      </c>
      <c r="B1546" s="1" t="n">
        <v>1931</v>
      </c>
      <c r="C1546" s="1" t="n">
        <v>3</v>
      </c>
      <c r="D1546" s="1" t="s">
        <v>38</v>
      </c>
      <c r="E1546" s="1"/>
      <c r="F1546" s="1"/>
      <c r="G1546" s="1" t="n">
        <v>56</v>
      </c>
      <c r="H1546" s="2" t="n">
        <v>150000</v>
      </c>
      <c r="I1546" s="2" t="n">
        <f aca="false">(((H1546 / 800) / IF(ISBLANK(R1546), 1000000, IF(ISNA(VLOOKUP(R1546, Mileages!$A$2:$C$34, 2, 0)), R1546, VLOOKUP(R1546, Mileages!$A$2:$C$34, 2, 0)))) + (F1546 * IF(ISBLANK(P1546), 1, P1546) * IF(ISBLANK(T1546), 0, IF(ISNA(VLOOKUP(T1546, 'Fuel Costs'!$A$2:$C$42, 2, 0)), T1546, VLOOKUP(T1546, 'Fuel Costs'!$A$2:$C$42, 2, 0))) / IF(ISBLANK(O1546), 1, O1546))) * 100</f>
        <v>0.015625</v>
      </c>
      <c r="J1546" s="2" t="n">
        <f aca="false">((H1546 / 800) / (IF(ISBLANK(S1546), 100, IF(ISNA(VLOOKUP(S1546, Lives!$A$2:$C$35, 2, 0)), S1546, VLOOKUP(S1546, Lives!$A$2:$C$35, 2, 0))) * 12) + (IF(ISBLANK(Q1546), 0, IF(ISNA(VLOOKUP(Q1546, Wages!$A$2:$C$17, 2, 0)), Q1546, VLOOKUP(Q1546, Wages!$A$2:$C$17, 2, 0))) * IF(ISBLANK(N1546), 0, IF(ISNA(VLOOKUP(N1546, Crews!$A$2:$C$28, 2, 0)), N1546, VLOOKUP(N1546, Crews!$A$2:$C$28, 2, 0))))) * 400</f>
        <v>62.5</v>
      </c>
      <c r="K1546" s="3" t="s">
        <v>1766</v>
      </c>
      <c r="L1546" s="1" t="s">
        <v>3047</v>
      </c>
      <c r="M1546" s="1" t="n">
        <v>0</v>
      </c>
      <c r="N1546" s="1"/>
      <c r="O1546" s="1"/>
      <c r="P1546" s="1"/>
      <c r="Q1546" s="1"/>
      <c r="R1546" s="1" t="s">
        <v>689</v>
      </c>
      <c r="S1546" s="1" t="s">
        <v>389</v>
      </c>
      <c r="T1546" s="1"/>
    </row>
    <row r="1547" customFormat="false" ht="15" hidden="false" customHeight="true" outlineLevel="0" collapsed="false">
      <c r="A1547" s="1" t="s">
        <v>3048</v>
      </c>
      <c r="B1547" s="1" t="n">
        <v>1931</v>
      </c>
      <c r="C1547" s="1" t="n">
        <v>3</v>
      </c>
      <c r="D1547" s="1" t="s">
        <v>29</v>
      </c>
      <c r="E1547" s="1" t="s">
        <v>2039</v>
      </c>
      <c r="F1547" s="1" t="n">
        <v>783</v>
      </c>
      <c r="G1547" s="1" t="n">
        <v>30</v>
      </c>
      <c r="H1547" s="2" t="n">
        <v>85000000</v>
      </c>
      <c r="I1547" s="2" t="n">
        <f aca="false">(((H1547 / 800) / IF(ISBLANK(R1547), 1000000, IF(ISNA(VLOOKUP(R1547, Mileages!$A$2:$C$34, 2, 0)), R1547, VLOOKUP(R1547, Mileages!$A$2:$C$34, 2, 0)))) + (F1547 * IF(ISBLANK(P1547), 1, P1547) * IF(ISBLANK(T1547), 0, IF(ISNA(VLOOKUP(T1547, 'Fuel Costs'!$A$2:$C$42, 2, 0)), T1547, VLOOKUP(T1547, 'Fuel Costs'!$A$2:$C$42, 2, 0))) / IF(ISBLANK(O1547), 1, O1547))) * 100</f>
        <v>161.9125</v>
      </c>
      <c r="J1547" s="2" t="n">
        <f aca="false">((H1547 / 800) / (IF(ISBLANK(S1547), 100, IF(ISNA(VLOOKUP(S1547, Lives!$A$2:$C$35, 2, 0)), S1547, VLOOKUP(S1547, Lives!$A$2:$C$35, 2, 0))) * 12) + (IF(ISBLANK(Q1547), 0, IF(ISNA(VLOOKUP(Q1547, Wages!$A$2:$C$17, 2, 0)), Q1547, VLOOKUP(Q1547, Wages!$A$2:$C$17, 2, 0))) * IF(ISBLANK(N1547), 0, IF(ISNA(VLOOKUP(N1547, Crews!$A$2:$C$28, 2, 0)), N1547, VLOOKUP(N1547, Crews!$A$2:$C$28, 2, 0))))) * 400</f>
        <v>235416.6667</v>
      </c>
      <c r="K1547" s="3" t="s">
        <v>3049</v>
      </c>
      <c r="L1547" s="1" t="s">
        <v>3050</v>
      </c>
      <c r="M1547" s="1" t="n">
        <v>0</v>
      </c>
      <c r="N1547" s="1" t="s">
        <v>323</v>
      </c>
      <c r="O1547" s="1" t="n">
        <v>0.5</v>
      </c>
      <c r="P1547" s="1" t="n">
        <v>0.2</v>
      </c>
      <c r="Q1547" s="1" t="s">
        <v>34</v>
      </c>
      <c r="R1547" s="1" t="s">
        <v>574</v>
      </c>
      <c r="S1547" s="1" t="s">
        <v>574</v>
      </c>
      <c r="T1547" s="1" t="s">
        <v>2041</v>
      </c>
    </row>
    <row r="1548" customFormat="false" ht="15" hidden="false" customHeight="true" outlineLevel="0" collapsed="false">
      <c r="A1548" s="1" t="s">
        <v>3051</v>
      </c>
      <c r="B1548" s="1" t="n">
        <v>1931</v>
      </c>
      <c r="C1548" s="1" t="n">
        <v>4</v>
      </c>
      <c r="D1548" s="1" t="s">
        <v>38</v>
      </c>
      <c r="E1548" s="1"/>
      <c r="F1548" s="1"/>
      <c r="G1548" s="1" t="n">
        <v>56</v>
      </c>
      <c r="H1548" s="2" t="n">
        <v>150000</v>
      </c>
      <c r="I1548" s="2" t="n">
        <f aca="false">(((H1548 / 800) / IF(ISBLANK(R1548), 1000000, IF(ISNA(VLOOKUP(R1548, Mileages!$A$2:$C$34, 2, 0)), R1548, VLOOKUP(R1548, Mileages!$A$2:$C$34, 2, 0)))) + (F1548 * IF(ISBLANK(P1548), 1, P1548) * IF(ISBLANK(T1548), 0, IF(ISNA(VLOOKUP(T1548, 'Fuel Costs'!$A$2:$C$42, 2, 0)), T1548, VLOOKUP(T1548, 'Fuel Costs'!$A$2:$C$42, 2, 0))) / IF(ISBLANK(O1548), 1, O1548))) * 100</f>
        <v>0.015625</v>
      </c>
      <c r="J1548" s="2" t="n">
        <f aca="false">((H1548 / 800) / (IF(ISBLANK(S1548), 100, IF(ISNA(VLOOKUP(S1548, Lives!$A$2:$C$35, 2, 0)), S1548, VLOOKUP(S1548, Lives!$A$2:$C$35, 2, 0))) * 12) + (IF(ISBLANK(Q1548), 0, IF(ISNA(VLOOKUP(Q1548, Wages!$A$2:$C$17, 2, 0)), Q1548, VLOOKUP(Q1548, Wages!$A$2:$C$17, 2, 0))) * IF(ISBLANK(N1548), 0, IF(ISNA(VLOOKUP(N1548, Crews!$A$2:$C$28, 2, 0)), N1548, VLOOKUP(N1548, Crews!$A$2:$C$28, 2, 0))))) * 400</f>
        <v>62.5</v>
      </c>
      <c r="K1548" s="3" t="s">
        <v>1766</v>
      </c>
      <c r="L1548" s="1" t="s">
        <v>3052</v>
      </c>
      <c r="M1548" s="1" t="n">
        <v>0</v>
      </c>
      <c r="N1548" s="1"/>
      <c r="O1548" s="1"/>
      <c r="P1548" s="1"/>
      <c r="Q1548" s="1"/>
      <c r="R1548" s="1" t="s">
        <v>689</v>
      </c>
      <c r="S1548" s="1" t="s">
        <v>389</v>
      </c>
      <c r="T1548" s="1"/>
    </row>
    <row r="1549" customFormat="false" ht="15" hidden="false" customHeight="true" outlineLevel="0" collapsed="false">
      <c r="A1549" s="1" t="s">
        <v>3053</v>
      </c>
      <c r="B1549" s="1" t="n">
        <v>1931</v>
      </c>
      <c r="C1549" s="1" t="n">
        <v>5</v>
      </c>
      <c r="D1549" s="1" t="s">
        <v>38</v>
      </c>
      <c r="E1549" s="1"/>
      <c r="F1549" s="1"/>
      <c r="G1549" s="1" t="n">
        <v>56</v>
      </c>
      <c r="H1549" s="2" t="n">
        <v>150000</v>
      </c>
      <c r="I1549" s="2" t="n">
        <f aca="false">(((H1549 / 800) / IF(ISBLANK(R1549), 1000000, IF(ISNA(VLOOKUP(R1549, Mileages!$A$2:$C$34, 2, 0)), R1549, VLOOKUP(R1549, Mileages!$A$2:$C$34, 2, 0)))) + (F1549 * IF(ISBLANK(P1549), 1, P1549) * IF(ISBLANK(T1549), 0, IF(ISNA(VLOOKUP(T1549, 'Fuel Costs'!$A$2:$C$42, 2, 0)), T1549, VLOOKUP(T1549, 'Fuel Costs'!$A$2:$C$42, 2, 0))) / IF(ISBLANK(O1549), 1, O1549))) * 100</f>
        <v>0.015625</v>
      </c>
      <c r="J1549" s="2" t="n">
        <f aca="false">((H1549 / 800) / (IF(ISBLANK(S1549), 100, IF(ISNA(VLOOKUP(S1549, Lives!$A$2:$C$35, 2, 0)), S1549, VLOOKUP(S1549, Lives!$A$2:$C$35, 2, 0))) * 12) + (IF(ISBLANK(Q1549), 0, IF(ISNA(VLOOKUP(Q1549, Wages!$A$2:$C$17, 2, 0)), Q1549, VLOOKUP(Q1549, Wages!$A$2:$C$17, 2, 0))) * IF(ISBLANK(N1549), 0, IF(ISNA(VLOOKUP(N1549, Crews!$A$2:$C$28, 2, 0)), N1549, VLOOKUP(N1549, Crews!$A$2:$C$28, 2, 0))))) * 400</f>
        <v>62.5</v>
      </c>
      <c r="K1549" s="3" t="s">
        <v>1766</v>
      </c>
      <c r="L1549" s="1" t="s">
        <v>3054</v>
      </c>
      <c r="M1549" s="1" t="n">
        <v>0</v>
      </c>
      <c r="N1549" s="1"/>
      <c r="O1549" s="1"/>
      <c r="P1549" s="1"/>
      <c r="Q1549" s="1"/>
      <c r="R1549" s="1" t="s">
        <v>689</v>
      </c>
      <c r="S1549" s="1" t="s">
        <v>389</v>
      </c>
      <c r="T1549" s="1"/>
    </row>
    <row r="1550" customFormat="false" ht="15" hidden="false" customHeight="true" outlineLevel="0" collapsed="false">
      <c r="A1550" s="1" t="s">
        <v>3055</v>
      </c>
      <c r="B1550" s="1" t="n">
        <v>1931</v>
      </c>
      <c r="C1550" s="1" t="n">
        <v>5</v>
      </c>
      <c r="D1550" s="1" t="s">
        <v>38</v>
      </c>
      <c r="E1550" s="1" t="s">
        <v>1346</v>
      </c>
      <c r="F1550" s="1" t="n">
        <v>0</v>
      </c>
      <c r="G1550" s="1" t="n">
        <v>97</v>
      </c>
      <c r="H1550" s="2" t="n">
        <v>1663000</v>
      </c>
      <c r="I1550" s="2" t="n">
        <f aca="false">(((H1550 / 800) / IF(ISBLANK(R1550), 1000000, IF(ISNA(VLOOKUP(R1550, Mileages!$A$2:$C$34, 2, 0)), R1550, VLOOKUP(R1550, Mileages!$A$2:$C$34, 2, 0)))) + (F1550 * IF(ISBLANK(P1550), 1, P1550) * IF(ISBLANK(T1550), 0, IF(ISNA(VLOOKUP(T1550, 'Fuel Costs'!$A$2:$C$42, 2, 0)), T1550, VLOOKUP(T1550, 'Fuel Costs'!$A$2:$C$42, 2, 0))) / IF(ISBLANK(O1550), 1, O1550))) * 100</f>
        <v>0.1732291667</v>
      </c>
      <c r="J1550" s="2" t="n">
        <f aca="false">((H1550 / 800) / (IF(ISBLANK(S1550), 100, IF(ISNA(VLOOKUP(S1550, Lives!$A$2:$C$35, 2, 0)), S1550, VLOOKUP(S1550, Lives!$A$2:$C$35, 2, 0))) * 12) + (IF(ISBLANK(Q1550), 0, IF(ISNA(VLOOKUP(Q1550, Wages!$A$2:$C$17, 2, 0)), Q1550, VLOOKUP(Q1550, Wages!$A$2:$C$17, 2, 0))) * IF(ISBLANK(N1550), 0, IF(ISNA(VLOOKUP(N1550, Crews!$A$2:$C$28, 2, 0)), N1550, VLOOKUP(N1550, Crews!$A$2:$C$28, 2, 0))))) * 400</f>
        <v>1979.761905</v>
      </c>
      <c r="K1550" s="3" t="s">
        <v>3056</v>
      </c>
      <c r="L1550" s="1" t="s">
        <v>3057</v>
      </c>
      <c r="M1550" s="1" t="n">
        <v>0</v>
      </c>
      <c r="N1550" s="1"/>
      <c r="O1550" s="1"/>
      <c r="P1550" s="1"/>
      <c r="Q1550" s="1"/>
      <c r="R1550" s="1" t="s">
        <v>689</v>
      </c>
      <c r="S1550" s="1" t="s">
        <v>856</v>
      </c>
      <c r="T1550" s="1"/>
    </row>
    <row r="1551" customFormat="false" ht="15" hidden="false" customHeight="true" outlineLevel="0" collapsed="false">
      <c r="A1551" s="1" t="s">
        <v>3058</v>
      </c>
      <c r="B1551" s="1" t="n">
        <v>1931</v>
      </c>
      <c r="C1551" s="1" t="n">
        <v>5</v>
      </c>
      <c r="D1551" s="1" t="s">
        <v>38</v>
      </c>
      <c r="E1551" s="1" t="s">
        <v>1346</v>
      </c>
      <c r="F1551" s="1" t="n">
        <v>0</v>
      </c>
      <c r="G1551" s="1" t="n">
        <v>97</v>
      </c>
      <c r="H1551" s="2" t="n">
        <v>1663000</v>
      </c>
      <c r="I1551" s="2" t="n">
        <f aca="false">(((H1551 / 800) / IF(ISBLANK(R1551), 1000000, IF(ISNA(VLOOKUP(R1551, Mileages!$A$2:$C$34, 2, 0)), R1551, VLOOKUP(R1551, Mileages!$A$2:$C$34, 2, 0)))) + (F1551 * IF(ISBLANK(P1551), 1, P1551) * IF(ISBLANK(T1551), 0, IF(ISNA(VLOOKUP(T1551, 'Fuel Costs'!$A$2:$C$42, 2, 0)), T1551, VLOOKUP(T1551, 'Fuel Costs'!$A$2:$C$42, 2, 0))) / IF(ISBLANK(O1551), 1, O1551))) * 100</f>
        <v>0.1732291667</v>
      </c>
      <c r="J1551" s="2" t="n">
        <f aca="false">((H1551 / 800) / (IF(ISBLANK(S1551), 100, IF(ISNA(VLOOKUP(S1551, Lives!$A$2:$C$35, 2, 0)), S1551, VLOOKUP(S1551, Lives!$A$2:$C$35, 2, 0))) * 12) + (IF(ISBLANK(Q1551), 0, IF(ISNA(VLOOKUP(Q1551, Wages!$A$2:$C$17, 2, 0)), Q1551, VLOOKUP(Q1551, Wages!$A$2:$C$17, 2, 0))) * IF(ISBLANK(N1551), 0, IF(ISNA(VLOOKUP(N1551, Crews!$A$2:$C$28, 2, 0)), N1551, VLOOKUP(N1551, Crews!$A$2:$C$28, 2, 0))))) * 400</f>
        <v>1979.761905</v>
      </c>
      <c r="K1551" s="1"/>
      <c r="L1551" s="1" t="s">
        <v>3057</v>
      </c>
      <c r="M1551" s="1" t="n">
        <v>1</v>
      </c>
      <c r="N1551" s="1"/>
      <c r="O1551" s="1"/>
      <c r="P1551" s="1"/>
      <c r="Q1551" s="1"/>
      <c r="R1551" s="1" t="s">
        <v>689</v>
      </c>
      <c r="S1551" s="1" t="s">
        <v>856</v>
      </c>
      <c r="T1551" s="1"/>
    </row>
    <row r="1552" customFormat="false" ht="15" hidden="false" customHeight="true" outlineLevel="0" collapsed="false">
      <c r="A1552" s="1" t="s">
        <v>3059</v>
      </c>
      <c r="B1552" s="1" t="n">
        <v>1931</v>
      </c>
      <c r="C1552" s="1" t="n">
        <v>5</v>
      </c>
      <c r="D1552" s="1" t="s">
        <v>38</v>
      </c>
      <c r="E1552" s="1" t="s">
        <v>1346</v>
      </c>
      <c r="F1552" s="1" t="n">
        <v>978</v>
      </c>
      <c r="G1552" s="1" t="n">
        <v>97</v>
      </c>
      <c r="H1552" s="2" t="n">
        <v>1663000</v>
      </c>
      <c r="I1552" s="2" t="n">
        <f aca="false">(((H1552 / 800) / IF(ISBLANK(R1552), 1000000, IF(ISNA(VLOOKUP(R1552, Mileages!$A$2:$C$34, 2, 0)), R1552, VLOOKUP(R1552, Mileages!$A$2:$C$34, 2, 0)))) + (F1552 * IF(ISBLANK(P1552), 1, P1552) * IF(ISBLANK(T1552), 0, IF(ISNA(VLOOKUP(T1552, 'Fuel Costs'!$A$2:$C$42, 2, 0)), T1552, VLOOKUP(T1552, 'Fuel Costs'!$A$2:$C$42, 2, 0))) / IF(ISBLANK(O1552), 1, O1552))) * 100</f>
        <v>391.407875</v>
      </c>
      <c r="J1552" s="2" t="n">
        <f aca="false">((H1552 / 800) / (IF(ISBLANK(S1552), 100, IF(ISNA(VLOOKUP(S1552, Lives!$A$2:$C$35, 2, 0)), S1552, VLOOKUP(S1552, Lives!$A$2:$C$35, 2, 0))) * 12) + (IF(ISBLANK(Q1552), 0, IF(ISNA(VLOOKUP(Q1552, Wages!$A$2:$C$17, 2, 0)), Q1552, VLOOKUP(Q1552, Wages!$A$2:$C$17, 2, 0))) * IF(ISBLANK(N1552), 0, IF(ISNA(VLOOKUP(N1552, Crews!$A$2:$C$28, 2, 0)), N1552, VLOOKUP(N1552, Crews!$A$2:$C$28, 2, 0))))) * 400</f>
        <v>7385.833333</v>
      </c>
      <c r="K1552" s="1"/>
      <c r="L1552" s="1" t="s">
        <v>3057</v>
      </c>
      <c r="M1552" s="1" t="n">
        <v>2</v>
      </c>
      <c r="N1552" s="1" t="s">
        <v>1512</v>
      </c>
      <c r="O1552" s="1" t="n">
        <v>1</v>
      </c>
      <c r="P1552" s="1"/>
      <c r="Q1552" s="1" t="str">
        <f aca="false">IF(ISBLANK('Pak128 Britain In'!$N1552),,'Pak128 Britain In'!$N1552)</f>
        <v>ElectricMultipleUnit</v>
      </c>
      <c r="R1552" s="1" t="s">
        <v>1349</v>
      </c>
      <c r="S1552" s="1" t="s">
        <v>1350</v>
      </c>
      <c r="T1552" s="1" t="s">
        <v>2580</v>
      </c>
    </row>
    <row r="1553" customFormat="false" ht="15" hidden="false" customHeight="true" outlineLevel="0" collapsed="false">
      <c r="A1553" s="1" t="s">
        <v>3060</v>
      </c>
      <c r="B1553" s="1" t="n">
        <v>1931</v>
      </c>
      <c r="C1553" s="1" t="n">
        <v>5</v>
      </c>
      <c r="D1553" s="1" t="s">
        <v>21</v>
      </c>
      <c r="E1553" s="1" t="s">
        <v>1346</v>
      </c>
      <c r="F1553" s="1" t="n">
        <v>70</v>
      </c>
      <c r="G1553" s="1" t="n">
        <v>48</v>
      </c>
      <c r="H1553" s="2" t="n">
        <v>210000</v>
      </c>
      <c r="I1553" s="2" t="n">
        <f aca="false">(((H1553 / 800) / IF(ISBLANK(R1553), 1000000, IF(ISNA(VLOOKUP(R1553, Mileages!$A$2:$C$34, 2, 0)), R1553, VLOOKUP(R1553, Mileages!$A$2:$C$34, 2, 0)))) + (F1553 * IF(ISBLANK(P1553), 1, P1553) * IF(ISBLANK(T1553), 0, IF(ISNA(VLOOKUP(T1553, 'Fuel Costs'!$A$2:$C$42, 2, 0)), T1553, VLOOKUP(T1553, 'Fuel Costs'!$A$2:$C$42, 2, 0))) / IF(ISBLANK(O1553), 1, O1553))) * 100</f>
        <v>28.035</v>
      </c>
      <c r="J1553" s="2" t="n">
        <f aca="false">((H1553 / 800) / (IF(ISBLANK(S1553), 100, IF(ISNA(VLOOKUP(S1553, Lives!$A$2:$C$35, 2, 0)), S1553, VLOOKUP(S1553, Lives!$A$2:$C$35, 2, 0))) * 12) + (IF(ISBLANK(Q1553), 0, IF(ISNA(VLOOKUP(Q1553, Wages!$A$2:$C$17, 2, 0)), Q1553, VLOOKUP(Q1553, Wages!$A$2:$C$17, 2, 0))) * IF(ISBLANK(N1553), 0, IF(ISNA(VLOOKUP(N1553, Crews!$A$2:$C$28, 2, 0)), N1553, VLOOKUP(N1553, Crews!$A$2:$C$28, 2, 0))))) * 400</f>
        <v>12218.75</v>
      </c>
      <c r="K1553" s="3" t="s">
        <v>3061</v>
      </c>
      <c r="L1553" s="1" t="s">
        <v>3062</v>
      </c>
      <c r="M1553" s="1" t="n">
        <v>0</v>
      </c>
      <c r="N1553" s="1" t="s">
        <v>3063</v>
      </c>
      <c r="O1553" s="1"/>
      <c r="P1553" s="1"/>
      <c r="Q1553" s="1" t="s">
        <v>3064</v>
      </c>
      <c r="R1553" s="1" t="s">
        <v>3064</v>
      </c>
      <c r="S1553" s="1" t="s">
        <v>3064</v>
      </c>
      <c r="T1553" s="1" t="s">
        <v>2580</v>
      </c>
    </row>
    <row r="1554" customFormat="false" ht="15" hidden="false" customHeight="true" outlineLevel="0" collapsed="false">
      <c r="A1554" s="1" t="s">
        <v>3065</v>
      </c>
      <c r="B1554" s="1" t="n">
        <v>1931</v>
      </c>
      <c r="C1554" s="1" t="n">
        <v>5</v>
      </c>
      <c r="D1554" s="1" t="s">
        <v>2225</v>
      </c>
      <c r="E1554" s="1" t="s">
        <v>1839</v>
      </c>
      <c r="F1554" s="1" t="n">
        <v>429</v>
      </c>
      <c r="G1554" s="1" t="n">
        <v>330</v>
      </c>
      <c r="H1554" s="2" t="n">
        <v>2300000</v>
      </c>
      <c r="I1554" s="2" t="n">
        <f aca="false">(((H1554 / 800) / IF(ISBLANK(R1554), 1000000, IF(ISNA(VLOOKUP(R1554, Mileages!$A$2:$C$34, 2, 0)), R1554, VLOOKUP(R1554, Mileages!$A$2:$C$34, 2, 0)))) + (F1554 * IF(ISBLANK(P1554), 1, P1554) * IF(ISBLANK(T1554), 0, IF(ISNA(VLOOKUP(T1554, 'Fuel Costs'!$A$2:$C$42, 2, 0)), T1554, VLOOKUP(T1554, 'Fuel Costs'!$A$2:$C$42, 2, 0))) / IF(ISBLANK(O1554), 1, O1554))) * 100</f>
        <v>21.5075</v>
      </c>
      <c r="J1554" s="2" t="n">
        <f aca="false">((H1554 / 800) / (IF(ISBLANK(S1554), 100, IF(ISNA(VLOOKUP(S1554, Lives!$A$2:$C$35, 2, 0)), S1554, VLOOKUP(S1554, Lives!$A$2:$C$35, 2, 0))) * 12) + (IF(ISBLANK(Q1554), 0, IF(ISNA(VLOOKUP(Q1554, Wages!$A$2:$C$17, 2, 0)), Q1554, VLOOKUP(Q1554, Wages!$A$2:$C$17, 2, 0))) * IF(ISBLANK(N1554), 0, IF(ISNA(VLOOKUP(N1554, Crews!$A$2:$C$28, 2, 0)), N1554, VLOOKUP(N1554, Crews!$A$2:$C$28, 2, 0))))) * 400</f>
        <v>51597.22222</v>
      </c>
      <c r="K1554" s="3" t="s">
        <v>3066</v>
      </c>
      <c r="L1554" s="1" t="s">
        <v>3067</v>
      </c>
      <c r="M1554" s="1" t="n">
        <v>0</v>
      </c>
      <c r="N1554" s="1" t="s">
        <v>2342</v>
      </c>
      <c r="O1554" s="1"/>
      <c r="P1554" s="1" t="n">
        <v>0.1</v>
      </c>
      <c r="Q1554" s="1" t="s">
        <v>2229</v>
      </c>
      <c r="R1554" s="1" t="s">
        <v>2229</v>
      </c>
      <c r="S1554" s="1" t="s">
        <v>2229</v>
      </c>
      <c r="T1554" s="1" t="s">
        <v>2572</v>
      </c>
    </row>
    <row r="1555" customFormat="false" ht="15" hidden="false" customHeight="true" outlineLevel="0" collapsed="false">
      <c r="A1555" s="1" t="s">
        <v>3068</v>
      </c>
      <c r="B1555" s="1" t="n">
        <v>1931</v>
      </c>
      <c r="C1555" s="1" t="n">
        <v>5</v>
      </c>
      <c r="D1555" s="1" t="s">
        <v>2225</v>
      </c>
      <c r="E1555" s="1" t="s">
        <v>1839</v>
      </c>
      <c r="F1555" s="1" t="n">
        <v>429</v>
      </c>
      <c r="G1555" s="1" t="n">
        <v>330</v>
      </c>
      <c r="H1555" s="2" t="n">
        <v>2300000</v>
      </c>
      <c r="I1555" s="2" t="n">
        <f aca="false">(((H1555 / 800) / IF(ISBLANK(R1555), 1000000, IF(ISNA(VLOOKUP(R1555, Mileages!$A$2:$C$34, 2, 0)), R1555, VLOOKUP(R1555, Mileages!$A$2:$C$34, 2, 0)))) + (F1555 * IF(ISBLANK(P1555), 1, P1555) * IF(ISBLANK(T1555), 0, IF(ISNA(VLOOKUP(T1555, 'Fuel Costs'!$A$2:$C$42, 2, 0)), T1555, VLOOKUP(T1555, 'Fuel Costs'!$A$2:$C$42, 2, 0))) / IF(ISBLANK(O1555), 1, O1555))) * 100</f>
        <v>21.5075</v>
      </c>
      <c r="J1555" s="2" t="n">
        <f aca="false">((H1555 / 800) / (IF(ISBLANK(S1555), 100, IF(ISNA(VLOOKUP(S1555, Lives!$A$2:$C$35, 2, 0)), S1555, VLOOKUP(S1555, Lives!$A$2:$C$35, 2, 0))) * 12) + (IF(ISBLANK(Q1555), 0, IF(ISNA(VLOOKUP(Q1555, Wages!$A$2:$C$17, 2, 0)), Q1555, VLOOKUP(Q1555, Wages!$A$2:$C$17, 2, 0))) * IF(ISBLANK(N1555), 0, IF(ISNA(VLOOKUP(N1555, Crews!$A$2:$C$28, 2, 0)), N1555, VLOOKUP(N1555, Crews!$A$2:$C$28, 2, 0))))) * 400</f>
        <v>11597.22222</v>
      </c>
      <c r="K1555" s="3" t="s">
        <v>3069</v>
      </c>
      <c r="L1555" s="1" t="s">
        <v>3067</v>
      </c>
      <c r="M1555" s="1" t="n">
        <v>1</v>
      </c>
      <c r="N1555" s="1" t="s">
        <v>25</v>
      </c>
      <c r="O1555" s="1"/>
      <c r="P1555" s="1" t="n">
        <v>0.1</v>
      </c>
      <c r="Q1555" s="1" t="s">
        <v>2229</v>
      </c>
      <c r="R1555" s="1" t="s">
        <v>2229</v>
      </c>
      <c r="S1555" s="1" t="s">
        <v>2229</v>
      </c>
      <c r="T1555" s="1" t="s">
        <v>2572</v>
      </c>
    </row>
    <row r="1556" customFormat="false" ht="15" hidden="false" customHeight="true" outlineLevel="0" collapsed="false">
      <c r="A1556" s="1" t="s">
        <v>3070</v>
      </c>
      <c r="B1556" s="1" t="n">
        <v>1931</v>
      </c>
      <c r="C1556" s="1" t="n">
        <v>6</v>
      </c>
      <c r="D1556" s="1" t="s">
        <v>21</v>
      </c>
      <c r="E1556" s="1" t="s">
        <v>274</v>
      </c>
      <c r="F1556" s="1" t="n">
        <v>72</v>
      </c>
      <c r="G1556" s="1" t="n">
        <v>50</v>
      </c>
      <c r="H1556" s="2" t="n">
        <v>167500</v>
      </c>
      <c r="I1556" s="2" t="n">
        <f aca="false">(((H1556 / 800) / IF(ISBLANK(R1556), 1000000, IF(ISNA(VLOOKUP(R1556, Mileages!$A$2:$C$34, 2, 0)), R1556, VLOOKUP(R1556, Mileages!$A$2:$C$34, 2, 0)))) + (F1556 * IF(ISBLANK(P1556), 1, P1556) * IF(ISBLANK(T1556), 0, IF(ISNA(VLOOKUP(T1556, 'Fuel Costs'!$A$2:$C$42, 2, 0)), T1556, VLOOKUP(T1556, 'Fuel Costs'!$A$2:$C$42, 2, 0))) / IF(ISBLANK(O1556), 1, O1556))) * 100</f>
        <v>48.041875</v>
      </c>
      <c r="J1556" s="2" t="n">
        <f aca="false">((H1556 / 800) / (IF(ISBLANK(S1556), 100, IF(ISNA(VLOOKUP(S1556, Lives!$A$2:$C$35, 2, 0)), S1556, VLOOKUP(S1556, Lives!$A$2:$C$35, 2, 0))) * 12) + (IF(ISBLANK(Q1556), 0, IF(ISNA(VLOOKUP(Q1556, Wages!$A$2:$C$17, 2, 0)), Q1556, VLOOKUP(Q1556, Wages!$A$2:$C$17, 2, 0))) * IF(ISBLANK(N1556), 0, IF(ISNA(VLOOKUP(N1556, Crews!$A$2:$C$28, 2, 0)), N1556, VLOOKUP(N1556, Crews!$A$2:$C$28, 2, 0))))) * 400</f>
        <v>8087.239583</v>
      </c>
      <c r="K1556" s="3" t="s">
        <v>2912</v>
      </c>
      <c r="L1556" s="1" t="s">
        <v>3071</v>
      </c>
      <c r="M1556" s="1" t="n">
        <v>0</v>
      </c>
      <c r="N1556" s="1" t="s">
        <v>25</v>
      </c>
      <c r="O1556" s="1" t="n">
        <v>0.6</v>
      </c>
      <c r="P1556" s="1"/>
      <c r="Q1556" s="1" t="s">
        <v>1815</v>
      </c>
      <c r="R1556" s="1" t="s">
        <v>837</v>
      </c>
      <c r="S1556" s="1" t="s">
        <v>837</v>
      </c>
      <c r="T1556" s="1" t="s">
        <v>2252</v>
      </c>
    </row>
    <row r="1557" customFormat="false" ht="15" hidden="false" customHeight="true" outlineLevel="0" collapsed="false">
      <c r="A1557" s="1" t="s">
        <v>3072</v>
      </c>
      <c r="B1557" s="1" t="n">
        <v>1931</v>
      </c>
      <c r="C1557" s="1" t="n">
        <v>6</v>
      </c>
      <c r="D1557" s="1" t="s">
        <v>21</v>
      </c>
      <c r="E1557" s="1" t="s">
        <v>274</v>
      </c>
      <c r="F1557" s="1" t="n">
        <v>72</v>
      </c>
      <c r="G1557" s="1" t="n">
        <v>50</v>
      </c>
      <c r="H1557" s="2" t="n">
        <v>167500</v>
      </c>
      <c r="I1557" s="2" t="n">
        <f aca="false">(((H1557 / 800) / IF(ISBLANK(R1557), 1000000, IF(ISNA(VLOOKUP(R1557, Mileages!$A$2:$C$34, 2, 0)), R1557, VLOOKUP(R1557, Mileages!$A$2:$C$34, 2, 0)))) + (F1557 * IF(ISBLANK(P1557), 1, P1557) * IF(ISBLANK(T1557), 0, IF(ISNA(VLOOKUP(T1557, 'Fuel Costs'!$A$2:$C$42, 2, 0)), T1557, VLOOKUP(T1557, 'Fuel Costs'!$A$2:$C$42, 2, 0))) / IF(ISBLANK(O1557), 1, O1557))) * 100</f>
        <v>48.041875</v>
      </c>
      <c r="J1557" s="2" t="n">
        <f aca="false">((H1557 / 800) / (IF(ISBLANK(S1557), 100, IF(ISNA(VLOOKUP(S1557, Lives!$A$2:$C$35, 2, 0)), S1557, VLOOKUP(S1557, Lives!$A$2:$C$35, 2, 0))) * 12) + (IF(ISBLANK(Q1557), 0, IF(ISNA(VLOOKUP(Q1557, Wages!$A$2:$C$17, 2, 0)), Q1557, VLOOKUP(Q1557, Wages!$A$2:$C$17, 2, 0))) * IF(ISBLANK(N1557), 0, IF(ISNA(VLOOKUP(N1557, Crews!$A$2:$C$28, 2, 0)), N1557, VLOOKUP(N1557, Crews!$A$2:$C$28, 2, 0))))) * 400</f>
        <v>8087.239583</v>
      </c>
      <c r="K1557" s="1"/>
      <c r="L1557" s="1" t="s">
        <v>3071</v>
      </c>
      <c r="M1557" s="1" t="n">
        <v>1</v>
      </c>
      <c r="N1557" s="1" t="s">
        <v>25</v>
      </c>
      <c r="O1557" s="1" t="n">
        <v>0.6</v>
      </c>
      <c r="P1557" s="1"/>
      <c r="Q1557" s="1" t="s">
        <v>1815</v>
      </c>
      <c r="R1557" s="1" t="s">
        <v>837</v>
      </c>
      <c r="S1557" s="1" t="s">
        <v>837</v>
      </c>
      <c r="T1557" s="1" t="s">
        <v>2252</v>
      </c>
    </row>
    <row r="1558" customFormat="false" ht="15" hidden="false" customHeight="true" outlineLevel="0" collapsed="false">
      <c r="A1558" s="1" t="s">
        <v>3073</v>
      </c>
      <c r="B1558" s="1" t="n">
        <v>1931</v>
      </c>
      <c r="C1558" s="1" t="n">
        <v>6</v>
      </c>
      <c r="D1558" s="1" t="s">
        <v>21</v>
      </c>
      <c r="E1558" s="1" t="s">
        <v>274</v>
      </c>
      <c r="F1558" s="1" t="n">
        <v>72</v>
      </c>
      <c r="G1558" s="1" t="n">
        <v>50</v>
      </c>
      <c r="H1558" s="2" t="n">
        <v>167500</v>
      </c>
      <c r="I1558" s="2" t="n">
        <f aca="false">(((H1558 / 800) / IF(ISBLANK(R1558), 1000000, IF(ISNA(VLOOKUP(R1558, Mileages!$A$2:$C$34, 2, 0)), R1558, VLOOKUP(R1558, Mileages!$A$2:$C$34, 2, 0)))) + (F1558 * IF(ISBLANK(P1558), 1, P1558) * IF(ISBLANK(T1558), 0, IF(ISNA(VLOOKUP(T1558, 'Fuel Costs'!$A$2:$C$42, 2, 0)), T1558, VLOOKUP(T1558, 'Fuel Costs'!$A$2:$C$42, 2, 0))) / IF(ISBLANK(O1558), 1, O1558))) * 100</f>
        <v>48.041875</v>
      </c>
      <c r="J1558" s="2" t="n">
        <f aca="false">((H1558 / 800) / (IF(ISBLANK(S1558), 100, IF(ISNA(VLOOKUP(S1558, Lives!$A$2:$C$35, 2, 0)), S1558, VLOOKUP(S1558, Lives!$A$2:$C$35, 2, 0))) * 12) + (IF(ISBLANK(Q1558), 0, IF(ISNA(VLOOKUP(Q1558, Wages!$A$2:$C$17, 2, 0)), Q1558, VLOOKUP(Q1558, Wages!$A$2:$C$17, 2, 0))) * IF(ISBLANK(N1558), 0, IF(ISNA(VLOOKUP(N1558, Crews!$A$2:$C$28, 2, 0)), N1558, VLOOKUP(N1558, Crews!$A$2:$C$28, 2, 0))))) * 400</f>
        <v>8087.239583</v>
      </c>
      <c r="K1558" s="1"/>
      <c r="L1558" s="1" t="s">
        <v>3071</v>
      </c>
      <c r="M1558" s="1" t="n">
        <v>2</v>
      </c>
      <c r="N1558" s="1" t="s">
        <v>25</v>
      </c>
      <c r="O1558" s="1" t="n">
        <v>0.6</v>
      </c>
      <c r="P1558" s="1"/>
      <c r="Q1558" s="1" t="s">
        <v>1815</v>
      </c>
      <c r="R1558" s="1" t="s">
        <v>837</v>
      </c>
      <c r="S1558" s="1" t="s">
        <v>837</v>
      </c>
      <c r="T1558" s="1" t="s">
        <v>2252</v>
      </c>
    </row>
    <row r="1559" customFormat="false" ht="15" hidden="false" customHeight="true" outlineLevel="0" collapsed="false">
      <c r="A1559" s="1" t="s">
        <v>3074</v>
      </c>
      <c r="B1559" s="1" t="n">
        <v>1931</v>
      </c>
      <c r="C1559" s="1" t="n">
        <v>6</v>
      </c>
      <c r="D1559" s="1" t="s">
        <v>21</v>
      </c>
      <c r="E1559" s="1" t="s">
        <v>274</v>
      </c>
      <c r="F1559" s="1" t="n">
        <v>72</v>
      </c>
      <c r="G1559" s="1" t="n">
        <v>50</v>
      </c>
      <c r="H1559" s="2" t="n">
        <v>167500</v>
      </c>
      <c r="I1559" s="2" t="n">
        <f aca="false">(((H1559 / 800) / IF(ISBLANK(R1559), 1000000, IF(ISNA(VLOOKUP(R1559, Mileages!$A$2:$C$34, 2, 0)), R1559, VLOOKUP(R1559, Mileages!$A$2:$C$34, 2, 0)))) + (F1559 * IF(ISBLANK(P1559), 1, P1559) * IF(ISBLANK(T1559), 0, IF(ISNA(VLOOKUP(T1559, 'Fuel Costs'!$A$2:$C$42, 2, 0)), T1559, VLOOKUP(T1559, 'Fuel Costs'!$A$2:$C$42, 2, 0))) / IF(ISBLANK(O1559), 1, O1559))) * 100</f>
        <v>48.041875</v>
      </c>
      <c r="J1559" s="2" t="n">
        <f aca="false">((H1559 / 800) / (IF(ISBLANK(S1559), 100, IF(ISNA(VLOOKUP(S1559, Lives!$A$2:$C$35, 2, 0)), S1559, VLOOKUP(S1559, Lives!$A$2:$C$35, 2, 0))) * 12) + (IF(ISBLANK(Q1559), 0, IF(ISNA(VLOOKUP(Q1559, Wages!$A$2:$C$17, 2, 0)), Q1559, VLOOKUP(Q1559, Wages!$A$2:$C$17, 2, 0))) * IF(ISBLANK(N1559), 0, IF(ISNA(VLOOKUP(N1559, Crews!$A$2:$C$28, 2, 0)), N1559, VLOOKUP(N1559, Crews!$A$2:$C$28, 2, 0))))) * 400</f>
        <v>8087.239583</v>
      </c>
      <c r="K1559" s="1"/>
      <c r="L1559" s="1" t="s">
        <v>3071</v>
      </c>
      <c r="M1559" s="1" t="n">
        <v>3</v>
      </c>
      <c r="N1559" s="1" t="s">
        <v>25</v>
      </c>
      <c r="O1559" s="1" t="n">
        <v>0.6</v>
      </c>
      <c r="P1559" s="1"/>
      <c r="Q1559" s="1" t="s">
        <v>1815</v>
      </c>
      <c r="R1559" s="1" t="s">
        <v>837</v>
      </c>
      <c r="S1559" s="1" t="s">
        <v>837</v>
      </c>
      <c r="T1559" s="1" t="s">
        <v>2252</v>
      </c>
    </row>
    <row r="1560" customFormat="false" ht="15" hidden="false" customHeight="true" outlineLevel="0" collapsed="false">
      <c r="A1560" s="1" t="s">
        <v>3075</v>
      </c>
      <c r="B1560" s="1" t="n">
        <v>1931</v>
      </c>
      <c r="C1560" s="1" t="n">
        <v>6</v>
      </c>
      <c r="D1560" s="1" t="s">
        <v>21</v>
      </c>
      <c r="E1560" s="1" t="s">
        <v>274</v>
      </c>
      <c r="F1560" s="1" t="n">
        <v>72</v>
      </c>
      <c r="G1560" s="1" t="n">
        <v>50</v>
      </c>
      <c r="H1560" s="2" t="n">
        <v>167500</v>
      </c>
      <c r="I1560" s="2" t="n">
        <f aca="false">(((H1560 / 800) / IF(ISBLANK(R1560), 1000000, IF(ISNA(VLOOKUP(R1560, Mileages!$A$2:$C$34, 2, 0)), R1560, VLOOKUP(R1560, Mileages!$A$2:$C$34, 2, 0)))) + (F1560 * IF(ISBLANK(P1560), 1, P1560) * IF(ISBLANK(T1560), 0, IF(ISNA(VLOOKUP(T1560, 'Fuel Costs'!$A$2:$C$42, 2, 0)), T1560, VLOOKUP(T1560, 'Fuel Costs'!$A$2:$C$42, 2, 0))) / IF(ISBLANK(O1560), 1, O1560))) * 100</f>
        <v>48.041875</v>
      </c>
      <c r="J1560" s="2" t="n">
        <f aca="false">((H1560 / 800) / (IF(ISBLANK(S1560), 100, IF(ISNA(VLOOKUP(S1560, Lives!$A$2:$C$35, 2, 0)), S1560, VLOOKUP(S1560, Lives!$A$2:$C$35, 2, 0))) * 12) + (IF(ISBLANK(Q1560), 0, IF(ISNA(VLOOKUP(Q1560, Wages!$A$2:$C$17, 2, 0)), Q1560, VLOOKUP(Q1560, Wages!$A$2:$C$17, 2, 0))) * IF(ISBLANK(N1560), 0, IF(ISNA(VLOOKUP(N1560, Crews!$A$2:$C$28, 2, 0)), N1560, VLOOKUP(N1560, Crews!$A$2:$C$28, 2, 0))))) * 400</f>
        <v>8087.239583</v>
      </c>
      <c r="K1560" s="1"/>
      <c r="L1560" s="1" t="s">
        <v>3071</v>
      </c>
      <c r="M1560" s="1" t="n">
        <v>4</v>
      </c>
      <c r="N1560" s="1" t="s">
        <v>25</v>
      </c>
      <c r="O1560" s="1" t="n">
        <v>0.6</v>
      </c>
      <c r="P1560" s="1"/>
      <c r="Q1560" s="1" t="s">
        <v>1815</v>
      </c>
      <c r="R1560" s="1" t="s">
        <v>837</v>
      </c>
      <c r="S1560" s="1" t="s">
        <v>837</v>
      </c>
      <c r="T1560" s="1" t="s">
        <v>2252</v>
      </c>
    </row>
    <row r="1561" customFormat="false" ht="15" hidden="false" customHeight="true" outlineLevel="0" collapsed="false">
      <c r="A1561" s="1" t="s">
        <v>3076</v>
      </c>
      <c r="B1561" s="1" t="n">
        <v>1931</v>
      </c>
      <c r="C1561" s="1" t="n">
        <v>6</v>
      </c>
      <c r="D1561" s="1" t="s">
        <v>21</v>
      </c>
      <c r="E1561" s="1" t="s">
        <v>274</v>
      </c>
      <c r="F1561" s="1" t="n">
        <v>72</v>
      </c>
      <c r="G1561" s="1" t="n">
        <v>50</v>
      </c>
      <c r="H1561" s="2" t="n">
        <v>167500</v>
      </c>
      <c r="I1561" s="2" t="n">
        <f aca="false">(((H1561 / 800) / IF(ISBLANK(R1561), 1000000, IF(ISNA(VLOOKUP(R1561, Mileages!$A$2:$C$34, 2, 0)), R1561, VLOOKUP(R1561, Mileages!$A$2:$C$34, 2, 0)))) + (F1561 * IF(ISBLANK(P1561), 1, P1561) * IF(ISBLANK(T1561), 0, IF(ISNA(VLOOKUP(T1561, 'Fuel Costs'!$A$2:$C$42, 2, 0)), T1561, VLOOKUP(T1561, 'Fuel Costs'!$A$2:$C$42, 2, 0))) / IF(ISBLANK(O1561), 1, O1561))) * 100</f>
        <v>48.041875</v>
      </c>
      <c r="J1561" s="2" t="n">
        <f aca="false">((H1561 / 800) / (IF(ISBLANK(S1561), 100, IF(ISNA(VLOOKUP(S1561, Lives!$A$2:$C$35, 2, 0)), S1561, VLOOKUP(S1561, Lives!$A$2:$C$35, 2, 0))) * 12) + (IF(ISBLANK(Q1561), 0, IF(ISNA(VLOOKUP(Q1561, Wages!$A$2:$C$17, 2, 0)), Q1561, VLOOKUP(Q1561, Wages!$A$2:$C$17, 2, 0))) * IF(ISBLANK(N1561), 0, IF(ISNA(VLOOKUP(N1561, Crews!$A$2:$C$28, 2, 0)), N1561, VLOOKUP(N1561, Crews!$A$2:$C$28, 2, 0))))) * 400</f>
        <v>8087.239583</v>
      </c>
      <c r="K1561" s="1"/>
      <c r="L1561" s="1" t="s">
        <v>3071</v>
      </c>
      <c r="M1561" s="1" t="n">
        <v>5</v>
      </c>
      <c r="N1561" s="1" t="s">
        <v>25</v>
      </c>
      <c r="O1561" s="1" t="n">
        <v>0.6</v>
      </c>
      <c r="P1561" s="1"/>
      <c r="Q1561" s="1" t="s">
        <v>1815</v>
      </c>
      <c r="R1561" s="1" t="s">
        <v>837</v>
      </c>
      <c r="S1561" s="1" t="s">
        <v>837</v>
      </c>
      <c r="T1561" s="1" t="s">
        <v>2252</v>
      </c>
    </row>
    <row r="1562" customFormat="false" ht="15" hidden="false" customHeight="true" outlineLevel="0" collapsed="false">
      <c r="A1562" s="1" t="s">
        <v>3077</v>
      </c>
      <c r="B1562" s="1" t="n">
        <v>1931</v>
      </c>
      <c r="C1562" s="1" t="n">
        <v>6</v>
      </c>
      <c r="D1562" s="1" t="s">
        <v>21</v>
      </c>
      <c r="E1562" s="1" t="s">
        <v>274</v>
      </c>
      <c r="F1562" s="1" t="n">
        <v>68</v>
      </c>
      <c r="G1562" s="1" t="n">
        <v>32</v>
      </c>
      <c r="H1562" s="2" t="n">
        <v>139000</v>
      </c>
      <c r="I1562" s="2" t="n">
        <f aca="false">(((H1562 / 800) / IF(ISBLANK(R1562), 1000000, IF(ISNA(VLOOKUP(R1562, Mileages!$A$2:$C$34, 2, 0)), R1562, VLOOKUP(R1562, Mileages!$A$2:$C$34, 2, 0)))) + (F1562 * IF(ISBLANK(P1562), 1, P1562) * IF(ISBLANK(T1562), 0, IF(ISNA(VLOOKUP(T1562, 'Fuel Costs'!$A$2:$C$42, 2, 0)), T1562, VLOOKUP(T1562, 'Fuel Costs'!$A$2:$C$42, 2, 0))) / IF(ISBLANK(O1562), 1, O1562))) * 100</f>
        <v>45.36808333</v>
      </c>
      <c r="J1562" s="2" t="n">
        <f aca="false">((H1562 / 800) / (IF(ISBLANK(S1562), 100, IF(ISNA(VLOOKUP(S1562, Lives!$A$2:$C$35, 2, 0)), S1562, VLOOKUP(S1562, Lives!$A$2:$C$35, 2, 0))) * 12) + (IF(ISBLANK(Q1562), 0, IF(ISNA(VLOOKUP(Q1562, Wages!$A$2:$C$17, 2, 0)), Q1562, VLOOKUP(Q1562, Wages!$A$2:$C$17, 2, 0))) * IF(ISBLANK(N1562), 0, IF(ISNA(VLOOKUP(N1562, Crews!$A$2:$C$28, 2, 0)), N1562, VLOOKUP(N1562, Crews!$A$2:$C$28, 2, 0))))) * 400</f>
        <v>8072.395833</v>
      </c>
      <c r="K1562" s="3" t="s">
        <v>3078</v>
      </c>
      <c r="L1562" s="1" t="s">
        <v>3079</v>
      </c>
      <c r="M1562" s="1" t="n">
        <v>0</v>
      </c>
      <c r="N1562" s="1" t="s">
        <v>25</v>
      </c>
      <c r="O1562" s="1" t="n">
        <v>0.6</v>
      </c>
      <c r="P1562" s="1"/>
      <c r="Q1562" s="1" t="s">
        <v>1815</v>
      </c>
      <c r="R1562" s="1" t="s">
        <v>837</v>
      </c>
      <c r="S1562" s="1" t="s">
        <v>837</v>
      </c>
      <c r="T1562" s="1" t="s">
        <v>2252</v>
      </c>
    </row>
    <row r="1563" customFormat="false" ht="15" hidden="false" customHeight="true" outlineLevel="0" collapsed="false">
      <c r="A1563" s="1" t="s">
        <v>3080</v>
      </c>
      <c r="B1563" s="1" t="n">
        <v>1931</v>
      </c>
      <c r="C1563" s="1" t="n">
        <v>6</v>
      </c>
      <c r="D1563" s="1" t="s">
        <v>21</v>
      </c>
      <c r="E1563" s="1" t="s">
        <v>274</v>
      </c>
      <c r="F1563" s="1" t="n">
        <v>68</v>
      </c>
      <c r="G1563" s="1" t="n">
        <v>32</v>
      </c>
      <c r="H1563" s="2" t="n">
        <v>139000</v>
      </c>
      <c r="I1563" s="2" t="n">
        <f aca="false">(((H1563 / 800) / IF(ISBLANK(R1563), 1000000, IF(ISNA(VLOOKUP(R1563, Mileages!$A$2:$C$34, 2, 0)), R1563, VLOOKUP(R1563, Mileages!$A$2:$C$34, 2, 0)))) + (F1563 * IF(ISBLANK(P1563), 1, P1563) * IF(ISBLANK(T1563), 0, IF(ISNA(VLOOKUP(T1563, 'Fuel Costs'!$A$2:$C$42, 2, 0)), T1563, VLOOKUP(T1563, 'Fuel Costs'!$A$2:$C$42, 2, 0))) / IF(ISBLANK(O1563), 1, O1563))) * 100</f>
        <v>45.36808333</v>
      </c>
      <c r="J1563" s="2" t="n">
        <f aca="false">((H1563 / 800) / (IF(ISBLANK(S1563), 100, IF(ISNA(VLOOKUP(S1563, Lives!$A$2:$C$35, 2, 0)), S1563, VLOOKUP(S1563, Lives!$A$2:$C$35, 2, 0))) * 12) + (IF(ISBLANK(Q1563), 0, IF(ISNA(VLOOKUP(Q1563, Wages!$A$2:$C$17, 2, 0)), Q1563, VLOOKUP(Q1563, Wages!$A$2:$C$17, 2, 0))) * IF(ISBLANK(N1563), 0, IF(ISNA(VLOOKUP(N1563, Crews!$A$2:$C$28, 2, 0)), N1563, VLOOKUP(N1563, Crews!$A$2:$C$28, 2, 0))))) * 400</f>
        <v>8072.395833</v>
      </c>
      <c r="K1563" s="1"/>
      <c r="L1563" s="1" t="s">
        <v>3079</v>
      </c>
      <c r="M1563" s="1" t="n">
        <v>1</v>
      </c>
      <c r="N1563" s="1" t="s">
        <v>25</v>
      </c>
      <c r="O1563" s="1" t="n">
        <v>0.6</v>
      </c>
      <c r="P1563" s="1"/>
      <c r="Q1563" s="1" t="s">
        <v>1815</v>
      </c>
      <c r="R1563" s="1" t="s">
        <v>837</v>
      </c>
      <c r="S1563" s="1" t="s">
        <v>837</v>
      </c>
      <c r="T1563" s="1" t="s">
        <v>2252</v>
      </c>
    </row>
    <row r="1564" customFormat="false" ht="15" hidden="false" customHeight="true" outlineLevel="0" collapsed="false">
      <c r="A1564" s="1" t="s">
        <v>3081</v>
      </c>
      <c r="B1564" s="1" t="n">
        <v>1931</v>
      </c>
      <c r="C1564" s="1" t="n">
        <v>6</v>
      </c>
      <c r="D1564" s="1" t="s">
        <v>21</v>
      </c>
      <c r="E1564" s="1" t="s">
        <v>274</v>
      </c>
      <c r="F1564" s="1" t="n">
        <v>68</v>
      </c>
      <c r="G1564" s="1" t="n">
        <v>32</v>
      </c>
      <c r="H1564" s="2" t="n">
        <v>139000</v>
      </c>
      <c r="I1564" s="2" t="n">
        <f aca="false">(((H1564 / 800) / IF(ISBLANK(R1564), 1000000, IF(ISNA(VLOOKUP(R1564, Mileages!$A$2:$C$34, 2, 0)), R1564, VLOOKUP(R1564, Mileages!$A$2:$C$34, 2, 0)))) + (F1564 * IF(ISBLANK(P1564), 1, P1564) * IF(ISBLANK(T1564), 0, IF(ISNA(VLOOKUP(T1564, 'Fuel Costs'!$A$2:$C$42, 2, 0)), T1564, VLOOKUP(T1564, 'Fuel Costs'!$A$2:$C$42, 2, 0))) / IF(ISBLANK(O1564), 1, O1564))) * 100</f>
        <v>45.36808333</v>
      </c>
      <c r="J1564" s="2" t="n">
        <f aca="false">((H1564 / 800) / (IF(ISBLANK(S1564), 100, IF(ISNA(VLOOKUP(S1564, Lives!$A$2:$C$35, 2, 0)), S1564, VLOOKUP(S1564, Lives!$A$2:$C$35, 2, 0))) * 12) + (IF(ISBLANK(Q1564), 0, IF(ISNA(VLOOKUP(Q1564, Wages!$A$2:$C$17, 2, 0)), Q1564, VLOOKUP(Q1564, Wages!$A$2:$C$17, 2, 0))) * IF(ISBLANK(N1564), 0, IF(ISNA(VLOOKUP(N1564, Crews!$A$2:$C$28, 2, 0)), N1564, VLOOKUP(N1564, Crews!$A$2:$C$28, 2, 0))))) * 400</f>
        <v>8072.395833</v>
      </c>
      <c r="K1564" s="1"/>
      <c r="L1564" s="1" t="s">
        <v>3079</v>
      </c>
      <c r="M1564" s="1" t="n">
        <v>2</v>
      </c>
      <c r="N1564" s="1" t="s">
        <v>25</v>
      </c>
      <c r="O1564" s="1" t="n">
        <v>0.6</v>
      </c>
      <c r="P1564" s="1"/>
      <c r="Q1564" s="1" t="s">
        <v>1815</v>
      </c>
      <c r="R1564" s="1" t="s">
        <v>837</v>
      </c>
      <c r="S1564" s="1" t="s">
        <v>837</v>
      </c>
      <c r="T1564" s="1" t="s">
        <v>2252</v>
      </c>
    </row>
    <row r="1565" customFormat="false" ht="15" hidden="false" customHeight="true" outlineLevel="0" collapsed="false">
      <c r="A1565" s="1" t="s">
        <v>3082</v>
      </c>
      <c r="B1565" s="1" t="n">
        <v>1931</v>
      </c>
      <c r="C1565" s="1" t="n">
        <v>6</v>
      </c>
      <c r="D1565" s="1" t="s">
        <v>21</v>
      </c>
      <c r="E1565" s="1" t="s">
        <v>274</v>
      </c>
      <c r="F1565" s="1" t="n">
        <v>68</v>
      </c>
      <c r="G1565" s="1" t="n">
        <v>32</v>
      </c>
      <c r="H1565" s="2" t="n">
        <v>139000</v>
      </c>
      <c r="I1565" s="2" t="n">
        <f aca="false">(((H1565 / 800) / IF(ISBLANK(R1565), 1000000, IF(ISNA(VLOOKUP(R1565, Mileages!$A$2:$C$34, 2, 0)), R1565, VLOOKUP(R1565, Mileages!$A$2:$C$34, 2, 0)))) + (F1565 * IF(ISBLANK(P1565), 1, P1565) * IF(ISBLANK(T1565), 0, IF(ISNA(VLOOKUP(T1565, 'Fuel Costs'!$A$2:$C$42, 2, 0)), T1565, VLOOKUP(T1565, 'Fuel Costs'!$A$2:$C$42, 2, 0))) / IF(ISBLANK(O1565), 1, O1565))) * 100</f>
        <v>45.36808333</v>
      </c>
      <c r="J1565" s="2" t="n">
        <f aca="false">((H1565 / 800) / (IF(ISBLANK(S1565), 100, IF(ISNA(VLOOKUP(S1565, Lives!$A$2:$C$35, 2, 0)), S1565, VLOOKUP(S1565, Lives!$A$2:$C$35, 2, 0))) * 12) + (IF(ISBLANK(Q1565), 0, IF(ISNA(VLOOKUP(Q1565, Wages!$A$2:$C$17, 2, 0)), Q1565, VLOOKUP(Q1565, Wages!$A$2:$C$17, 2, 0))) * IF(ISBLANK(N1565), 0, IF(ISNA(VLOOKUP(N1565, Crews!$A$2:$C$28, 2, 0)), N1565, VLOOKUP(N1565, Crews!$A$2:$C$28, 2, 0))))) * 400</f>
        <v>8072.395833</v>
      </c>
      <c r="K1565" s="1"/>
      <c r="L1565" s="1" t="s">
        <v>3079</v>
      </c>
      <c r="M1565" s="1" t="n">
        <v>3</v>
      </c>
      <c r="N1565" s="1" t="s">
        <v>25</v>
      </c>
      <c r="O1565" s="1" t="n">
        <v>0.6</v>
      </c>
      <c r="P1565" s="1"/>
      <c r="Q1565" s="1" t="s">
        <v>1815</v>
      </c>
      <c r="R1565" s="1" t="s">
        <v>837</v>
      </c>
      <c r="S1565" s="1" t="s">
        <v>837</v>
      </c>
      <c r="T1565" s="1" t="s">
        <v>2252</v>
      </c>
    </row>
    <row r="1566" customFormat="false" ht="15" hidden="false" customHeight="true" outlineLevel="0" collapsed="false">
      <c r="A1566" s="1" t="s">
        <v>3083</v>
      </c>
      <c r="B1566" s="1" t="n">
        <v>1931</v>
      </c>
      <c r="C1566" s="1" t="n">
        <v>6</v>
      </c>
      <c r="D1566" s="1" t="s">
        <v>21</v>
      </c>
      <c r="E1566" s="1" t="s">
        <v>274</v>
      </c>
      <c r="F1566" s="1" t="n">
        <v>68</v>
      </c>
      <c r="G1566" s="1" t="n">
        <v>32</v>
      </c>
      <c r="H1566" s="2" t="n">
        <v>139000</v>
      </c>
      <c r="I1566" s="2" t="n">
        <f aca="false">(((H1566 / 800) / IF(ISBLANK(R1566), 1000000, IF(ISNA(VLOOKUP(R1566, Mileages!$A$2:$C$34, 2, 0)), R1566, VLOOKUP(R1566, Mileages!$A$2:$C$34, 2, 0)))) + (F1566 * IF(ISBLANK(P1566), 1, P1566) * IF(ISBLANK(T1566), 0, IF(ISNA(VLOOKUP(T1566, 'Fuel Costs'!$A$2:$C$42, 2, 0)), T1566, VLOOKUP(T1566, 'Fuel Costs'!$A$2:$C$42, 2, 0))) / IF(ISBLANK(O1566), 1, O1566))) * 100</f>
        <v>45.36808333</v>
      </c>
      <c r="J1566" s="2" t="n">
        <f aca="false">((H1566 / 800) / (IF(ISBLANK(S1566), 100, IF(ISNA(VLOOKUP(S1566, Lives!$A$2:$C$35, 2, 0)), S1566, VLOOKUP(S1566, Lives!$A$2:$C$35, 2, 0))) * 12) + (IF(ISBLANK(Q1566), 0, IF(ISNA(VLOOKUP(Q1566, Wages!$A$2:$C$17, 2, 0)), Q1566, VLOOKUP(Q1566, Wages!$A$2:$C$17, 2, 0))) * IF(ISBLANK(N1566), 0, IF(ISNA(VLOOKUP(N1566, Crews!$A$2:$C$28, 2, 0)), N1566, VLOOKUP(N1566, Crews!$A$2:$C$28, 2, 0))))) * 400</f>
        <v>8072.395833</v>
      </c>
      <c r="K1566" s="1"/>
      <c r="L1566" s="1" t="s">
        <v>3079</v>
      </c>
      <c r="M1566" s="1" t="n">
        <v>4</v>
      </c>
      <c r="N1566" s="1" t="s">
        <v>25</v>
      </c>
      <c r="O1566" s="1" t="n">
        <v>0.6</v>
      </c>
      <c r="P1566" s="1"/>
      <c r="Q1566" s="1" t="s">
        <v>1815</v>
      </c>
      <c r="R1566" s="1" t="s">
        <v>837</v>
      </c>
      <c r="S1566" s="1" t="s">
        <v>837</v>
      </c>
      <c r="T1566" s="1" t="s">
        <v>2252</v>
      </c>
    </row>
    <row r="1567" customFormat="false" ht="15" hidden="false" customHeight="true" outlineLevel="0" collapsed="false">
      <c r="A1567" s="1" t="s">
        <v>3084</v>
      </c>
      <c r="B1567" s="1" t="n">
        <v>1931</v>
      </c>
      <c r="C1567" s="1" t="n">
        <v>6</v>
      </c>
      <c r="D1567" s="1" t="s">
        <v>21</v>
      </c>
      <c r="E1567" s="1" t="s">
        <v>274</v>
      </c>
      <c r="F1567" s="1" t="n">
        <v>68</v>
      </c>
      <c r="G1567" s="1" t="n">
        <v>32</v>
      </c>
      <c r="H1567" s="2" t="n">
        <v>139000</v>
      </c>
      <c r="I1567" s="2" t="n">
        <f aca="false">(((H1567 / 800) / IF(ISBLANK(R1567), 1000000, IF(ISNA(VLOOKUP(R1567, Mileages!$A$2:$C$34, 2, 0)), R1567, VLOOKUP(R1567, Mileages!$A$2:$C$34, 2, 0)))) + (F1567 * IF(ISBLANK(P1567), 1, P1567) * IF(ISBLANK(T1567), 0, IF(ISNA(VLOOKUP(T1567, 'Fuel Costs'!$A$2:$C$42, 2, 0)), T1567, VLOOKUP(T1567, 'Fuel Costs'!$A$2:$C$42, 2, 0))) / IF(ISBLANK(O1567), 1, O1567))) * 100</f>
        <v>45.36808333</v>
      </c>
      <c r="J1567" s="2" t="n">
        <f aca="false">((H1567 / 800) / (IF(ISBLANK(S1567), 100, IF(ISNA(VLOOKUP(S1567, Lives!$A$2:$C$35, 2, 0)), S1567, VLOOKUP(S1567, Lives!$A$2:$C$35, 2, 0))) * 12) + (IF(ISBLANK(Q1567), 0, IF(ISNA(VLOOKUP(Q1567, Wages!$A$2:$C$17, 2, 0)), Q1567, VLOOKUP(Q1567, Wages!$A$2:$C$17, 2, 0))) * IF(ISBLANK(N1567), 0, IF(ISNA(VLOOKUP(N1567, Crews!$A$2:$C$28, 2, 0)), N1567, VLOOKUP(N1567, Crews!$A$2:$C$28, 2, 0))))) * 400</f>
        <v>8072.395833</v>
      </c>
      <c r="K1567" s="1"/>
      <c r="L1567" s="1" t="s">
        <v>3079</v>
      </c>
      <c r="M1567" s="1" t="n">
        <v>5</v>
      </c>
      <c r="N1567" s="1" t="s">
        <v>25</v>
      </c>
      <c r="O1567" s="1" t="n">
        <v>0.6</v>
      </c>
      <c r="P1567" s="1"/>
      <c r="Q1567" s="1" t="s">
        <v>1815</v>
      </c>
      <c r="R1567" s="1" t="s">
        <v>837</v>
      </c>
      <c r="S1567" s="1" t="s">
        <v>837</v>
      </c>
      <c r="T1567" s="1" t="s">
        <v>2252</v>
      </c>
    </row>
    <row r="1568" customFormat="false" ht="15" hidden="false" customHeight="true" outlineLevel="0" collapsed="false">
      <c r="A1568" s="1" t="s">
        <v>3085</v>
      </c>
      <c r="B1568" s="1" t="n">
        <v>1932</v>
      </c>
      <c r="C1568" s="1" t="n">
        <v>3</v>
      </c>
      <c r="D1568" s="1" t="s">
        <v>38</v>
      </c>
      <c r="E1568" s="1"/>
      <c r="F1568" s="1"/>
      <c r="G1568" s="1" t="n">
        <v>160</v>
      </c>
      <c r="H1568" s="2" t="n">
        <v>760000</v>
      </c>
      <c r="I1568" s="2" t="n">
        <f aca="false">(((H1568 / 800) / IF(ISBLANK(R1568), 1000000, IF(ISNA(VLOOKUP(R1568, Mileages!$A$2:$C$34, 2, 0)), R1568, VLOOKUP(R1568, Mileages!$A$2:$C$34, 2, 0)))) + (F1568 * IF(ISBLANK(P1568), 1, P1568) * IF(ISBLANK(T1568), 0, IF(ISNA(VLOOKUP(T1568, 'Fuel Costs'!$A$2:$C$42, 2, 0)), T1568, VLOOKUP(T1568, 'Fuel Costs'!$A$2:$C$42, 2, 0))) / IF(ISBLANK(O1568), 1, O1568))) * 100</f>
        <v>0.07916666667</v>
      </c>
      <c r="J1568" s="2" t="n">
        <f aca="false">((H1568 / 800) / (IF(ISBLANK(S1568), 100, IF(ISNA(VLOOKUP(S1568, Lives!$A$2:$C$35, 2, 0)), S1568, VLOOKUP(S1568, Lives!$A$2:$C$35, 2, 0))) * 12) + (IF(ISBLANK(Q1568), 0, IF(ISNA(VLOOKUP(Q1568, Wages!$A$2:$C$17, 2, 0)), Q1568, VLOOKUP(Q1568, Wages!$A$2:$C$17, 2, 0))) * IF(ISBLANK(N1568), 0, IF(ISNA(VLOOKUP(N1568, Crews!$A$2:$C$28, 2, 0)), N1568, VLOOKUP(N1568, Crews!$A$2:$C$28, 2, 0))))) * 400</f>
        <v>904.7619048</v>
      </c>
      <c r="K1568" s="3" t="s">
        <v>3086</v>
      </c>
      <c r="L1568" s="1" t="s">
        <v>3087</v>
      </c>
      <c r="M1568" s="1" t="n">
        <v>0</v>
      </c>
      <c r="N1568" s="1"/>
      <c r="O1568" s="1"/>
      <c r="P1568" s="1"/>
      <c r="Q1568" s="1"/>
      <c r="R1568" s="1" t="s">
        <v>689</v>
      </c>
      <c r="S1568" s="1" t="s">
        <v>856</v>
      </c>
      <c r="T1568" s="1"/>
    </row>
    <row r="1569" customFormat="false" ht="15" hidden="false" customHeight="true" outlineLevel="0" collapsed="false">
      <c r="A1569" s="1" t="s">
        <v>3088</v>
      </c>
      <c r="B1569" s="1" t="n">
        <v>1932</v>
      </c>
      <c r="C1569" s="1" t="n">
        <v>3</v>
      </c>
      <c r="D1569" s="1" t="s">
        <v>21</v>
      </c>
      <c r="E1569" s="1" t="s">
        <v>2039</v>
      </c>
      <c r="F1569" s="1" t="n">
        <v>72</v>
      </c>
      <c r="G1569" s="1" t="n">
        <v>50</v>
      </c>
      <c r="H1569" s="2" t="n">
        <v>726000</v>
      </c>
      <c r="I1569" s="2" t="n">
        <f aca="false">(((H1569 / 800) / IF(ISBLANK(R1569), 1000000, IF(ISNA(VLOOKUP(R1569, Mileages!$A$2:$C$34, 2, 0)), R1569, VLOOKUP(R1569, Mileages!$A$2:$C$34, 2, 0)))) + (F1569 * IF(ISBLANK(P1569), 1, P1569) * IF(ISBLANK(T1569), 0, IF(ISNA(VLOOKUP(T1569, 'Fuel Costs'!$A$2:$C$42, 2, 0)), T1569, VLOOKUP(T1569, 'Fuel Costs'!$A$2:$C$42, 2, 0))) / IF(ISBLANK(O1569), 1, O1569))) * 100</f>
        <v>72.09075</v>
      </c>
      <c r="J1569" s="2" t="n">
        <f aca="false">((H1569 / 800) / (IF(ISBLANK(S1569), 100, IF(ISNA(VLOOKUP(S1569, Lives!$A$2:$C$35, 2, 0)), S1569, VLOOKUP(S1569, Lives!$A$2:$C$35, 2, 0))) * 12) + (IF(ISBLANK(Q1569), 0, IF(ISNA(VLOOKUP(Q1569, Wages!$A$2:$C$17, 2, 0)), Q1569, VLOOKUP(Q1569, Wages!$A$2:$C$17, 2, 0))) * IF(ISBLANK(N1569), 0, IF(ISNA(VLOOKUP(N1569, Crews!$A$2:$C$28, 2, 0)), N1569, VLOOKUP(N1569, Crews!$A$2:$C$28, 2, 0))))) * 400</f>
        <v>8378.125</v>
      </c>
      <c r="K1569" s="3" t="s">
        <v>3089</v>
      </c>
      <c r="L1569" s="1" t="s">
        <v>3090</v>
      </c>
      <c r="M1569" s="1" t="n">
        <v>0</v>
      </c>
      <c r="N1569" s="1" t="s">
        <v>1815</v>
      </c>
      <c r="O1569" s="1" t="n">
        <v>0.5</v>
      </c>
      <c r="P1569" s="1"/>
      <c r="Q1569" s="1" t="s">
        <v>1815</v>
      </c>
      <c r="R1569" s="1" t="s">
        <v>1843</v>
      </c>
      <c r="S1569" s="1" t="s">
        <v>1843</v>
      </c>
      <c r="T1569" s="1" t="s">
        <v>2041</v>
      </c>
    </row>
    <row r="1570" customFormat="false" ht="15" hidden="false" customHeight="true" outlineLevel="0" collapsed="false">
      <c r="A1570" s="1" t="s">
        <v>3091</v>
      </c>
      <c r="B1570" s="1" t="n">
        <v>1932</v>
      </c>
      <c r="C1570" s="1" t="n">
        <v>3</v>
      </c>
      <c r="D1570" s="1" t="s">
        <v>38</v>
      </c>
      <c r="E1570" s="1"/>
      <c r="F1570" s="1"/>
      <c r="G1570" s="1" t="n">
        <v>160</v>
      </c>
      <c r="H1570" s="2" t="n">
        <v>760000</v>
      </c>
      <c r="I1570" s="2" t="n">
        <f aca="false">(((H1570 / 800) / IF(ISBLANK(R1570), 1000000, IF(ISNA(VLOOKUP(R1570, Mileages!$A$2:$C$34, 2, 0)), R1570, VLOOKUP(R1570, Mileages!$A$2:$C$34, 2, 0)))) + (F1570 * IF(ISBLANK(P1570), 1, P1570) * IF(ISBLANK(T1570), 0, IF(ISNA(VLOOKUP(T1570, 'Fuel Costs'!$A$2:$C$42, 2, 0)), T1570, VLOOKUP(T1570, 'Fuel Costs'!$A$2:$C$42, 2, 0))) / IF(ISBLANK(O1570), 1, O1570))) * 100</f>
        <v>0.07916666667</v>
      </c>
      <c r="J1570" s="2" t="n">
        <f aca="false">((H1570 / 800) / (IF(ISBLANK(S1570), 100, IF(ISNA(VLOOKUP(S1570, Lives!$A$2:$C$35, 2, 0)), S1570, VLOOKUP(S1570, Lives!$A$2:$C$35, 2, 0))) * 12) + (IF(ISBLANK(Q1570), 0, IF(ISNA(VLOOKUP(Q1570, Wages!$A$2:$C$17, 2, 0)), Q1570, VLOOKUP(Q1570, Wages!$A$2:$C$17, 2, 0))) * IF(ISBLANK(N1570), 0, IF(ISNA(VLOOKUP(N1570, Crews!$A$2:$C$28, 2, 0)), N1570, VLOOKUP(N1570, Crews!$A$2:$C$28, 2, 0))))) * 400</f>
        <v>5704.761905</v>
      </c>
      <c r="K1570" s="3" t="s">
        <v>3092</v>
      </c>
      <c r="L1570" s="1" t="s">
        <v>3093</v>
      </c>
      <c r="M1570" s="1" t="n">
        <v>0</v>
      </c>
      <c r="N1570" s="1" t="s">
        <v>25</v>
      </c>
      <c r="O1570" s="1"/>
      <c r="P1570" s="1"/>
      <c r="Q1570" s="1" t="s">
        <v>378</v>
      </c>
      <c r="R1570" s="1" t="s">
        <v>689</v>
      </c>
      <c r="S1570" s="1" t="s">
        <v>856</v>
      </c>
      <c r="T1570" s="1"/>
    </row>
    <row r="1571" customFormat="false" ht="15" hidden="false" customHeight="true" outlineLevel="0" collapsed="false">
      <c r="A1571" s="1" t="s">
        <v>3094</v>
      </c>
      <c r="B1571" s="1" t="n">
        <v>1932</v>
      </c>
      <c r="C1571" s="1" t="n">
        <v>3</v>
      </c>
      <c r="D1571" s="1" t="s">
        <v>38</v>
      </c>
      <c r="E1571" s="1"/>
      <c r="F1571" s="1"/>
      <c r="G1571" s="1" t="n">
        <v>160</v>
      </c>
      <c r="H1571" s="2" t="n">
        <v>760000</v>
      </c>
      <c r="I1571" s="2" t="n">
        <f aca="false">(((H1571 / 800) / IF(ISBLANK(R1571), 1000000, IF(ISNA(VLOOKUP(R1571, Mileages!$A$2:$C$34, 2, 0)), R1571, VLOOKUP(R1571, Mileages!$A$2:$C$34, 2, 0)))) + (F1571 * IF(ISBLANK(P1571), 1, P1571) * IF(ISBLANK(T1571), 0, IF(ISNA(VLOOKUP(T1571, 'Fuel Costs'!$A$2:$C$42, 2, 0)), T1571, VLOOKUP(T1571, 'Fuel Costs'!$A$2:$C$42, 2, 0))) / IF(ISBLANK(O1571), 1, O1571))) * 100</f>
        <v>0.07916666667</v>
      </c>
      <c r="J1571" s="2" t="n">
        <f aca="false">((H1571 / 800) / (IF(ISBLANK(S1571), 100, IF(ISNA(VLOOKUP(S1571, Lives!$A$2:$C$35, 2, 0)), S1571, VLOOKUP(S1571, Lives!$A$2:$C$35, 2, 0))) * 12) + (IF(ISBLANK(Q1571), 0, IF(ISNA(VLOOKUP(Q1571, Wages!$A$2:$C$17, 2, 0)), Q1571, VLOOKUP(Q1571, Wages!$A$2:$C$17, 2, 0))) * IF(ISBLANK(N1571), 0, IF(ISNA(VLOOKUP(N1571, Crews!$A$2:$C$28, 2, 0)), N1571, VLOOKUP(N1571, Crews!$A$2:$C$28, 2, 0))))) * 400</f>
        <v>5704.761905</v>
      </c>
      <c r="K1571" s="1"/>
      <c r="L1571" s="1" t="s">
        <v>3093</v>
      </c>
      <c r="M1571" s="1" t="n">
        <v>1</v>
      </c>
      <c r="N1571" s="1" t="s">
        <v>25</v>
      </c>
      <c r="O1571" s="1"/>
      <c r="P1571" s="1"/>
      <c r="Q1571" s="1" t="s">
        <v>378</v>
      </c>
      <c r="R1571" s="1" t="s">
        <v>689</v>
      </c>
      <c r="S1571" s="1" t="s">
        <v>856</v>
      </c>
      <c r="T1571" s="1"/>
    </row>
    <row r="1572" customFormat="false" ht="15" hidden="false" customHeight="true" outlineLevel="0" collapsed="false">
      <c r="A1572" s="1" t="s">
        <v>3095</v>
      </c>
      <c r="B1572" s="1" t="n">
        <v>1932</v>
      </c>
      <c r="C1572" s="1" t="n">
        <v>4</v>
      </c>
      <c r="D1572" s="1" t="s">
        <v>38</v>
      </c>
      <c r="E1572" s="1" t="s">
        <v>1346</v>
      </c>
      <c r="F1572" s="1" t="n">
        <v>671</v>
      </c>
      <c r="G1572" s="1" t="n">
        <v>120</v>
      </c>
      <c r="H1572" s="2" t="n">
        <v>1751000</v>
      </c>
      <c r="I1572" s="2" t="n">
        <f aca="false">(((H1572 / 800) / IF(ISBLANK(R1572), 1000000, IF(ISNA(VLOOKUP(R1572, Mileages!$A$2:$C$34, 2, 0)), R1572, VLOOKUP(R1572, Mileages!$A$2:$C$34, 2, 0)))) + (F1572 * IF(ISBLANK(P1572), 1, P1572) * IF(ISBLANK(T1572), 0, IF(ISNA(VLOOKUP(T1572, 'Fuel Costs'!$A$2:$C$42, 2, 0)), T1572, VLOOKUP(T1572, 'Fuel Costs'!$A$2:$C$42, 2, 0))) / IF(ISBLANK(O1572), 1, O1572))) * 100</f>
        <v>268.618875</v>
      </c>
      <c r="J1572" s="2" t="n">
        <f aca="false">((H1572 / 800) / (IF(ISBLANK(S1572), 100, IF(ISNA(VLOOKUP(S1572, Lives!$A$2:$C$35, 2, 0)), S1572, VLOOKUP(S1572, Lives!$A$2:$C$35, 2, 0))) * 12) + (IF(ISBLANK(Q1572), 0, IF(ISNA(VLOOKUP(Q1572, Wages!$A$2:$C$17, 2, 0)), Q1572, VLOOKUP(Q1572, Wages!$A$2:$C$17, 2, 0))) * IF(ISBLANK(N1572), 0, IF(ISNA(VLOOKUP(N1572, Crews!$A$2:$C$28, 2, 0)), N1572, VLOOKUP(N1572, Crews!$A$2:$C$28, 2, 0))))) * 400</f>
        <v>7459.166667</v>
      </c>
      <c r="K1572" s="1" t="s">
        <v>3096</v>
      </c>
      <c r="L1572" s="1" t="s">
        <v>3097</v>
      </c>
      <c r="M1572" s="1" t="n">
        <v>0</v>
      </c>
      <c r="N1572" s="1" t="s">
        <v>1512</v>
      </c>
      <c r="O1572" s="1" t="n">
        <v>1</v>
      </c>
      <c r="P1572" s="1"/>
      <c r="Q1572" s="1" t="str">
        <f aca="false">IF(ISBLANK('Pak128 Britain In'!$N1572),,'Pak128 Britain In'!$N1572)</f>
        <v>ElectricMultipleUnit</v>
      </c>
      <c r="R1572" s="1" t="s">
        <v>1349</v>
      </c>
      <c r="S1572" s="1" t="s">
        <v>1350</v>
      </c>
      <c r="T1572" s="1" t="s">
        <v>2580</v>
      </c>
    </row>
    <row r="1573" customFormat="false" ht="15" hidden="false" customHeight="true" outlineLevel="0" collapsed="false">
      <c r="A1573" s="1" t="s">
        <v>3098</v>
      </c>
      <c r="B1573" s="1" t="n">
        <v>1932</v>
      </c>
      <c r="C1573" s="1" t="n">
        <v>4</v>
      </c>
      <c r="D1573" s="1" t="s">
        <v>38</v>
      </c>
      <c r="E1573" s="1" t="s">
        <v>1346</v>
      </c>
      <c r="F1573" s="1" t="n">
        <v>0</v>
      </c>
      <c r="G1573" s="1" t="n">
        <v>120</v>
      </c>
      <c r="H1573" s="2" t="n">
        <v>805000</v>
      </c>
      <c r="I1573" s="2" t="n">
        <f aca="false">(((H1573 / 800) / IF(ISBLANK(R1573), 1000000, IF(ISNA(VLOOKUP(R1573, Mileages!$A$2:$C$34, 2, 0)), R1573, VLOOKUP(R1573, Mileages!$A$2:$C$34, 2, 0)))) + (F1573 * IF(ISBLANK(P1573), 1, P1573) * IF(ISBLANK(T1573), 0, IF(ISNA(VLOOKUP(T1573, 'Fuel Costs'!$A$2:$C$42, 2, 0)), T1573, VLOOKUP(T1573, 'Fuel Costs'!$A$2:$C$42, 2, 0))) / IF(ISBLANK(O1573), 1, O1573))) * 100</f>
        <v>0.08385416667</v>
      </c>
      <c r="J1573" s="2" t="n">
        <f aca="false">((H1573 / 800) / (IF(ISBLANK(S1573), 100, IF(ISNA(VLOOKUP(S1573, Lives!$A$2:$C$35, 2, 0)), S1573, VLOOKUP(S1573, Lives!$A$2:$C$35, 2, 0))) * 12) + (IF(ISBLANK(Q1573), 0, IF(ISNA(VLOOKUP(Q1573, Wages!$A$2:$C$17, 2, 0)), Q1573, VLOOKUP(Q1573, Wages!$A$2:$C$17, 2, 0))) * IF(ISBLANK(N1573), 0, IF(ISNA(VLOOKUP(N1573, Crews!$A$2:$C$28, 2, 0)), N1573, VLOOKUP(N1573, Crews!$A$2:$C$28, 2, 0))))) * 400</f>
        <v>958.3333333</v>
      </c>
      <c r="K1573" s="1"/>
      <c r="L1573" s="1" t="s">
        <v>3097</v>
      </c>
      <c r="M1573" s="1" t="n">
        <v>1</v>
      </c>
      <c r="N1573" s="1"/>
      <c r="O1573" s="1"/>
      <c r="P1573" s="1"/>
      <c r="Q1573" s="1"/>
      <c r="R1573" s="1" t="s">
        <v>689</v>
      </c>
      <c r="S1573" s="1" t="s">
        <v>856</v>
      </c>
      <c r="T1573" s="1"/>
    </row>
    <row r="1574" customFormat="false" ht="15" hidden="false" customHeight="true" outlineLevel="0" collapsed="false">
      <c r="A1574" s="1" t="s">
        <v>3099</v>
      </c>
      <c r="B1574" s="1" t="n">
        <v>1932</v>
      </c>
      <c r="C1574" s="1" t="n">
        <v>4</v>
      </c>
      <c r="D1574" s="1" t="s">
        <v>38</v>
      </c>
      <c r="E1574" s="1" t="s">
        <v>1346</v>
      </c>
      <c r="F1574" s="1" t="n">
        <v>0</v>
      </c>
      <c r="G1574" s="1" t="n">
        <v>120</v>
      </c>
      <c r="H1574" s="2" t="n">
        <v>805000</v>
      </c>
      <c r="I1574" s="2" t="n">
        <f aca="false">(((H1574 / 800) / IF(ISBLANK(R1574), 1000000, IF(ISNA(VLOOKUP(R1574, Mileages!$A$2:$C$34, 2, 0)), R1574, VLOOKUP(R1574, Mileages!$A$2:$C$34, 2, 0)))) + (F1574 * IF(ISBLANK(P1574), 1, P1574) * IF(ISBLANK(T1574), 0, IF(ISNA(VLOOKUP(T1574, 'Fuel Costs'!$A$2:$C$42, 2, 0)), T1574, VLOOKUP(T1574, 'Fuel Costs'!$A$2:$C$42, 2, 0))) / IF(ISBLANK(O1574), 1, O1574))) * 100</f>
        <v>0.08385416667</v>
      </c>
      <c r="J1574" s="2" t="n">
        <f aca="false">((H1574 / 800) / (IF(ISBLANK(S1574), 100, IF(ISNA(VLOOKUP(S1574, Lives!$A$2:$C$35, 2, 0)), S1574, VLOOKUP(S1574, Lives!$A$2:$C$35, 2, 0))) * 12) + (IF(ISBLANK(Q1574), 0, IF(ISNA(VLOOKUP(Q1574, Wages!$A$2:$C$17, 2, 0)), Q1574, VLOOKUP(Q1574, Wages!$A$2:$C$17, 2, 0))) * IF(ISBLANK(N1574), 0, IF(ISNA(VLOOKUP(N1574, Crews!$A$2:$C$28, 2, 0)), N1574, VLOOKUP(N1574, Crews!$A$2:$C$28, 2, 0))))) * 400</f>
        <v>958.3333333</v>
      </c>
      <c r="K1574" s="1" t="s">
        <v>3100</v>
      </c>
      <c r="L1574" s="1" t="s">
        <v>3097</v>
      </c>
      <c r="M1574" s="1" t="n">
        <v>2</v>
      </c>
      <c r="N1574" s="1"/>
      <c r="O1574" s="1"/>
      <c r="P1574" s="1"/>
      <c r="Q1574" s="1"/>
      <c r="R1574" s="1" t="s">
        <v>689</v>
      </c>
      <c r="S1574" s="1" t="s">
        <v>856</v>
      </c>
      <c r="T1574" s="1"/>
    </row>
    <row r="1575" customFormat="false" ht="15" hidden="false" customHeight="true" outlineLevel="0" collapsed="false">
      <c r="A1575" s="1" t="s">
        <v>3101</v>
      </c>
      <c r="B1575" s="1" t="n">
        <v>1932</v>
      </c>
      <c r="C1575" s="1" t="n">
        <v>4</v>
      </c>
      <c r="D1575" s="1" t="s">
        <v>38</v>
      </c>
      <c r="E1575" s="1" t="s">
        <v>1346</v>
      </c>
      <c r="F1575" s="1" t="n">
        <v>0</v>
      </c>
      <c r="G1575" s="1" t="n">
        <v>120</v>
      </c>
      <c r="H1575" s="2" t="n">
        <v>805000</v>
      </c>
      <c r="I1575" s="2" t="n">
        <f aca="false">(((H1575 / 800) / IF(ISBLANK(R1575), 1000000, IF(ISNA(VLOOKUP(R1575, Mileages!$A$2:$C$34, 2, 0)), R1575, VLOOKUP(R1575, Mileages!$A$2:$C$34, 2, 0)))) + (F1575 * IF(ISBLANK(P1575), 1, P1575) * IF(ISBLANK(T1575), 0, IF(ISNA(VLOOKUP(T1575, 'Fuel Costs'!$A$2:$C$42, 2, 0)), T1575, VLOOKUP(T1575, 'Fuel Costs'!$A$2:$C$42, 2, 0))) / IF(ISBLANK(O1575), 1, O1575))) * 100</f>
        <v>0.08385416667</v>
      </c>
      <c r="J1575" s="2" t="n">
        <f aca="false">((H1575 / 800) / (IF(ISBLANK(S1575), 100, IF(ISNA(VLOOKUP(S1575, Lives!$A$2:$C$35, 2, 0)), S1575, VLOOKUP(S1575, Lives!$A$2:$C$35, 2, 0))) * 12) + (IF(ISBLANK(Q1575), 0, IF(ISNA(VLOOKUP(Q1575, Wages!$A$2:$C$17, 2, 0)), Q1575, VLOOKUP(Q1575, Wages!$A$2:$C$17, 2, 0))) * IF(ISBLANK(N1575), 0, IF(ISNA(VLOOKUP(N1575, Crews!$A$2:$C$28, 2, 0)), N1575, VLOOKUP(N1575, Crews!$A$2:$C$28, 2, 0))))) * 400</f>
        <v>18958.33333</v>
      </c>
      <c r="K1575" s="1"/>
      <c r="L1575" s="1" t="s">
        <v>3097</v>
      </c>
      <c r="M1575" s="1" t="n">
        <v>3</v>
      </c>
      <c r="N1575" s="1" t="s">
        <v>1481</v>
      </c>
      <c r="O1575" s="1"/>
      <c r="P1575" s="1"/>
      <c r="Q1575" s="1" t="s">
        <v>1481</v>
      </c>
      <c r="R1575" s="1" t="s">
        <v>689</v>
      </c>
      <c r="S1575" s="1" t="s">
        <v>856</v>
      </c>
      <c r="T1575" s="1"/>
    </row>
    <row r="1576" customFormat="false" ht="15" hidden="false" customHeight="true" outlineLevel="0" collapsed="false">
      <c r="A1576" s="1" t="s">
        <v>3102</v>
      </c>
      <c r="B1576" s="1" t="n">
        <v>1932</v>
      </c>
      <c r="C1576" s="1" t="n">
        <v>4</v>
      </c>
      <c r="D1576" s="1" t="s">
        <v>38</v>
      </c>
      <c r="E1576" s="1" t="s">
        <v>1346</v>
      </c>
      <c r="F1576" s="1" t="n">
        <v>0</v>
      </c>
      <c r="G1576" s="1" t="n">
        <v>120</v>
      </c>
      <c r="H1576" s="2" t="n">
        <v>805000</v>
      </c>
      <c r="I1576" s="2" t="n">
        <f aca="false">(((H1576 / 800) / IF(ISBLANK(R1576), 1000000, IF(ISNA(VLOOKUP(R1576, Mileages!$A$2:$C$34, 2, 0)), R1576, VLOOKUP(R1576, Mileages!$A$2:$C$34, 2, 0)))) + (F1576 * IF(ISBLANK(P1576), 1, P1576) * IF(ISBLANK(T1576), 0, IF(ISNA(VLOOKUP(T1576, 'Fuel Costs'!$A$2:$C$42, 2, 0)), T1576, VLOOKUP(T1576, 'Fuel Costs'!$A$2:$C$42, 2, 0))) / IF(ISBLANK(O1576), 1, O1576))) * 100</f>
        <v>0.08385416667</v>
      </c>
      <c r="J1576" s="2" t="n">
        <f aca="false">((H1576 / 800) / (IF(ISBLANK(S1576), 100, IF(ISNA(VLOOKUP(S1576, Lives!$A$2:$C$35, 2, 0)), S1576, VLOOKUP(S1576, Lives!$A$2:$C$35, 2, 0))) * 12) + (IF(ISBLANK(Q1576), 0, IF(ISNA(VLOOKUP(Q1576, Wages!$A$2:$C$17, 2, 0)), Q1576, VLOOKUP(Q1576, Wages!$A$2:$C$17, 2, 0))) * IF(ISBLANK(N1576), 0, IF(ISNA(VLOOKUP(N1576, Crews!$A$2:$C$28, 2, 0)), N1576, VLOOKUP(N1576, Crews!$A$2:$C$28, 2, 0))))) * 400</f>
        <v>958.3333333</v>
      </c>
      <c r="K1576" s="1"/>
      <c r="L1576" s="1" t="s">
        <v>3097</v>
      </c>
      <c r="M1576" s="1" t="n">
        <v>4</v>
      </c>
      <c r="N1576" s="1"/>
      <c r="O1576" s="1"/>
      <c r="P1576" s="1"/>
      <c r="Q1576" s="1"/>
      <c r="R1576" s="1" t="s">
        <v>689</v>
      </c>
      <c r="S1576" s="1" t="s">
        <v>856</v>
      </c>
      <c r="T1576" s="1"/>
    </row>
    <row r="1577" customFormat="false" ht="15" hidden="false" customHeight="true" outlineLevel="0" collapsed="false">
      <c r="A1577" s="1" t="s">
        <v>3103</v>
      </c>
      <c r="B1577" s="1" t="n">
        <v>1932</v>
      </c>
      <c r="C1577" s="1" t="n">
        <v>4</v>
      </c>
      <c r="D1577" s="1" t="s">
        <v>38</v>
      </c>
      <c r="E1577" s="1" t="s">
        <v>1346</v>
      </c>
      <c r="F1577" s="1" t="n">
        <v>671</v>
      </c>
      <c r="G1577" s="1" t="n">
        <v>120</v>
      </c>
      <c r="H1577" s="2" t="n">
        <v>1751000</v>
      </c>
      <c r="I1577" s="2" t="n">
        <f aca="false">(((H1577 / 800) / IF(ISBLANK(R1577), 1000000, IF(ISNA(VLOOKUP(R1577, Mileages!$A$2:$C$34, 2, 0)), R1577, VLOOKUP(R1577, Mileages!$A$2:$C$34, 2, 0)))) + (F1577 * IF(ISBLANK(P1577), 1, P1577) * IF(ISBLANK(T1577), 0, IF(ISNA(VLOOKUP(T1577, 'Fuel Costs'!$A$2:$C$42, 2, 0)), T1577, VLOOKUP(T1577, 'Fuel Costs'!$A$2:$C$42, 2, 0))) / IF(ISBLANK(O1577), 1, O1577))) * 100</f>
        <v>268.618875</v>
      </c>
      <c r="J1577" s="2" t="n">
        <f aca="false">((H1577 / 800) / (IF(ISBLANK(S1577), 100, IF(ISNA(VLOOKUP(S1577, Lives!$A$2:$C$35, 2, 0)), S1577, VLOOKUP(S1577, Lives!$A$2:$C$35, 2, 0))) * 12) + (IF(ISBLANK(Q1577), 0, IF(ISNA(VLOOKUP(Q1577, Wages!$A$2:$C$17, 2, 0)), Q1577, VLOOKUP(Q1577, Wages!$A$2:$C$17, 2, 0))) * IF(ISBLANK(N1577), 0, IF(ISNA(VLOOKUP(N1577, Crews!$A$2:$C$28, 2, 0)), N1577, VLOOKUP(N1577, Crews!$A$2:$C$28, 2, 0))))) * 400</f>
        <v>7459.166667</v>
      </c>
      <c r="K1577" s="1"/>
      <c r="L1577" s="1" t="s">
        <v>3097</v>
      </c>
      <c r="M1577" s="1" t="n">
        <v>5</v>
      </c>
      <c r="N1577" s="1" t="s">
        <v>1512</v>
      </c>
      <c r="O1577" s="1" t="n">
        <v>1</v>
      </c>
      <c r="P1577" s="1"/>
      <c r="Q1577" s="1" t="str">
        <f aca="false">IF(ISBLANK('Pak128 Britain In'!$N1577),,'Pak128 Britain In'!$N1577)</f>
        <v>ElectricMultipleUnit</v>
      </c>
      <c r="R1577" s="1" t="s">
        <v>1349</v>
      </c>
      <c r="S1577" s="1" t="s">
        <v>1350</v>
      </c>
      <c r="T1577" s="1" t="s">
        <v>2580</v>
      </c>
    </row>
    <row r="1578" customFormat="false" ht="15" hidden="false" customHeight="true" outlineLevel="0" collapsed="false">
      <c r="A1578" s="1" t="s">
        <v>3104</v>
      </c>
      <c r="B1578" s="1" t="n">
        <v>1932</v>
      </c>
      <c r="C1578" s="1" t="n">
        <v>7</v>
      </c>
      <c r="D1578" s="1" t="s">
        <v>38</v>
      </c>
      <c r="E1578" s="1" t="s">
        <v>274</v>
      </c>
      <c r="F1578" s="1" t="n">
        <v>232</v>
      </c>
      <c r="G1578" s="1" t="n">
        <v>100</v>
      </c>
      <c r="H1578" s="2" t="n">
        <v>3348000</v>
      </c>
      <c r="I1578" s="2" t="n">
        <f aca="false">(((H1578 / 800) / IF(ISBLANK(R1578), 1000000, IF(ISNA(VLOOKUP(R1578, Mileages!$A$2:$C$34, 2, 0)), R1578, VLOOKUP(R1578, Mileages!$A$2:$C$34, 2, 0)))) + (F1578 * IF(ISBLANK(P1578), 1, P1578) * IF(ISBLANK(T1578), 0, IF(ISNA(VLOOKUP(T1578, 'Fuel Costs'!$A$2:$C$42, 2, 0)), T1578, VLOOKUP(T1578, 'Fuel Costs'!$A$2:$C$42, 2, 0))) / IF(ISBLANK(O1578), 1, O1578))) * 100</f>
        <v>132.9899286</v>
      </c>
      <c r="J1578" s="2" t="n">
        <f aca="false">((H1578 / 800) / (IF(ISBLANK(S1578), 100, IF(ISNA(VLOOKUP(S1578, Lives!$A$2:$C$35, 2, 0)), S1578, VLOOKUP(S1578, Lives!$A$2:$C$35, 2, 0))) * 12) + (IF(ISBLANK(Q1578), 0, IF(ISNA(VLOOKUP(Q1578, Wages!$A$2:$C$17, 2, 0)), Q1578, VLOOKUP(Q1578, Wages!$A$2:$C$17, 2, 0))) * IF(ISBLANK(N1578), 0, IF(ISNA(VLOOKUP(N1578, Crews!$A$2:$C$28, 2, 0)), N1578, VLOOKUP(N1578, Crews!$A$2:$C$28, 2, 0))))) * 400</f>
        <v>26790</v>
      </c>
      <c r="K1578" s="3" t="s">
        <v>3105</v>
      </c>
      <c r="L1578" s="1" t="s">
        <v>3106</v>
      </c>
      <c r="M1578" s="1" t="n">
        <v>0</v>
      </c>
      <c r="N1578" s="1" t="s">
        <v>590</v>
      </c>
      <c r="O1578" s="1" t="n">
        <v>0.7</v>
      </c>
      <c r="P1578" s="1"/>
      <c r="Q1578" s="5" t="s">
        <v>284</v>
      </c>
      <c r="R1578" s="1" t="s">
        <v>677</v>
      </c>
      <c r="S1578" s="1" t="s">
        <v>677</v>
      </c>
      <c r="T1578" s="1" t="s">
        <v>2252</v>
      </c>
    </row>
    <row r="1579" customFormat="false" ht="15" hidden="false" customHeight="true" outlineLevel="0" collapsed="false">
      <c r="A1579" s="1" t="s">
        <v>3107</v>
      </c>
      <c r="B1579" s="1" t="n">
        <v>1932</v>
      </c>
      <c r="C1579" s="1" t="n">
        <v>10</v>
      </c>
      <c r="D1579" s="1" t="s">
        <v>21</v>
      </c>
      <c r="E1579" s="1" t="s">
        <v>2039</v>
      </c>
      <c r="F1579" s="1" t="n">
        <v>30</v>
      </c>
      <c r="G1579" s="1" t="n">
        <v>56</v>
      </c>
      <c r="H1579" s="2" t="n">
        <v>220000</v>
      </c>
      <c r="I1579" s="2" t="n">
        <f aca="false">(((H1579 / 800) / IF(ISBLANK(R1579), 1000000, IF(ISNA(VLOOKUP(R1579, Mileages!$A$2:$C$34, 2, 0)), R1579, VLOOKUP(R1579, Mileages!$A$2:$C$34, 2, 0)))) + (F1579 * IF(ISBLANK(P1579), 1, P1579) * IF(ISBLANK(T1579), 0, IF(ISNA(VLOOKUP(T1579, 'Fuel Costs'!$A$2:$C$42, 2, 0)), T1579, VLOOKUP(T1579, 'Fuel Costs'!$A$2:$C$42, 2, 0))) / IF(ISBLANK(O1579), 1, O1579))) * 100</f>
        <v>30.0275</v>
      </c>
      <c r="J1579" s="2" t="n">
        <f aca="false">((H1579 / 800) / (IF(ISBLANK(S1579), 100, IF(ISNA(VLOOKUP(S1579, Lives!$A$2:$C$35, 2, 0)), S1579, VLOOKUP(S1579, Lives!$A$2:$C$35, 2, 0))) * 12) + (IF(ISBLANK(Q1579), 0, IF(ISNA(VLOOKUP(Q1579, Wages!$A$2:$C$17, 2, 0)), Q1579, VLOOKUP(Q1579, Wages!$A$2:$C$17, 2, 0))) * IF(ISBLANK(N1579), 0, IF(ISNA(VLOOKUP(N1579, Crews!$A$2:$C$28, 2, 0)), N1579, VLOOKUP(N1579, Crews!$A$2:$C$28, 2, 0))))) * 400</f>
        <v>8114.583333</v>
      </c>
      <c r="K1579" s="3" t="s">
        <v>3108</v>
      </c>
      <c r="L1579" s="1" t="s">
        <v>3109</v>
      </c>
      <c r="M1579" s="1" t="n">
        <v>0</v>
      </c>
      <c r="N1579" s="1" t="s">
        <v>1815</v>
      </c>
      <c r="O1579" s="1" t="n">
        <v>0.5</v>
      </c>
      <c r="P1579" s="1"/>
      <c r="Q1579" s="1" t="s">
        <v>1815</v>
      </c>
      <c r="R1579" s="1" t="s">
        <v>1843</v>
      </c>
      <c r="S1579" s="1" t="s">
        <v>1843</v>
      </c>
      <c r="T1579" s="1" t="s">
        <v>2041</v>
      </c>
    </row>
    <row r="1580" customFormat="false" ht="15" hidden="false" customHeight="true" outlineLevel="0" collapsed="false">
      <c r="A1580" s="1" t="s">
        <v>3110</v>
      </c>
      <c r="B1580" s="1" t="n">
        <v>1932</v>
      </c>
      <c r="C1580" s="1" t="n">
        <v>12</v>
      </c>
      <c r="D1580" s="1" t="s">
        <v>21</v>
      </c>
      <c r="E1580" s="1" t="s">
        <v>1839</v>
      </c>
      <c r="F1580" s="1" t="n">
        <v>34</v>
      </c>
      <c r="G1580" s="1" t="n">
        <v>50</v>
      </c>
      <c r="H1580" s="2" t="n">
        <v>682000</v>
      </c>
      <c r="I1580" s="2" t="n">
        <f aca="false">(((H1580 / 800) / IF(ISBLANK(R1580), 1000000, IF(ISNA(VLOOKUP(R1580, Mileages!$A$2:$C$34, 2, 0)), R1580, VLOOKUP(R1580, Mileages!$A$2:$C$34, 2, 0)))) + (F1580 * IF(ISBLANK(P1580), 1, P1580) * IF(ISBLANK(T1580), 0, IF(ISNA(VLOOKUP(T1580, 'Fuel Costs'!$A$2:$C$42, 2, 0)), T1580, VLOOKUP(T1580, 'Fuel Costs'!$A$2:$C$42, 2, 0))) / IF(ISBLANK(O1580), 1, O1580))) * 100</f>
        <v>34.1705</v>
      </c>
      <c r="J1580" s="2" t="n">
        <f aca="false">((H1580 / 800) / (IF(ISBLANK(S1580), 100, IF(ISNA(VLOOKUP(S1580, Lives!$A$2:$C$35, 2, 0)), S1580, VLOOKUP(S1580, Lives!$A$2:$C$35, 2, 0))) * 12) + (IF(ISBLANK(Q1580), 0, IF(ISNA(VLOOKUP(Q1580, Wages!$A$2:$C$17, 2, 0)), Q1580, VLOOKUP(Q1580, Wages!$A$2:$C$17, 2, 0))) * IF(ISBLANK(N1580), 0, IF(ISNA(VLOOKUP(N1580, Crews!$A$2:$C$28, 2, 0)), N1580, VLOOKUP(N1580, Crews!$A$2:$C$28, 2, 0))))) * 400</f>
        <v>8355.208333</v>
      </c>
      <c r="K1580" s="3" t="s">
        <v>3111</v>
      </c>
      <c r="L1580" s="1" t="s">
        <v>3112</v>
      </c>
      <c r="M1580" s="1" t="n">
        <v>0</v>
      </c>
      <c r="N1580" s="1" t="s">
        <v>25</v>
      </c>
      <c r="O1580" s="1" t="n">
        <v>0.6</v>
      </c>
      <c r="P1580" s="1"/>
      <c r="Q1580" s="1" t="s">
        <v>1815</v>
      </c>
      <c r="R1580" s="1" t="s">
        <v>1842</v>
      </c>
      <c r="S1580" s="1" t="s">
        <v>1843</v>
      </c>
      <c r="T1580" s="1" t="s">
        <v>2534</v>
      </c>
    </row>
    <row r="1581" customFormat="false" ht="15" hidden="false" customHeight="true" outlineLevel="0" collapsed="false">
      <c r="A1581" s="1" t="s">
        <v>3113</v>
      </c>
      <c r="B1581" s="1" t="n">
        <v>1933</v>
      </c>
      <c r="C1581" s="1" t="n">
        <v>1</v>
      </c>
      <c r="D1581" s="1" t="s">
        <v>29</v>
      </c>
      <c r="E1581" s="1"/>
      <c r="F1581" s="1"/>
      <c r="G1581" s="1" t="n">
        <v>40</v>
      </c>
      <c r="H1581" s="2" t="n">
        <v>0</v>
      </c>
      <c r="I1581" s="2" t="n">
        <v>0</v>
      </c>
      <c r="J1581" s="2"/>
      <c r="K1581" s="1"/>
      <c r="L1581" s="1" t="s">
        <v>279</v>
      </c>
      <c r="M1581" s="1" t="n">
        <v>2</v>
      </c>
      <c r="N1581" s="1"/>
      <c r="O1581" s="1"/>
      <c r="P1581" s="1"/>
      <c r="Q1581" s="1"/>
      <c r="R1581" s="1"/>
      <c r="S1581" s="1"/>
      <c r="T1581" s="1"/>
    </row>
    <row r="1582" customFormat="false" ht="15" hidden="false" customHeight="true" outlineLevel="0" collapsed="false">
      <c r="A1582" s="1" t="s">
        <v>3114</v>
      </c>
      <c r="B1582" s="1" t="n">
        <v>1933</v>
      </c>
      <c r="C1582" s="1" t="n">
        <v>2</v>
      </c>
      <c r="D1582" s="1" t="s">
        <v>21</v>
      </c>
      <c r="E1582" s="1" t="s">
        <v>1839</v>
      </c>
      <c r="F1582" s="1" t="n">
        <v>74</v>
      </c>
      <c r="G1582" s="1" t="n">
        <v>50</v>
      </c>
      <c r="H1582" s="2" t="n">
        <v>137000</v>
      </c>
      <c r="I1582" s="2" t="n">
        <f aca="false">(((H1582 / 800) / IF(ISBLANK(R1582), 1000000, IF(ISNA(VLOOKUP(R1582, Mileages!$A$2:$C$34, 2, 0)), R1582, VLOOKUP(R1582, Mileages!$A$2:$C$34, 2, 0)))) + (F1582 * IF(ISBLANK(P1582), 1, P1582) * IF(ISBLANK(T1582), 0, IF(ISNA(VLOOKUP(T1582, 'Fuel Costs'!$A$2:$C$42, 2, 0)), T1582, VLOOKUP(T1582, 'Fuel Costs'!$A$2:$C$42, 2, 0))) / IF(ISBLANK(O1582), 1, O1582))) * 100</f>
        <v>74.03425</v>
      </c>
      <c r="J1582" s="2" t="n">
        <f aca="false">((H1582 / 800) / (IF(ISBLANK(S1582), 100, IF(ISNA(VLOOKUP(S1582, Lives!$A$2:$C$35, 2, 0)), S1582, VLOOKUP(S1582, Lives!$A$2:$C$35, 2, 0))) * 12) + (IF(ISBLANK(Q1582), 0, IF(ISNA(VLOOKUP(Q1582, Wages!$A$2:$C$17, 2, 0)), Q1582, VLOOKUP(Q1582, Wages!$A$2:$C$17, 2, 0))) * IF(ISBLANK(N1582), 0, IF(ISNA(VLOOKUP(N1582, Crews!$A$2:$C$28, 2, 0)), N1582, VLOOKUP(N1582, Crews!$A$2:$C$28, 2, 0))))) * 400</f>
        <v>8071.354167</v>
      </c>
      <c r="K1582" s="3" t="s">
        <v>3115</v>
      </c>
      <c r="L1582" s="1" t="s">
        <v>3116</v>
      </c>
      <c r="M1582" s="1" t="n">
        <v>0</v>
      </c>
      <c r="N1582" s="1" t="s">
        <v>25</v>
      </c>
      <c r="O1582" s="1" t="n">
        <v>0.6</v>
      </c>
      <c r="P1582" s="1"/>
      <c r="Q1582" s="1" t="s">
        <v>1815</v>
      </c>
      <c r="R1582" s="1" t="s">
        <v>1842</v>
      </c>
      <c r="S1582" s="1" t="s">
        <v>1843</v>
      </c>
      <c r="T1582" s="1" t="s">
        <v>2534</v>
      </c>
    </row>
    <row r="1583" customFormat="false" ht="15" hidden="false" customHeight="true" outlineLevel="0" collapsed="false">
      <c r="A1583" s="1" t="s">
        <v>3117</v>
      </c>
      <c r="B1583" s="1" t="n">
        <v>1933</v>
      </c>
      <c r="C1583" s="1" t="n">
        <v>2</v>
      </c>
      <c r="D1583" s="1" t="s">
        <v>21</v>
      </c>
      <c r="E1583" s="1"/>
      <c r="F1583" s="1"/>
      <c r="G1583" s="1" t="n">
        <v>50</v>
      </c>
      <c r="H1583" s="2" t="n">
        <v>65000</v>
      </c>
      <c r="I1583" s="2" t="n">
        <f aca="false">(((H1583 / 800) / IF(ISBLANK(R1583), 1000000, IF(ISNA(VLOOKUP(R1583, Mileages!$A$2:$C$34, 2, 0)), R1583, VLOOKUP(R1583, Mileages!$A$2:$C$34, 2, 0)))) + (F1583 * IF(ISBLANK(P1583), 1, P1583) * IF(ISBLANK(T1583), 0, IF(ISNA(VLOOKUP(T1583, 'Fuel Costs'!$A$2:$C$42, 2, 0)), T1583, VLOOKUP(T1583, 'Fuel Costs'!$A$2:$C$42, 2, 0))) / IF(ISBLANK(O1583), 1, O1583))) * 100</f>
        <v>0.006770833333</v>
      </c>
      <c r="J1583" s="2" t="n">
        <f aca="false">((H1583 / 800) / (IF(ISBLANK(S1583), 100, IF(ISNA(VLOOKUP(S1583, Lives!$A$2:$C$35, 2, 0)), S1583, VLOOKUP(S1583, Lives!$A$2:$C$35, 2, 0))) * 12) + (IF(ISBLANK(Q1583), 0, IF(ISNA(VLOOKUP(Q1583, Wages!$A$2:$C$17, 2, 0)), Q1583, VLOOKUP(Q1583, Wages!$A$2:$C$17, 2, 0))) * IF(ISBLANK(N1583), 0, IF(ISNA(VLOOKUP(N1583, Crews!$A$2:$C$28, 2, 0)), N1583, VLOOKUP(N1583, Crews!$A$2:$C$28, 2, 0))))) * 400</f>
        <v>33.85416667</v>
      </c>
      <c r="K1583" s="1"/>
      <c r="L1583" s="1" t="s">
        <v>3116</v>
      </c>
      <c r="M1583" s="1" t="n">
        <v>1</v>
      </c>
      <c r="N1583" s="1"/>
      <c r="O1583" s="1"/>
      <c r="P1583" s="1"/>
      <c r="Q1583" s="1"/>
      <c r="R1583" s="1" t="s">
        <v>829</v>
      </c>
      <c r="S1583" s="1" t="s">
        <v>829</v>
      </c>
      <c r="T1583" s="1"/>
    </row>
    <row r="1584" customFormat="false" ht="15" hidden="false" customHeight="true" outlineLevel="0" collapsed="false">
      <c r="A1584" s="1" t="s">
        <v>3118</v>
      </c>
      <c r="B1584" s="1" t="n">
        <v>1933</v>
      </c>
      <c r="C1584" s="1" t="n">
        <v>2</v>
      </c>
      <c r="D1584" s="1" t="s">
        <v>21</v>
      </c>
      <c r="E1584" s="1"/>
      <c r="F1584" s="1"/>
      <c r="G1584" s="1" t="n">
        <v>50</v>
      </c>
      <c r="H1584" s="2" t="n">
        <v>65000</v>
      </c>
      <c r="I1584" s="2" t="n">
        <f aca="false">(((H1584 / 800) / IF(ISBLANK(R1584), 1000000, IF(ISNA(VLOOKUP(R1584, Mileages!$A$2:$C$34, 2, 0)), R1584, VLOOKUP(R1584, Mileages!$A$2:$C$34, 2, 0)))) + (F1584 * IF(ISBLANK(P1584), 1, P1584) * IF(ISBLANK(T1584), 0, IF(ISNA(VLOOKUP(T1584, 'Fuel Costs'!$A$2:$C$42, 2, 0)), T1584, VLOOKUP(T1584, 'Fuel Costs'!$A$2:$C$42, 2, 0))) / IF(ISBLANK(O1584), 1, O1584))) * 100</f>
        <v>0.006770833333</v>
      </c>
      <c r="J1584" s="2" t="n">
        <f aca="false">((H1584 / 800) / (IF(ISBLANK(S1584), 100, IF(ISNA(VLOOKUP(S1584, Lives!$A$2:$C$35, 2, 0)), S1584, VLOOKUP(S1584, Lives!$A$2:$C$35, 2, 0))) * 12) + (IF(ISBLANK(Q1584), 0, IF(ISNA(VLOOKUP(Q1584, Wages!$A$2:$C$17, 2, 0)), Q1584, VLOOKUP(Q1584, Wages!$A$2:$C$17, 2, 0))) * IF(ISBLANK(N1584), 0, IF(ISNA(VLOOKUP(N1584, Crews!$A$2:$C$28, 2, 0)), N1584, VLOOKUP(N1584, Crews!$A$2:$C$28, 2, 0))))) * 400</f>
        <v>33.85416667</v>
      </c>
      <c r="K1584" s="1"/>
      <c r="L1584" s="1" t="s">
        <v>3116</v>
      </c>
      <c r="M1584" s="1" t="n">
        <v>2</v>
      </c>
      <c r="N1584" s="1"/>
      <c r="O1584" s="1"/>
      <c r="P1584" s="1"/>
      <c r="Q1584" s="1"/>
      <c r="R1584" s="1" t="s">
        <v>829</v>
      </c>
      <c r="S1584" s="1" t="s">
        <v>829</v>
      </c>
      <c r="T1584" s="1"/>
    </row>
    <row r="1585" customFormat="false" ht="15" hidden="false" customHeight="true" outlineLevel="0" collapsed="false">
      <c r="A1585" s="1" t="s">
        <v>3119</v>
      </c>
      <c r="B1585" s="1" t="n">
        <v>1933</v>
      </c>
      <c r="C1585" s="1" t="n">
        <v>2</v>
      </c>
      <c r="D1585" s="1" t="s">
        <v>21</v>
      </c>
      <c r="E1585" s="1"/>
      <c r="F1585" s="1"/>
      <c r="G1585" s="1" t="n">
        <v>50</v>
      </c>
      <c r="H1585" s="2" t="n">
        <v>65000</v>
      </c>
      <c r="I1585" s="2" t="n">
        <f aca="false">(((H1585 / 800) / IF(ISBLANK(R1585), 1000000, IF(ISNA(VLOOKUP(R1585, Mileages!$A$2:$C$34, 2, 0)), R1585, VLOOKUP(R1585, Mileages!$A$2:$C$34, 2, 0)))) + (F1585 * IF(ISBLANK(P1585), 1, P1585) * IF(ISBLANK(T1585), 0, IF(ISNA(VLOOKUP(T1585, 'Fuel Costs'!$A$2:$C$42, 2, 0)), T1585, VLOOKUP(T1585, 'Fuel Costs'!$A$2:$C$42, 2, 0))) / IF(ISBLANK(O1585), 1, O1585))) * 100</f>
        <v>0.006770833333</v>
      </c>
      <c r="J1585" s="2" t="n">
        <f aca="false">((H1585 / 800) / (IF(ISBLANK(S1585), 100, IF(ISNA(VLOOKUP(S1585, Lives!$A$2:$C$35, 2, 0)), S1585, VLOOKUP(S1585, Lives!$A$2:$C$35, 2, 0))) * 12) + (IF(ISBLANK(Q1585), 0, IF(ISNA(VLOOKUP(Q1585, Wages!$A$2:$C$17, 2, 0)), Q1585, VLOOKUP(Q1585, Wages!$A$2:$C$17, 2, 0))) * IF(ISBLANK(N1585), 0, IF(ISNA(VLOOKUP(N1585, Crews!$A$2:$C$28, 2, 0)), N1585, VLOOKUP(N1585, Crews!$A$2:$C$28, 2, 0))))) * 400</f>
        <v>33.85416667</v>
      </c>
      <c r="K1585" s="1"/>
      <c r="L1585" s="1" t="s">
        <v>3116</v>
      </c>
      <c r="M1585" s="1" t="n">
        <v>3</v>
      </c>
      <c r="N1585" s="1"/>
      <c r="O1585" s="1"/>
      <c r="P1585" s="1"/>
      <c r="Q1585" s="1"/>
      <c r="R1585" s="1" t="s">
        <v>829</v>
      </c>
      <c r="S1585" s="1" t="s">
        <v>829</v>
      </c>
      <c r="T1585" s="1"/>
    </row>
    <row r="1586" customFormat="false" ht="15" hidden="false" customHeight="true" outlineLevel="0" collapsed="false">
      <c r="A1586" s="1" t="s">
        <v>3120</v>
      </c>
      <c r="B1586" s="1" t="n">
        <v>1933</v>
      </c>
      <c r="C1586" s="1" t="n">
        <v>2</v>
      </c>
      <c r="D1586" s="1" t="s">
        <v>21</v>
      </c>
      <c r="E1586" s="1"/>
      <c r="F1586" s="1"/>
      <c r="G1586" s="1" t="n">
        <v>50</v>
      </c>
      <c r="H1586" s="2" t="n">
        <v>65000</v>
      </c>
      <c r="I1586" s="2" t="n">
        <f aca="false">(((H1586 / 800) / IF(ISBLANK(R1586), 1000000, IF(ISNA(VLOOKUP(R1586, Mileages!$A$2:$C$34, 2, 0)), R1586, VLOOKUP(R1586, Mileages!$A$2:$C$34, 2, 0)))) + (F1586 * IF(ISBLANK(P1586), 1, P1586) * IF(ISBLANK(T1586), 0, IF(ISNA(VLOOKUP(T1586, 'Fuel Costs'!$A$2:$C$42, 2, 0)), T1586, VLOOKUP(T1586, 'Fuel Costs'!$A$2:$C$42, 2, 0))) / IF(ISBLANK(O1586), 1, O1586))) * 100</f>
        <v>0.006770833333</v>
      </c>
      <c r="J1586" s="2" t="n">
        <f aca="false">((H1586 / 800) / (IF(ISBLANK(S1586), 100, IF(ISNA(VLOOKUP(S1586, Lives!$A$2:$C$35, 2, 0)), S1586, VLOOKUP(S1586, Lives!$A$2:$C$35, 2, 0))) * 12) + (IF(ISBLANK(Q1586), 0, IF(ISNA(VLOOKUP(Q1586, Wages!$A$2:$C$17, 2, 0)), Q1586, VLOOKUP(Q1586, Wages!$A$2:$C$17, 2, 0))) * IF(ISBLANK(N1586), 0, IF(ISNA(VLOOKUP(N1586, Crews!$A$2:$C$28, 2, 0)), N1586, VLOOKUP(N1586, Crews!$A$2:$C$28, 2, 0))))) * 400</f>
        <v>33.85416667</v>
      </c>
      <c r="K1586" s="1"/>
      <c r="L1586" s="1" t="s">
        <v>3116</v>
      </c>
      <c r="M1586" s="1" t="n">
        <v>4</v>
      </c>
      <c r="N1586" s="1"/>
      <c r="O1586" s="1"/>
      <c r="P1586" s="1"/>
      <c r="Q1586" s="1"/>
      <c r="R1586" s="1" t="s">
        <v>829</v>
      </c>
      <c r="S1586" s="1" t="s">
        <v>829</v>
      </c>
      <c r="T1586" s="1"/>
    </row>
    <row r="1587" customFormat="false" ht="15" hidden="false" customHeight="true" outlineLevel="0" collapsed="false">
      <c r="A1587" s="1" t="s">
        <v>3121</v>
      </c>
      <c r="B1587" s="1" t="n">
        <v>1933</v>
      </c>
      <c r="C1587" s="1" t="n">
        <v>2</v>
      </c>
      <c r="D1587" s="1" t="s">
        <v>21</v>
      </c>
      <c r="E1587" s="1"/>
      <c r="F1587" s="1"/>
      <c r="G1587" s="1" t="n">
        <v>50</v>
      </c>
      <c r="H1587" s="2" t="n">
        <v>65000</v>
      </c>
      <c r="I1587" s="2" t="n">
        <f aca="false">(((H1587 / 800) / IF(ISBLANK(R1587), 1000000, IF(ISNA(VLOOKUP(R1587, Mileages!$A$2:$C$34, 2, 0)), R1587, VLOOKUP(R1587, Mileages!$A$2:$C$34, 2, 0)))) + (F1587 * IF(ISBLANK(P1587), 1, P1587) * IF(ISBLANK(T1587), 0, IF(ISNA(VLOOKUP(T1587, 'Fuel Costs'!$A$2:$C$42, 2, 0)), T1587, VLOOKUP(T1587, 'Fuel Costs'!$A$2:$C$42, 2, 0))) / IF(ISBLANK(O1587), 1, O1587))) * 100</f>
        <v>0.006770833333</v>
      </c>
      <c r="J1587" s="2" t="n">
        <f aca="false">((H1587 / 800) / (IF(ISBLANK(S1587), 100, IF(ISNA(VLOOKUP(S1587, Lives!$A$2:$C$35, 2, 0)), S1587, VLOOKUP(S1587, Lives!$A$2:$C$35, 2, 0))) * 12) + (IF(ISBLANK(Q1587), 0, IF(ISNA(VLOOKUP(Q1587, Wages!$A$2:$C$17, 2, 0)), Q1587, VLOOKUP(Q1587, Wages!$A$2:$C$17, 2, 0))) * IF(ISBLANK(N1587), 0, IF(ISNA(VLOOKUP(N1587, Crews!$A$2:$C$28, 2, 0)), N1587, VLOOKUP(N1587, Crews!$A$2:$C$28, 2, 0))))) * 400</f>
        <v>33.85416667</v>
      </c>
      <c r="K1587" s="1"/>
      <c r="L1587" s="1" t="s">
        <v>3116</v>
      </c>
      <c r="M1587" s="1" t="n">
        <v>5</v>
      </c>
      <c r="N1587" s="1"/>
      <c r="O1587" s="1"/>
      <c r="P1587" s="1"/>
      <c r="Q1587" s="1"/>
      <c r="R1587" s="1" t="s">
        <v>829</v>
      </c>
      <c r="S1587" s="1" t="s">
        <v>829</v>
      </c>
      <c r="T1587" s="1"/>
    </row>
    <row r="1588" customFormat="false" ht="15" hidden="false" customHeight="true" outlineLevel="0" collapsed="false">
      <c r="A1588" s="1" t="s">
        <v>3122</v>
      </c>
      <c r="B1588" s="1" t="n">
        <v>1933</v>
      </c>
      <c r="C1588" s="1" t="n">
        <v>2</v>
      </c>
      <c r="D1588" s="1" t="s">
        <v>21</v>
      </c>
      <c r="E1588" s="1"/>
      <c r="F1588" s="1"/>
      <c r="G1588" s="1" t="n">
        <v>50</v>
      </c>
      <c r="H1588" s="2" t="n">
        <v>65000</v>
      </c>
      <c r="I1588" s="2" t="n">
        <f aca="false">(((H1588 / 800) / IF(ISBLANK(R1588), 1000000, IF(ISNA(VLOOKUP(R1588, Mileages!$A$2:$C$34, 2, 0)), R1588, VLOOKUP(R1588, Mileages!$A$2:$C$34, 2, 0)))) + (F1588 * IF(ISBLANK(P1588), 1, P1588) * IF(ISBLANK(T1588), 0, IF(ISNA(VLOOKUP(T1588, 'Fuel Costs'!$A$2:$C$42, 2, 0)), T1588, VLOOKUP(T1588, 'Fuel Costs'!$A$2:$C$42, 2, 0))) / IF(ISBLANK(O1588), 1, O1588))) * 100</f>
        <v>0.006770833333</v>
      </c>
      <c r="J1588" s="2" t="n">
        <f aca="false">((H1588 / 800) / (IF(ISBLANK(S1588), 100, IF(ISNA(VLOOKUP(S1588, Lives!$A$2:$C$35, 2, 0)), S1588, VLOOKUP(S1588, Lives!$A$2:$C$35, 2, 0))) * 12) + (IF(ISBLANK(Q1588), 0, IF(ISNA(VLOOKUP(Q1588, Wages!$A$2:$C$17, 2, 0)), Q1588, VLOOKUP(Q1588, Wages!$A$2:$C$17, 2, 0))) * IF(ISBLANK(N1588), 0, IF(ISNA(VLOOKUP(N1588, Crews!$A$2:$C$28, 2, 0)), N1588, VLOOKUP(N1588, Crews!$A$2:$C$28, 2, 0))))) * 400</f>
        <v>33.85416667</v>
      </c>
      <c r="K1588" s="1"/>
      <c r="L1588" s="1" t="s">
        <v>3116</v>
      </c>
      <c r="M1588" s="1" t="n">
        <v>6</v>
      </c>
      <c r="N1588" s="1"/>
      <c r="O1588" s="1"/>
      <c r="P1588" s="1"/>
      <c r="Q1588" s="1"/>
      <c r="R1588" s="1" t="s">
        <v>829</v>
      </c>
      <c r="S1588" s="1" t="s">
        <v>829</v>
      </c>
      <c r="T1588" s="1"/>
    </row>
    <row r="1589" customFormat="false" ht="15" hidden="false" customHeight="true" outlineLevel="0" collapsed="false">
      <c r="A1589" s="1" t="s">
        <v>3123</v>
      </c>
      <c r="B1589" s="1" t="n">
        <v>1933</v>
      </c>
      <c r="C1589" s="1" t="n">
        <v>2</v>
      </c>
      <c r="D1589" s="1" t="s">
        <v>21</v>
      </c>
      <c r="E1589" s="1"/>
      <c r="F1589" s="1"/>
      <c r="G1589" s="1" t="n">
        <v>50</v>
      </c>
      <c r="H1589" s="2" t="n">
        <v>65000</v>
      </c>
      <c r="I1589" s="2" t="n">
        <f aca="false">(((H1589 / 800) / IF(ISBLANK(R1589), 1000000, IF(ISNA(VLOOKUP(R1589, Mileages!$A$2:$C$34, 2, 0)), R1589, VLOOKUP(R1589, Mileages!$A$2:$C$34, 2, 0)))) + (F1589 * IF(ISBLANK(P1589), 1, P1589) * IF(ISBLANK(T1589), 0, IF(ISNA(VLOOKUP(T1589, 'Fuel Costs'!$A$2:$C$42, 2, 0)), T1589, VLOOKUP(T1589, 'Fuel Costs'!$A$2:$C$42, 2, 0))) / IF(ISBLANK(O1589), 1, O1589))) * 100</f>
        <v>0.006770833333</v>
      </c>
      <c r="J1589" s="2" t="n">
        <f aca="false">((H1589 / 800) / (IF(ISBLANK(S1589), 100, IF(ISNA(VLOOKUP(S1589, Lives!$A$2:$C$35, 2, 0)), S1589, VLOOKUP(S1589, Lives!$A$2:$C$35, 2, 0))) * 12) + (IF(ISBLANK(Q1589), 0, IF(ISNA(VLOOKUP(Q1589, Wages!$A$2:$C$17, 2, 0)), Q1589, VLOOKUP(Q1589, Wages!$A$2:$C$17, 2, 0))) * IF(ISBLANK(N1589), 0, IF(ISNA(VLOOKUP(N1589, Crews!$A$2:$C$28, 2, 0)), N1589, VLOOKUP(N1589, Crews!$A$2:$C$28, 2, 0))))) * 400</f>
        <v>33.85416667</v>
      </c>
      <c r="K1589" s="1"/>
      <c r="L1589" s="1" t="s">
        <v>3116</v>
      </c>
      <c r="M1589" s="1" t="n">
        <v>7</v>
      </c>
      <c r="N1589" s="1"/>
      <c r="O1589" s="1"/>
      <c r="P1589" s="1"/>
      <c r="Q1589" s="1"/>
      <c r="R1589" s="1" t="s">
        <v>829</v>
      </c>
      <c r="S1589" s="1" t="s">
        <v>829</v>
      </c>
      <c r="T1589" s="1"/>
    </row>
    <row r="1590" customFormat="false" ht="15" hidden="false" customHeight="true" outlineLevel="0" collapsed="false">
      <c r="A1590" s="1" t="s">
        <v>3124</v>
      </c>
      <c r="B1590" s="1" t="n">
        <v>1933</v>
      </c>
      <c r="C1590" s="1" t="n">
        <v>4</v>
      </c>
      <c r="D1590" s="1" t="s">
        <v>21</v>
      </c>
      <c r="E1590" s="1" t="s">
        <v>274</v>
      </c>
      <c r="F1590" s="1" t="n">
        <v>76</v>
      </c>
      <c r="G1590" s="1" t="n">
        <v>65</v>
      </c>
      <c r="H1590" s="2" t="n">
        <v>265000</v>
      </c>
      <c r="I1590" s="2" t="n">
        <f aca="false">(((H1590 / 800) / IF(ISBLANK(R1590), 1000000, IF(ISNA(VLOOKUP(R1590, Mileages!$A$2:$C$34, 2, 0)), R1590, VLOOKUP(R1590, Mileages!$A$2:$C$34, 2, 0)))) + (F1590 * IF(ISBLANK(P1590), 1, P1590) * IF(ISBLANK(T1590), 0, IF(ISNA(VLOOKUP(T1590, 'Fuel Costs'!$A$2:$C$42, 2, 0)), T1590, VLOOKUP(T1590, 'Fuel Costs'!$A$2:$C$42, 2, 0))) / IF(ISBLANK(O1590), 1, O1590))) * 100</f>
        <v>50.73291667</v>
      </c>
      <c r="J1590" s="2" t="n">
        <f aca="false">((H1590 / 800) / (IF(ISBLANK(S1590), 100, IF(ISNA(VLOOKUP(S1590, Lives!$A$2:$C$35, 2, 0)), S1590, VLOOKUP(S1590, Lives!$A$2:$C$35, 2, 0))) * 12) + (IF(ISBLANK(Q1590), 0, IF(ISNA(VLOOKUP(Q1590, Wages!$A$2:$C$17, 2, 0)), Q1590, VLOOKUP(Q1590, Wages!$A$2:$C$17, 2, 0))) * IF(ISBLANK(N1590), 0, IF(ISNA(VLOOKUP(N1590, Crews!$A$2:$C$28, 2, 0)), N1590, VLOOKUP(N1590, Crews!$A$2:$C$28, 2, 0))))) * 400</f>
        <v>8138.020833</v>
      </c>
      <c r="K1590" s="3" t="s">
        <v>3125</v>
      </c>
      <c r="L1590" s="1" t="s">
        <v>3126</v>
      </c>
      <c r="M1590" s="1" t="n">
        <v>0</v>
      </c>
      <c r="N1590" s="1" t="s">
        <v>25</v>
      </c>
      <c r="O1590" s="1" t="n">
        <v>0.6</v>
      </c>
      <c r="P1590" s="1"/>
      <c r="Q1590" s="1" t="s">
        <v>1815</v>
      </c>
      <c r="R1590" s="1" t="s">
        <v>837</v>
      </c>
      <c r="S1590" s="1" t="s">
        <v>837</v>
      </c>
      <c r="T1590" s="1" t="s">
        <v>2252</v>
      </c>
    </row>
    <row r="1591" customFormat="false" ht="15" hidden="false" customHeight="true" outlineLevel="0" collapsed="false">
      <c r="A1591" s="1" t="s">
        <v>3127</v>
      </c>
      <c r="B1591" s="1" t="n">
        <v>1933</v>
      </c>
      <c r="C1591" s="1" t="n">
        <v>4</v>
      </c>
      <c r="D1591" s="1" t="s">
        <v>21</v>
      </c>
      <c r="E1591" s="1" t="s">
        <v>274</v>
      </c>
      <c r="F1591" s="1" t="n">
        <v>76</v>
      </c>
      <c r="G1591" s="1" t="n">
        <v>65</v>
      </c>
      <c r="H1591" s="2" t="n">
        <v>265000</v>
      </c>
      <c r="I1591" s="2" t="n">
        <f aca="false">(((H1591 / 800) / IF(ISBLANK(R1591), 1000000, IF(ISNA(VLOOKUP(R1591, Mileages!$A$2:$C$34, 2, 0)), R1591, VLOOKUP(R1591, Mileages!$A$2:$C$34, 2, 0)))) + (F1591 * IF(ISBLANK(P1591), 1, P1591) * IF(ISBLANK(T1591), 0, IF(ISNA(VLOOKUP(T1591, 'Fuel Costs'!$A$2:$C$42, 2, 0)), T1591, VLOOKUP(T1591, 'Fuel Costs'!$A$2:$C$42, 2, 0))) / IF(ISBLANK(O1591), 1, O1591))) * 100</f>
        <v>50.73291667</v>
      </c>
      <c r="J1591" s="2" t="n">
        <f aca="false">((H1591 / 800) / (IF(ISBLANK(S1591), 100, IF(ISNA(VLOOKUP(S1591, Lives!$A$2:$C$35, 2, 0)), S1591, VLOOKUP(S1591, Lives!$A$2:$C$35, 2, 0))) * 12) + (IF(ISBLANK(Q1591), 0, IF(ISNA(VLOOKUP(Q1591, Wages!$A$2:$C$17, 2, 0)), Q1591, VLOOKUP(Q1591, Wages!$A$2:$C$17, 2, 0))) * IF(ISBLANK(N1591), 0, IF(ISNA(VLOOKUP(N1591, Crews!$A$2:$C$28, 2, 0)), N1591, VLOOKUP(N1591, Crews!$A$2:$C$28, 2, 0))))) * 400</f>
        <v>8138.020833</v>
      </c>
      <c r="K1591" s="1"/>
      <c r="L1591" s="1" t="s">
        <v>3126</v>
      </c>
      <c r="M1591" s="1" t="n">
        <v>1</v>
      </c>
      <c r="N1591" s="1" t="s">
        <v>25</v>
      </c>
      <c r="O1591" s="1" t="n">
        <v>0.6</v>
      </c>
      <c r="P1591" s="1"/>
      <c r="Q1591" s="1" t="s">
        <v>1815</v>
      </c>
      <c r="R1591" s="1" t="s">
        <v>837</v>
      </c>
      <c r="S1591" s="1" t="s">
        <v>837</v>
      </c>
      <c r="T1591" s="1" t="s">
        <v>2252</v>
      </c>
    </row>
    <row r="1592" customFormat="false" ht="15" hidden="false" customHeight="true" outlineLevel="0" collapsed="false">
      <c r="A1592" s="1" t="s">
        <v>3128</v>
      </c>
      <c r="B1592" s="1" t="n">
        <v>1933</v>
      </c>
      <c r="C1592" s="1" t="n">
        <v>4</v>
      </c>
      <c r="D1592" s="1" t="s">
        <v>21</v>
      </c>
      <c r="E1592" s="1" t="s">
        <v>274</v>
      </c>
      <c r="F1592" s="1" t="n">
        <v>76</v>
      </c>
      <c r="G1592" s="1" t="n">
        <v>65</v>
      </c>
      <c r="H1592" s="2" t="n">
        <v>240000</v>
      </c>
      <c r="I1592" s="2" t="n">
        <f aca="false">(((H1592 / 800) / IF(ISBLANK(R1592), 1000000, IF(ISNA(VLOOKUP(R1592, Mileages!$A$2:$C$34, 2, 0)), R1592, VLOOKUP(R1592, Mileages!$A$2:$C$34, 2, 0)))) + (F1592 * IF(ISBLANK(P1592), 1, P1592) * IF(ISBLANK(T1592), 0, IF(ISNA(VLOOKUP(T1592, 'Fuel Costs'!$A$2:$C$42, 2, 0)), T1592, VLOOKUP(T1592, 'Fuel Costs'!$A$2:$C$42, 2, 0))) / IF(ISBLANK(O1592), 1, O1592))) * 100</f>
        <v>50.72666667</v>
      </c>
      <c r="J1592" s="2" t="n">
        <f aca="false">((H1592 / 800) / (IF(ISBLANK(S1592), 100, IF(ISNA(VLOOKUP(S1592, Lives!$A$2:$C$35, 2, 0)), S1592, VLOOKUP(S1592, Lives!$A$2:$C$35, 2, 0))) * 12) + (IF(ISBLANK(Q1592), 0, IF(ISNA(VLOOKUP(Q1592, Wages!$A$2:$C$17, 2, 0)), Q1592, VLOOKUP(Q1592, Wages!$A$2:$C$17, 2, 0))) * IF(ISBLANK(N1592), 0, IF(ISNA(VLOOKUP(N1592, Crews!$A$2:$C$28, 2, 0)), N1592, VLOOKUP(N1592, Crews!$A$2:$C$28, 2, 0))))) * 400</f>
        <v>8125</v>
      </c>
      <c r="K1592" s="1"/>
      <c r="L1592" s="1" t="s">
        <v>3126</v>
      </c>
      <c r="M1592" s="1" t="n">
        <v>2</v>
      </c>
      <c r="N1592" s="1" t="s">
        <v>25</v>
      </c>
      <c r="O1592" s="1" t="n">
        <v>0.6</v>
      </c>
      <c r="P1592" s="1"/>
      <c r="Q1592" s="1" t="s">
        <v>1815</v>
      </c>
      <c r="R1592" s="1" t="s">
        <v>837</v>
      </c>
      <c r="S1592" s="1" t="s">
        <v>837</v>
      </c>
      <c r="T1592" s="1" t="s">
        <v>2252</v>
      </c>
    </row>
    <row r="1593" customFormat="false" ht="15" hidden="false" customHeight="true" outlineLevel="0" collapsed="false">
      <c r="A1593" s="1" t="s">
        <v>3129</v>
      </c>
      <c r="B1593" s="1" t="n">
        <v>1933</v>
      </c>
      <c r="C1593" s="1" t="n">
        <v>4</v>
      </c>
      <c r="D1593" s="1" t="s">
        <v>21</v>
      </c>
      <c r="E1593" s="1" t="s">
        <v>274</v>
      </c>
      <c r="F1593" s="1" t="n">
        <v>76</v>
      </c>
      <c r="G1593" s="1" t="n">
        <v>65</v>
      </c>
      <c r="H1593" s="2" t="n">
        <v>240000</v>
      </c>
      <c r="I1593" s="2" t="n">
        <f aca="false">(((H1593 / 800) / IF(ISBLANK(R1593), 1000000, IF(ISNA(VLOOKUP(R1593, Mileages!$A$2:$C$34, 2, 0)), R1593, VLOOKUP(R1593, Mileages!$A$2:$C$34, 2, 0)))) + (F1593 * IF(ISBLANK(P1593), 1, P1593) * IF(ISBLANK(T1593), 0, IF(ISNA(VLOOKUP(T1593, 'Fuel Costs'!$A$2:$C$42, 2, 0)), T1593, VLOOKUP(T1593, 'Fuel Costs'!$A$2:$C$42, 2, 0))) / IF(ISBLANK(O1593), 1, O1593))) * 100</f>
        <v>50.72666667</v>
      </c>
      <c r="J1593" s="2" t="n">
        <f aca="false">((H1593 / 800) / (IF(ISBLANK(S1593), 100, IF(ISNA(VLOOKUP(S1593, Lives!$A$2:$C$35, 2, 0)), S1593, VLOOKUP(S1593, Lives!$A$2:$C$35, 2, 0))) * 12) + (IF(ISBLANK(Q1593), 0, IF(ISNA(VLOOKUP(Q1593, Wages!$A$2:$C$17, 2, 0)), Q1593, VLOOKUP(Q1593, Wages!$A$2:$C$17, 2, 0))) * IF(ISBLANK(N1593), 0, IF(ISNA(VLOOKUP(N1593, Crews!$A$2:$C$28, 2, 0)), N1593, VLOOKUP(N1593, Crews!$A$2:$C$28, 2, 0))))) * 400</f>
        <v>8125</v>
      </c>
      <c r="K1593" s="1"/>
      <c r="L1593" s="1" t="s">
        <v>3126</v>
      </c>
      <c r="M1593" s="1" t="n">
        <v>3</v>
      </c>
      <c r="N1593" s="1" t="s">
        <v>25</v>
      </c>
      <c r="O1593" s="1" t="n">
        <v>0.6</v>
      </c>
      <c r="P1593" s="1"/>
      <c r="Q1593" s="1" t="s">
        <v>1815</v>
      </c>
      <c r="R1593" s="1" t="s">
        <v>837</v>
      </c>
      <c r="S1593" s="1" t="s">
        <v>837</v>
      </c>
      <c r="T1593" s="1" t="s">
        <v>2252</v>
      </c>
    </row>
    <row r="1594" customFormat="false" ht="15" hidden="false" customHeight="true" outlineLevel="0" collapsed="false">
      <c r="A1594" s="1" t="s">
        <v>3130</v>
      </c>
      <c r="B1594" s="1" t="n">
        <v>1933</v>
      </c>
      <c r="C1594" s="1" t="n">
        <v>4</v>
      </c>
      <c r="D1594" s="1" t="s">
        <v>21</v>
      </c>
      <c r="E1594" s="1" t="s">
        <v>274</v>
      </c>
      <c r="F1594" s="1" t="n">
        <v>76</v>
      </c>
      <c r="G1594" s="1" t="n">
        <v>65</v>
      </c>
      <c r="H1594" s="2" t="n">
        <v>240000</v>
      </c>
      <c r="I1594" s="2" t="n">
        <f aca="false">(((H1594 / 800) / IF(ISBLANK(R1594), 1000000, IF(ISNA(VLOOKUP(R1594, Mileages!$A$2:$C$34, 2, 0)), R1594, VLOOKUP(R1594, Mileages!$A$2:$C$34, 2, 0)))) + (F1594 * IF(ISBLANK(P1594), 1, P1594) * IF(ISBLANK(T1594), 0, IF(ISNA(VLOOKUP(T1594, 'Fuel Costs'!$A$2:$C$42, 2, 0)), T1594, VLOOKUP(T1594, 'Fuel Costs'!$A$2:$C$42, 2, 0))) / IF(ISBLANK(O1594), 1, O1594))) * 100</f>
        <v>50.72666667</v>
      </c>
      <c r="J1594" s="2" t="n">
        <f aca="false">((H1594 / 800) / (IF(ISBLANK(S1594), 100, IF(ISNA(VLOOKUP(S1594, Lives!$A$2:$C$35, 2, 0)), S1594, VLOOKUP(S1594, Lives!$A$2:$C$35, 2, 0))) * 12) + (IF(ISBLANK(Q1594), 0, IF(ISNA(VLOOKUP(Q1594, Wages!$A$2:$C$17, 2, 0)), Q1594, VLOOKUP(Q1594, Wages!$A$2:$C$17, 2, 0))) * IF(ISBLANK(N1594), 0, IF(ISNA(VLOOKUP(N1594, Crews!$A$2:$C$28, 2, 0)), N1594, VLOOKUP(N1594, Crews!$A$2:$C$28, 2, 0))))) * 400</f>
        <v>8125</v>
      </c>
      <c r="K1594" s="1"/>
      <c r="L1594" s="1" t="s">
        <v>3126</v>
      </c>
      <c r="M1594" s="1" t="n">
        <v>4</v>
      </c>
      <c r="N1594" s="1" t="s">
        <v>25</v>
      </c>
      <c r="O1594" s="1" t="n">
        <v>0.6</v>
      </c>
      <c r="P1594" s="1"/>
      <c r="Q1594" s="1" t="s">
        <v>1815</v>
      </c>
      <c r="R1594" s="1" t="s">
        <v>837</v>
      </c>
      <c r="S1594" s="1" t="s">
        <v>837</v>
      </c>
      <c r="T1594" s="1" t="s">
        <v>2252</v>
      </c>
    </row>
    <row r="1595" customFormat="false" ht="15" hidden="false" customHeight="true" outlineLevel="0" collapsed="false">
      <c r="A1595" s="1" t="s">
        <v>3131</v>
      </c>
      <c r="B1595" s="1" t="n">
        <v>1933</v>
      </c>
      <c r="C1595" s="1" t="n">
        <v>4</v>
      </c>
      <c r="D1595" s="1" t="s">
        <v>21</v>
      </c>
      <c r="E1595" s="1" t="s">
        <v>274</v>
      </c>
      <c r="F1595" s="1" t="n">
        <v>76</v>
      </c>
      <c r="G1595" s="1" t="n">
        <v>65</v>
      </c>
      <c r="H1595" s="2" t="n">
        <v>240000</v>
      </c>
      <c r="I1595" s="2" t="n">
        <f aca="false">(((H1595 / 800) / IF(ISBLANK(R1595), 1000000, IF(ISNA(VLOOKUP(R1595, Mileages!$A$2:$C$34, 2, 0)), R1595, VLOOKUP(R1595, Mileages!$A$2:$C$34, 2, 0)))) + (F1595 * IF(ISBLANK(P1595), 1, P1595) * IF(ISBLANK(T1595), 0, IF(ISNA(VLOOKUP(T1595, 'Fuel Costs'!$A$2:$C$42, 2, 0)), T1595, VLOOKUP(T1595, 'Fuel Costs'!$A$2:$C$42, 2, 0))) / IF(ISBLANK(O1595), 1, O1595))) * 100</f>
        <v>50.72666667</v>
      </c>
      <c r="J1595" s="2" t="n">
        <f aca="false">((H1595 / 800) / (IF(ISBLANK(S1595), 100, IF(ISNA(VLOOKUP(S1595, Lives!$A$2:$C$35, 2, 0)), S1595, VLOOKUP(S1595, Lives!$A$2:$C$35, 2, 0))) * 12) + (IF(ISBLANK(Q1595), 0, IF(ISNA(VLOOKUP(Q1595, Wages!$A$2:$C$17, 2, 0)), Q1595, VLOOKUP(Q1595, Wages!$A$2:$C$17, 2, 0))) * IF(ISBLANK(N1595), 0, IF(ISNA(VLOOKUP(N1595, Crews!$A$2:$C$28, 2, 0)), N1595, VLOOKUP(N1595, Crews!$A$2:$C$28, 2, 0))))) * 400</f>
        <v>8125</v>
      </c>
      <c r="K1595" s="1"/>
      <c r="L1595" s="1" t="s">
        <v>3126</v>
      </c>
      <c r="M1595" s="1" t="n">
        <v>5</v>
      </c>
      <c r="N1595" s="1" t="s">
        <v>25</v>
      </c>
      <c r="O1595" s="1" t="n">
        <v>0.6</v>
      </c>
      <c r="P1595" s="1"/>
      <c r="Q1595" s="1" t="s">
        <v>1815</v>
      </c>
      <c r="R1595" s="1" t="s">
        <v>837</v>
      </c>
      <c r="S1595" s="1" t="s">
        <v>837</v>
      </c>
      <c r="T1595" s="1" t="s">
        <v>2252</v>
      </c>
    </row>
    <row r="1596" customFormat="false" ht="15" hidden="false" customHeight="true" outlineLevel="0" collapsed="false">
      <c r="A1596" s="1" t="s">
        <v>3132</v>
      </c>
      <c r="B1596" s="1" t="n">
        <v>1933</v>
      </c>
      <c r="C1596" s="1" t="n">
        <v>5</v>
      </c>
      <c r="D1596" s="1" t="s">
        <v>2225</v>
      </c>
      <c r="E1596" s="1" t="s">
        <v>1839</v>
      </c>
      <c r="F1596" s="1" t="n">
        <v>738</v>
      </c>
      <c r="G1596" s="1" t="n">
        <v>304</v>
      </c>
      <c r="H1596" s="2" t="n">
        <v>2250000</v>
      </c>
      <c r="I1596" s="2" t="n">
        <f aca="false">(((H1596 / 800) / IF(ISBLANK(R1596), 1000000, IF(ISNA(VLOOKUP(R1596, Mileages!$A$2:$C$34, 2, 0)), R1596, VLOOKUP(R1596, Mileages!$A$2:$C$34, 2, 0)))) + (F1596 * IF(ISBLANK(P1596), 1, P1596) * IF(ISBLANK(T1596), 0, IF(ISNA(VLOOKUP(T1596, 'Fuel Costs'!$A$2:$C$42, 2, 0)), T1596, VLOOKUP(T1596, 'Fuel Costs'!$A$2:$C$42, 2, 0))) / IF(ISBLANK(O1596), 1, O1596))) * 100</f>
        <v>36.95625</v>
      </c>
      <c r="J1596" s="2" t="n">
        <f aca="false">((H1596 / 800) / (IF(ISBLANK(S1596), 100, IF(ISNA(VLOOKUP(S1596, Lives!$A$2:$C$35, 2, 0)), S1596, VLOOKUP(S1596, Lives!$A$2:$C$35, 2, 0))) * 12) + (IF(ISBLANK(Q1596), 0, IF(ISNA(VLOOKUP(Q1596, Wages!$A$2:$C$17, 2, 0)), Q1596, VLOOKUP(Q1596, Wages!$A$2:$C$17, 2, 0))) * IF(ISBLANK(N1596), 0, IF(ISNA(VLOOKUP(N1596, Crews!$A$2:$C$28, 2, 0)), N1596, VLOOKUP(N1596, Crews!$A$2:$C$28, 2, 0))))) * 400</f>
        <v>51562.5</v>
      </c>
      <c r="K1596" s="3" t="s">
        <v>3133</v>
      </c>
      <c r="L1596" s="1" t="s">
        <v>3134</v>
      </c>
      <c r="M1596" s="1" t="n">
        <v>0</v>
      </c>
      <c r="N1596" s="1" t="s">
        <v>2342</v>
      </c>
      <c r="O1596" s="1"/>
      <c r="P1596" s="1" t="n">
        <v>0.1</v>
      </c>
      <c r="Q1596" s="1" t="s">
        <v>2229</v>
      </c>
      <c r="R1596" s="1" t="s">
        <v>2229</v>
      </c>
      <c r="S1596" s="1" t="s">
        <v>2229</v>
      </c>
      <c r="T1596" s="1" t="s">
        <v>2572</v>
      </c>
    </row>
    <row r="1597" customFormat="false" ht="15" hidden="false" customHeight="true" outlineLevel="0" collapsed="false">
      <c r="A1597" s="1" t="s">
        <v>3135</v>
      </c>
      <c r="B1597" s="1" t="n">
        <v>1933</v>
      </c>
      <c r="C1597" s="1" t="n">
        <v>5</v>
      </c>
      <c r="D1597" s="1" t="s">
        <v>2225</v>
      </c>
      <c r="E1597" s="1" t="s">
        <v>1839</v>
      </c>
      <c r="F1597" s="1" t="n">
        <v>738</v>
      </c>
      <c r="G1597" s="1" t="n">
        <v>304</v>
      </c>
      <c r="H1597" s="2" t="n">
        <v>2250000</v>
      </c>
      <c r="I1597" s="2" t="n">
        <f aca="false">(((H1597 / 800) / IF(ISBLANK(R1597), 1000000, IF(ISNA(VLOOKUP(R1597, Mileages!$A$2:$C$34, 2, 0)), R1597, VLOOKUP(R1597, Mileages!$A$2:$C$34, 2, 0)))) + (F1597 * IF(ISBLANK(P1597), 1, P1597) * IF(ISBLANK(T1597), 0, IF(ISNA(VLOOKUP(T1597, 'Fuel Costs'!$A$2:$C$42, 2, 0)), T1597, VLOOKUP(T1597, 'Fuel Costs'!$A$2:$C$42, 2, 0))) / IF(ISBLANK(O1597), 1, O1597))) * 100</f>
        <v>36.95625</v>
      </c>
      <c r="J1597" s="2" t="n">
        <f aca="false">((H1597 / 800) / (IF(ISBLANK(S1597), 100, IF(ISNA(VLOOKUP(S1597, Lives!$A$2:$C$35, 2, 0)), S1597, VLOOKUP(S1597, Lives!$A$2:$C$35, 2, 0))) * 12) + (IF(ISBLANK(Q1597), 0, IF(ISNA(VLOOKUP(Q1597, Wages!$A$2:$C$17, 2, 0)), Q1597, VLOOKUP(Q1597, Wages!$A$2:$C$17, 2, 0))) * IF(ISBLANK(N1597), 0, IF(ISNA(VLOOKUP(N1597, Crews!$A$2:$C$28, 2, 0)), N1597, VLOOKUP(N1597, Crews!$A$2:$C$28, 2, 0))))) * 400</f>
        <v>11562.5</v>
      </c>
      <c r="K1597" s="3" t="s">
        <v>3136</v>
      </c>
      <c r="L1597" s="1" t="s">
        <v>3134</v>
      </c>
      <c r="M1597" s="1" t="n">
        <v>1</v>
      </c>
      <c r="N1597" s="1" t="s">
        <v>25</v>
      </c>
      <c r="O1597" s="1"/>
      <c r="P1597" s="1" t="n">
        <v>0.1</v>
      </c>
      <c r="Q1597" s="1" t="s">
        <v>2229</v>
      </c>
      <c r="R1597" s="1" t="s">
        <v>2229</v>
      </c>
      <c r="S1597" s="1" t="s">
        <v>2229</v>
      </c>
      <c r="T1597" s="1" t="s">
        <v>2572</v>
      </c>
    </row>
    <row r="1598" customFormat="false" ht="15" hidden="false" customHeight="true" outlineLevel="0" collapsed="false">
      <c r="A1598" s="1" t="s">
        <v>3137</v>
      </c>
      <c r="B1598" s="1" t="n">
        <v>1933</v>
      </c>
      <c r="C1598" s="1" t="n">
        <v>6</v>
      </c>
      <c r="D1598" s="1" t="s">
        <v>38</v>
      </c>
      <c r="E1598" s="1"/>
      <c r="F1598" s="1"/>
      <c r="G1598" s="1" t="n">
        <v>160</v>
      </c>
      <c r="H1598" s="2" t="n">
        <v>755000</v>
      </c>
      <c r="I1598" s="2" t="n">
        <f aca="false">(((H1598 / 800) / IF(ISBLANK(R1598), 1000000, IF(ISNA(VLOOKUP(R1598, Mileages!$A$2:$C$34, 2, 0)), R1598, VLOOKUP(R1598, Mileages!$A$2:$C$34, 2, 0)))) + (F1598 * IF(ISBLANK(P1598), 1, P1598) * IF(ISBLANK(T1598), 0, IF(ISNA(VLOOKUP(T1598, 'Fuel Costs'!$A$2:$C$42, 2, 0)), T1598, VLOOKUP(T1598, 'Fuel Costs'!$A$2:$C$42, 2, 0))) / IF(ISBLANK(O1598), 1, O1598))) * 100</f>
        <v>0.07864583333</v>
      </c>
      <c r="J1598" s="2" t="n">
        <f aca="false">((H1598 / 800) / (IF(ISBLANK(S1598), 100, IF(ISNA(VLOOKUP(S1598, Lives!$A$2:$C$35, 2, 0)), S1598, VLOOKUP(S1598, Lives!$A$2:$C$35, 2, 0))) * 12) + (IF(ISBLANK(Q1598), 0, IF(ISNA(VLOOKUP(Q1598, Wages!$A$2:$C$17, 2, 0)), Q1598, VLOOKUP(Q1598, Wages!$A$2:$C$17, 2, 0))) * IF(ISBLANK(N1598), 0, IF(ISNA(VLOOKUP(N1598, Crews!$A$2:$C$28, 2, 0)), N1598, VLOOKUP(N1598, Crews!$A$2:$C$28, 2, 0))))) * 400</f>
        <v>898.8095238</v>
      </c>
      <c r="K1598" s="3" t="s">
        <v>3138</v>
      </c>
      <c r="L1598" s="1" t="s">
        <v>3139</v>
      </c>
      <c r="M1598" s="1" t="n">
        <v>0</v>
      </c>
      <c r="N1598" s="1"/>
      <c r="O1598" s="1"/>
      <c r="P1598" s="1"/>
      <c r="Q1598" s="1"/>
      <c r="R1598" s="1" t="s">
        <v>689</v>
      </c>
      <c r="S1598" s="1" t="s">
        <v>856</v>
      </c>
      <c r="T1598" s="1"/>
    </row>
    <row r="1599" customFormat="false" ht="15" hidden="false" customHeight="true" outlineLevel="0" collapsed="false">
      <c r="A1599" s="1" t="s">
        <v>3140</v>
      </c>
      <c r="B1599" s="1" t="n">
        <v>1933</v>
      </c>
      <c r="C1599" s="1" t="n">
        <v>6</v>
      </c>
      <c r="D1599" s="1" t="s">
        <v>38</v>
      </c>
      <c r="E1599" s="1"/>
      <c r="F1599" s="1"/>
      <c r="G1599" s="1" t="n">
        <v>160</v>
      </c>
      <c r="H1599" s="2" t="n">
        <v>755000</v>
      </c>
      <c r="I1599" s="2" t="n">
        <f aca="false">(((H1599 / 800) / IF(ISBLANK(R1599), 1000000, IF(ISNA(VLOOKUP(R1599, Mileages!$A$2:$C$34, 2, 0)), R1599, VLOOKUP(R1599, Mileages!$A$2:$C$34, 2, 0)))) + (F1599 * IF(ISBLANK(P1599), 1, P1599) * IF(ISBLANK(T1599), 0, IF(ISNA(VLOOKUP(T1599, 'Fuel Costs'!$A$2:$C$42, 2, 0)), T1599, VLOOKUP(T1599, 'Fuel Costs'!$A$2:$C$42, 2, 0))) / IF(ISBLANK(O1599), 1, O1599))) * 100</f>
        <v>0.07864583333</v>
      </c>
      <c r="J1599" s="2" t="n">
        <f aca="false">((H1599 / 800) / (IF(ISBLANK(S1599), 100, IF(ISNA(VLOOKUP(S1599, Lives!$A$2:$C$35, 2, 0)), S1599, VLOOKUP(S1599, Lives!$A$2:$C$35, 2, 0))) * 12) + (IF(ISBLANK(Q1599), 0, IF(ISNA(VLOOKUP(Q1599, Wages!$A$2:$C$17, 2, 0)), Q1599, VLOOKUP(Q1599, Wages!$A$2:$C$17, 2, 0))) * IF(ISBLANK(N1599), 0, IF(ISNA(VLOOKUP(N1599, Crews!$A$2:$C$28, 2, 0)), N1599, VLOOKUP(N1599, Crews!$A$2:$C$28, 2, 0))))) * 400</f>
        <v>5698.809524</v>
      </c>
      <c r="K1599" s="3" t="s">
        <v>3141</v>
      </c>
      <c r="L1599" s="1" t="s">
        <v>3139</v>
      </c>
      <c r="M1599" s="1" t="n">
        <v>1</v>
      </c>
      <c r="N1599" s="1" t="s">
        <v>25</v>
      </c>
      <c r="O1599" s="1"/>
      <c r="P1599" s="1"/>
      <c r="Q1599" s="1" t="s">
        <v>378</v>
      </c>
      <c r="R1599" s="1" t="s">
        <v>689</v>
      </c>
      <c r="S1599" s="1" t="s">
        <v>856</v>
      </c>
      <c r="T1599" s="1"/>
    </row>
    <row r="1600" customFormat="false" ht="15" hidden="false" customHeight="true" outlineLevel="0" collapsed="false">
      <c r="A1600" s="1" t="s">
        <v>3142</v>
      </c>
      <c r="B1600" s="1" t="n">
        <v>1933</v>
      </c>
      <c r="C1600" s="1" t="n">
        <v>6</v>
      </c>
      <c r="D1600" s="1" t="s">
        <v>38</v>
      </c>
      <c r="E1600" s="1"/>
      <c r="F1600" s="1"/>
      <c r="G1600" s="1" t="n">
        <v>160</v>
      </c>
      <c r="H1600" s="2" t="n">
        <v>755000</v>
      </c>
      <c r="I1600" s="2" t="n">
        <f aca="false">(((H1600 / 800) / IF(ISBLANK(R1600), 1000000, IF(ISNA(VLOOKUP(R1600, Mileages!$A$2:$C$34, 2, 0)), R1600, VLOOKUP(R1600, Mileages!$A$2:$C$34, 2, 0)))) + (F1600 * IF(ISBLANK(P1600), 1, P1600) * IF(ISBLANK(T1600), 0, IF(ISNA(VLOOKUP(T1600, 'Fuel Costs'!$A$2:$C$42, 2, 0)), T1600, VLOOKUP(T1600, 'Fuel Costs'!$A$2:$C$42, 2, 0))) / IF(ISBLANK(O1600), 1, O1600))) * 100</f>
        <v>0.07864583333</v>
      </c>
      <c r="J1600" s="2" t="n">
        <f aca="false">((H1600 / 800) / (IF(ISBLANK(S1600), 100, IF(ISNA(VLOOKUP(S1600, Lives!$A$2:$C$35, 2, 0)), S1600, VLOOKUP(S1600, Lives!$A$2:$C$35, 2, 0))) * 12) + (IF(ISBLANK(Q1600), 0, IF(ISNA(VLOOKUP(Q1600, Wages!$A$2:$C$17, 2, 0)), Q1600, VLOOKUP(Q1600, Wages!$A$2:$C$17, 2, 0))) * IF(ISBLANK(N1600), 0, IF(ISNA(VLOOKUP(N1600, Crews!$A$2:$C$28, 2, 0)), N1600, VLOOKUP(N1600, Crews!$A$2:$C$28, 2, 0))))) * 400</f>
        <v>5698.809524</v>
      </c>
      <c r="K1600" s="3" t="s">
        <v>3141</v>
      </c>
      <c r="L1600" s="1" t="s">
        <v>3139</v>
      </c>
      <c r="M1600" s="1" t="n">
        <v>2</v>
      </c>
      <c r="N1600" s="1" t="s">
        <v>25</v>
      </c>
      <c r="O1600" s="1"/>
      <c r="P1600" s="1"/>
      <c r="Q1600" s="1" t="s">
        <v>378</v>
      </c>
      <c r="R1600" s="1" t="s">
        <v>689</v>
      </c>
      <c r="S1600" s="1" t="s">
        <v>856</v>
      </c>
      <c r="T1600" s="1"/>
    </row>
    <row r="1601" customFormat="false" ht="15" hidden="false" customHeight="true" outlineLevel="0" collapsed="false">
      <c r="A1601" s="1" t="s">
        <v>3143</v>
      </c>
      <c r="B1601" s="1" t="n">
        <v>1933</v>
      </c>
      <c r="C1601" s="1" t="n">
        <v>6</v>
      </c>
      <c r="D1601" s="1" t="s">
        <v>38</v>
      </c>
      <c r="E1601" s="1"/>
      <c r="F1601" s="1"/>
      <c r="G1601" s="1" t="n">
        <v>160</v>
      </c>
      <c r="H1601" s="2" t="n">
        <v>700000</v>
      </c>
      <c r="I1601" s="2" t="n">
        <f aca="false">(((H1601 / 800) / IF(ISBLANK(R1601), 1000000, IF(ISNA(VLOOKUP(R1601, Mileages!$A$2:$C$34, 2, 0)), R1601, VLOOKUP(R1601, Mileages!$A$2:$C$34, 2, 0)))) + (F1601 * IF(ISBLANK(P1601), 1, P1601) * IF(ISBLANK(T1601), 0, IF(ISNA(VLOOKUP(T1601, 'Fuel Costs'!$A$2:$C$42, 2, 0)), T1601, VLOOKUP(T1601, 'Fuel Costs'!$A$2:$C$42, 2, 0))) / IF(ISBLANK(O1601), 1, O1601))) * 100</f>
        <v>0.07291666667</v>
      </c>
      <c r="J1601" s="2" t="n">
        <f aca="false">((H1601 / 800) / (IF(ISBLANK(S1601), 100, IF(ISNA(VLOOKUP(S1601, Lives!$A$2:$C$35, 2, 0)), S1601, VLOOKUP(S1601, Lives!$A$2:$C$35, 2, 0))) * 12) + (IF(ISBLANK(Q1601), 0, IF(ISNA(VLOOKUP(Q1601, Wages!$A$2:$C$17, 2, 0)), Q1601, VLOOKUP(Q1601, Wages!$A$2:$C$17, 2, 0))) * IF(ISBLANK(N1601), 0, IF(ISNA(VLOOKUP(N1601, Crews!$A$2:$C$28, 2, 0)), N1601, VLOOKUP(N1601, Crews!$A$2:$C$28, 2, 0))))) * 400</f>
        <v>833.3333333</v>
      </c>
      <c r="K1601" s="3" t="s">
        <v>3144</v>
      </c>
      <c r="L1601" s="1" t="s">
        <v>3139</v>
      </c>
      <c r="M1601" s="1" t="n">
        <v>3</v>
      </c>
      <c r="N1601" s="1"/>
      <c r="O1601" s="1"/>
      <c r="P1601" s="1"/>
      <c r="Q1601" s="1"/>
      <c r="R1601" s="1" t="s">
        <v>689</v>
      </c>
      <c r="S1601" s="1" t="s">
        <v>856</v>
      </c>
      <c r="T1601" s="1"/>
    </row>
    <row r="1602" customFormat="false" ht="15" hidden="false" customHeight="true" outlineLevel="0" collapsed="false">
      <c r="A1602" s="1" t="s">
        <v>3145</v>
      </c>
      <c r="B1602" s="1" t="n">
        <v>1933</v>
      </c>
      <c r="C1602" s="1" t="n">
        <v>6</v>
      </c>
      <c r="D1602" s="1" t="s">
        <v>38</v>
      </c>
      <c r="E1602" s="1"/>
      <c r="F1602" s="1"/>
      <c r="G1602" s="1" t="n">
        <v>160</v>
      </c>
      <c r="H1602" s="2" t="n">
        <v>700000</v>
      </c>
      <c r="I1602" s="2" t="n">
        <f aca="false">(((H1602 / 800) / IF(ISBLANK(R1602), 1000000, IF(ISNA(VLOOKUP(R1602, Mileages!$A$2:$C$34, 2, 0)), R1602, VLOOKUP(R1602, Mileages!$A$2:$C$34, 2, 0)))) + (F1602 * IF(ISBLANK(P1602), 1, P1602) * IF(ISBLANK(T1602), 0, IF(ISNA(VLOOKUP(T1602, 'Fuel Costs'!$A$2:$C$42, 2, 0)), T1602, VLOOKUP(T1602, 'Fuel Costs'!$A$2:$C$42, 2, 0))) / IF(ISBLANK(O1602), 1, O1602))) * 100</f>
        <v>0.07291666667</v>
      </c>
      <c r="J1602" s="2" t="n">
        <f aca="false">((H1602 / 800) / (IF(ISBLANK(S1602), 100, IF(ISNA(VLOOKUP(S1602, Lives!$A$2:$C$35, 2, 0)), S1602, VLOOKUP(S1602, Lives!$A$2:$C$35, 2, 0))) * 12) + (IF(ISBLANK(Q1602), 0, IF(ISNA(VLOOKUP(Q1602, Wages!$A$2:$C$17, 2, 0)), Q1602, VLOOKUP(Q1602, Wages!$A$2:$C$17, 2, 0))) * IF(ISBLANK(N1602), 0, IF(ISNA(VLOOKUP(N1602, Crews!$A$2:$C$28, 2, 0)), N1602, VLOOKUP(N1602, Crews!$A$2:$C$28, 2, 0))))) * 400</f>
        <v>5633.333333</v>
      </c>
      <c r="K1602" s="3" t="s">
        <v>3146</v>
      </c>
      <c r="L1602" s="1" t="s">
        <v>3139</v>
      </c>
      <c r="M1602" s="1" t="n">
        <v>4</v>
      </c>
      <c r="N1602" s="1" t="s">
        <v>25</v>
      </c>
      <c r="O1602" s="1"/>
      <c r="P1602" s="1"/>
      <c r="Q1602" s="1" t="s">
        <v>378</v>
      </c>
      <c r="R1602" s="1" t="s">
        <v>689</v>
      </c>
      <c r="S1602" s="1" t="s">
        <v>856</v>
      </c>
      <c r="T1602" s="1"/>
    </row>
    <row r="1603" customFormat="false" ht="15" hidden="false" customHeight="true" outlineLevel="0" collapsed="false">
      <c r="A1603" s="1" t="s">
        <v>3147</v>
      </c>
      <c r="B1603" s="1" t="n">
        <v>1933</v>
      </c>
      <c r="C1603" s="1" t="n">
        <v>6</v>
      </c>
      <c r="D1603" s="1" t="s">
        <v>38</v>
      </c>
      <c r="E1603" s="1"/>
      <c r="F1603" s="1"/>
      <c r="G1603" s="1" t="n">
        <v>160</v>
      </c>
      <c r="H1603" s="2" t="n">
        <v>700000</v>
      </c>
      <c r="I1603" s="2" t="n">
        <f aca="false">(((H1603 / 800) / IF(ISBLANK(R1603), 1000000, IF(ISNA(VLOOKUP(R1603, Mileages!$A$2:$C$34, 2, 0)), R1603, VLOOKUP(R1603, Mileages!$A$2:$C$34, 2, 0)))) + (F1603 * IF(ISBLANK(P1603), 1, P1603) * IF(ISBLANK(T1603), 0, IF(ISNA(VLOOKUP(T1603, 'Fuel Costs'!$A$2:$C$42, 2, 0)), T1603, VLOOKUP(T1603, 'Fuel Costs'!$A$2:$C$42, 2, 0))) / IF(ISBLANK(O1603), 1, O1603))) * 100</f>
        <v>0.07291666667</v>
      </c>
      <c r="J1603" s="2" t="n">
        <f aca="false">((H1603 / 800) / (IF(ISBLANK(S1603), 100, IF(ISNA(VLOOKUP(S1603, Lives!$A$2:$C$35, 2, 0)), S1603, VLOOKUP(S1603, Lives!$A$2:$C$35, 2, 0))) * 12) + (IF(ISBLANK(Q1603), 0, IF(ISNA(VLOOKUP(Q1603, Wages!$A$2:$C$17, 2, 0)), Q1603, VLOOKUP(Q1603, Wages!$A$2:$C$17, 2, 0))) * IF(ISBLANK(N1603), 0, IF(ISNA(VLOOKUP(N1603, Crews!$A$2:$C$28, 2, 0)), N1603, VLOOKUP(N1603, Crews!$A$2:$C$28, 2, 0))))) * 400</f>
        <v>5633.333333</v>
      </c>
      <c r="K1603" s="3" t="s">
        <v>3146</v>
      </c>
      <c r="L1603" s="1" t="s">
        <v>3139</v>
      </c>
      <c r="M1603" s="1" t="n">
        <v>5</v>
      </c>
      <c r="N1603" s="1" t="s">
        <v>25</v>
      </c>
      <c r="O1603" s="1"/>
      <c r="P1603" s="1"/>
      <c r="Q1603" s="1" t="s">
        <v>378</v>
      </c>
      <c r="R1603" s="1" t="s">
        <v>689</v>
      </c>
      <c r="S1603" s="1" t="s">
        <v>856</v>
      </c>
      <c r="T1603" s="1"/>
    </row>
    <row r="1604" customFormat="false" ht="15" hidden="false" customHeight="true" outlineLevel="0" collapsed="false">
      <c r="A1604" s="1" t="s">
        <v>3148</v>
      </c>
      <c r="B1604" s="1" t="n">
        <v>1933</v>
      </c>
      <c r="C1604" s="1" t="n">
        <v>6</v>
      </c>
      <c r="D1604" s="1" t="s">
        <v>38</v>
      </c>
      <c r="E1604" s="1"/>
      <c r="F1604" s="1"/>
      <c r="G1604" s="1" t="n">
        <v>160</v>
      </c>
      <c r="H1604" s="2" t="n">
        <v>910000</v>
      </c>
      <c r="I1604" s="2" t="n">
        <f aca="false">(((H1604 / 800) / IF(ISBLANK(R1604), 1000000, IF(ISNA(VLOOKUP(R1604, Mileages!$A$2:$C$34, 2, 0)), R1604, VLOOKUP(R1604, Mileages!$A$2:$C$34, 2, 0)))) + (F1604 * IF(ISBLANK(P1604), 1, P1604) * IF(ISBLANK(T1604), 0, IF(ISNA(VLOOKUP(T1604, 'Fuel Costs'!$A$2:$C$42, 2, 0)), T1604, VLOOKUP(T1604, 'Fuel Costs'!$A$2:$C$42, 2, 0))) / IF(ISBLANK(O1604), 1, O1604))) * 100</f>
        <v>0.09479166667</v>
      </c>
      <c r="J1604" s="2" t="n">
        <f aca="false">((H1604 / 800) / (IF(ISBLANK(S1604), 100, IF(ISNA(VLOOKUP(S1604, Lives!$A$2:$C$35, 2, 0)), S1604, VLOOKUP(S1604, Lives!$A$2:$C$35, 2, 0))) * 12) + (IF(ISBLANK(Q1604), 0, IF(ISNA(VLOOKUP(Q1604, Wages!$A$2:$C$17, 2, 0)), Q1604, VLOOKUP(Q1604, Wages!$A$2:$C$17, 2, 0))) * IF(ISBLANK(N1604), 0, IF(ISNA(VLOOKUP(N1604, Crews!$A$2:$C$28, 2, 0)), N1604, VLOOKUP(N1604, Crews!$A$2:$C$28, 2, 0))))) * 400</f>
        <v>19083.33333</v>
      </c>
      <c r="K1604" s="3" t="s">
        <v>3149</v>
      </c>
      <c r="L1604" s="1" t="s">
        <v>3139</v>
      </c>
      <c r="M1604" s="1" t="n">
        <v>6</v>
      </c>
      <c r="N1604" s="1" t="s">
        <v>1481</v>
      </c>
      <c r="O1604" s="1"/>
      <c r="P1604" s="1"/>
      <c r="Q1604" s="1" t="s">
        <v>1481</v>
      </c>
      <c r="R1604" s="1" t="s">
        <v>689</v>
      </c>
      <c r="S1604" s="1" t="s">
        <v>856</v>
      </c>
      <c r="T1604" s="1"/>
    </row>
    <row r="1605" customFormat="false" ht="15" hidden="false" customHeight="true" outlineLevel="0" collapsed="false">
      <c r="A1605" s="1" t="s">
        <v>3150</v>
      </c>
      <c r="B1605" s="1" t="n">
        <v>1933</v>
      </c>
      <c r="C1605" s="1" t="n">
        <v>6</v>
      </c>
      <c r="D1605" s="1" t="s">
        <v>38</v>
      </c>
      <c r="E1605" s="1"/>
      <c r="F1605" s="1"/>
      <c r="G1605" s="1" t="n">
        <v>160</v>
      </c>
      <c r="H1605" s="2" t="n">
        <v>820000</v>
      </c>
      <c r="I1605" s="2" t="n">
        <f aca="false">(((H1605 / 800) / IF(ISBLANK(R1605), 1000000, IF(ISNA(VLOOKUP(R1605, Mileages!$A$2:$C$34, 2, 0)), R1605, VLOOKUP(R1605, Mileages!$A$2:$C$34, 2, 0)))) + (F1605 * IF(ISBLANK(P1605), 1, P1605) * IF(ISBLANK(T1605), 0, IF(ISNA(VLOOKUP(T1605, 'Fuel Costs'!$A$2:$C$42, 2, 0)), T1605, VLOOKUP(T1605, 'Fuel Costs'!$A$2:$C$42, 2, 0))) / IF(ISBLANK(O1605), 1, O1605))) * 100</f>
        <v>0.08541666667</v>
      </c>
      <c r="J1605" s="2" t="n">
        <f aca="false">((H1605 / 800) / (IF(ISBLANK(S1605), 100, IF(ISNA(VLOOKUP(S1605, Lives!$A$2:$C$35, 2, 0)), S1605, VLOOKUP(S1605, Lives!$A$2:$C$35, 2, 0))) * 12) + (IF(ISBLANK(Q1605), 0, IF(ISNA(VLOOKUP(Q1605, Wages!$A$2:$C$17, 2, 0)), Q1605, VLOOKUP(Q1605, Wages!$A$2:$C$17, 2, 0))) * IF(ISBLANK(N1605), 0, IF(ISNA(VLOOKUP(N1605, Crews!$A$2:$C$28, 2, 0)), N1605, VLOOKUP(N1605, Crews!$A$2:$C$28, 2, 0))))) * 400</f>
        <v>18976.19048</v>
      </c>
      <c r="K1605" s="3" t="s">
        <v>3151</v>
      </c>
      <c r="L1605" s="1" t="s">
        <v>3139</v>
      </c>
      <c r="M1605" s="1" t="n">
        <v>7</v>
      </c>
      <c r="N1605" s="1" t="s">
        <v>1481</v>
      </c>
      <c r="O1605" s="1"/>
      <c r="P1605" s="1"/>
      <c r="Q1605" s="1" t="s">
        <v>1481</v>
      </c>
      <c r="R1605" s="1" t="s">
        <v>689</v>
      </c>
      <c r="S1605" s="1" t="s">
        <v>856</v>
      </c>
      <c r="T1605" s="1"/>
    </row>
    <row r="1606" customFormat="false" ht="15" hidden="false" customHeight="true" outlineLevel="0" collapsed="false">
      <c r="A1606" s="1" t="s">
        <v>3152</v>
      </c>
      <c r="B1606" s="1" t="n">
        <v>1933</v>
      </c>
      <c r="C1606" s="1" t="n">
        <v>6</v>
      </c>
      <c r="D1606" s="1" t="s">
        <v>38</v>
      </c>
      <c r="E1606" s="1"/>
      <c r="F1606" s="1"/>
      <c r="G1606" s="1" t="n">
        <v>160</v>
      </c>
      <c r="H1606" s="2" t="n">
        <v>548000</v>
      </c>
      <c r="I1606" s="2" t="n">
        <f aca="false">(((H1606 / 800) / IF(ISBLANK(R1606), 1000000, IF(ISNA(VLOOKUP(R1606, Mileages!$A$2:$C$34, 2, 0)), R1606, VLOOKUP(R1606, Mileages!$A$2:$C$34, 2, 0)))) + (F1606 * IF(ISBLANK(P1606), 1, P1606) * IF(ISBLANK(T1606), 0, IF(ISNA(VLOOKUP(T1606, 'Fuel Costs'!$A$2:$C$42, 2, 0)), T1606, VLOOKUP(T1606, 'Fuel Costs'!$A$2:$C$42, 2, 0))) / IF(ISBLANK(O1606), 1, O1606))) * 100</f>
        <v>0.05708333333</v>
      </c>
      <c r="J1606" s="2" t="n">
        <f aca="false">((H1606 / 800) / (IF(ISBLANK(S1606), 100, IF(ISNA(VLOOKUP(S1606, Lives!$A$2:$C$35, 2, 0)), S1606, VLOOKUP(S1606, Lives!$A$2:$C$35, 2, 0))) * 12) + (IF(ISBLANK(Q1606), 0, IF(ISNA(VLOOKUP(Q1606, Wages!$A$2:$C$17, 2, 0)), Q1606, VLOOKUP(Q1606, Wages!$A$2:$C$17, 2, 0))) * IF(ISBLANK(N1606), 0, IF(ISNA(VLOOKUP(N1606, Crews!$A$2:$C$28, 2, 0)), N1606, VLOOKUP(N1606, Crews!$A$2:$C$28, 2, 0))))) * 400</f>
        <v>652.3809524</v>
      </c>
      <c r="K1606" s="3" t="s">
        <v>3153</v>
      </c>
      <c r="L1606" s="1" t="s">
        <v>3139</v>
      </c>
      <c r="M1606" s="1" t="n">
        <v>8</v>
      </c>
      <c r="N1606" s="1"/>
      <c r="O1606" s="1"/>
      <c r="P1606" s="1"/>
      <c r="Q1606" s="1"/>
      <c r="R1606" s="1" t="s">
        <v>689</v>
      </c>
      <c r="S1606" s="1" t="s">
        <v>856</v>
      </c>
      <c r="T1606" s="1"/>
    </row>
    <row r="1607" customFormat="false" ht="15" hidden="false" customHeight="true" outlineLevel="0" collapsed="false">
      <c r="A1607" s="1" t="s">
        <v>3154</v>
      </c>
      <c r="B1607" s="1" t="n">
        <v>1933</v>
      </c>
      <c r="C1607" s="1" t="n">
        <v>6</v>
      </c>
      <c r="D1607" s="1" t="s">
        <v>38</v>
      </c>
      <c r="E1607" s="1"/>
      <c r="F1607" s="1"/>
      <c r="G1607" s="1" t="n">
        <v>160</v>
      </c>
      <c r="H1607" s="2" t="n">
        <v>700000</v>
      </c>
      <c r="I1607" s="2" t="n">
        <f aca="false">(((H1607 / 800) / IF(ISBLANK(R1607), 1000000, IF(ISNA(VLOOKUP(R1607, Mileages!$A$2:$C$34, 2, 0)), R1607, VLOOKUP(R1607, Mileages!$A$2:$C$34, 2, 0)))) + (F1607 * IF(ISBLANK(P1607), 1, P1607) * IF(ISBLANK(T1607), 0, IF(ISNA(VLOOKUP(T1607, 'Fuel Costs'!$A$2:$C$42, 2, 0)), T1607, VLOOKUP(T1607, 'Fuel Costs'!$A$2:$C$42, 2, 0))) / IF(ISBLANK(O1607), 1, O1607))) * 100</f>
        <v>0.07291666667</v>
      </c>
      <c r="J1607" s="2" t="n">
        <f aca="false">((H1607 / 800) / (IF(ISBLANK(S1607), 100, IF(ISNA(VLOOKUP(S1607, Lives!$A$2:$C$35, 2, 0)), S1607, VLOOKUP(S1607, Lives!$A$2:$C$35, 2, 0))) * 12) + (IF(ISBLANK(Q1607), 0, IF(ISNA(VLOOKUP(Q1607, Wages!$A$2:$C$17, 2, 0)), Q1607, VLOOKUP(Q1607, Wages!$A$2:$C$17, 2, 0))) * IF(ISBLANK(N1607), 0, IF(ISNA(VLOOKUP(N1607, Crews!$A$2:$C$28, 2, 0)), N1607, VLOOKUP(N1607, Crews!$A$2:$C$28, 2, 0))))) * 400</f>
        <v>291.6666667</v>
      </c>
      <c r="K1607" s="1" t="s">
        <v>3155</v>
      </c>
      <c r="L1607" s="1" t="s">
        <v>3139</v>
      </c>
      <c r="M1607" s="1" t="n">
        <v>9</v>
      </c>
      <c r="N1607" s="1"/>
      <c r="O1607" s="1"/>
      <c r="P1607" s="1"/>
      <c r="Q1607" s="1"/>
      <c r="R1607" s="1" t="s">
        <v>689</v>
      </c>
      <c r="S1607" s="5" t="s">
        <v>389</v>
      </c>
      <c r="T1607" s="1"/>
    </row>
    <row r="1608" customFormat="false" ht="15" hidden="false" customHeight="true" outlineLevel="0" collapsed="false">
      <c r="A1608" s="1" t="s">
        <v>3156</v>
      </c>
      <c r="B1608" s="1" t="n">
        <v>1933</v>
      </c>
      <c r="C1608" s="1" t="n">
        <v>6</v>
      </c>
      <c r="D1608" s="1" t="s">
        <v>38</v>
      </c>
      <c r="E1608" s="1"/>
      <c r="F1608" s="1"/>
      <c r="G1608" s="1" t="n">
        <v>160</v>
      </c>
      <c r="H1608" s="2" t="n">
        <v>777500</v>
      </c>
      <c r="I1608" s="2" t="n">
        <f aca="false">(((H1608 / 800) / IF(ISBLANK(R1608), 1000000, IF(ISNA(VLOOKUP(R1608, Mileages!$A$2:$C$34, 2, 0)), R1608, VLOOKUP(R1608, Mileages!$A$2:$C$34, 2, 0)))) + (F1608 * IF(ISBLANK(P1608), 1, P1608) * IF(ISBLANK(T1608), 0, IF(ISNA(VLOOKUP(T1608, 'Fuel Costs'!$A$2:$C$42, 2, 0)), T1608, VLOOKUP(T1608, 'Fuel Costs'!$A$2:$C$42, 2, 0))) / IF(ISBLANK(O1608), 1, O1608))) * 100</f>
        <v>0.08098958333</v>
      </c>
      <c r="J1608" s="2" t="n">
        <f aca="false">((H1608 / 800) / (IF(ISBLANK(S1608), 100, IF(ISNA(VLOOKUP(S1608, Lives!$A$2:$C$35, 2, 0)), S1608, VLOOKUP(S1608, Lives!$A$2:$C$35, 2, 0))) * 12) + (IF(ISBLANK(Q1608), 0, IF(ISNA(VLOOKUP(Q1608, Wages!$A$2:$C$17, 2, 0)), Q1608, VLOOKUP(Q1608, Wages!$A$2:$C$17, 2, 0))) * IF(ISBLANK(N1608), 0, IF(ISNA(VLOOKUP(N1608, Crews!$A$2:$C$28, 2, 0)), N1608, VLOOKUP(N1608, Crews!$A$2:$C$28, 2, 0))))) * 400</f>
        <v>24323.95833</v>
      </c>
      <c r="K1608" s="1" t="s">
        <v>3155</v>
      </c>
      <c r="L1608" s="1" t="s">
        <v>3139</v>
      </c>
      <c r="M1608" s="1" t="n">
        <v>10</v>
      </c>
      <c r="N1608" s="1" t="s">
        <v>551</v>
      </c>
      <c r="O1608" s="1"/>
      <c r="P1608" s="1"/>
      <c r="Q1608" s="1" t="s">
        <v>551</v>
      </c>
      <c r="R1608" s="1" t="s">
        <v>689</v>
      </c>
      <c r="S1608" s="1" t="s">
        <v>389</v>
      </c>
      <c r="T1608" s="1"/>
    </row>
    <row r="1609" customFormat="false" ht="15" hidden="false" customHeight="true" outlineLevel="0" collapsed="false">
      <c r="A1609" s="1" t="s">
        <v>3157</v>
      </c>
      <c r="B1609" s="1" t="n">
        <v>1933</v>
      </c>
      <c r="C1609" s="1" t="n">
        <v>6</v>
      </c>
      <c r="D1609" s="1" t="s">
        <v>38</v>
      </c>
      <c r="E1609" s="1"/>
      <c r="F1609" s="1" t="n">
        <v>0</v>
      </c>
      <c r="G1609" s="1" t="n">
        <v>160</v>
      </c>
      <c r="H1609" s="2" t="n">
        <v>0</v>
      </c>
      <c r="I1609" s="2" t="n">
        <f aca="false">(((H1609 / 800) / IF(ISBLANK(R1609), 1000000, IF(ISNA(VLOOKUP(R1609, Mileages!$A$2:$C$34, 2, 0)), R1609, VLOOKUP(R1609, Mileages!$A$2:$C$34, 2, 0)))) + (F1609 * IF(ISBLANK(P1609), 1, P1609) * IF(ISBLANK(T1609), 0, IF(ISNA(VLOOKUP(T1609, 'Fuel Costs'!$A$2:$C$42, 2, 0)), T1609, VLOOKUP(T1609, 'Fuel Costs'!$A$2:$C$42, 2, 0))) / IF(ISBLANK(O1609), 1, O1609))) * 100</f>
        <v>0</v>
      </c>
      <c r="J1609" s="2" t="n">
        <f aca="false">((H1609 / 800) / (IF(ISBLANK(S1609), 100, IF(ISNA(VLOOKUP(S1609, Lives!$A$2:$C$35, 2, 0)), S1609, VLOOKUP(S1609, Lives!$A$2:$C$35, 2, 0))) * 12) + (IF(ISBLANK(Q1609), 0, IF(ISNA(VLOOKUP(Q1609, Wages!$A$2:$C$17, 2, 0)), Q1609, VLOOKUP(Q1609, Wages!$A$2:$C$17, 2, 0))) * IF(ISBLANK(N1609), 0, IF(ISNA(VLOOKUP(N1609, Crews!$A$2:$C$28, 2, 0)), N1609, VLOOKUP(N1609, Crews!$A$2:$C$28, 2, 0))))) * 400</f>
        <v>0</v>
      </c>
      <c r="K1609" s="1" t="s">
        <v>3158</v>
      </c>
      <c r="L1609" s="1" t="s">
        <v>3159</v>
      </c>
      <c r="M1609" s="1" t="n">
        <v>0</v>
      </c>
      <c r="N1609" s="1"/>
      <c r="O1609" s="1"/>
      <c r="P1609" s="1"/>
      <c r="Q1609" s="1"/>
      <c r="R1609" s="1"/>
      <c r="S1609" s="1"/>
      <c r="T1609" s="1"/>
    </row>
    <row r="1610" customFormat="false" ht="15" hidden="false" customHeight="true" outlineLevel="0" collapsed="false">
      <c r="A1610" s="1" t="s">
        <v>3160</v>
      </c>
      <c r="B1610" s="1" t="n">
        <v>1933</v>
      </c>
      <c r="C1610" s="1" t="n">
        <v>6</v>
      </c>
      <c r="D1610" s="1" t="s">
        <v>38</v>
      </c>
      <c r="E1610" s="1" t="s">
        <v>274</v>
      </c>
      <c r="F1610" s="1" t="n">
        <v>671</v>
      </c>
      <c r="G1610" s="1" t="n">
        <v>155</v>
      </c>
      <c r="H1610" s="2" t="n">
        <v>9849600</v>
      </c>
      <c r="I1610" s="2" t="n">
        <f aca="false">(((H1610 / 800) / IF(ISBLANK(R1610), 1000000, IF(ISNA(VLOOKUP(R1610, Mileages!$A$2:$C$34, 2, 0)), R1610, VLOOKUP(R1610, Mileages!$A$2:$C$34, 2, 0)))) + (F1610 * IF(ISBLANK(P1610), 1, P1610) * IF(ISBLANK(T1610), 0, IF(ISNA(VLOOKUP(T1610, 'Fuel Costs'!$A$2:$C$42, 2, 0)), T1610, VLOOKUP(T1610, 'Fuel Costs'!$A$2:$C$42, 2, 0))) / IF(ISBLANK(O1610), 1, O1610))) * 100</f>
        <v>385.4805714</v>
      </c>
      <c r="J1610" s="2" t="n">
        <f aca="false">((H1610 / 800) / (IF(ISBLANK(S1610), 100, IF(ISNA(VLOOKUP(S1610, Lives!$A$2:$C$35, 2, 0)), S1610, VLOOKUP(S1610, Lives!$A$2:$C$35, 2, 0))) * 12) + (IF(ISBLANK(Q1610), 0, IF(ISNA(VLOOKUP(Q1610, Wages!$A$2:$C$17, 2, 0)), Q1610, VLOOKUP(Q1610, Wages!$A$2:$C$17, 2, 0))) * IF(ISBLANK(N1610), 0, IF(ISNA(VLOOKUP(N1610, Crews!$A$2:$C$28, 2, 0)), N1610, VLOOKUP(N1610, Crews!$A$2:$C$28, 2, 0))))) * 400</f>
        <v>60520</v>
      </c>
      <c r="K1610" s="3" t="s">
        <v>3161</v>
      </c>
      <c r="L1610" s="1" t="s">
        <v>3162</v>
      </c>
      <c r="M1610" s="1" t="n">
        <v>0</v>
      </c>
      <c r="N1610" s="1" t="s">
        <v>1705</v>
      </c>
      <c r="O1610" s="1" t="n">
        <v>0.7</v>
      </c>
      <c r="P1610" s="1"/>
      <c r="Q1610" s="5" t="s">
        <v>284</v>
      </c>
      <c r="R1610" s="1" t="s">
        <v>2617</v>
      </c>
      <c r="S1610" s="1" t="s">
        <v>2617</v>
      </c>
      <c r="T1610" s="1" t="s">
        <v>2252</v>
      </c>
    </row>
    <row r="1611" customFormat="false" ht="15" hidden="false" customHeight="true" outlineLevel="0" collapsed="false">
      <c r="A1611" s="1" t="s">
        <v>3163</v>
      </c>
      <c r="B1611" s="1" t="n">
        <v>1933</v>
      </c>
      <c r="C1611" s="1" t="n">
        <v>7</v>
      </c>
      <c r="D1611" s="1" t="s">
        <v>21</v>
      </c>
      <c r="E1611" s="1" t="s">
        <v>274</v>
      </c>
      <c r="F1611" s="1" t="n">
        <v>76</v>
      </c>
      <c r="G1611" s="1" t="n">
        <v>65</v>
      </c>
      <c r="H1611" s="2" t="n">
        <v>270000</v>
      </c>
      <c r="I1611" s="2" t="n">
        <f aca="false">(((H1611 / 800) / IF(ISBLANK(R1611), 1000000, IF(ISNA(VLOOKUP(R1611, Mileages!$A$2:$C$34, 2, 0)), R1611, VLOOKUP(R1611, Mileages!$A$2:$C$34, 2, 0)))) + (F1611 * IF(ISBLANK(P1611), 1, P1611) * IF(ISBLANK(T1611), 0, IF(ISNA(VLOOKUP(T1611, 'Fuel Costs'!$A$2:$C$42, 2, 0)), T1611, VLOOKUP(T1611, 'Fuel Costs'!$A$2:$C$42, 2, 0))) / IF(ISBLANK(O1611), 1, O1611))) * 100</f>
        <v>50.73416667</v>
      </c>
      <c r="J1611" s="2" t="n">
        <f aca="false">((H1611 / 800) / (IF(ISBLANK(S1611), 100, IF(ISNA(VLOOKUP(S1611, Lives!$A$2:$C$35, 2, 0)), S1611, VLOOKUP(S1611, Lives!$A$2:$C$35, 2, 0))) * 12) + (IF(ISBLANK(Q1611), 0, IF(ISNA(VLOOKUP(Q1611, Wages!$A$2:$C$17, 2, 0)), Q1611, VLOOKUP(Q1611, Wages!$A$2:$C$17, 2, 0))) * IF(ISBLANK(N1611), 0, IF(ISNA(VLOOKUP(N1611, Crews!$A$2:$C$28, 2, 0)), N1611, VLOOKUP(N1611, Crews!$A$2:$C$28, 2, 0))))) * 400</f>
        <v>8140.625</v>
      </c>
      <c r="K1611" s="3" t="s">
        <v>3125</v>
      </c>
      <c r="L1611" s="1" t="s">
        <v>3164</v>
      </c>
      <c r="M1611" s="1" t="n">
        <v>0</v>
      </c>
      <c r="N1611" s="1" t="s">
        <v>25</v>
      </c>
      <c r="O1611" s="1" t="n">
        <v>0.6</v>
      </c>
      <c r="P1611" s="1"/>
      <c r="Q1611" s="1" t="s">
        <v>1815</v>
      </c>
      <c r="R1611" s="1" t="s">
        <v>837</v>
      </c>
      <c r="S1611" s="1" t="s">
        <v>837</v>
      </c>
      <c r="T1611" s="1" t="s">
        <v>2252</v>
      </c>
    </row>
    <row r="1612" customFormat="false" ht="15" hidden="false" customHeight="true" outlineLevel="0" collapsed="false">
      <c r="A1612" s="1" t="s">
        <v>3165</v>
      </c>
      <c r="B1612" s="1" t="n">
        <v>1933</v>
      </c>
      <c r="C1612" s="1" t="n">
        <v>7</v>
      </c>
      <c r="D1612" s="1" t="s">
        <v>21</v>
      </c>
      <c r="E1612" s="1" t="s">
        <v>274</v>
      </c>
      <c r="F1612" s="1" t="n">
        <v>76</v>
      </c>
      <c r="G1612" s="1" t="n">
        <v>65</v>
      </c>
      <c r="H1612" s="2" t="n">
        <v>270000</v>
      </c>
      <c r="I1612" s="2" t="n">
        <f aca="false">(((H1612 / 800) / IF(ISBLANK(R1612), 1000000, IF(ISNA(VLOOKUP(R1612, Mileages!$A$2:$C$34, 2, 0)), R1612, VLOOKUP(R1612, Mileages!$A$2:$C$34, 2, 0)))) + (F1612 * IF(ISBLANK(P1612), 1, P1612) * IF(ISBLANK(T1612), 0, IF(ISNA(VLOOKUP(T1612, 'Fuel Costs'!$A$2:$C$42, 2, 0)), T1612, VLOOKUP(T1612, 'Fuel Costs'!$A$2:$C$42, 2, 0))) / IF(ISBLANK(O1612), 1, O1612))) * 100</f>
        <v>50.73416667</v>
      </c>
      <c r="J1612" s="2" t="n">
        <f aca="false">((H1612 / 800) / (IF(ISBLANK(S1612), 100, IF(ISNA(VLOOKUP(S1612, Lives!$A$2:$C$35, 2, 0)), S1612, VLOOKUP(S1612, Lives!$A$2:$C$35, 2, 0))) * 12) + (IF(ISBLANK(Q1612), 0, IF(ISNA(VLOOKUP(Q1612, Wages!$A$2:$C$17, 2, 0)), Q1612, VLOOKUP(Q1612, Wages!$A$2:$C$17, 2, 0))) * IF(ISBLANK(N1612), 0, IF(ISNA(VLOOKUP(N1612, Crews!$A$2:$C$28, 2, 0)), N1612, VLOOKUP(N1612, Crews!$A$2:$C$28, 2, 0))))) * 400</f>
        <v>8140.625</v>
      </c>
      <c r="K1612" s="1"/>
      <c r="L1612" s="1" t="s">
        <v>3164</v>
      </c>
      <c r="M1612" s="1" t="n">
        <v>1</v>
      </c>
      <c r="N1612" s="1" t="s">
        <v>25</v>
      </c>
      <c r="O1612" s="1" t="n">
        <v>0.6</v>
      </c>
      <c r="P1612" s="1"/>
      <c r="Q1612" s="1" t="s">
        <v>1815</v>
      </c>
      <c r="R1612" s="1" t="s">
        <v>837</v>
      </c>
      <c r="S1612" s="1" t="s">
        <v>837</v>
      </c>
      <c r="T1612" s="1" t="s">
        <v>2252</v>
      </c>
    </row>
    <row r="1613" customFormat="false" ht="15" hidden="false" customHeight="true" outlineLevel="0" collapsed="false">
      <c r="A1613" s="1" t="s">
        <v>3166</v>
      </c>
      <c r="B1613" s="1" t="n">
        <v>1933</v>
      </c>
      <c r="C1613" s="1" t="n">
        <v>7</v>
      </c>
      <c r="D1613" s="1" t="s">
        <v>21</v>
      </c>
      <c r="E1613" s="1" t="s">
        <v>274</v>
      </c>
      <c r="F1613" s="1" t="n">
        <v>76</v>
      </c>
      <c r="G1613" s="1" t="n">
        <v>65</v>
      </c>
      <c r="H1613" s="2" t="n">
        <v>240000</v>
      </c>
      <c r="I1613" s="2" t="n">
        <f aca="false">(((H1613 / 800) / IF(ISBLANK(R1613), 1000000, IF(ISNA(VLOOKUP(R1613, Mileages!$A$2:$C$34, 2, 0)), R1613, VLOOKUP(R1613, Mileages!$A$2:$C$34, 2, 0)))) + (F1613 * IF(ISBLANK(P1613), 1, P1613) * IF(ISBLANK(T1613), 0, IF(ISNA(VLOOKUP(T1613, 'Fuel Costs'!$A$2:$C$42, 2, 0)), T1613, VLOOKUP(T1613, 'Fuel Costs'!$A$2:$C$42, 2, 0))) / IF(ISBLANK(O1613), 1, O1613))) * 100</f>
        <v>50.72666667</v>
      </c>
      <c r="J1613" s="2" t="n">
        <f aca="false">((H1613 / 800) / (IF(ISBLANK(S1613), 100, IF(ISNA(VLOOKUP(S1613, Lives!$A$2:$C$35, 2, 0)), S1613, VLOOKUP(S1613, Lives!$A$2:$C$35, 2, 0))) * 12) + (IF(ISBLANK(Q1613), 0, IF(ISNA(VLOOKUP(Q1613, Wages!$A$2:$C$17, 2, 0)), Q1613, VLOOKUP(Q1613, Wages!$A$2:$C$17, 2, 0))) * IF(ISBLANK(N1613), 0, IF(ISNA(VLOOKUP(N1613, Crews!$A$2:$C$28, 2, 0)), N1613, VLOOKUP(N1613, Crews!$A$2:$C$28, 2, 0))))) * 400</f>
        <v>8125</v>
      </c>
      <c r="K1613" s="1"/>
      <c r="L1613" s="1" t="s">
        <v>3164</v>
      </c>
      <c r="M1613" s="1" t="n">
        <v>2</v>
      </c>
      <c r="N1613" s="1" t="s">
        <v>25</v>
      </c>
      <c r="O1613" s="1" t="n">
        <v>0.6</v>
      </c>
      <c r="P1613" s="1"/>
      <c r="Q1613" s="1" t="s">
        <v>1815</v>
      </c>
      <c r="R1613" s="1" t="s">
        <v>837</v>
      </c>
      <c r="S1613" s="1" t="s">
        <v>837</v>
      </c>
      <c r="T1613" s="1" t="s">
        <v>2252</v>
      </c>
    </row>
    <row r="1614" customFormat="false" ht="15" hidden="false" customHeight="true" outlineLevel="0" collapsed="false">
      <c r="A1614" s="1" t="s">
        <v>3167</v>
      </c>
      <c r="B1614" s="1" t="n">
        <v>1933</v>
      </c>
      <c r="C1614" s="1" t="n">
        <v>7</v>
      </c>
      <c r="D1614" s="1" t="s">
        <v>21</v>
      </c>
      <c r="E1614" s="1" t="s">
        <v>274</v>
      </c>
      <c r="F1614" s="1" t="n">
        <v>76</v>
      </c>
      <c r="G1614" s="1" t="n">
        <v>65</v>
      </c>
      <c r="H1614" s="2" t="n">
        <v>240000</v>
      </c>
      <c r="I1614" s="2" t="n">
        <f aca="false">(((H1614 / 800) / IF(ISBLANK(R1614), 1000000, IF(ISNA(VLOOKUP(R1614, Mileages!$A$2:$C$34, 2, 0)), R1614, VLOOKUP(R1614, Mileages!$A$2:$C$34, 2, 0)))) + (F1614 * IF(ISBLANK(P1614), 1, P1614) * IF(ISBLANK(T1614), 0, IF(ISNA(VLOOKUP(T1614, 'Fuel Costs'!$A$2:$C$42, 2, 0)), T1614, VLOOKUP(T1614, 'Fuel Costs'!$A$2:$C$42, 2, 0))) / IF(ISBLANK(O1614), 1, O1614))) * 100</f>
        <v>50.72666667</v>
      </c>
      <c r="J1614" s="2" t="n">
        <f aca="false">((H1614 / 800) / (IF(ISBLANK(S1614), 100, IF(ISNA(VLOOKUP(S1614, Lives!$A$2:$C$35, 2, 0)), S1614, VLOOKUP(S1614, Lives!$A$2:$C$35, 2, 0))) * 12) + (IF(ISBLANK(Q1614), 0, IF(ISNA(VLOOKUP(Q1614, Wages!$A$2:$C$17, 2, 0)), Q1614, VLOOKUP(Q1614, Wages!$A$2:$C$17, 2, 0))) * IF(ISBLANK(N1614), 0, IF(ISNA(VLOOKUP(N1614, Crews!$A$2:$C$28, 2, 0)), N1614, VLOOKUP(N1614, Crews!$A$2:$C$28, 2, 0))))) * 400</f>
        <v>8125</v>
      </c>
      <c r="K1614" s="1"/>
      <c r="L1614" s="1" t="s">
        <v>3164</v>
      </c>
      <c r="M1614" s="1" t="n">
        <v>3</v>
      </c>
      <c r="N1614" s="1" t="s">
        <v>25</v>
      </c>
      <c r="O1614" s="1" t="n">
        <v>0.6</v>
      </c>
      <c r="P1614" s="1"/>
      <c r="Q1614" s="1" t="s">
        <v>1815</v>
      </c>
      <c r="R1614" s="1" t="s">
        <v>837</v>
      </c>
      <c r="S1614" s="1" t="s">
        <v>837</v>
      </c>
      <c r="T1614" s="1" t="s">
        <v>2252</v>
      </c>
    </row>
    <row r="1615" customFormat="false" ht="15" hidden="false" customHeight="true" outlineLevel="0" collapsed="false">
      <c r="A1615" s="1" t="s">
        <v>3168</v>
      </c>
      <c r="B1615" s="1" t="n">
        <v>1933</v>
      </c>
      <c r="C1615" s="1" t="n">
        <v>7</v>
      </c>
      <c r="D1615" s="1" t="s">
        <v>21</v>
      </c>
      <c r="E1615" s="1" t="s">
        <v>274</v>
      </c>
      <c r="F1615" s="1" t="n">
        <v>76</v>
      </c>
      <c r="G1615" s="1" t="n">
        <v>65</v>
      </c>
      <c r="H1615" s="2" t="n">
        <v>240000</v>
      </c>
      <c r="I1615" s="2" t="n">
        <f aca="false">(((H1615 / 800) / IF(ISBLANK(R1615), 1000000, IF(ISNA(VLOOKUP(R1615, Mileages!$A$2:$C$34, 2, 0)), R1615, VLOOKUP(R1615, Mileages!$A$2:$C$34, 2, 0)))) + (F1615 * IF(ISBLANK(P1615), 1, P1615) * IF(ISBLANK(T1615), 0, IF(ISNA(VLOOKUP(T1615, 'Fuel Costs'!$A$2:$C$42, 2, 0)), T1615, VLOOKUP(T1615, 'Fuel Costs'!$A$2:$C$42, 2, 0))) / IF(ISBLANK(O1615), 1, O1615))) * 100</f>
        <v>50.72666667</v>
      </c>
      <c r="J1615" s="2" t="n">
        <f aca="false">((H1615 / 800) / (IF(ISBLANK(S1615), 100, IF(ISNA(VLOOKUP(S1615, Lives!$A$2:$C$35, 2, 0)), S1615, VLOOKUP(S1615, Lives!$A$2:$C$35, 2, 0))) * 12) + (IF(ISBLANK(Q1615), 0, IF(ISNA(VLOOKUP(Q1615, Wages!$A$2:$C$17, 2, 0)), Q1615, VLOOKUP(Q1615, Wages!$A$2:$C$17, 2, 0))) * IF(ISBLANK(N1615), 0, IF(ISNA(VLOOKUP(N1615, Crews!$A$2:$C$28, 2, 0)), N1615, VLOOKUP(N1615, Crews!$A$2:$C$28, 2, 0))))) * 400</f>
        <v>8125</v>
      </c>
      <c r="K1615" s="1"/>
      <c r="L1615" s="1" t="s">
        <v>3164</v>
      </c>
      <c r="M1615" s="1" t="n">
        <v>4</v>
      </c>
      <c r="N1615" s="1" t="s">
        <v>25</v>
      </c>
      <c r="O1615" s="1" t="n">
        <v>0.6</v>
      </c>
      <c r="P1615" s="1"/>
      <c r="Q1615" s="1" t="s">
        <v>1815</v>
      </c>
      <c r="R1615" s="1" t="s">
        <v>837</v>
      </c>
      <c r="S1615" s="1" t="s">
        <v>837</v>
      </c>
      <c r="T1615" s="1" t="s">
        <v>2252</v>
      </c>
    </row>
    <row r="1616" customFormat="false" ht="15" hidden="false" customHeight="true" outlineLevel="0" collapsed="false">
      <c r="A1616" s="1" t="s">
        <v>3169</v>
      </c>
      <c r="B1616" s="1" t="n">
        <v>1933</v>
      </c>
      <c r="C1616" s="1" t="n">
        <v>7</v>
      </c>
      <c r="D1616" s="1" t="s">
        <v>21</v>
      </c>
      <c r="E1616" s="1" t="s">
        <v>274</v>
      </c>
      <c r="F1616" s="1" t="n">
        <v>76</v>
      </c>
      <c r="G1616" s="1" t="n">
        <v>65</v>
      </c>
      <c r="H1616" s="2" t="n">
        <v>240000</v>
      </c>
      <c r="I1616" s="2" t="n">
        <f aca="false">(((H1616 / 800) / IF(ISBLANK(R1616), 1000000, IF(ISNA(VLOOKUP(R1616, Mileages!$A$2:$C$34, 2, 0)), R1616, VLOOKUP(R1616, Mileages!$A$2:$C$34, 2, 0)))) + (F1616 * IF(ISBLANK(P1616), 1, P1616) * IF(ISBLANK(T1616), 0, IF(ISNA(VLOOKUP(T1616, 'Fuel Costs'!$A$2:$C$42, 2, 0)), T1616, VLOOKUP(T1616, 'Fuel Costs'!$A$2:$C$42, 2, 0))) / IF(ISBLANK(O1616), 1, O1616))) * 100</f>
        <v>50.72666667</v>
      </c>
      <c r="J1616" s="2" t="n">
        <f aca="false">((H1616 / 800) / (IF(ISBLANK(S1616), 100, IF(ISNA(VLOOKUP(S1616, Lives!$A$2:$C$35, 2, 0)), S1616, VLOOKUP(S1616, Lives!$A$2:$C$35, 2, 0))) * 12) + (IF(ISBLANK(Q1616), 0, IF(ISNA(VLOOKUP(Q1616, Wages!$A$2:$C$17, 2, 0)), Q1616, VLOOKUP(Q1616, Wages!$A$2:$C$17, 2, 0))) * IF(ISBLANK(N1616), 0, IF(ISNA(VLOOKUP(N1616, Crews!$A$2:$C$28, 2, 0)), N1616, VLOOKUP(N1616, Crews!$A$2:$C$28, 2, 0))))) * 400</f>
        <v>8125</v>
      </c>
      <c r="K1616" s="1"/>
      <c r="L1616" s="1" t="s">
        <v>3164</v>
      </c>
      <c r="M1616" s="1" t="n">
        <v>5</v>
      </c>
      <c r="N1616" s="1" t="s">
        <v>25</v>
      </c>
      <c r="O1616" s="1" t="n">
        <v>0.6</v>
      </c>
      <c r="P1616" s="1"/>
      <c r="Q1616" s="1" t="s">
        <v>1815</v>
      </c>
      <c r="R1616" s="1" t="s">
        <v>837</v>
      </c>
      <c r="S1616" s="1" t="s">
        <v>837</v>
      </c>
      <c r="T1616" s="1" t="s">
        <v>2252</v>
      </c>
    </row>
    <row r="1617" customFormat="false" ht="15" hidden="false" customHeight="true" outlineLevel="0" collapsed="false">
      <c r="A1617" s="1" t="s">
        <v>3170</v>
      </c>
      <c r="B1617" s="1" t="n">
        <v>1933</v>
      </c>
      <c r="C1617" s="1" t="n">
        <v>8</v>
      </c>
      <c r="D1617" s="1" t="s">
        <v>38</v>
      </c>
      <c r="E1617" s="1" t="s">
        <v>274</v>
      </c>
      <c r="F1617" s="1" t="n">
        <v>409</v>
      </c>
      <c r="G1617" s="1" t="n">
        <v>125</v>
      </c>
      <c r="H1617" s="2" t="n">
        <v>4610000</v>
      </c>
      <c r="I1617" s="2" t="n">
        <f aca="false">(((H1617 / 800) / IF(ISBLANK(R1617), 1000000, IF(ISNA(VLOOKUP(R1617, Mileages!$A$2:$C$34, 2, 0)), R1617, VLOOKUP(R1617, Mileages!$A$2:$C$34, 2, 0)))) + (F1617 * IF(ISBLANK(P1617), 1, P1617) * IF(ISBLANK(T1617), 0, IF(ISNA(VLOOKUP(T1617, 'Fuel Costs'!$A$2:$C$42, 2, 0)), T1617, VLOOKUP(T1617, 'Fuel Costs'!$A$2:$C$42, 2, 0))) / IF(ISBLANK(O1617), 1, O1617))) * 100</f>
        <v>234.2905357</v>
      </c>
      <c r="J1617" s="2" t="n">
        <f aca="false">((H1617 / 800) / (IF(ISBLANK(S1617), 100, IF(ISNA(VLOOKUP(S1617, Lives!$A$2:$C$35, 2, 0)), S1617, VLOOKUP(S1617, Lives!$A$2:$C$35, 2, 0))) * 12) + (IF(ISBLANK(Q1617), 0, IF(ISNA(VLOOKUP(Q1617, Wages!$A$2:$C$17, 2, 0)), Q1617, VLOOKUP(Q1617, Wages!$A$2:$C$17, 2, 0))) * IF(ISBLANK(N1617), 0, IF(ISNA(VLOOKUP(N1617, Crews!$A$2:$C$28, 2, 0)), N1617, VLOOKUP(N1617, Crews!$A$2:$C$28, 2, 0))))) * 400</f>
        <v>27841.66667</v>
      </c>
      <c r="K1617" s="1" t="s">
        <v>1692</v>
      </c>
      <c r="L1617" s="1" t="s">
        <v>3171</v>
      </c>
      <c r="M1617" s="1" t="n">
        <v>0</v>
      </c>
      <c r="N1617" s="1" t="s">
        <v>590</v>
      </c>
      <c r="O1617" s="1" t="n">
        <v>0.7</v>
      </c>
      <c r="P1617" s="1"/>
      <c r="Q1617" s="5" t="s">
        <v>284</v>
      </c>
      <c r="R1617" s="1" t="s">
        <v>677</v>
      </c>
      <c r="S1617" s="1" t="s">
        <v>677</v>
      </c>
      <c r="T1617" s="1" t="s">
        <v>2252</v>
      </c>
    </row>
    <row r="1618" customFormat="false" ht="15" hidden="false" customHeight="true" outlineLevel="0" collapsed="false">
      <c r="A1618" s="1" t="s">
        <v>3172</v>
      </c>
      <c r="B1618" s="1" t="n">
        <v>1933</v>
      </c>
      <c r="C1618" s="1" t="n">
        <v>8</v>
      </c>
      <c r="D1618" s="1" t="s">
        <v>38</v>
      </c>
      <c r="E1618" s="1"/>
      <c r="F1618" s="1" t="n">
        <v>0</v>
      </c>
      <c r="G1618" s="1" t="n">
        <v>125</v>
      </c>
      <c r="H1618" s="2" t="n">
        <v>0</v>
      </c>
      <c r="I1618" s="2" t="n">
        <f aca="false">(((H1618 / 800) / IF(ISBLANK(R1618), 1000000, IF(ISNA(VLOOKUP(R1618, Mileages!$A$2:$C$34, 2, 0)), R1618, VLOOKUP(R1618, Mileages!$A$2:$C$34, 2, 0)))) + (F1618 * IF(ISBLANK(P1618), 1, P1618) * IF(ISBLANK(T1618), 0, IF(ISNA(VLOOKUP(T1618, 'Fuel Costs'!$A$2:$C$42, 2, 0)), T1618, VLOOKUP(T1618, 'Fuel Costs'!$A$2:$C$42, 2, 0))) / IF(ISBLANK(O1618), 1, O1618))) * 100</f>
        <v>0</v>
      </c>
      <c r="J1618" s="2" t="n">
        <f aca="false">((H1618 / 800) / (IF(ISBLANK(S1618), 100, IF(ISNA(VLOOKUP(S1618, Lives!$A$2:$C$35, 2, 0)), S1618, VLOOKUP(S1618, Lives!$A$2:$C$35, 2, 0))) * 12) + (IF(ISBLANK(Q1618), 0, IF(ISNA(VLOOKUP(Q1618, Wages!$A$2:$C$17, 2, 0)), Q1618, VLOOKUP(Q1618, Wages!$A$2:$C$17, 2, 0))) * IF(ISBLANK(N1618), 0, IF(ISNA(VLOOKUP(N1618, Crews!$A$2:$C$28, 2, 0)), N1618, VLOOKUP(N1618, Crews!$A$2:$C$28, 2, 0))))) * 400</f>
        <v>0</v>
      </c>
      <c r="K1618" s="1"/>
      <c r="L1618" s="1" t="s">
        <v>3171</v>
      </c>
      <c r="M1618" s="1" t="n">
        <v>1</v>
      </c>
      <c r="N1618" s="1"/>
      <c r="O1618" s="1"/>
      <c r="P1618" s="1"/>
      <c r="Q1618" s="1"/>
      <c r="R1618" s="1"/>
      <c r="S1618" s="1"/>
      <c r="T1618" s="1"/>
    </row>
    <row r="1619" customFormat="false" ht="15" hidden="false" customHeight="true" outlineLevel="0" collapsed="false">
      <c r="A1619" s="1" t="s">
        <v>3173</v>
      </c>
      <c r="B1619" s="1" t="n">
        <v>1933</v>
      </c>
      <c r="C1619" s="1" t="n">
        <v>9</v>
      </c>
      <c r="D1619" s="1" t="s">
        <v>29</v>
      </c>
      <c r="E1619" s="1" t="s">
        <v>274</v>
      </c>
      <c r="F1619" s="1" t="n">
        <v>1984</v>
      </c>
      <c r="G1619" s="1" t="n">
        <v>39</v>
      </c>
      <c r="H1619" s="2" t="n">
        <v>77000000</v>
      </c>
      <c r="I1619" s="2" t="n">
        <f aca="false">(((H1619 / 800) / IF(ISBLANK(R1619), 1000000, IF(ISNA(VLOOKUP(R1619, Mileages!$A$2:$C$34, 2, 0)), R1619, VLOOKUP(R1619, Mileages!$A$2:$C$34, 2, 0)))) + (F1619 * IF(ISBLANK(P1619), 1, P1619) * IF(ISBLANK(T1619), 0, IF(ISNA(VLOOKUP(T1619, 'Fuel Costs'!$A$2:$C$42, 2, 0)), T1619, VLOOKUP(T1619, 'Fuel Costs'!$A$2:$C$42, 2, 0))) / IF(ISBLANK(O1619), 1, O1619))) * 100</f>
        <v>163.5325</v>
      </c>
      <c r="J1619" s="2" t="n">
        <f aca="false">((H1619 / 800) / (IF(ISBLANK(S1619), 100, IF(ISNA(VLOOKUP(S1619, Lives!$A$2:$C$35, 2, 0)), S1619, VLOOKUP(S1619, Lives!$A$2:$C$35, 2, 0))) * 12) + (IF(ISBLANK(Q1619), 0, IF(ISNA(VLOOKUP(Q1619, Wages!$A$2:$C$17, 2, 0)), Q1619, VLOOKUP(Q1619, Wages!$A$2:$C$17, 2, 0))) * IF(ISBLANK(N1619), 0, IF(ISNA(VLOOKUP(N1619, Crews!$A$2:$C$28, 2, 0)), N1619, VLOOKUP(N1619, Crews!$A$2:$C$28, 2, 0))))) * 400</f>
        <v>632083.3333</v>
      </c>
      <c r="K1619" s="1" t="s">
        <v>145</v>
      </c>
      <c r="L1619" s="1" t="s">
        <v>3174</v>
      </c>
      <c r="M1619" s="1" t="n">
        <v>0</v>
      </c>
      <c r="N1619" s="1" t="s">
        <v>754</v>
      </c>
      <c r="O1619" s="1" t="n">
        <v>1</v>
      </c>
      <c r="P1619" s="1" t="n">
        <v>0.2</v>
      </c>
      <c r="Q1619" s="1" t="s">
        <v>34</v>
      </c>
      <c r="R1619" s="1" t="s">
        <v>574</v>
      </c>
      <c r="S1619" s="1" t="s">
        <v>574</v>
      </c>
      <c r="T1619" s="1" t="s">
        <v>2252</v>
      </c>
    </row>
    <row r="1620" customFormat="false" ht="15" hidden="false" customHeight="true" outlineLevel="0" collapsed="false">
      <c r="A1620" s="1" t="s">
        <v>3175</v>
      </c>
      <c r="B1620" s="1" t="n">
        <v>1933</v>
      </c>
      <c r="C1620" s="1" t="n">
        <v>12</v>
      </c>
      <c r="D1620" s="1" t="s">
        <v>29</v>
      </c>
      <c r="E1620" s="1" t="s">
        <v>2039</v>
      </c>
      <c r="F1620" s="1" t="n">
        <v>300</v>
      </c>
      <c r="G1620" s="1" t="n">
        <v>20</v>
      </c>
      <c r="H1620" s="2" t="n">
        <v>235000</v>
      </c>
      <c r="I1620" s="2" t="n">
        <f aca="false">(((H1620 / 800) / IF(ISBLANK(R1620), 1000000, IF(ISNA(VLOOKUP(R1620, Mileages!$A$2:$C$34, 2, 0)), R1620, VLOOKUP(R1620, Mileages!$A$2:$C$34, 2, 0)))) + (F1620 * IF(ISBLANK(P1620), 1, P1620) * IF(ISBLANK(T1620), 0, IF(ISNA(VLOOKUP(T1620, 'Fuel Costs'!$A$2:$C$42, 2, 0)), T1620, VLOOKUP(T1620, 'Fuel Costs'!$A$2:$C$42, 2, 0))) / IF(ISBLANK(O1620), 1, O1620))) * 100</f>
        <v>60.0146875</v>
      </c>
      <c r="J1620" s="2" t="n">
        <f aca="false">((H1620 / 800) / (IF(ISBLANK(S1620), 100, IF(ISNA(VLOOKUP(S1620, Lives!$A$2:$C$35, 2, 0)), S1620, VLOOKUP(S1620, Lives!$A$2:$C$35, 2, 0))) * 12) + (IF(ISBLANK(Q1620), 0, IF(ISNA(VLOOKUP(Q1620, Wages!$A$2:$C$17, 2, 0)), Q1620, VLOOKUP(Q1620, Wages!$A$2:$C$17, 2, 0))) * IF(ISBLANK(N1620), 0, IF(ISNA(VLOOKUP(N1620, Crews!$A$2:$C$28, 2, 0)), N1620, VLOOKUP(N1620, Crews!$A$2:$C$28, 2, 0))))) * 400</f>
        <v>16097.91667</v>
      </c>
      <c r="K1620" s="1"/>
      <c r="L1620" s="1" t="s">
        <v>298</v>
      </c>
      <c r="M1620" s="1" t="n">
        <v>2</v>
      </c>
      <c r="N1620" s="1" t="s">
        <v>33</v>
      </c>
      <c r="O1620" s="1" t="n">
        <v>0.5</v>
      </c>
      <c r="P1620" s="1" t="n">
        <v>0.2</v>
      </c>
      <c r="Q1620" s="1" t="s">
        <v>34</v>
      </c>
      <c r="R1620" s="1" t="s">
        <v>574</v>
      </c>
      <c r="S1620" s="1" t="s">
        <v>574</v>
      </c>
      <c r="T1620" s="1" t="s">
        <v>2041</v>
      </c>
    </row>
    <row r="1621" customFormat="false" ht="15" hidden="false" customHeight="true" outlineLevel="0" collapsed="false">
      <c r="A1621" s="1" t="s">
        <v>3176</v>
      </c>
      <c r="B1621" s="1" t="n">
        <v>1933</v>
      </c>
      <c r="C1621" s="1" t="n">
        <v>12</v>
      </c>
      <c r="D1621" s="1" t="s">
        <v>38</v>
      </c>
      <c r="E1621" s="1" t="s">
        <v>2039</v>
      </c>
      <c r="F1621" s="1" t="n">
        <v>195</v>
      </c>
      <c r="G1621" s="1" t="n">
        <v>100</v>
      </c>
      <c r="H1621" s="2" t="n">
        <v>4032000</v>
      </c>
      <c r="I1621" s="2" t="n">
        <f aca="false">(((H1621 / 800) / IF(ISBLANK(R1621), 1000000, IF(ISNA(VLOOKUP(R1621, Mileages!$A$2:$C$34, 2, 0)), R1621, VLOOKUP(R1621, Mileages!$A$2:$C$34, 2, 0)))) + (F1621 * IF(ISBLANK(P1621), 1, P1621) * IF(ISBLANK(T1621), 0, IF(ISNA(VLOOKUP(T1621, 'Fuel Costs'!$A$2:$C$42, 2, 0)), T1621, VLOOKUP(T1621, 'Fuel Costs'!$A$2:$C$42, 2, 0))) / IF(ISBLANK(O1621), 1, O1621))) * 100</f>
        <v>196.008</v>
      </c>
      <c r="J1621" s="2" t="n">
        <f aca="false">((H1621 / 800) / (IF(ISBLANK(S1621), 100, IF(ISNA(VLOOKUP(S1621, Lives!$A$2:$C$35, 2, 0)), S1621, VLOOKUP(S1621, Lives!$A$2:$C$35, 2, 0))) * 12) + (IF(ISBLANK(Q1621), 0, IF(ISNA(VLOOKUP(Q1621, Wages!$A$2:$C$17, 2, 0)), Q1621, VLOOKUP(Q1621, Wages!$A$2:$C$17, 2, 0))) * IF(ISBLANK(N1621), 0, IF(ISNA(VLOOKUP(N1621, Crews!$A$2:$C$28, 2, 0)), N1621, VLOOKUP(N1621, Crews!$A$2:$C$28, 2, 0))))) * 400</f>
        <v>14200</v>
      </c>
      <c r="K1621" s="1" t="s">
        <v>3177</v>
      </c>
      <c r="L1621" s="1" t="s">
        <v>3178</v>
      </c>
      <c r="M1621" s="1" t="n">
        <v>0</v>
      </c>
      <c r="N1621" s="1" t="s">
        <v>1488</v>
      </c>
      <c r="O1621" s="1" t="n">
        <v>0.5</v>
      </c>
      <c r="P1621" s="1"/>
      <c r="Q1621" s="1" t="s">
        <v>1488</v>
      </c>
      <c r="R1621" s="1" t="s">
        <v>3179</v>
      </c>
      <c r="S1621" s="1" t="s">
        <v>3179</v>
      </c>
      <c r="T1621" s="1" t="s">
        <v>2041</v>
      </c>
    </row>
    <row r="1622" customFormat="false" ht="15" hidden="false" customHeight="true" outlineLevel="0" collapsed="false">
      <c r="A1622" s="1" t="s">
        <v>3180</v>
      </c>
      <c r="B1622" s="1" t="n">
        <v>1934</v>
      </c>
      <c r="C1622" s="1" t="n">
        <v>2</v>
      </c>
      <c r="D1622" s="1" t="s">
        <v>21</v>
      </c>
      <c r="E1622" s="1" t="s">
        <v>1839</v>
      </c>
      <c r="F1622" s="1" t="n">
        <v>20</v>
      </c>
      <c r="G1622" s="1" t="n">
        <v>32</v>
      </c>
      <c r="H1622" s="2" t="n">
        <v>125000</v>
      </c>
      <c r="I1622" s="2" t="n">
        <f aca="false">(((H1622 / 800) / IF(ISBLANK(R1622), 1000000, IF(ISNA(VLOOKUP(R1622, Mileages!$A$2:$C$34, 2, 0)), R1622, VLOOKUP(R1622, Mileages!$A$2:$C$34, 2, 0)))) + (F1622 * IF(ISBLANK(P1622), 1, P1622) * IF(ISBLANK(T1622), 0, IF(ISNA(VLOOKUP(T1622, 'Fuel Costs'!$A$2:$C$42, 2, 0)), T1622, VLOOKUP(T1622, 'Fuel Costs'!$A$2:$C$42, 2, 0))) / IF(ISBLANK(O1622), 1, O1622))) * 100</f>
        <v>20.03125</v>
      </c>
      <c r="J1622" s="2" t="n">
        <f aca="false">((H1622 / 800) / (IF(ISBLANK(S1622), 100, IF(ISNA(VLOOKUP(S1622, Lives!$A$2:$C$35, 2, 0)), S1622, VLOOKUP(S1622, Lives!$A$2:$C$35, 2, 0))) * 12) + (IF(ISBLANK(Q1622), 0, IF(ISNA(VLOOKUP(Q1622, Wages!$A$2:$C$17, 2, 0)), Q1622, VLOOKUP(Q1622, Wages!$A$2:$C$17, 2, 0))) * IF(ISBLANK(N1622), 0, IF(ISNA(VLOOKUP(N1622, Crews!$A$2:$C$28, 2, 0)), N1622, VLOOKUP(N1622, Crews!$A$2:$C$28, 2, 0))))) * 400</f>
        <v>8065.104167</v>
      </c>
      <c r="K1622" s="1" t="s">
        <v>3181</v>
      </c>
      <c r="L1622" s="1" t="s">
        <v>3182</v>
      </c>
      <c r="M1622" s="1" t="n">
        <v>1</v>
      </c>
      <c r="N1622" s="1" t="s">
        <v>25</v>
      </c>
      <c r="O1622" s="1" t="n">
        <v>0.6</v>
      </c>
      <c r="P1622" s="1"/>
      <c r="Q1622" s="1" t="s">
        <v>1815</v>
      </c>
      <c r="R1622" s="1" t="s">
        <v>1842</v>
      </c>
      <c r="S1622" s="1" t="s">
        <v>1843</v>
      </c>
      <c r="T1622" s="1" t="s">
        <v>2534</v>
      </c>
    </row>
    <row r="1623" customFormat="false" ht="15" hidden="false" customHeight="true" outlineLevel="0" collapsed="false">
      <c r="A1623" s="1" t="s">
        <v>3183</v>
      </c>
      <c r="B1623" s="1" t="n">
        <v>1934</v>
      </c>
      <c r="C1623" s="1" t="n">
        <v>2</v>
      </c>
      <c r="D1623" s="1" t="s">
        <v>21</v>
      </c>
      <c r="E1623" s="1"/>
      <c r="F1623" s="1"/>
      <c r="G1623" s="1" t="n">
        <v>80</v>
      </c>
      <c r="H1623" s="2" t="n">
        <v>55000</v>
      </c>
      <c r="I1623" s="2" t="n">
        <f aca="false">(((H1623 / 800) / IF(ISBLANK(R1623), 1000000, IF(ISNA(VLOOKUP(R1623, Mileages!$A$2:$C$34, 2, 0)), R1623, VLOOKUP(R1623, Mileages!$A$2:$C$34, 2, 0)))) + (F1623 * IF(ISBLANK(P1623), 1, P1623) * IF(ISBLANK(T1623), 0, IF(ISNA(VLOOKUP(T1623, 'Fuel Costs'!$A$2:$C$42, 2, 0)), T1623, VLOOKUP(T1623, 'Fuel Costs'!$A$2:$C$42, 2, 0))) / IF(ISBLANK(O1623), 1, O1623))) * 100</f>
        <v>0.005729166667</v>
      </c>
      <c r="J1623" s="2" t="n">
        <f aca="false">((H1623 / 800) / (IF(ISBLANK(S1623), 100, IF(ISNA(VLOOKUP(S1623, Lives!$A$2:$C$35, 2, 0)), S1623, VLOOKUP(S1623, Lives!$A$2:$C$35, 2, 0))) * 12) + (IF(ISBLANK(Q1623), 0, IF(ISNA(VLOOKUP(Q1623, Wages!$A$2:$C$17, 2, 0)), Q1623, VLOOKUP(Q1623, Wages!$A$2:$C$17, 2, 0))) * IF(ISBLANK(N1623), 0, IF(ISNA(VLOOKUP(N1623, Crews!$A$2:$C$28, 2, 0)), N1623, VLOOKUP(N1623, Crews!$A$2:$C$28, 2, 0))))) * 400</f>
        <v>28.64583333</v>
      </c>
      <c r="K1623" s="1"/>
      <c r="L1623" s="1" t="s">
        <v>3182</v>
      </c>
      <c r="M1623" s="1" t="n">
        <v>3</v>
      </c>
      <c r="N1623" s="1"/>
      <c r="O1623" s="1"/>
      <c r="P1623" s="1"/>
      <c r="Q1623" s="1"/>
      <c r="R1623" s="1" t="s">
        <v>829</v>
      </c>
      <c r="S1623" s="1" t="s">
        <v>829</v>
      </c>
      <c r="T1623" s="1"/>
    </row>
    <row r="1624" customFormat="false" ht="15" hidden="false" customHeight="true" outlineLevel="0" collapsed="false">
      <c r="A1624" s="1" t="s">
        <v>3184</v>
      </c>
      <c r="B1624" s="1" t="n">
        <v>1934</v>
      </c>
      <c r="C1624" s="1" t="n">
        <v>2</v>
      </c>
      <c r="D1624" s="1" t="s">
        <v>21</v>
      </c>
      <c r="E1624" s="1"/>
      <c r="F1624" s="1"/>
      <c r="G1624" s="1" t="n">
        <v>80</v>
      </c>
      <c r="H1624" s="2" t="n">
        <v>55000</v>
      </c>
      <c r="I1624" s="2" t="n">
        <f aca="false">(((H1624 / 800) / IF(ISBLANK(R1624), 1000000, IF(ISNA(VLOOKUP(R1624, Mileages!$A$2:$C$34, 2, 0)), R1624, VLOOKUP(R1624, Mileages!$A$2:$C$34, 2, 0)))) + (F1624 * IF(ISBLANK(P1624), 1, P1624) * IF(ISBLANK(T1624), 0, IF(ISNA(VLOOKUP(T1624, 'Fuel Costs'!$A$2:$C$42, 2, 0)), T1624, VLOOKUP(T1624, 'Fuel Costs'!$A$2:$C$42, 2, 0))) / IF(ISBLANK(O1624), 1, O1624))) * 100</f>
        <v>0.005729166667</v>
      </c>
      <c r="J1624" s="2" t="n">
        <f aca="false">((H1624 / 800) / (IF(ISBLANK(S1624), 100, IF(ISNA(VLOOKUP(S1624, Lives!$A$2:$C$35, 2, 0)), S1624, VLOOKUP(S1624, Lives!$A$2:$C$35, 2, 0))) * 12) + (IF(ISBLANK(Q1624), 0, IF(ISNA(VLOOKUP(Q1624, Wages!$A$2:$C$17, 2, 0)), Q1624, VLOOKUP(Q1624, Wages!$A$2:$C$17, 2, 0))) * IF(ISBLANK(N1624), 0, IF(ISNA(VLOOKUP(N1624, Crews!$A$2:$C$28, 2, 0)), N1624, VLOOKUP(N1624, Crews!$A$2:$C$28, 2, 0))))) * 400</f>
        <v>28.64583333</v>
      </c>
      <c r="K1624" s="1"/>
      <c r="L1624" s="1" t="s">
        <v>3182</v>
      </c>
      <c r="M1624" s="1" t="n">
        <v>4</v>
      </c>
      <c r="N1624" s="1"/>
      <c r="O1624" s="1"/>
      <c r="P1624" s="1"/>
      <c r="Q1624" s="1"/>
      <c r="R1624" s="1" t="s">
        <v>829</v>
      </c>
      <c r="S1624" s="1" t="s">
        <v>829</v>
      </c>
      <c r="T1624" s="1"/>
    </row>
    <row r="1625" customFormat="false" ht="15" hidden="false" customHeight="true" outlineLevel="0" collapsed="false">
      <c r="A1625" s="1" t="s">
        <v>3185</v>
      </c>
      <c r="B1625" s="1" t="n">
        <v>1934</v>
      </c>
      <c r="C1625" s="1" t="n">
        <v>2</v>
      </c>
      <c r="D1625" s="1" t="s">
        <v>21</v>
      </c>
      <c r="E1625" s="1"/>
      <c r="F1625" s="1"/>
      <c r="G1625" s="1" t="n">
        <v>80</v>
      </c>
      <c r="H1625" s="2" t="n">
        <v>55000</v>
      </c>
      <c r="I1625" s="2" t="n">
        <f aca="false">(((H1625 / 800) / IF(ISBLANK(R1625), 1000000, IF(ISNA(VLOOKUP(R1625, Mileages!$A$2:$C$34, 2, 0)), R1625, VLOOKUP(R1625, Mileages!$A$2:$C$34, 2, 0)))) + (F1625 * IF(ISBLANK(P1625), 1, P1625) * IF(ISBLANK(T1625), 0, IF(ISNA(VLOOKUP(T1625, 'Fuel Costs'!$A$2:$C$42, 2, 0)), T1625, VLOOKUP(T1625, 'Fuel Costs'!$A$2:$C$42, 2, 0))) / IF(ISBLANK(O1625), 1, O1625))) * 100</f>
        <v>0.005729166667</v>
      </c>
      <c r="J1625" s="2" t="n">
        <f aca="false">((H1625 / 800) / (IF(ISBLANK(S1625), 100, IF(ISNA(VLOOKUP(S1625, Lives!$A$2:$C$35, 2, 0)), S1625, VLOOKUP(S1625, Lives!$A$2:$C$35, 2, 0))) * 12) + (IF(ISBLANK(Q1625), 0, IF(ISNA(VLOOKUP(Q1625, Wages!$A$2:$C$17, 2, 0)), Q1625, VLOOKUP(Q1625, Wages!$A$2:$C$17, 2, 0))) * IF(ISBLANK(N1625), 0, IF(ISNA(VLOOKUP(N1625, Crews!$A$2:$C$28, 2, 0)), N1625, VLOOKUP(N1625, Crews!$A$2:$C$28, 2, 0))))) * 400</f>
        <v>28.64583333</v>
      </c>
      <c r="K1625" s="1"/>
      <c r="L1625" s="1" t="s">
        <v>3182</v>
      </c>
      <c r="M1625" s="1" t="n">
        <v>5</v>
      </c>
      <c r="N1625" s="1"/>
      <c r="O1625" s="1"/>
      <c r="P1625" s="1"/>
      <c r="Q1625" s="1"/>
      <c r="R1625" s="1" t="s">
        <v>829</v>
      </c>
      <c r="S1625" s="1" t="s">
        <v>829</v>
      </c>
      <c r="T1625" s="1"/>
    </row>
    <row r="1626" customFormat="false" ht="15" hidden="false" customHeight="true" outlineLevel="0" collapsed="false">
      <c r="A1626" s="1" t="s">
        <v>3186</v>
      </c>
      <c r="B1626" s="1" t="n">
        <v>1934</v>
      </c>
      <c r="C1626" s="1" t="n">
        <v>2</v>
      </c>
      <c r="D1626" s="1" t="s">
        <v>21</v>
      </c>
      <c r="E1626" s="1"/>
      <c r="F1626" s="1"/>
      <c r="G1626" s="1" t="n">
        <v>80</v>
      </c>
      <c r="H1626" s="2" t="n">
        <v>55000</v>
      </c>
      <c r="I1626" s="2" t="n">
        <f aca="false">(((H1626 / 800) / IF(ISBLANK(R1626), 1000000, IF(ISNA(VLOOKUP(R1626, Mileages!$A$2:$C$34, 2, 0)), R1626, VLOOKUP(R1626, Mileages!$A$2:$C$34, 2, 0)))) + (F1626 * IF(ISBLANK(P1626), 1, P1626) * IF(ISBLANK(T1626), 0, IF(ISNA(VLOOKUP(T1626, 'Fuel Costs'!$A$2:$C$42, 2, 0)), T1626, VLOOKUP(T1626, 'Fuel Costs'!$A$2:$C$42, 2, 0))) / IF(ISBLANK(O1626), 1, O1626))) * 100</f>
        <v>0.005729166667</v>
      </c>
      <c r="J1626" s="2" t="n">
        <f aca="false">((H1626 / 800) / (IF(ISBLANK(S1626), 100, IF(ISNA(VLOOKUP(S1626, Lives!$A$2:$C$35, 2, 0)), S1626, VLOOKUP(S1626, Lives!$A$2:$C$35, 2, 0))) * 12) + (IF(ISBLANK(Q1626), 0, IF(ISNA(VLOOKUP(Q1626, Wages!$A$2:$C$17, 2, 0)), Q1626, VLOOKUP(Q1626, Wages!$A$2:$C$17, 2, 0))) * IF(ISBLANK(N1626), 0, IF(ISNA(VLOOKUP(N1626, Crews!$A$2:$C$28, 2, 0)), N1626, VLOOKUP(N1626, Crews!$A$2:$C$28, 2, 0))))) * 400</f>
        <v>28.64583333</v>
      </c>
      <c r="K1626" s="1"/>
      <c r="L1626" s="1" t="s">
        <v>3182</v>
      </c>
      <c r="M1626" s="1" t="n">
        <v>6</v>
      </c>
      <c r="N1626" s="1"/>
      <c r="O1626" s="1"/>
      <c r="P1626" s="1"/>
      <c r="Q1626" s="1"/>
      <c r="R1626" s="1" t="s">
        <v>829</v>
      </c>
      <c r="S1626" s="1" t="s">
        <v>829</v>
      </c>
      <c r="T1626" s="1"/>
    </row>
    <row r="1627" customFormat="false" ht="15" hidden="false" customHeight="true" outlineLevel="0" collapsed="false">
      <c r="A1627" s="1" t="s">
        <v>3187</v>
      </c>
      <c r="B1627" s="1" t="n">
        <v>1934</v>
      </c>
      <c r="C1627" s="1" t="n">
        <v>2</v>
      </c>
      <c r="D1627" s="1" t="s">
        <v>21</v>
      </c>
      <c r="E1627" s="1"/>
      <c r="F1627" s="1"/>
      <c r="G1627" s="1" t="n">
        <v>80</v>
      </c>
      <c r="H1627" s="2" t="n">
        <v>55000</v>
      </c>
      <c r="I1627" s="2" t="n">
        <f aca="false">(((H1627 / 800) / IF(ISBLANK(R1627), 1000000, IF(ISNA(VLOOKUP(R1627, Mileages!$A$2:$C$34, 2, 0)), R1627, VLOOKUP(R1627, Mileages!$A$2:$C$34, 2, 0)))) + (F1627 * IF(ISBLANK(P1627), 1, P1627) * IF(ISBLANK(T1627), 0, IF(ISNA(VLOOKUP(T1627, 'Fuel Costs'!$A$2:$C$42, 2, 0)), T1627, VLOOKUP(T1627, 'Fuel Costs'!$A$2:$C$42, 2, 0))) / IF(ISBLANK(O1627), 1, O1627))) * 100</f>
        <v>0.005729166667</v>
      </c>
      <c r="J1627" s="2" t="n">
        <f aca="false">((H1627 / 800) / (IF(ISBLANK(S1627), 100, IF(ISNA(VLOOKUP(S1627, Lives!$A$2:$C$35, 2, 0)), S1627, VLOOKUP(S1627, Lives!$A$2:$C$35, 2, 0))) * 12) + (IF(ISBLANK(Q1627), 0, IF(ISNA(VLOOKUP(Q1627, Wages!$A$2:$C$17, 2, 0)), Q1627, VLOOKUP(Q1627, Wages!$A$2:$C$17, 2, 0))) * IF(ISBLANK(N1627), 0, IF(ISNA(VLOOKUP(N1627, Crews!$A$2:$C$28, 2, 0)), N1627, VLOOKUP(N1627, Crews!$A$2:$C$28, 2, 0))))) * 400</f>
        <v>28.64583333</v>
      </c>
      <c r="K1627" s="1"/>
      <c r="L1627" s="1" t="s">
        <v>3182</v>
      </c>
      <c r="M1627" s="1" t="n">
        <v>7</v>
      </c>
      <c r="N1627" s="1"/>
      <c r="O1627" s="1"/>
      <c r="P1627" s="1"/>
      <c r="Q1627" s="1"/>
      <c r="R1627" s="1" t="s">
        <v>829</v>
      </c>
      <c r="S1627" s="1" t="s">
        <v>829</v>
      </c>
      <c r="T1627" s="1"/>
    </row>
    <row r="1628" customFormat="false" ht="15" hidden="false" customHeight="true" outlineLevel="0" collapsed="false">
      <c r="A1628" s="1" t="s">
        <v>3188</v>
      </c>
      <c r="B1628" s="1" t="n">
        <v>1934</v>
      </c>
      <c r="C1628" s="1" t="n">
        <v>3</v>
      </c>
      <c r="D1628" s="1" t="s">
        <v>876</v>
      </c>
      <c r="E1628" s="1" t="s">
        <v>1346</v>
      </c>
      <c r="F1628" s="1" t="n">
        <v>54</v>
      </c>
      <c r="G1628" s="1" t="n">
        <v>65</v>
      </c>
      <c r="H1628" s="2" t="n">
        <v>410000</v>
      </c>
      <c r="I1628" s="2" t="n">
        <f aca="false">(((H1628 / 800) / IF(ISBLANK(R1628), 1000000, IF(ISNA(VLOOKUP(R1628, Mileages!$A$2:$C$34, 2, 0)), R1628, VLOOKUP(R1628, Mileages!$A$2:$C$34, 2, 0)))) + (F1628 * IF(ISBLANK(P1628), 1, P1628) * IF(ISBLANK(T1628), 0, IF(ISNA(VLOOKUP(T1628, 'Fuel Costs'!$A$2:$C$42, 2, 0)), T1628, VLOOKUP(T1628, 'Fuel Costs'!$A$2:$C$42, 2, 0))) / IF(ISBLANK(O1628), 1, O1628))) * 100</f>
        <v>21.65125</v>
      </c>
      <c r="J1628" s="2" t="n">
        <f aca="false">((H1628 / 800) / (IF(ISBLANK(S1628), 100, IF(ISNA(VLOOKUP(S1628, Lives!$A$2:$C$35, 2, 0)), S1628, VLOOKUP(S1628, Lives!$A$2:$C$35, 2, 0))) * 12) + (IF(ISBLANK(Q1628), 0, IF(ISNA(VLOOKUP(Q1628, Wages!$A$2:$C$17, 2, 0)), Q1628, VLOOKUP(Q1628, Wages!$A$2:$C$17, 2, 0))) * IF(ISBLANK(N1628), 0, IF(ISNA(VLOOKUP(N1628, Crews!$A$2:$C$28, 2, 0)), N1628, VLOOKUP(N1628, Crews!$A$2:$C$28, 2, 0))))) * 400</f>
        <v>6341.666667</v>
      </c>
      <c r="K1628" s="3" t="s">
        <v>3189</v>
      </c>
      <c r="L1628" s="1" t="s">
        <v>3190</v>
      </c>
      <c r="M1628" s="1" t="n">
        <v>0</v>
      </c>
      <c r="N1628" s="1" t="s">
        <v>895</v>
      </c>
      <c r="O1628" s="1"/>
      <c r="P1628" s="1"/>
      <c r="Q1628" s="1" t="s">
        <v>895</v>
      </c>
      <c r="R1628" s="1" t="s">
        <v>1349</v>
      </c>
      <c r="S1628" s="1" t="s">
        <v>1350</v>
      </c>
      <c r="T1628" s="1" t="s">
        <v>2580</v>
      </c>
    </row>
    <row r="1629" customFormat="false" ht="15" hidden="false" customHeight="true" outlineLevel="0" collapsed="false">
      <c r="A1629" s="1" t="s">
        <v>3191</v>
      </c>
      <c r="B1629" s="1" t="n">
        <v>1934</v>
      </c>
      <c r="C1629" s="1" t="n">
        <v>3</v>
      </c>
      <c r="D1629" s="1" t="s">
        <v>38</v>
      </c>
      <c r="E1629" s="1" t="s">
        <v>274</v>
      </c>
      <c r="F1629" s="1" t="n">
        <v>377</v>
      </c>
      <c r="G1629" s="1" t="n">
        <v>126</v>
      </c>
      <c r="H1629" s="2" t="n">
        <v>4130000</v>
      </c>
      <c r="I1629" s="2" t="n">
        <f aca="false">(((H1629 / 800) / IF(ISBLANK(R1629), 1000000, IF(ISNA(VLOOKUP(R1629, Mileages!$A$2:$C$34, 2, 0)), R1629, VLOOKUP(R1629, Mileages!$A$2:$C$34, 2, 0)))) + (F1629 * IF(ISBLANK(P1629), 1, P1629) * IF(ISBLANK(T1629), 0, IF(ISNA(VLOOKUP(T1629, 'Fuel Costs'!$A$2:$C$42, 2, 0)), T1629, VLOOKUP(T1629, 'Fuel Costs'!$A$2:$C$42, 2, 0))) / IF(ISBLANK(O1629), 1, O1629))) * 100</f>
        <v>189.01625</v>
      </c>
      <c r="J1629" s="2" t="n">
        <f aca="false">((H1629 / 800) / (IF(ISBLANK(S1629), 100, IF(ISNA(VLOOKUP(S1629, Lives!$A$2:$C$35, 2, 0)), S1629, VLOOKUP(S1629, Lives!$A$2:$C$35, 2, 0))) * 12) + (IF(ISBLANK(Q1629), 0, IF(ISNA(VLOOKUP(Q1629, Wages!$A$2:$C$17, 2, 0)), Q1629, VLOOKUP(Q1629, Wages!$A$2:$C$17, 2, 0))) * IF(ISBLANK(N1629), 0, IF(ISNA(VLOOKUP(N1629, Crews!$A$2:$C$28, 2, 0)), N1629, VLOOKUP(N1629, Crews!$A$2:$C$28, 2, 0))))) * 400</f>
        <v>27441.66667</v>
      </c>
      <c r="K1629" s="3" t="s">
        <v>3192</v>
      </c>
      <c r="L1629" s="1" t="s">
        <v>2856</v>
      </c>
      <c r="M1629" s="1" t="n">
        <v>2</v>
      </c>
      <c r="N1629" s="1" t="s">
        <v>590</v>
      </c>
      <c r="O1629" s="1" t="n">
        <v>0.8</v>
      </c>
      <c r="P1629" s="1"/>
      <c r="Q1629" s="5" t="s">
        <v>284</v>
      </c>
      <c r="R1629" s="1" t="s">
        <v>677</v>
      </c>
      <c r="S1629" s="1" t="s">
        <v>677</v>
      </c>
      <c r="T1629" s="1" t="s">
        <v>2252</v>
      </c>
    </row>
    <row r="1630" customFormat="false" ht="15" hidden="false" customHeight="true" outlineLevel="0" collapsed="false">
      <c r="A1630" s="1" t="s">
        <v>3193</v>
      </c>
      <c r="B1630" s="1" t="n">
        <v>1934</v>
      </c>
      <c r="C1630" s="1" t="n">
        <v>4</v>
      </c>
      <c r="D1630" s="1" t="s">
        <v>2225</v>
      </c>
      <c r="E1630" s="1" t="s">
        <v>1839</v>
      </c>
      <c r="F1630" s="1" t="n">
        <v>298</v>
      </c>
      <c r="G1630" s="1" t="n">
        <v>214</v>
      </c>
      <c r="H1630" s="2" t="n">
        <v>2000000</v>
      </c>
      <c r="I1630" s="2" t="n">
        <f aca="false">(((H1630 / 800) / IF(ISBLANK(R1630), 1000000, IF(ISNA(VLOOKUP(R1630, Mileages!$A$2:$C$34, 2, 0)), R1630, VLOOKUP(R1630, Mileages!$A$2:$C$34, 2, 0)))) + (F1630 * IF(ISBLANK(P1630), 1, P1630) * IF(ISBLANK(T1630), 0, IF(ISNA(VLOOKUP(T1630, 'Fuel Costs'!$A$2:$C$42, 2, 0)), T1630, VLOOKUP(T1630, 'Fuel Costs'!$A$2:$C$42, 2, 0))) / IF(ISBLANK(O1630), 1, O1630))) * 100</f>
        <v>14.95</v>
      </c>
      <c r="J1630" s="2" t="n">
        <f aca="false">((H1630 / 800) / (IF(ISBLANK(S1630), 100, IF(ISNA(VLOOKUP(S1630, Lives!$A$2:$C$35, 2, 0)), S1630, VLOOKUP(S1630, Lives!$A$2:$C$35, 2, 0))) * 12) + (IF(ISBLANK(Q1630), 0, IF(ISNA(VLOOKUP(Q1630, Wages!$A$2:$C$17, 2, 0)), Q1630, VLOOKUP(Q1630, Wages!$A$2:$C$17, 2, 0))) * IF(ISBLANK(N1630), 0, IF(ISNA(VLOOKUP(N1630, Crews!$A$2:$C$28, 2, 0)), N1630, VLOOKUP(N1630, Crews!$A$2:$C$28, 2, 0))))) * 400</f>
        <v>51388.88889</v>
      </c>
      <c r="K1630" s="3" t="s">
        <v>3194</v>
      </c>
      <c r="L1630" s="1" t="s">
        <v>3195</v>
      </c>
      <c r="M1630" s="1" t="n">
        <v>0</v>
      </c>
      <c r="N1630" s="1" t="s">
        <v>2342</v>
      </c>
      <c r="O1630" s="1"/>
      <c r="P1630" s="1" t="n">
        <v>0.1</v>
      </c>
      <c r="Q1630" s="1" t="s">
        <v>2229</v>
      </c>
      <c r="R1630" s="1" t="s">
        <v>2229</v>
      </c>
      <c r="S1630" s="1" t="s">
        <v>2229</v>
      </c>
      <c r="T1630" s="1" t="s">
        <v>2572</v>
      </c>
    </row>
    <row r="1631" customFormat="false" ht="15" hidden="false" customHeight="true" outlineLevel="0" collapsed="false">
      <c r="A1631" s="1" t="s">
        <v>3196</v>
      </c>
      <c r="B1631" s="1" t="n">
        <v>1934</v>
      </c>
      <c r="C1631" s="1" t="n">
        <v>4</v>
      </c>
      <c r="D1631" s="1" t="s">
        <v>2225</v>
      </c>
      <c r="E1631" s="1"/>
      <c r="F1631" s="1" t="n">
        <v>298</v>
      </c>
      <c r="G1631" s="1" t="n">
        <v>214</v>
      </c>
      <c r="H1631" s="2" t="n">
        <v>2000000</v>
      </c>
      <c r="I1631" s="2" t="n">
        <f aca="false">(((H1631 / 800) / IF(ISBLANK(R1631), 1000000, IF(ISNA(VLOOKUP(R1631, Mileages!$A$2:$C$34, 2, 0)), R1631, VLOOKUP(R1631, Mileages!$A$2:$C$34, 2, 0)))) + (F1631 * IF(ISBLANK(P1631), 1, P1631) * IF(ISBLANK(T1631), 0, IF(ISNA(VLOOKUP(T1631, 'Fuel Costs'!$A$2:$C$42, 2, 0)), T1631, VLOOKUP(T1631, 'Fuel Costs'!$A$2:$C$42, 2, 0))) / IF(ISBLANK(O1631), 1, O1631))) * 100</f>
        <v>14.95</v>
      </c>
      <c r="J1631" s="2" t="n">
        <f aca="false">((H1631 / 800) / (IF(ISBLANK(S1631), 100, IF(ISNA(VLOOKUP(S1631, Lives!$A$2:$C$35, 2, 0)), S1631, VLOOKUP(S1631, Lives!$A$2:$C$35, 2, 0))) * 12) + (IF(ISBLANK(Q1631), 0, IF(ISNA(VLOOKUP(Q1631, Wages!$A$2:$C$17, 2, 0)), Q1631, VLOOKUP(Q1631, Wages!$A$2:$C$17, 2, 0))) * IF(ISBLANK(N1631), 0, IF(ISNA(VLOOKUP(N1631, Crews!$A$2:$C$28, 2, 0)), N1631, VLOOKUP(N1631, Crews!$A$2:$C$28, 2, 0))))) * 400</f>
        <v>11388.88889</v>
      </c>
      <c r="K1631" s="3" t="s">
        <v>3197</v>
      </c>
      <c r="L1631" s="1" t="s">
        <v>3195</v>
      </c>
      <c r="M1631" s="1" t="n">
        <v>1</v>
      </c>
      <c r="N1631" s="1" t="s">
        <v>25</v>
      </c>
      <c r="O1631" s="1"/>
      <c r="P1631" s="1" t="n">
        <v>0.1</v>
      </c>
      <c r="Q1631" s="1" t="s">
        <v>2229</v>
      </c>
      <c r="R1631" s="1" t="s">
        <v>2229</v>
      </c>
      <c r="S1631" s="1" t="s">
        <v>2229</v>
      </c>
      <c r="T1631" s="1" t="s">
        <v>2572</v>
      </c>
    </row>
    <row r="1632" customFormat="false" ht="15" hidden="false" customHeight="true" outlineLevel="0" collapsed="false">
      <c r="A1632" s="1" t="s">
        <v>3198</v>
      </c>
      <c r="B1632" s="1" t="n">
        <v>1934</v>
      </c>
      <c r="C1632" s="1" t="n">
        <v>4</v>
      </c>
      <c r="D1632" s="1" t="s">
        <v>21</v>
      </c>
      <c r="E1632" s="1" t="s">
        <v>1839</v>
      </c>
      <c r="F1632" s="1" t="n">
        <v>82</v>
      </c>
      <c r="G1632" s="1" t="n">
        <v>55</v>
      </c>
      <c r="H1632" s="2" t="n">
        <v>810000</v>
      </c>
      <c r="I1632" s="2" t="n">
        <f aca="false">(((H1632 / 800) / IF(ISBLANK(R1632), 1000000, IF(ISNA(VLOOKUP(R1632, Mileages!$A$2:$C$34, 2, 0)), R1632, VLOOKUP(R1632, Mileages!$A$2:$C$34, 2, 0)))) + (F1632 * IF(ISBLANK(P1632), 1, P1632) * IF(ISBLANK(T1632), 0, IF(ISNA(VLOOKUP(T1632, 'Fuel Costs'!$A$2:$C$42, 2, 0)), T1632, VLOOKUP(T1632, 'Fuel Costs'!$A$2:$C$42, 2, 0))) / IF(ISBLANK(O1632), 1, O1632))) * 100</f>
        <v>82.2025</v>
      </c>
      <c r="J1632" s="2" t="n">
        <f aca="false">((H1632 / 800) / (IF(ISBLANK(S1632), 100, IF(ISNA(VLOOKUP(S1632, Lives!$A$2:$C$35, 2, 0)), S1632, VLOOKUP(S1632, Lives!$A$2:$C$35, 2, 0))) * 12) + (IF(ISBLANK(Q1632), 0, IF(ISNA(VLOOKUP(Q1632, Wages!$A$2:$C$17, 2, 0)), Q1632, VLOOKUP(Q1632, Wages!$A$2:$C$17, 2, 0))) * IF(ISBLANK(N1632), 0, IF(ISNA(VLOOKUP(N1632, Crews!$A$2:$C$28, 2, 0)), N1632, VLOOKUP(N1632, Crews!$A$2:$C$28, 2, 0))))) * 400</f>
        <v>8421.875</v>
      </c>
      <c r="K1632" s="3" t="s">
        <v>3199</v>
      </c>
      <c r="L1632" s="1" t="s">
        <v>3200</v>
      </c>
      <c r="M1632" s="1" t="n">
        <v>0</v>
      </c>
      <c r="N1632" s="1" t="s">
        <v>25</v>
      </c>
      <c r="O1632" s="1" t="n">
        <v>0.6</v>
      </c>
      <c r="P1632" s="1"/>
      <c r="Q1632" s="1" t="s">
        <v>1815</v>
      </c>
      <c r="R1632" s="1" t="s">
        <v>1842</v>
      </c>
      <c r="S1632" s="1" t="s">
        <v>1843</v>
      </c>
      <c r="T1632" s="1" t="s">
        <v>2534</v>
      </c>
    </row>
    <row r="1633" customFormat="false" ht="15" hidden="false" customHeight="true" outlineLevel="0" collapsed="false">
      <c r="A1633" s="1" t="s">
        <v>3201</v>
      </c>
      <c r="B1633" s="1" t="n">
        <v>1934</v>
      </c>
      <c r="C1633" s="1" t="n">
        <v>4</v>
      </c>
      <c r="D1633" s="1" t="s">
        <v>21</v>
      </c>
      <c r="E1633" s="1" t="s">
        <v>1839</v>
      </c>
      <c r="F1633" s="1" t="n">
        <v>76</v>
      </c>
      <c r="G1633" s="1" t="n">
        <v>56</v>
      </c>
      <c r="H1633" s="2" t="n">
        <v>168000</v>
      </c>
      <c r="I1633" s="2" t="n">
        <f aca="false">(((H1633 / 800) / IF(ISBLANK(R1633), 1000000, IF(ISNA(VLOOKUP(R1633, Mileages!$A$2:$C$34, 2, 0)), R1633, VLOOKUP(R1633, Mileages!$A$2:$C$34, 2, 0)))) + (F1633 * IF(ISBLANK(P1633), 1, P1633) * IF(ISBLANK(T1633), 0, IF(ISNA(VLOOKUP(T1633, 'Fuel Costs'!$A$2:$C$42, 2, 0)), T1633, VLOOKUP(T1633, 'Fuel Costs'!$A$2:$C$42, 2, 0))) / IF(ISBLANK(O1633), 1, O1633))) * 100</f>
        <v>76.042</v>
      </c>
      <c r="J1633" s="2" t="n">
        <f aca="false">((H1633 / 800) / (IF(ISBLANK(S1633), 100, IF(ISNA(VLOOKUP(S1633, Lives!$A$2:$C$35, 2, 0)), S1633, VLOOKUP(S1633, Lives!$A$2:$C$35, 2, 0))) * 12) + (IF(ISBLANK(Q1633), 0, IF(ISNA(VLOOKUP(Q1633, Wages!$A$2:$C$17, 2, 0)), Q1633, VLOOKUP(Q1633, Wages!$A$2:$C$17, 2, 0))) * IF(ISBLANK(N1633), 0, IF(ISNA(VLOOKUP(N1633, Crews!$A$2:$C$28, 2, 0)), N1633, VLOOKUP(N1633, Crews!$A$2:$C$28, 2, 0))))) * 400</f>
        <v>8087.5</v>
      </c>
      <c r="K1633" s="3" t="s">
        <v>3202</v>
      </c>
      <c r="L1633" s="1" t="s">
        <v>3203</v>
      </c>
      <c r="M1633" s="1" t="n">
        <v>0</v>
      </c>
      <c r="N1633" s="1" t="s">
        <v>25</v>
      </c>
      <c r="O1633" s="1" t="n">
        <v>0.6</v>
      </c>
      <c r="P1633" s="1"/>
      <c r="Q1633" s="1" t="s">
        <v>1815</v>
      </c>
      <c r="R1633" s="1" t="s">
        <v>1842</v>
      </c>
      <c r="S1633" s="1" t="s">
        <v>1843</v>
      </c>
      <c r="T1633" s="1" t="s">
        <v>2534</v>
      </c>
    </row>
    <row r="1634" customFormat="false" ht="15" hidden="false" customHeight="true" outlineLevel="0" collapsed="false">
      <c r="A1634" s="1" t="s">
        <v>3204</v>
      </c>
      <c r="B1634" s="1" t="n">
        <v>1934</v>
      </c>
      <c r="C1634" s="1" t="n">
        <v>4</v>
      </c>
      <c r="D1634" s="1" t="s">
        <v>21</v>
      </c>
      <c r="E1634" s="1" t="s">
        <v>1839</v>
      </c>
      <c r="F1634" s="1" t="n">
        <v>76</v>
      </c>
      <c r="G1634" s="1" t="n">
        <v>56</v>
      </c>
      <c r="H1634" s="2" t="n">
        <v>168000</v>
      </c>
      <c r="I1634" s="2" t="n">
        <f aca="false">(((H1634 / 800) / IF(ISBLANK(R1634), 1000000, IF(ISNA(VLOOKUP(R1634, Mileages!$A$2:$C$34, 2, 0)), R1634, VLOOKUP(R1634, Mileages!$A$2:$C$34, 2, 0)))) + (F1634 * IF(ISBLANK(P1634), 1, P1634) * IF(ISBLANK(T1634), 0, IF(ISNA(VLOOKUP(T1634, 'Fuel Costs'!$A$2:$C$42, 2, 0)), T1634, VLOOKUP(T1634, 'Fuel Costs'!$A$2:$C$42, 2, 0))) / IF(ISBLANK(O1634), 1, O1634))) * 100</f>
        <v>76.042</v>
      </c>
      <c r="J1634" s="2" t="n">
        <f aca="false">((H1634 / 800) / (IF(ISBLANK(S1634), 100, IF(ISNA(VLOOKUP(S1634, Lives!$A$2:$C$35, 2, 0)), S1634, VLOOKUP(S1634, Lives!$A$2:$C$35, 2, 0))) * 12) + (IF(ISBLANK(Q1634), 0, IF(ISNA(VLOOKUP(Q1634, Wages!$A$2:$C$17, 2, 0)), Q1634, VLOOKUP(Q1634, Wages!$A$2:$C$17, 2, 0))) * IF(ISBLANK(N1634), 0, IF(ISNA(VLOOKUP(N1634, Crews!$A$2:$C$28, 2, 0)), N1634, VLOOKUP(N1634, Crews!$A$2:$C$28, 2, 0))))) * 400</f>
        <v>8087.5</v>
      </c>
      <c r="K1634" s="1" t="s">
        <v>3205</v>
      </c>
      <c r="L1634" s="1" t="s">
        <v>3203</v>
      </c>
      <c r="M1634" s="1" t="n">
        <v>1</v>
      </c>
      <c r="N1634" s="1" t="s">
        <v>25</v>
      </c>
      <c r="O1634" s="1" t="n">
        <v>0.6</v>
      </c>
      <c r="P1634" s="1"/>
      <c r="Q1634" s="1" t="s">
        <v>1815</v>
      </c>
      <c r="R1634" s="1" t="s">
        <v>1842</v>
      </c>
      <c r="S1634" s="1" t="s">
        <v>1843</v>
      </c>
      <c r="T1634" s="1" t="s">
        <v>2534</v>
      </c>
    </row>
    <row r="1635" customFormat="false" ht="15" hidden="false" customHeight="true" outlineLevel="0" collapsed="false">
      <c r="A1635" s="1" t="s">
        <v>3206</v>
      </c>
      <c r="B1635" s="1" t="n">
        <v>1934</v>
      </c>
      <c r="C1635" s="1" t="n">
        <v>4</v>
      </c>
      <c r="D1635" s="1" t="s">
        <v>21</v>
      </c>
      <c r="E1635" s="1" t="s">
        <v>1839</v>
      </c>
      <c r="F1635" s="1" t="n">
        <v>76</v>
      </c>
      <c r="G1635" s="1" t="n">
        <v>56</v>
      </c>
      <c r="H1635" s="2" t="n">
        <v>168000</v>
      </c>
      <c r="I1635" s="2" t="n">
        <f aca="false">(((H1635 / 800) / IF(ISBLANK(R1635), 1000000, IF(ISNA(VLOOKUP(R1635, Mileages!$A$2:$C$34, 2, 0)), R1635, VLOOKUP(R1635, Mileages!$A$2:$C$34, 2, 0)))) + (F1635 * IF(ISBLANK(P1635), 1, P1635) * IF(ISBLANK(T1635), 0, IF(ISNA(VLOOKUP(T1635, 'Fuel Costs'!$A$2:$C$42, 2, 0)), T1635, VLOOKUP(T1635, 'Fuel Costs'!$A$2:$C$42, 2, 0))) / IF(ISBLANK(O1635), 1, O1635))) * 100</f>
        <v>76.042</v>
      </c>
      <c r="J1635" s="2" t="n">
        <f aca="false">((H1635 / 800) / (IF(ISBLANK(S1635), 100, IF(ISNA(VLOOKUP(S1635, Lives!$A$2:$C$35, 2, 0)), S1635, VLOOKUP(S1635, Lives!$A$2:$C$35, 2, 0))) * 12) + (IF(ISBLANK(Q1635), 0, IF(ISNA(VLOOKUP(Q1635, Wages!$A$2:$C$17, 2, 0)), Q1635, VLOOKUP(Q1635, Wages!$A$2:$C$17, 2, 0))) * IF(ISBLANK(N1635), 0, IF(ISNA(VLOOKUP(N1635, Crews!$A$2:$C$28, 2, 0)), N1635, VLOOKUP(N1635, Crews!$A$2:$C$28, 2, 0))))) * 400</f>
        <v>8087.5</v>
      </c>
      <c r="K1635" s="1" t="s">
        <v>3205</v>
      </c>
      <c r="L1635" s="1" t="s">
        <v>3203</v>
      </c>
      <c r="M1635" s="1" t="n">
        <v>2</v>
      </c>
      <c r="N1635" s="1" t="s">
        <v>25</v>
      </c>
      <c r="O1635" s="1" t="n">
        <v>0.6</v>
      </c>
      <c r="P1635" s="1"/>
      <c r="Q1635" s="1" t="s">
        <v>1815</v>
      </c>
      <c r="R1635" s="1" t="s">
        <v>1842</v>
      </c>
      <c r="S1635" s="1" t="s">
        <v>1843</v>
      </c>
      <c r="T1635" s="1" t="s">
        <v>2534</v>
      </c>
    </row>
    <row r="1636" customFormat="false" ht="15" hidden="false" customHeight="true" outlineLevel="0" collapsed="false">
      <c r="A1636" s="1" t="s">
        <v>3207</v>
      </c>
      <c r="B1636" s="1" t="n">
        <v>1934</v>
      </c>
      <c r="C1636" s="1" t="n">
        <v>4</v>
      </c>
      <c r="D1636" s="1" t="s">
        <v>21</v>
      </c>
      <c r="E1636" s="1" t="s">
        <v>1839</v>
      </c>
      <c r="F1636" s="1" t="n">
        <v>76</v>
      </c>
      <c r="G1636" s="1" t="n">
        <v>56</v>
      </c>
      <c r="H1636" s="2" t="n">
        <v>168000</v>
      </c>
      <c r="I1636" s="2" t="n">
        <f aca="false">(((H1636 / 800) / IF(ISBLANK(R1636), 1000000, IF(ISNA(VLOOKUP(R1636, Mileages!$A$2:$C$34, 2, 0)), R1636, VLOOKUP(R1636, Mileages!$A$2:$C$34, 2, 0)))) + (F1636 * IF(ISBLANK(P1636), 1, P1636) * IF(ISBLANK(T1636), 0, IF(ISNA(VLOOKUP(T1636, 'Fuel Costs'!$A$2:$C$42, 2, 0)), T1636, VLOOKUP(T1636, 'Fuel Costs'!$A$2:$C$42, 2, 0))) / IF(ISBLANK(O1636), 1, O1636))) * 100</f>
        <v>76.042</v>
      </c>
      <c r="J1636" s="2" t="n">
        <f aca="false">((H1636 / 800) / (IF(ISBLANK(S1636), 100, IF(ISNA(VLOOKUP(S1636, Lives!$A$2:$C$35, 2, 0)), S1636, VLOOKUP(S1636, Lives!$A$2:$C$35, 2, 0))) * 12) + (IF(ISBLANK(Q1636), 0, IF(ISNA(VLOOKUP(Q1636, Wages!$A$2:$C$17, 2, 0)), Q1636, VLOOKUP(Q1636, Wages!$A$2:$C$17, 2, 0))) * IF(ISBLANK(N1636), 0, IF(ISNA(VLOOKUP(N1636, Crews!$A$2:$C$28, 2, 0)), N1636, VLOOKUP(N1636, Crews!$A$2:$C$28, 2, 0))))) * 400</f>
        <v>8087.5</v>
      </c>
      <c r="K1636" s="1" t="s">
        <v>3205</v>
      </c>
      <c r="L1636" s="1" t="s">
        <v>3203</v>
      </c>
      <c r="M1636" s="1" t="n">
        <v>3</v>
      </c>
      <c r="N1636" s="1" t="s">
        <v>25</v>
      </c>
      <c r="O1636" s="1" t="n">
        <v>0.6</v>
      </c>
      <c r="P1636" s="1"/>
      <c r="Q1636" s="1" t="s">
        <v>1815</v>
      </c>
      <c r="R1636" s="1" t="s">
        <v>1842</v>
      </c>
      <c r="S1636" s="1" t="s">
        <v>1843</v>
      </c>
      <c r="T1636" s="1" t="s">
        <v>2534</v>
      </c>
    </row>
    <row r="1637" customFormat="false" ht="15" hidden="false" customHeight="true" outlineLevel="0" collapsed="false">
      <c r="A1637" s="1" t="s">
        <v>3208</v>
      </c>
      <c r="B1637" s="1" t="n">
        <v>1934</v>
      </c>
      <c r="C1637" s="1" t="n">
        <v>4</v>
      </c>
      <c r="D1637" s="1" t="s">
        <v>21</v>
      </c>
      <c r="E1637" s="1" t="s">
        <v>1839</v>
      </c>
      <c r="F1637" s="1" t="n">
        <v>76</v>
      </c>
      <c r="G1637" s="1" t="n">
        <v>56</v>
      </c>
      <c r="H1637" s="2" t="n">
        <v>168000</v>
      </c>
      <c r="I1637" s="2" t="n">
        <f aca="false">(((H1637 / 800) / IF(ISBLANK(R1637), 1000000, IF(ISNA(VLOOKUP(R1637, Mileages!$A$2:$C$34, 2, 0)), R1637, VLOOKUP(R1637, Mileages!$A$2:$C$34, 2, 0)))) + (F1637 * IF(ISBLANK(P1637), 1, P1637) * IF(ISBLANK(T1637), 0, IF(ISNA(VLOOKUP(T1637, 'Fuel Costs'!$A$2:$C$42, 2, 0)), T1637, VLOOKUP(T1637, 'Fuel Costs'!$A$2:$C$42, 2, 0))) / IF(ISBLANK(O1637), 1, O1637))) * 100</f>
        <v>76.042</v>
      </c>
      <c r="J1637" s="2" t="n">
        <f aca="false">((H1637 / 800) / (IF(ISBLANK(S1637), 100, IF(ISNA(VLOOKUP(S1637, Lives!$A$2:$C$35, 2, 0)), S1637, VLOOKUP(S1637, Lives!$A$2:$C$35, 2, 0))) * 12) + (IF(ISBLANK(Q1637), 0, IF(ISNA(VLOOKUP(Q1637, Wages!$A$2:$C$17, 2, 0)), Q1637, VLOOKUP(Q1637, Wages!$A$2:$C$17, 2, 0))) * IF(ISBLANK(N1637), 0, IF(ISNA(VLOOKUP(N1637, Crews!$A$2:$C$28, 2, 0)), N1637, VLOOKUP(N1637, Crews!$A$2:$C$28, 2, 0))))) * 400</f>
        <v>8087.5</v>
      </c>
      <c r="K1637" s="1" t="s">
        <v>3205</v>
      </c>
      <c r="L1637" s="1" t="s">
        <v>3203</v>
      </c>
      <c r="M1637" s="1" t="n">
        <v>4</v>
      </c>
      <c r="N1637" s="1" t="s">
        <v>25</v>
      </c>
      <c r="O1637" s="1" t="n">
        <v>0.6</v>
      </c>
      <c r="P1637" s="1"/>
      <c r="Q1637" s="1" t="s">
        <v>1815</v>
      </c>
      <c r="R1637" s="1" t="s">
        <v>1842</v>
      </c>
      <c r="S1637" s="1" t="s">
        <v>1843</v>
      </c>
      <c r="T1637" s="1" t="s">
        <v>2534</v>
      </c>
    </row>
    <row r="1638" customFormat="false" ht="15" hidden="false" customHeight="true" outlineLevel="0" collapsed="false">
      <c r="A1638" s="1" t="s">
        <v>3209</v>
      </c>
      <c r="B1638" s="1" t="n">
        <v>1934</v>
      </c>
      <c r="C1638" s="1" t="n">
        <v>4</v>
      </c>
      <c r="D1638" s="1" t="s">
        <v>21</v>
      </c>
      <c r="E1638" s="1" t="s">
        <v>1839</v>
      </c>
      <c r="F1638" s="1" t="n">
        <v>76</v>
      </c>
      <c r="G1638" s="1" t="n">
        <v>56</v>
      </c>
      <c r="H1638" s="2" t="n">
        <v>168000</v>
      </c>
      <c r="I1638" s="2" t="n">
        <f aca="false">(((H1638 / 800) / IF(ISBLANK(R1638), 1000000, IF(ISNA(VLOOKUP(R1638, Mileages!$A$2:$C$34, 2, 0)), R1638, VLOOKUP(R1638, Mileages!$A$2:$C$34, 2, 0)))) + (F1638 * IF(ISBLANK(P1638), 1, P1638) * IF(ISBLANK(T1638), 0, IF(ISNA(VLOOKUP(T1638, 'Fuel Costs'!$A$2:$C$42, 2, 0)), T1638, VLOOKUP(T1638, 'Fuel Costs'!$A$2:$C$42, 2, 0))) / IF(ISBLANK(O1638), 1, O1638))) * 100</f>
        <v>76.042</v>
      </c>
      <c r="J1638" s="2" t="n">
        <f aca="false">((H1638 / 800) / (IF(ISBLANK(S1638), 100, IF(ISNA(VLOOKUP(S1638, Lives!$A$2:$C$35, 2, 0)), S1638, VLOOKUP(S1638, Lives!$A$2:$C$35, 2, 0))) * 12) + (IF(ISBLANK(Q1638), 0, IF(ISNA(VLOOKUP(Q1638, Wages!$A$2:$C$17, 2, 0)), Q1638, VLOOKUP(Q1638, Wages!$A$2:$C$17, 2, 0))) * IF(ISBLANK(N1638), 0, IF(ISNA(VLOOKUP(N1638, Crews!$A$2:$C$28, 2, 0)), N1638, VLOOKUP(N1638, Crews!$A$2:$C$28, 2, 0))))) * 400</f>
        <v>8087.5</v>
      </c>
      <c r="K1638" s="1" t="s">
        <v>3205</v>
      </c>
      <c r="L1638" s="1" t="s">
        <v>3203</v>
      </c>
      <c r="M1638" s="1" t="n">
        <v>5</v>
      </c>
      <c r="N1638" s="1" t="s">
        <v>25</v>
      </c>
      <c r="O1638" s="1" t="n">
        <v>0.6</v>
      </c>
      <c r="P1638" s="1"/>
      <c r="Q1638" s="1" t="s">
        <v>1815</v>
      </c>
      <c r="R1638" s="1" t="s">
        <v>1842</v>
      </c>
      <c r="S1638" s="1" t="s">
        <v>1843</v>
      </c>
      <c r="T1638" s="1" t="s">
        <v>2534</v>
      </c>
    </row>
    <row r="1639" customFormat="false" ht="15" hidden="false" customHeight="true" outlineLevel="0" collapsed="false">
      <c r="A1639" s="1" t="s">
        <v>3210</v>
      </c>
      <c r="B1639" s="1" t="n">
        <v>1934</v>
      </c>
      <c r="C1639" s="1" t="n">
        <v>4</v>
      </c>
      <c r="D1639" s="1" t="s">
        <v>21</v>
      </c>
      <c r="E1639" s="1" t="s">
        <v>1839</v>
      </c>
      <c r="F1639" s="1" t="n">
        <v>76</v>
      </c>
      <c r="G1639" s="1" t="n">
        <v>56</v>
      </c>
      <c r="H1639" s="2" t="n">
        <v>168000</v>
      </c>
      <c r="I1639" s="2" t="n">
        <f aca="false">(((H1639 / 800) / IF(ISBLANK(R1639), 1000000, IF(ISNA(VLOOKUP(R1639, Mileages!$A$2:$C$34, 2, 0)), R1639, VLOOKUP(R1639, Mileages!$A$2:$C$34, 2, 0)))) + (F1639 * IF(ISBLANK(P1639), 1, P1639) * IF(ISBLANK(T1639), 0, IF(ISNA(VLOOKUP(T1639, 'Fuel Costs'!$A$2:$C$42, 2, 0)), T1639, VLOOKUP(T1639, 'Fuel Costs'!$A$2:$C$42, 2, 0))) / IF(ISBLANK(O1639), 1, O1639))) * 100</f>
        <v>76.042</v>
      </c>
      <c r="J1639" s="2" t="n">
        <f aca="false">((H1639 / 800) / (IF(ISBLANK(S1639), 100, IF(ISNA(VLOOKUP(S1639, Lives!$A$2:$C$35, 2, 0)), S1639, VLOOKUP(S1639, Lives!$A$2:$C$35, 2, 0))) * 12) + (IF(ISBLANK(Q1639), 0, IF(ISNA(VLOOKUP(Q1639, Wages!$A$2:$C$17, 2, 0)), Q1639, VLOOKUP(Q1639, Wages!$A$2:$C$17, 2, 0))) * IF(ISBLANK(N1639), 0, IF(ISNA(VLOOKUP(N1639, Crews!$A$2:$C$28, 2, 0)), N1639, VLOOKUP(N1639, Crews!$A$2:$C$28, 2, 0))))) * 400</f>
        <v>8087.5</v>
      </c>
      <c r="K1639" s="1" t="s">
        <v>3205</v>
      </c>
      <c r="L1639" s="1" t="s">
        <v>3203</v>
      </c>
      <c r="M1639" s="1" t="n">
        <v>6</v>
      </c>
      <c r="N1639" s="1" t="s">
        <v>25</v>
      </c>
      <c r="O1639" s="1" t="n">
        <v>0.6</v>
      </c>
      <c r="P1639" s="1"/>
      <c r="Q1639" s="1" t="s">
        <v>1815</v>
      </c>
      <c r="R1639" s="1" t="s">
        <v>1842</v>
      </c>
      <c r="S1639" s="1" t="s">
        <v>1843</v>
      </c>
      <c r="T1639" s="1" t="s">
        <v>2534</v>
      </c>
    </row>
    <row r="1640" customFormat="false" ht="15" hidden="false" customHeight="true" outlineLevel="0" collapsed="false">
      <c r="A1640" s="1" t="s">
        <v>3211</v>
      </c>
      <c r="B1640" s="1" t="n">
        <v>1934</v>
      </c>
      <c r="C1640" s="1" t="n">
        <v>5</v>
      </c>
      <c r="D1640" s="1" t="s">
        <v>38</v>
      </c>
      <c r="E1640" s="1"/>
      <c r="F1640" s="1" t="n">
        <v>0</v>
      </c>
      <c r="G1640" s="1" t="n">
        <v>135</v>
      </c>
      <c r="H1640" s="2" t="n">
        <v>0</v>
      </c>
      <c r="I1640" s="2" t="n">
        <f aca="false">(((H1640 / 800) / IF(ISBLANK(R1640), 1000000, IF(ISNA(VLOOKUP(R1640, Mileages!$A$2:$C$34, 2, 0)), R1640, VLOOKUP(R1640, Mileages!$A$2:$C$34, 2, 0)))) + (F1640 * IF(ISBLANK(P1640), 1, P1640) * IF(ISBLANK(T1640), 0, IF(ISNA(VLOOKUP(T1640, 'Fuel Costs'!$A$2:$C$42, 2, 0)), T1640, VLOOKUP(T1640, 'Fuel Costs'!$A$2:$C$42, 2, 0))) / IF(ISBLANK(O1640), 1, O1640))) * 100</f>
        <v>0</v>
      </c>
      <c r="J1640" s="2" t="n">
        <f aca="false">((H1640 / 800) / (IF(ISBLANK(S1640), 100, IF(ISNA(VLOOKUP(S1640, Lives!$A$2:$C$35, 2, 0)), S1640, VLOOKUP(S1640, Lives!$A$2:$C$35, 2, 0))) * 12) + (IF(ISBLANK(Q1640), 0, IF(ISNA(VLOOKUP(Q1640, Wages!$A$2:$C$17, 2, 0)), Q1640, VLOOKUP(Q1640, Wages!$A$2:$C$17, 2, 0))) * IF(ISBLANK(N1640), 0, IF(ISNA(VLOOKUP(N1640, Crews!$A$2:$C$28, 2, 0)), N1640, VLOOKUP(N1640, Crews!$A$2:$C$28, 2, 0))))) * 400</f>
        <v>0</v>
      </c>
      <c r="K1640" s="1"/>
      <c r="L1640" s="1" t="s">
        <v>3212</v>
      </c>
      <c r="M1640" s="1" t="n">
        <v>0</v>
      </c>
      <c r="N1640" s="1"/>
      <c r="O1640" s="1"/>
      <c r="P1640" s="1"/>
      <c r="Q1640" s="1"/>
      <c r="R1640" s="1"/>
      <c r="S1640" s="1"/>
      <c r="T1640" s="1"/>
    </row>
    <row r="1641" customFormat="false" ht="15" hidden="false" customHeight="true" outlineLevel="0" collapsed="false">
      <c r="A1641" s="1" t="s">
        <v>3213</v>
      </c>
      <c r="B1641" s="1" t="n">
        <v>1934</v>
      </c>
      <c r="C1641" s="1" t="n">
        <v>5</v>
      </c>
      <c r="D1641" s="1" t="s">
        <v>2225</v>
      </c>
      <c r="E1641" s="1" t="s">
        <v>1839</v>
      </c>
      <c r="F1641" s="1" t="n">
        <v>946</v>
      </c>
      <c r="G1641" s="1" t="n">
        <v>300</v>
      </c>
      <c r="H1641" s="2" t="n">
        <v>2500000</v>
      </c>
      <c r="I1641" s="2" t="n">
        <f aca="false">(((H1641 / 800) / IF(ISBLANK(R1641), 1000000, IF(ISNA(VLOOKUP(R1641, Mileages!$A$2:$C$34, 2, 0)), R1641, VLOOKUP(R1641, Mileages!$A$2:$C$34, 2, 0)))) + (F1641 * IF(ISBLANK(P1641), 1, P1641) * IF(ISBLANK(T1641), 0, IF(ISNA(VLOOKUP(T1641, 'Fuel Costs'!$A$2:$C$42, 2, 0)), T1641, VLOOKUP(T1641, 'Fuel Costs'!$A$2:$C$42, 2, 0))) / IF(ISBLANK(O1641), 1, O1641))) * 100</f>
        <v>47.3625</v>
      </c>
      <c r="J1641" s="2" t="n">
        <f aca="false">((H1641 / 800) / (IF(ISBLANK(S1641), 100, IF(ISNA(VLOOKUP(S1641, Lives!$A$2:$C$35, 2, 0)), S1641, VLOOKUP(S1641, Lives!$A$2:$C$35, 2, 0))) * 12) + (IF(ISBLANK(Q1641), 0, IF(ISNA(VLOOKUP(Q1641, Wages!$A$2:$C$17, 2, 0)), Q1641, VLOOKUP(Q1641, Wages!$A$2:$C$17, 2, 0))) * IF(ISBLANK(N1641), 0, IF(ISNA(VLOOKUP(N1641, Crews!$A$2:$C$28, 2, 0)), N1641, VLOOKUP(N1641, Crews!$A$2:$C$28, 2, 0))))) * 400</f>
        <v>51736.11111</v>
      </c>
      <c r="K1641" s="3" t="s">
        <v>3214</v>
      </c>
      <c r="L1641" s="1" t="s">
        <v>3215</v>
      </c>
      <c r="M1641" s="1" t="n">
        <v>0</v>
      </c>
      <c r="N1641" s="1" t="s">
        <v>2342</v>
      </c>
      <c r="O1641" s="1"/>
      <c r="P1641" s="1" t="n">
        <v>0.1</v>
      </c>
      <c r="Q1641" s="1" t="s">
        <v>2229</v>
      </c>
      <c r="R1641" s="1" t="s">
        <v>2229</v>
      </c>
      <c r="S1641" s="1" t="s">
        <v>2229</v>
      </c>
      <c r="T1641" s="1" t="s">
        <v>2572</v>
      </c>
    </row>
    <row r="1642" customFormat="false" ht="15" hidden="false" customHeight="true" outlineLevel="0" collapsed="false">
      <c r="A1642" s="1" t="s">
        <v>3216</v>
      </c>
      <c r="B1642" s="1" t="n">
        <v>1934</v>
      </c>
      <c r="C1642" s="1" t="n">
        <v>5</v>
      </c>
      <c r="D1642" s="1" t="s">
        <v>38</v>
      </c>
      <c r="E1642" s="1" t="s">
        <v>274</v>
      </c>
      <c r="F1642" s="1" t="n">
        <v>440</v>
      </c>
      <c r="G1642" s="1" t="n">
        <v>135</v>
      </c>
      <c r="H1642" s="2" t="n">
        <v>4598000</v>
      </c>
      <c r="I1642" s="2" t="n">
        <f aca="false">(((H1642 / 800) / IF(ISBLANK(R1642), 1000000, IF(ISNA(VLOOKUP(R1642, Mileages!$A$2:$C$34, 2, 0)), R1642, VLOOKUP(R1642, Mileages!$A$2:$C$34, 2, 0)))) + (F1642 * IF(ISBLANK(P1642), 1, P1642) * IF(ISBLANK(T1642), 0, IF(ISNA(VLOOKUP(T1642, 'Fuel Costs'!$A$2:$C$42, 2, 0)), T1642, VLOOKUP(T1642, 'Fuel Costs'!$A$2:$C$42, 2, 0))) / IF(ISBLANK(O1642), 1, O1642))) * 100</f>
        <v>252.0033214</v>
      </c>
      <c r="J1642" s="2" t="n">
        <f aca="false">((H1642 / 800) / (IF(ISBLANK(S1642), 100, IF(ISNA(VLOOKUP(S1642, Lives!$A$2:$C$35, 2, 0)), S1642, VLOOKUP(S1642, Lives!$A$2:$C$35, 2, 0))) * 12) + (IF(ISBLANK(Q1642), 0, IF(ISNA(VLOOKUP(Q1642, Wages!$A$2:$C$17, 2, 0)), Q1642, VLOOKUP(Q1642, Wages!$A$2:$C$17, 2, 0))) * IF(ISBLANK(N1642), 0, IF(ISNA(VLOOKUP(N1642, Crews!$A$2:$C$28, 2, 0)), N1642, VLOOKUP(N1642, Crews!$A$2:$C$28, 2, 0))))) * 400</f>
        <v>27831.66667</v>
      </c>
      <c r="K1642" s="3" t="s">
        <v>3217</v>
      </c>
      <c r="L1642" s="1" t="s">
        <v>3218</v>
      </c>
      <c r="M1642" s="1" t="n">
        <v>0</v>
      </c>
      <c r="N1642" s="1" t="s">
        <v>590</v>
      </c>
      <c r="O1642" s="1" t="n">
        <v>0.7</v>
      </c>
      <c r="P1642" s="1"/>
      <c r="Q1642" s="5" t="s">
        <v>284</v>
      </c>
      <c r="R1642" s="1" t="s">
        <v>677</v>
      </c>
      <c r="S1642" s="1" t="s">
        <v>677</v>
      </c>
      <c r="T1642" s="1" t="s">
        <v>2252</v>
      </c>
    </row>
    <row r="1643" customFormat="false" ht="15" hidden="false" customHeight="true" outlineLevel="0" collapsed="false">
      <c r="A1643" s="1" t="s">
        <v>3219</v>
      </c>
      <c r="B1643" s="1" t="n">
        <v>1934</v>
      </c>
      <c r="C1643" s="1" t="n">
        <v>5</v>
      </c>
      <c r="D1643" s="1" t="s">
        <v>38</v>
      </c>
      <c r="E1643" s="1" t="s">
        <v>274</v>
      </c>
      <c r="F1643" s="1" t="n">
        <v>653</v>
      </c>
      <c r="G1643" s="1" t="n">
        <v>135</v>
      </c>
      <c r="H1643" s="2" t="n">
        <v>15206000</v>
      </c>
      <c r="I1643" s="2" t="n">
        <f aca="false">(((H1643 / 800) / IF(ISBLANK(R1643), 1000000, IF(ISNA(VLOOKUP(R1643, Mileages!$A$2:$C$34, 2, 0)), R1643, VLOOKUP(R1643, Mileages!$A$2:$C$34, 2, 0)))) + (F1643 * IF(ISBLANK(P1643), 1, P1643) * IF(ISBLANK(T1643), 0, IF(ISNA(VLOOKUP(T1643, 'Fuel Costs'!$A$2:$C$42, 2, 0)), T1643, VLOOKUP(T1643, 'Fuel Costs'!$A$2:$C$42, 2, 0))) / IF(ISBLANK(O1643), 1, O1643))) * 100</f>
        <v>376.3107738</v>
      </c>
      <c r="J1643" s="2" t="n">
        <f aca="false">((H1643 / 800) / (IF(ISBLANK(S1643), 100, IF(ISNA(VLOOKUP(S1643, Lives!$A$2:$C$35, 2, 0)), S1643, VLOOKUP(S1643, Lives!$A$2:$C$35, 2, 0))) * 12) + (IF(ISBLANK(Q1643), 0, IF(ISNA(VLOOKUP(Q1643, Wages!$A$2:$C$17, 2, 0)), Q1643, VLOOKUP(Q1643, Wages!$A$2:$C$17, 2, 0))) * IF(ISBLANK(N1643), 0, IF(ISNA(VLOOKUP(N1643, Crews!$A$2:$C$28, 2, 0)), N1643, VLOOKUP(N1643, Crews!$A$2:$C$28, 2, 0))))) * 400</f>
        <v>71679.16667</v>
      </c>
      <c r="K1643" s="3" t="s">
        <v>3220</v>
      </c>
      <c r="L1643" s="1" t="s">
        <v>3221</v>
      </c>
      <c r="M1643" s="1" t="n">
        <v>0</v>
      </c>
      <c r="N1643" s="1" t="s">
        <v>1705</v>
      </c>
      <c r="O1643" s="1" t="n">
        <v>0.7</v>
      </c>
      <c r="P1643" s="1"/>
      <c r="Q1643" s="5" t="s">
        <v>284</v>
      </c>
      <c r="R1643" s="1" t="s">
        <v>2617</v>
      </c>
      <c r="S1643" s="1" t="s">
        <v>2617</v>
      </c>
      <c r="T1643" s="1" t="s">
        <v>2252</v>
      </c>
    </row>
    <row r="1644" customFormat="false" ht="15" hidden="false" customHeight="true" outlineLevel="0" collapsed="false">
      <c r="A1644" s="1" t="s">
        <v>3222</v>
      </c>
      <c r="B1644" s="1" t="n">
        <v>1934</v>
      </c>
      <c r="C1644" s="1" t="n">
        <v>5</v>
      </c>
      <c r="D1644" s="1" t="s">
        <v>38</v>
      </c>
      <c r="E1644" s="1"/>
      <c r="F1644" s="1" t="n">
        <v>0</v>
      </c>
      <c r="G1644" s="1" t="n">
        <v>135</v>
      </c>
      <c r="H1644" s="2" t="n">
        <v>0</v>
      </c>
      <c r="I1644" s="2" t="n">
        <f aca="false">(((H1644 / 800) / IF(ISBLANK(R1644), 1000000, IF(ISNA(VLOOKUP(R1644, Mileages!$A$2:$C$34, 2, 0)), R1644, VLOOKUP(R1644, Mileages!$A$2:$C$34, 2, 0)))) + (F1644 * IF(ISBLANK(P1644), 1, P1644) * IF(ISBLANK(T1644), 0, IF(ISNA(VLOOKUP(T1644, 'Fuel Costs'!$A$2:$C$42, 2, 0)), T1644, VLOOKUP(T1644, 'Fuel Costs'!$A$2:$C$42, 2, 0))) / IF(ISBLANK(O1644), 1, O1644))) * 100</f>
        <v>0</v>
      </c>
      <c r="J1644" s="2" t="n">
        <f aca="false">((H1644 / 800) / (IF(ISBLANK(S1644), 100, IF(ISNA(VLOOKUP(S1644, Lives!$A$2:$C$35, 2, 0)), S1644, VLOOKUP(S1644, Lives!$A$2:$C$35, 2, 0))) * 12) + (IF(ISBLANK(Q1644), 0, IF(ISNA(VLOOKUP(Q1644, Wages!$A$2:$C$17, 2, 0)), Q1644, VLOOKUP(Q1644, Wages!$A$2:$C$17, 2, 0))) * IF(ISBLANK(N1644), 0, IF(ISNA(VLOOKUP(N1644, Crews!$A$2:$C$28, 2, 0)), N1644, VLOOKUP(N1644, Crews!$A$2:$C$28, 2, 0))))) * 400</f>
        <v>0</v>
      </c>
      <c r="K1644" s="1"/>
      <c r="L1644" s="1" t="s">
        <v>3221</v>
      </c>
      <c r="M1644" s="1" t="n">
        <v>1</v>
      </c>
      <c r="N1644" s="1"/>
      <c r="O1644" s="1"/>
      <c r="P1644" s="1"/>
      <c r="Q1644" s="1"/>
      <c r="R1644" s="1"/>
      <c r="S1644" s="1"/>
      <c r="T1644" s="1"/>
    </row>
    <row r="1645" customFormat="false" ht="15" hidden="false" customHeight="true" outlineLevel="0" collapsed="false">
      <c r="A1645" s="1" t="s">
        <v>3223</v>
      </c>
      <c r="B1645" s="1" t="n">
        <v>1934</v>
      </c>
      <c r="C1645" s="1" t="n">
        <v>5</v>
      </c>
      <c r="D1645" s="1" t="s">
        <v>2225</v>
      </c>
      <c r="E1645" s="1" t="s">
        <v>1839</v>
      </c>
      <c r="F1645" s="1" t="n">
        <v>946</v>
      </c>
      <c r="G1645" s="1" t="n">
        <v>300</v>
      </c>
      <c r="H1645" s="2" t="n">
        <v>2000000</v>
      </c>
      <c r="I1645" s="2" t="n">
        <f aca="false">(((H1645 / 800) / IF(ISBLANK(R1645), 1000000, IF(ISNA(VLOOKUP(R1645, Mileages!$A$2:$C$34, 2, 0)), R1645, VLOOKUP(R1645, Mileages!$A$2:$C$34, 2, 0)))) + (F1645 * IF(ISBLANK(P1645), 1, P1645) * IF(ISBLANK(T1645), 0, IF(ISNA(VLOOKUP(T1645, 'Fuel Costs'!$A$2:$C$42, 2, 0)), T1645, VLOOKUP(T1645, 'Fuel Costs'!$A$2:$C$42, 2, 0))) / IF(ISBLANK(O1645), 1, O1645))) * 100</f>
        <v>47.35</v>
      </c>
      <c r="J1645" s="2" t="n">
        <f aca="false">((H1645 / 800) / (IF(ISBLANK(S1645), 100, IF(ISNA(VLOOKUP(S1645, Lives!$A$2:$C$35, 2, 0)), S1645, VLOOKUP(S1645, Lives!$A$2:$C$35, 2, 0))) * 12) + (IF(ISBLANK(Q1645), 0, IF(ISNA(VLOOKUP(Q1645, Wages!$A$2:$C$17, 2, 0)), Q1645, VLOOKUP(Q1645, Wages!$A$2:$C$17, 2, 0))) * IF(ISBLANK(N1645), 0, IF(ISNA(VLOOKUP(N1645, Crews!$A$2:$C$28, 2, 0)), N1645, VLOOKUP(N1645, Crews!$A$2:$C$28, 2, 0))))) * 400</f>
        <v>11388.88889</v>
      </c>
      <c r="K1645" s="3" t="s">
        <v>3224</v>
      </c>
      <c r="L1645" s="1" t="s">
        <v>3225</v>
      </c>
      <c r="M1645" s="1" t="n">
        <v>0</v>
      </c>
      <c r="N1645" s="1" t="s">
        <v>25</v>
      </c>
      <c r="O1645" s="1"/>
      <c r="P1645" s="1" t="n">
        <v>0.1</v>
      </c>
      <c r="Q1645" s="1" t="s">
        <v>2229</v>
      </c>
      <c r="R1645" s="1" t="s">
        <v>2229</v>
      </c>
      <c r="S1645" s="1" t="s">
        <v>2229</v>
      </c>
      <c r="T1645" s="1" t="s">
        <v>2572</v>
      </c>
    </row>
    <row r="1646" customFormat="false" ht="15" hidden="false" customHeight="true" outlineLevel="0" collapsed="false">
      <c r="A1646" s="1" t="s">
        <v>3226</v>
      </c>
      <c r="B1646" s="1" t="n">
        <v>1934</v>
      </c>
      <c r="C1646" s="1" t="n">
        <v>8</v>
      </c>
      <c r="D1646" s="1" t="s">
        <v>38</v>
      </c>
      <c r="E1646" s="1" t="s">
        <v>1346</v>
      </c>
      <c r="F1646" s="1" t="n">
        <v>410</v>
      </c>
      <c r="G1646" s="1" t="n">
        <v>97</v>
      </c>
      <c r="H1646" s="2" t="n">
        <v>1680000</v>
      </c>
      <c r="I1646" s="2" t="n">
        <f aca="false">(((H1646 / 800) / IF(ISBLANK(R1646), 1000000, IF(ISNA(VLOOKUP(R1646, Mileages!$A$2:$C$34, 2, 0)), R1646, VLOOKUP(R1646, Mileages!$A$2:$C$34, 2, 0)))) + (F1646 * IF(ISBLANK(P1646), 1, P1646) * IF(ISBLANK(T1646), 0, IF(ISNA(VLOOKUP(T1646, 'Fuel Costs'!$A$2:$C$42, 2, 0)), T1646, VLOOKUP(T1646, 'Fuel Costs'!$A$2:$C$42, 2, 0))) / IF(ISBLANK(O1646), 1, O1646))) * 100</f>
        <v>164.21</v>
      </c>
      <c r="J1646" s="2" t="n">
        <f aca="false">((H1646 / 800) / (IF(ISBLANK(S1646), 100, IF(ISNA(VLOOKUP(S1646, Lives!$A$2:$C$35, 2, 0)), S1646, VLOOKUP(S1646, Lives!$A$2:$C$35, 2, 0))) * 12) + (IF(ISBLANK(Q1646), 0, IF(ISNA(VLOOKUP(Q1646, Wages!$A$2:$C$17, 2, 0)), Q1646, VLOOKUP(Q1646, Wages!$A$2:$C$17, 2, 0))) * IF(ISBLANK(N1646), 0, IF(ISNA(VLOOKUP(N1646, Crews!$A$2:$C$28, 2, 0)), N1646, VLOOKUP(N1646, Crews!$A$2:$C$28, 2, 0))))) * 400</f>
        <v>11166.66667</v>
      </c>
      <c r="K1646" s="3" t="s">
        <v>3227</v>
      </c>
      <c r="L1646" s="1" t="s">
        <v>3228</v>
      </c>
      <c r="M1646" s="1" t="n">
        <v>0</v>
      </c>
      <c r="N1646" s="1" t="s">
        <v>1488</v>
      </c>
      <c r="O1646" s="1" t="n">
        <v>1</v>
      </c>
      <c r="P1646" s="1"/>
      <c r="Q1646" s="1" t="str">
        <f aca="false">IF(ISBLANK('Pak128 Britain In'!$N1646),,'Pak128 Britain In'!$N1646)</f>
        <v>ElectricDriverRail</v>
      </c>
      <c r="R1646" s="1" t="s">
        <v>1349</v>
      </c>
      <c r="S1646" s="1" t="s">
        <v>1349</v>
      </c>
      <c r="T1646" s="1" t="s">
        <v>2580</v>
      </c>
    </row>
    <row r="1647" customFormat="false" ht="15" hidden="false" customHeight="true" outlineLevel="0" collapsed="false">
      <c r="A1647" s="1" t="s">
        <v>3229</v>
      </c>
      <c r="B1647" s="1" t="n">
        <v>1934</v>
      </c>
      <c r="C1647" s="1" t="n">
        <v>8</v>
      </c>
      <c r="D1647" s="1" t="s">
        <v>38</v>
      </c>
      <c r="E1647" s="1" t="s">
        <v>1346</v>
      </c>
      <c r="F1647" s="1" t="n">
        <v>0</v>
      </c>
      <c r="G1647" s="1" t="n">
        <v>97</v>
      </c>
      <c r="H1647" s="2" t="n">
        <v>720000</v>
      </c>
      <c r="I1647" s="2" t="n">
        <f aca="false">(((H1647 / 800) / IF(ISBLANK(R1647), 1000000, IF(ISNA(VLOOKUP(R1647, Mileages!$A$2:$C$34, 2, 0)), R1647, VLOOKUP(R1647, Mileages!$A$2:$C$34, 2, 0)))) + (F1647 * IF(ISBLANK(P1647), 1, P1647) * IF(ISBLANK(T1647), 0, IF(ISNA(VLOOKUP(T1647, 'Fuel Costs'!$A$2:$C$42, 2, 0)), T1647, VLOOKUP(T1647, 'Fuel Costs'!$A$2:$C$42, 2, 0))) / IF(ISBLANK(O1647), 1, O1647))) * 100</f>
        <v>0.075</v>
      </c>
      <c r="J1647" s="2" t="n">
        <f aca="false">((H1647 / 800) / (IF(ISBLANK(S1647), 100, IF(ISNA(VLOOKUP(S1647, Lives!$A$2:$C$35, 2, 0)), S1647, VLOOKUP(S1647, Lives!$A$2:$C$35, 2, 0))) * 12) + (IF(ISBLANK(Q1647), 0, IF(ISNA(VLOOKUP(Q1647, Wages!$A$2:$C$17, 2, 0)), Q1647, VLOOKUP(Q1647, Wages!$A$2:$C$17, 2, 0))) * IF(ISBLANK(N1647), 0, IF(ISNA(VLOOKUP(N1647, Crews!$A$2:$C$28, 2, 0)), N1647, VLOOKUP(N1647, Crews!$A$2:$C$28, 2, 0))))) * 400</f>
        <v>857.1428571</v>
      </c>
      <c r="K1647" s="3" t="s">
        <v>3227</v>
      </c>
      <c r="L1647" s="1" t="s">
        <v>3228</v>
      </c>
      <c r="M1647" s="1" t="n">
        <v>1</v>
      </c>
      <c r="N1647" s="1"/>
      <c r="O1647" s="1"/>
      <c r="P1647" s="1"/>
      <c r="Q1647" s="1"/>
      <c r="R1647" s="1" t="s">
        <v>689</v>
      </c>
      <c r="S1647" s="1" t="s">
        <v>856</v>
      </c>
      <c r="T1647" s="1"/>
    </row>
    <row r="1648" customFormat="false" ht="15" hidden="false" customHeight="true" outlineLevel="0" collapsed="false">
      <c r="A1648" s="1" t="s">
        <v>3230</v>
      </c>
      <c r="B1648" s="1" t="n">
        <v>1934</v>
      </c>
      <c r="C1648" s="1" t="n">
        <v>9</v>
      </c>
      <c r="D1648" s="1" t="s">
        <v>21</v>
      </c>
      <c r="E1648" s="1" t="s">
        <v>2039</v>
      </c>
      <c r="F1648" s="1" t="n">
        <v>63</v>
      </c>
      <c r="G1648" s="1" t="n">
        <v>50</v>
      </c>
      <c r="H1648" s="2" t="n">
        <v>961000</v>
      </c>
      <c r="I1648" s="2" t="n">
        <f aca="false">(((H1648 / 800) / IF(ISBLANK(R1648), 1000000, IF(ISNA(VLOOKUP(R1648, Mileages!$A$2:$C$34, 2, 0)), R1648, VLOOKUP(R1648, Mileages!$A$2:$C$34, 2, 0)))) + (F1648 * IF(ISBLANK(P1648), 1, P1648) * IF(ISBLANK(T1648), 0, IF(ISNA(VLOOKUP(T1648, 'Fuel Costs'!$A$2:$C$42, 2, 0)), T1648, VLOOKUP(T1648, 'Fuel Costs'!$A$2:$C$42, 2, 0))) / IF(ISBLANK(O1648), 1, O1648))) * 100</f>
        <v>63.120125</v>
      </c>
      <c r="J1648" s="2" t="n">
        <f aca="false">((H1648 / 800) / (IF(ISBLANK(S1648), 100, IF(ISNA(VLOOKUP(S1648, Lives!$A$2:$C$35, 2, 0)), S1648, VLOOKUP(S1648, Lives!$A$2:$C$35, 2, 0))) * 12) + (IF(ISBLANK(Q1648), 0, IF(ISNA(VLOOKUP(Q1648, Wages!$A$2:$C$17, 2, 0)), Q1648, VLOOKUP(Q1648, Wages!$A$2:$C$17, 2, 0))) * IF(ISBLANK(N1648), 0, IF(ISNA(VLOOKUP(N1648, Crews!$A$2:$C$28, 2, 0)), N1648, VLOOKUP(N1648, Crews!$A$2:$C$28, 2, 0))))) * 400</f>
        <v>8500.520833</v>
      </c>
      <c r="K1648" s="3" t="s">
        <v>3231</v>
      </c>
      <c r="L1648" s="1" t="s">
        <v>3232</v>
      </c>
      <c r="M1648" s="1" t="n">
        <v>0</v>
      </c>
      <c r="N1648" s="1" t="s">
        <v>1815</v>
      </c>
      <c r="O1648" s="1" t="n">
        <v>0.5</v>
      </c>
      <c r="P1648" s="1"/>
      <c r="Q1648" s="1" t="s">
        <v>1815</v>
      </c>
      <c r="R1648" s="1" t="s">
        <v>1843</v>
      </c>
      <c r="S1648" s="1" t="s">
        <v>1843</v>
      </c>
      <c r="T1648" s="1" t="s">
        <v>2041</v>
      </c>
    </row>
    <row r="1649" customFormat="false" ht="15" hidden="false" customHeight="true" outlineLevel="0" collapsed="false">
      <c r="A1649" s="1" t="s">
        <v>3233</v>
      </c>
      <c r="B1649" s="1" t="n">
        <v>1934</v>
      </c>
      <c r="C1649" s="1" t="n">
        <v>9</v>
      </c>
      <c r="D1649" s="1" t="s">
        <v>21</v>
      </c>
      <c r="E1649" s="1" t="s">
        <v>2039</v>
      </c>
      <c r="F1649" s="1" t="n">
        <v>63</v>
      </c>
      <c r="G1649" s="1" t="n">
        <v>50</v>
      </c>
      <c r="H1649" s="2" t="n">
        <v>920000</v>
      </c>
      <c r="I1649" s="2" t="n">
        <f aca="false">(((H1649 / 800) / IF(ISBLANK(R1649), 1000000, IF(ISNA(VLOOKUP(R1649, Mileages!$A$2:$C$34, 2, 0)), R1649, VLOOKUP(R1649, Mileages!$A$2:$C$34, 2, 0)))) + (F1649 * IF(ISBLANK(P1649), 1, P1649) * IF(ISBLANK(T1649), 0, IF(ISNA(VLOOKUP(T1649, 'Fuel Costs'!$A$2:$C$42, 2, 0)), T1649, VLOOKUP(T1649, 'Fuel Costs'!$A$2:$C$42, 2, 0))) / IF(ISBLANK(O1649), 1, O1649))) * 100</f>
        <v>63.115</v>
      </c>
      <c r="J1649" s="2" t="n">
        <f aca="false">((H1649 / 800) / (IF(ISBLANK(S1649), 100, IF(ISNA(VLOOKUP(S1649, Lives!$A$2:$C$35, 2, 0)), S1649, VLOOKUP(S1649, Lives!$A$2:$C$35, 2, 0))) * 12) + (IF(ISBLANK(Q1649), 0, IF(ISNA(VLOOKUP(Q1649, Wages!$A$2:$C$17, 2, 0)), Q1649, VLOOKUP(Q1649, Wages!$A$2:$C$17, 2, 0))) * IF(ISBLANK(N1649), 0, IF(ISNA(VLOOKUP(N1649, Crews!$A$2:$C$28, 2, 0)), N1649, VLOOKUP(N1649, Crews!$A$2:$C$28, 2, 0))))) * 400</f>
        <v>8479.166667</v>
      </c>
      <c r="K1649" s="3" t="s">
        <v>3234</v>
      </c>
      <c r="L1649" s="1" t="s">
        <v>3235</v>
      </c>
      <c r="M1649" s="1" t="n">
        <v>0</v>
      </c>
      <c r="N1649" s="1" t="s">
        <v>1815</v>
      </c>
      <c r="O1649" s="1" t="n">
        <v>0.5</v>
      </c>
      <c r="P1649" s="1"/>
      <c r="Q1649" s="1" t="s">
        <v>1815</v>
      </c>
      <c r="R1649" s="1" t="s">
        <v>1843</v>
      </c>
      <c r="S1649" s="1" t="s">
        <v>1843</v>
      </c>
      <c r="T1649" s="1" t="s">
        <v>2041</v>
      </c>
    </row>
    <row r="1650" customFormat="false" ht="15" hidden="false" customHeight="true" outlineLevel="0" collapsed="false">
      <c r="A1650" s="1" t="s">
        <v>3236</v>
      </c>
      <c r="B1650" s="1" t="n">
        <v>1934</v>
      </c>
      <c r="C1650" s="1" t="n">
        <v>10</v>
      </c>
      <c r="D1650" s="1" t="s">
        <v>21</v>
      </c>
      <c r="E1650" s="1" t="s">
        <v>1839</v>
      </c>
      <c r="F1650" s="1" t="n">
        <v>22</v>
      </c>
      <c r="G1650" s="1" t="n">
        <v>80</v>
      </c>
      <c r="H1650" s="2" t="n">
        <v>97500</v>
      </c>
      <c r="I1650" s="2" t="n">
        <f aca="false">(((H1650 / 800) / IF(ISBLANK(R1650), 1000000, IF(ISNA(VLOOKUP(R1650, Mileages!$A$2:$C$34, 2, 0)), R1650, VLOOKUP(R1650, Mileages!$A$2:$C$34, 2, 0)))) + (F1650 * IF(ISBLANK(P1650), 1, P1650) * IF(ISBLANK(T1650), 0, IF(ISNA(VLOOKUP(T1650, 'Fuel Costs'!$A$2:$C$42, 2, 0)), T1650, VLOOKUP(T1650, 'Fuel Costs'!$A$2:$C$42, 2, 0))) / IF(ISBLANK(O1650), 1, O1650))) * 100</f>
        <v>22.024375</v>
      </c>
      <c r="J1650" s="2" t="n">
        <f aca="false">((H1650 / 800) / (IF(ISBLANK(S1650), 100, IF(ISNA(VLOOKUP(S1650, Lives!$A$2:$C$35, 2, 0)), S1650, VLOOKUP(S1650, Lives!$A$2:$C$35, 2, 0))) * 12) + (IF(ISBLANK(Q1650), 0, IF(ISNA(VLOOKUP(Q1650, Wages!$A$2:$C$17, 2, 0)), Q1650, VLOOKUP(Q1650, Wages!$A$2:$C$17, 2, 0))) * IF(ISBLANK(N1650), 0, IF(ISNA(VLOOKUP(N1650, Crews!$A$2:$C$28, 2, 0)), N1650, VLOOKUP(N1650, Crews!$A$2:$C$28, 2, 0))))) * 400</f>
        <v>8050.78125</v>
      </c>
      <c r="K1650" s="3" t="s">
        <v>3237</v>
      </c>
      <c r="L1650" s="1" t="s">
        <v>3238</v>
      </c>
      <c r="M1650" s="1" t="n">
        <v>0</v>
      </c>
      <c r="N1650" s="1" t="s">
        <v>25</v>
      </c>
      <c r="O1650" s="1" t="n">
        <v>0.6</v>
      </c>
      <c r="P1650" s="1"/>
      <c r="Q1650" s="1" t="s">
        <v>1815</v>
      </c>
      <c r="R1650" s="1" t="s">
        <v>1842</v>
      </c>
      <c r="S1650" s="1" t="s">
        <v>1843</v>
      </c>
      <c r="T1650" s="1" t="s">
        <v>2534</v>
      </c>
    </row>
    <row r="1651" customFormat="false" ht="15" hidden="false" customHeight="true" outlineLevel="0" collapsed="false">
      <c r="A1651" s="1" t="s">
        <v>3239</v>
      </c>
      <c r="B1651" s="1" t="n">
        <v>1934</v>
      </c>
      <c r="C1651" s="1" t="n">
        <v>10</v>
      </c>
      <c r="D1651" s="1" t="s">
        <v>21</v>
      </c>
      <c r="E1651" s="1" t="s">
        <v>1839</v>
      </c>
      <c r="F1651" s="1" t="n">
        <v>22</v>
      </c>
      <c r="G1651" s="1" t="n">
        <v>80</v>
      </c>
      <c r="H1651" s="2" t="n">
        <v>97500</v>
      </c>
      <c r="I1651" s="2" t="n">
        <f aca="false">(((H1651 / 800) / IF(ISBLANK(R1651), 1000000, IF(ISNA(VLOOKUP(R1651, Mileages!$A$2:$C$34, 2, 0)), R1651, VLOOKUP(R1651, Mileages!$A$2:$C$34, 2, 0)))) + (F1651 * IF(ISBLANK(P1651), 1, P1651) * IF(ISBLANK(T1651), 0, IF(ISNA(VLOOKUP(T1651, 'Fuel Costs'!$A$2:$C$42, 2, 0)), T1651, VLOOKUP(T1651, 'Fuel Costs'!$A$2:$C$42, 2, 0))) / IF(ISBLANK(O1651), 1, O1651))) * 100</f>
        <v>22.024375</v>
      </c>
      <c r="J1651" s="2" t="n">
        <f aca="false">((H1651 / 800) / (IF(ISBLANK(S1651), 100, IF(ISNA(VLOOKUP(S1651, Lives!$A$2:$C$35, 2, 0)), S1651, VLOOKUP(S1651, Lives!$A$2:$C$35, 2, 0))) * 12) + (IF(ISBLANK(Q1651), 0, IF(ISNA(VLOOKUP(Q1651, Wages!$A$2:$C$17, 2, 0)), Q1651, VLOOKUP(Q1651, Wages!$A$2:$C$17, 2, 0))) * IF(ISBLANK(N1651), 0, IF(ISNA(VLOOKUP(N1651, Crews!$A$2:$C$28, 2, 0)), N1651, VLOOKUP(N1651, Crews!$A$2:$C$28, 2, 0))))) * 400</f>
        <v>8050.78125</v>
      </c>
      <c r="K1651" s="1"/>
      <c r="L1651" s="1" t="s">
        <v>3238</v>
      </c>
      <c r="M1651" s="1" t="n">
        <v>1</v>
      </c>
      <c r="N1651" s="1" t="s">
        <v>25</v>
      </c>
      <c r="O1651" s="1" t="n">
        <v>0.6</v>
      </c>
      <c r="P1651" s="1"/>
      <c r="Q1651" s="1" t="s">
        <v>1815</v>
      </c>
      <c r="R1651" s="1" t="s">
        <v>1842</v>
      </c>
      <c r="S1651" s="1" t="s">
        <v>1843</v>
      </c>
      <c r="T1651" s="1" t="s">
        <v>2534</v>
      </c>
    </row>
    <row r="1652" customFormat="false" ht="15" hidden="false" customHeight="true" outlineLevel="0" collapsed="false">
      <c r="A1652" s="1" t="s">
        <v>3240</v>
      </c>
      <c r="B1652" s="1" t="n">
        <v>1934</v>
      </c>
      <c r="C1652" s="1" t="n">
        <v>10</v>
      </c>
      <c r="D1652" s="1" t="s">
        <v>21</v>
      </c>
      <c r="E1652" s="1" t="s">
        <v>1839</v>
      </c>
      <c r="F1652" s="1" t="n">
        <v>22</v>
      </c>
      <c r="G1652" s="1" t="n">
        <v>80</v>
      </c>
      <c r="H1652" s="2" t="n">
        <v>97500</v>
      </c>
      <c r="I1652" s="2" t="n">
        <f aca="false">(((H1652 / 800) / IF(ISBLANK(R1652), 1000000, IF(ISNA(VLOOKUP(R1652, Mileages!$A$2:$C$34, 2, 0)), R1652, VLOOKUP(R1652, Mileages!$A$2:$C$34, 2, 0)))) + (F1652 * IF(ISBLANK(P1652), 1, P1652) * IF(ISBLANK(T1652), 0, IF(ISNA(VLOOKUP(T1652, 'Fuel Costs'!$A$2:$C$42, 2, 0)), T1652, VLOOKUP(T1652, 'Fuel Costs'!$A$2:$C$42, 2, 0))) / IF(ISBLANK(O1652), 1, O1652))) * 100</f>
        <v>22.024375</v>
      </c>
      <c r="J1652" s="2" t="n">
        <f aca="false">((H1652 / 800) / (IF(ISBLANK(S1652), 100, IF(ISNA(VLOOKUP(S1652, Lives!$A$2:$C$35, 2, 0)), S1652, VLOOKUP(S1652, Lives!$A$2:$C$35, 2, 0))) * 12) + (IF(ISBLANK(Q1652), 0, IF(ISNA(VLOOKUP(Q1652, Wages!$A$2:$C$17, 2, 0)), Q1652, VLOOKUP(Q1652, Wages!$A$2:$C$17, 2, 0))) * IF(ISBLANK(N1652), 0, IF(ISNA(VLOOKUP(N1652, Crews!$A$2:$C$28, 2, 0)), N1652, VLOOKUP(N1652, Crews!$A$2:$C$28, 2, 0))))) * 400</f>
        <v>8050.78125</v>
      </c>
      <c r="K1652" s="1"/>
      <c r="L1652" s="1" t="s">
        <v>3238</v>
      </c>
      <c r="M1652" s="1" t="n">
        <v>2</v>
      </c>
      <c r="N1652" s="1" t="s">
        <v>25</v>
      </c>
      <c r="O1652" s="1" t="n">
        <v>0.6</v>
      </c>
      <c r="P1652" s="1"/>
      <c r="Q1652" s="1" t="s">
        <v>1815</v>
      </c>
      <c r="R1652" s="1" t="s">
        <v>1842</v>
      </c>
      <c r="S1652" s="1" t="s">
        <v>1843</v>
      </c>
      <c r="T1652" s="1" t="s">
        <v>2534</v>
      </c>
    </row>
    <row r="1653" customFormat="false" ht="15" hidden="false" customHeight="true" outlineLevel="0" collapsed="false">
      <c r="A1653" s="1" t="s">
        <v>3241</v>
      </c>
      <c r="B1653" s="1" t="n">
        <v>1934</v>
      </c>
      <c r="C1653" s="1" t="n">
        <v>11</v>
      </c>
      <c r="D1653" s="1" t="s">
        <v>38</v>
      </c>
      <c r="E1653" s="1" t="s">
        <v>274</v>
      </c>
      <c r="F1653" s="1" t="n">
        <v>465</v>
      </c>
      <c r="G1653" s="1" t="n">
        <v>150</v>
      </c>
      <c r="H1653" s="2" t="n">
        <v>6689000</v>
      </c>
      <c r="I1653" s="2" t="n">
        <f aca="false">(((H1653 / 800) / IF(ISBLANK(R1653), 1000000, IF(ISNA(VLOOKUP(R1653, Mileages!$A$2:$C$34, 2, 0)), R1653, VLOOKUP(R1653, Mileages!$A$2:$C$34, 2, 0)))) + (F1653 * IF(ISBLANK(P1653), 1, P1653) * IF(ISBLANK(T1653), 0, IF(ISNA(VLOOKUP(T1653, 'Fuel Costs'!$A$2:$C$42, 2, 0)), T1653, VLOOKUP(T1653, 'Fuel Costs'!$A$2:$C$42, 2, 0))) / IF(ISBLANK(O1653), 1, O1653))) * 100</f>
        <v>266.5504107</v>
      </c>
      <c r="J1653" s="2" t="n">
        <f aca="false">((H1653 / 800) / (IF(ISBLANK(S1653), 100, IF(ISNA(VLOOKUP(S1653, Lives!$A$2:$C$35, 2, 0)), S1653, VLOOKUP(S1653, Lives!$A$2:$C$35, 2, 0))) * 12) + (IF(ISBLANK(Q1653), 0, IF(ISNA(VLOOKUP(Q1653, Wages!$A$2:$C$17, 2, 0)), Q1653, VLOOKUP(Q1653, Wages!$A$2:$C$17, 2, 0))) * IF(ISBLANK(N1653), 0, IF(ISNA(VLOOKUP(N1653, Crews!$A$2:$C$28, 2, 0)), N1653, VLOOKUP(N1653, Crews!$A$2:$C$28, 2, 0))))) * 400</f>
        <v>29574.16667</v>
      </c>
      <c r="K1653" s="3" t="s">
        <v>2847</v>
      </c>
      <c r="L1653" s="1" t="s">
        <v>3242</v>
      </c>
      <c r="M1653" s="1" t="n">
        <v>0</v>
      </c>
      <c r="N1653" s="1" t="s">
        <v>590</v>
      </c>
      <c r="O1653" s="1" t="n">
        <v>0.7</v>
      </c>
      <c r="P1653" s="1"/>
      <c r="Q1653" s="5" t="s">
        <v>284</v>
      </c>
      <c r="R1653" s="1" t="s">
        <v>677</v>
      </c>
      <c r="S1653" s="1" t="s">
        <v>677</v>
      </c>
      <c r="T1653" s="1" t="s">
        <v>2252</v>
      </c>
    </row>
    <row r="1654" customFormat="false" ht="15" hidden="false" customHeight="true" outlineLevel="0" collapsed="false">
      <c r="A1654" s="1" t="s">
        <v>3243</v>
      </c>
      <c r="B1654" s="1" t="n">
        <v>1934</v>
      </c>
      <c r="C1654" s="1" t="n">
        <v>11</v>
      </c>
      <c r="D1654" s="1" t="s">
        <v>38</v>
      </c>
      <c r="E1654" s="1"/>
      <c r="F1654" s="1" t="n">
        <v>0</v>
      </c>
      <c r="G1654" s="1" t="n">
        <v>150</v>
      </c>
      <c r="H1654" s="2" t="n">
        <v>0</v>
      </c>
      <c r="I1654" s="2" t="n">
        <f aca="false">(((H1654 / 800) / IF(ISBLANK(R1654), 1000000, IF(ISNA(VLOOKUP(R1654, Mileages!$A$2:$C$34, 2, 0)), R1654, VLOOKUP(R1654, Mileages!$A$2:$C$34, 2, 0)))) + (F1654 * IF(ISBLANK(P1654), 1, P1654) * IF(ISBLANK(T1654), 0, IF(ISNA(VLOOKUP(T1654, 'Fuel Costs'!$A$2:$C$42, 2, 0)), T1654, VLOOKUP(T1654, 'Fuel Costs'!$A$2:$C$42, 2, 0))) / IF(ISBLANK(O1654), 1, O1654))) * 100</f>
        <v>0</v>
      </c>
      <c r="J1654" s="2" t="n">
        <f aca="false">((H1654 / 800) / (IF(ISBLANK(S1654), 100, IF(ISNA(VLOOKUP(S1654, Lives!$A$2:$C$35, 2, 0)), S1654, VLOOKUP(S1654, Lives!$A$2:$C$35, 2, 0))) * 12) + (IF(ISBLANK(Q1654), 0, IF(ISNA(VLOOKUP(Q1654, Wages!$A$2:$C$17, 2, 0)), Q1654, VLOOKUP(Q1654, Wages!$A$2:$C$17, 2, 0))) * IF(ISBLANK(N1654), 0, IF(ISNA(VLOOKUP(N1654, Crews!$A$2:$C$28, 2, 0)), N1654, VLOOKUP(N1654, Crews!$A$2:$C$28, 2, 0))))) * 400</f>
        <v>0</v>
      </c>
      <c r="K1654" s="1"/>
      <c r="L1654" s="1" t="s">
        <v>3242</v>
      </c>
      <c r="M1654" s="1" t="n">
        <v>1</v>
      </c>
      <c r="N1654" s="1"/>
      <c r="O1654" s="1"/>
      <c r="P1654" s="1"/>
      <c r="Q1654" s="1"/>
      <c r="R1654" s="1"/>
      <c r="S1654" s="1"/>
      <c r="T1654" s="1"/>
    </row>
    <row r="1655" customFormat="false" ht="15" hidden="false" customHeight="true" outlineLevel="0" collapsed="false">
      <c r="A1655" s="1" t="s">
        <v>3244</v>
      </c>
      <c r="B1655" s="1" t="n">
        <v>1934</v>
      </c>
      <c r="C1655" s="1" t="n">
        <v>12</v>
      </c>
      <c r="D1655" s="1" t="s">
        <v>876</v>
      </c>
      <c r="E1655" s="1" t="s">
        <v>1346</v>
      </c>
      <c r="F1655" s="1" t="n">
        <v>86</v>
      </c>
      <c r="G1655" s="1" t="n">
        <v>65</v>
      </c>
      <c r="H1655" s="2" t="n">
        <v>600000</v>
      </c>
      <c r="I1655" s="2" t="n">
        <f aca="false">(((H1655 / 800) / IF(ISBLANK(R1655), 1000000, IF(ISNA(VLOOKUP(R1655, Mileages!$A$2:$C$34, 2, 0)), R1655, VLOOKUP(R1655, Mileages!$A$2:$C$34, 2, 0)))) + (F1655 * IF(ISBLANK(P1655), 1, P1655) * IF(ISBLANK(T1655), 0, IF(ISNA(VLOOKUP(T1655, 'Fuel Costs'!$A$2:$C$42, 2, 0)), T1655, VLOOKUP(T1655, 'Fuel Costs'!$A$2:$C$42, 2, 0))) / IF(ISBLANK(O1655), 1, O1655))) * 100</f>
        <v>34.475</v>
      </c>
      <c r="J1655" s="2" t="n">
        <f aca="false">((H1655 / 800) / (IF(ISBLANK(S1655), 100, IF(ISNA(VLOOKUP(S1655, Lives!$A$2:$C$35, 2, 0)), S1655, VLOOKUP(S1655, Lives!$A$2:$C$35, 2, 0))) * 12) + (IF(ISBLANK(Q1655), 0, IF(ISNA(VLOOKUP(Q1655, Wages!$A$2:$C$17, 2, 0)), Q1655, VLOOKUP(Q1655, Wages!$A$2:$C$17, 2, 0))) * IF(ISBLANK(N1655), 0, IF(ISNA(VLOOKUP(N1655, Crews!$A$2:$C$28, 2, 0)), N1655, VLOOKUP(N1655, Crews!$A$2:$C$28, 2, 0))))) * 400</f>
        <v>6500</v>
      </c>
      <c r="K1655" s="3" t="s">
        <v>3245</v>
      </c>
      <c r="L1655" s="1" t="s">
        <v>3246</v>
      </c>
      <c r="M1655" s="1" t="n">
        <v>0</v>
      </c>
      <c r="N1655" s="1" t="s">
        <v>895</v>
      </c>
      <c r="O1655" s="1"/>
      <c r="P1655" s="1"/>
      <c r="Q1655" s="1" t="s">
        <v>895</v>
      </c>
      <c r="R1655" s="1" t="s">
        <v>1349</v>
      </c>
      <c r="S1655" s="1" t="s">
        <v>1350</v>
      </c>
      <c r="T1655" s="1" t="s">
        <v>2580</v>
      </c>
    </row>
    <row r="1656" customFormat="false" ht="15" hidden="false" customHeight="true" outlineLevel="0" collapsed="false">
      <c r="A1656" s="1" t="s">
        <v>3247</v>
      </c>
      <c r="B1656" s="1" t="n">
        <v>1935</v>
      </c>
      <c r="C1656" s="1" t="n">
        <v>1</v>
      </c>
      <c r="D1656" s="1" t="s">
        <v>38</v>
      </c>
      <c r="E1656" s="1"/>
      <c r="F1656" s="1"/>
      <c r="G1656" s="1" t="n">
        <v>175</v>
      </c>
      <c r="H1656" s="2" t="n">
        <v>530000</v>
      </c>
      <c r="I1656" s="2" t="n">
        <f aca="false">(((H1656 / 800) / IF(ISBLANK(R1656), 1000000, IF(ISNA(VLOOKUP(R1656, Mileages!$A$2:$C$34, 2, 0)), R1656, VLOOKUP(R1656, Mileages!$A$2:$C$34, 2, 0)))) + (F1656 * IF(ISBLANK(P1656), 1, P1656) * IF(ISBLANK(T1656), 0, IF(ISNA(VLOOKUP(T1656, 'Fuel Costs'!$A$2:$C$42, 2, 0)), T1656, VLOOKUP(T1656, 'Fuel Costs'!$A$2:$C$42, 2, 0))) / IF(ISBLANK(O1656), 1, O1656))) * 100</f>
        <v>0.05520833333</v>
      </c>
      <c r="J1656" s="2" t="n">
        <f aca="false">((H1656 / 800) / (IF(ISBLANK(S1656), 100, IF(ISNA(VLOOKUP(S1656, Lives!$A$2:$C$35, 2, 0)), S1656, VLOOKUP(S1656, Lives!$A$2:$C$35, 2, 0))) * 12) + (IF(ISBLANK(Q1656), 0, IF(ISNA(VLOOKUP(Q1656, Wages!$A$2:$C$17, 2, 0)), Q1656, VLOOKUP(Q1656, Wages!$A$2:$C$17, 2, 0))) * IF(ISBLANK(N1656), 0, IF(ISNA(VLOOKUP(N1656, Crews!$A$2:$C$28, 2, 0)), N1656, VLOOKUP(N1656, Crews!$A$2:$C$28, 2, 0))))) * 400</f>
        <v>5430.952381</v>
      </c>
      <c r="K1656" s="1"/>
      <c r="L1656" s="1" t="s">
        <v>3248</v>
      </c>
      <c r="M1656" s="1" t="n">
        <v>0</v>
      </c>
      <c r="N1656" s="1" t="s">
        <v>25</v>
      </c>
      <c r="O1656" s="1"/>
      <c r="P1656" s="1"/>
      <c r="Q1656" s="1" t="s">
        <v>378</v>
      </c>
      <c r="R1656" s="1" t="s">
        <v>689</v>
      </c>
      <c r="S1656" s="1" t="s">
        <v>856</v>
      </c>
      <c r="T1656" s="1"/>
    </row>
    <row r="1657" customFormat="false" ht="15" hidden="false" customHeight="true" outlineLevel="0" collapsed="false">
      <c r="A1657" s="1" t="s">
        <v>3249</v>
      </c>
      <c r="B1657" s="1" t="n">
        <v>1935</v>
      </c>
      <c r="C1657" s="1" t="n">
        <v>1</v>
      </c>
      <c r="D1657" s="1" t="s">
        <v>38</v>
      </c>
      <c r="E1657" s="1"/>
      <c r="F1657" s="1"/>
      <c r="G1657" s="1" t="n">
        <v>175</v>
      </c>
      <c r="H1657" s="2" t="n">
        <v>530000</v>
      </c>
      <c r="I1657" s="2" t="n">
        <f aca="false">(((H1657 / 800) / IF(ISBLANK(R1657), 1000000, IF(ISNA(VLOOKUP(R1657, Mileages!$A$2:$C$34, 2, 0)), R1657, VLOOKUP(R1657, Mileages!$A$2:$C$34, 2, 0)))) + (F1657 * IF(ISBLANK(P1657), 1, P1657) * IF(ISBLANK(T1657), 0, IF(ISNA(VLOOKUP(T1657, 'Fuel Costs'!$A$2:$C$42, 2, 0)), T1657, VLOOKUP(T1657, 'Fuel Costs'!$A$2:$C$42, 2, 0))) / IF(ISBLANK(O1657), 1, O1657))) * 100</f>
        <v>0.05520833333</v>
      </c>
      <c r="J1657" s="2" t="n">
        <f aca="false">((H1657 / 800) / (IF(ISBLANK(S1657), 100, IF(ISNA(VLOOKUP(S1657, Lives!$A$2:$C$35, 2, 0)), S1657, VLOOKUP(S1657, Lives!$A$2:$C$35, 2, 0))) * 12) + (IF(ISBLANK(Q1657), 0, IF(ISNA(VLOOKUP(Q1657, Wages!$A$2:$C$17, 2, 0)), Q1657, VLOOKUP(Q1657, Wages!$A$2:$C$17, 2, 0))) * IF(ISBLANK(N1657), 0, IF(ISNA(VLOOKUP(N1657, Crews!$A$2:$C$28, 2, 0)), N1657, VLOOKUP(N1657, Crews!$A$2:$C$28, 2, 0))))) * 400</f>
        <v>5430.952381</v>
      </c>
      <c r="K1657" s="1"/>
      <c r="L1657" s="1" t="s">
        <v>3248</v>
      </c>
      <c r="M1657" s="1" t="n">
        <v>1</v>
      </c>
      <c r="N1657" s="1" t="s">
        <v>25</v>
      </c>
      <c r="O1657" s="1"/>
      <c r="P1657" s="1"/>
      <c r="Q1657" s="1" t="s">
        <v>378</v>
      </c>
      <c r="R1657" s="1" t="s">
        <v>689</v>
      </c>
      <c r="S1657" s="1" t="s">
        <v>856</v>
      </c>
      <c r="T1657" s="1"/>
    </row>
    <row r="1658" customFormat="false" ht="15" hidden="false" customHeight="true" outlineLevel="0" collapsed="false">
      <c r="A1658" s="1" t="s">
        <v>3250</v>
      </c>
      <c r="B1658" s="1" t="n">
        <v>1935</v>
      </c>
      <c r="C1658" s="1" t="n">
        <v>1</v>
      </c>
      <c r="D1658" s="1" t="s">
        <v>38</v>
      </c>
      <c r="E1658" s="1"/>
      <c r="F1658" s="1"/>
      <c r="G1658" s="1" t="n">
        <v>175</v>
      </c>
      <c r="H1658" s="2" t="n">
        <v>530000</v>
      </c>
      <c r="I1658" s="2" t="n">
        <f aca="false">(((H1658 / 800) / IF(ISBLANK(R1658), 1000000, IF(ISNA(VLOOKUP(R1658, Mileages!$A$2:$C$34, 2, 0)), R1658, VLOOKUP(R1658, Mileages!$A$2:$C$34, 2, 0)))) + (F1658 * IF(ISBLANK(P1658), 1, P1658) * IF(ISBLANK(T1658), 0, IF(ISNA(VLOOKUP(T1658, 'Fuel Costs'!$A$2:$C$42, 2, 0)), T1658, VLOOKUP(T1658, 'Fuel Costs'!$A$2:$C$42, 2, 0))) / IF(ISBLANK(O1658), 1, O1658))) * 100</f>
        <v>0.05520833333</v>
      </c>
      <c r="J1658" s="2" t="n">
        <f aca="false">((H1658 / 800) / (IF(ISBLANK(S1658), 100, IF(ISNA(VLOOKUP(S1658, Lives!$A$2:$C$35, 2, 0)), S1658, VLOOKUP(S1658, Lives!$A$2:$C$35, 2, 0))) * 12) + (IF(ISBLANK(Q1658), 0, IF(ISNA(VLOOKUP(Q1658, Wages!$A$2:$C$17, 2, 0)), Q1658, VLOOKUP(Q1658, Wages!$A$2:$C$17, 2, 0))) * IF(ISBLANK(N1658), 0, IF(ISNA(VLOOKUP(N1658, Crews!$A$2:$C$28, 2, 0)), N1658, VLOOKUP(N1658, Crews!$A$2:$C$28, 2, 0))))) * 400</f>
        <v>5430.952381</v>
      </c>
      <c r="K1658" s="1"/>
      <c r="L1658" s="1" t="s">
        <v>3248</v>
      </c>
      <c r="M1658" s="1" t="n">
        <v>2</v>
      </c>
      <c r="N1658" s="1" t="s">
        <v>25</v>
      </c>
      <c r="O1658" s="1"/>
      <c r="P1658" s="1"/>
      <c r="Q1658" s="1" t="s">
        <v>378</v>
      </c>
      <c r="R1658" s="1" t="s">
        <v>689</v>
      </c>
      <c r="S1658" s="1" t="s">
        <v>856</v>
      </c>
      <c r="T1658" s="1"/>
    </row>
    <row r="1659" customFormat="false" ht="15" hidden="false" customHeight="true" outlineLevel="0" collapsed="false">
      <c r="A1659" s="1" t="s">
        <v>3251</v>
      </c>
      <c r="B1659" s="1" t="n">
        <v>1935</v>
      </c>
      <c r="C1659" s="1" t="n">
        <v>1</v>
      </c>
      <c r="D1659" s="1" t="s">
        <v>38</v>
      </c>
      <c r="E1659" s="1"/>
      <c r="F1659" s="1"/>
      <c r="G1659" s="1" t="n">
        <v>175</v>
      </c>
      <c r="H1659" s="2" t="n">
        <v>530000</v>
      </c>
      <c r="I1659" s="2" t="n">
        <f aca="false">(((H1659 / 800) / IF(ISBLANK(R1659), 1000000, IF(ISNA(VLOOKUP(R1659, Mileages!$A$2:$C$34, 2, 0)), R1659, VLOOKUP(R1659, Mileages!$A$2:$C$34, 2, 0)))) + (F1659 * IF(ISBLANK(P1659), 1, P1659) * IF(ISBLANK(T1659), 0, IF(ISNA(VLOOKUP(T1659, 'Fuel Costs'!$A$2:$C$42, 2, 0)), T1659, VLOOKUP(T1659, 'Fuel Costs'!$A$2:$C$42, 2, 0))) / IF(ISBLANK(O1659), 1, O1659))) * 100</f>
        <v>0.05520833333</v>
      </c>
      <c r="J1659" s="2" t="n">
        <f aca="false">((H1659 / 800) / (IF(ISBLANK(S1659), 100, IF(ISNA(VLOOKUP(S1659, Lives!$A$2:$C$35, 2, 0)), S1659, VLOOKUP(S1659, Lives!$A$2:$C$35, 2, 0))) * 12) + (IF(ISBLANK(Q1659), 0, IF(ISNA(VLOOKUP(Q1659, Wages!$A$2:$C$17, 2, 0)), Q1659, VLOOKUP(Q1659, Wages!$A$2:$C$17, 2, 0))) * IF(ISBLANK(N1659), 0, IF(ISNA(VLOOKUP(N1659, Crews!$A$2:$C$28, 2, 0)), N1659, VLOOKUP(N1659, Crews!$A$2:$C$28, 2, 0))))) * 400</f>
        <v>5430.952381</v>
      </c>
      <c r="K1659" s="1"/>
      <c r="L1659" s="1" t="s">
        <v>3248</v>
      </c>
      <c r="M1659" s="1" t="n">
        <v>3</v>
      </c>
      <c r="N1659" s="1" t="s">
        <v>25</v>
      </c>
      <c r="O1659" s="1"/>
      <c r="P1659" s="1"/>
      <c r="Q1659" s="1" t="s">
        <v>378</v>
      </c>
      <c r="R1659" s="1" t="s">
        <v>689</v>
      </c>
      <c r="S1659" s="1" t="s">
        <v>856</v>
      </c>
      <c r="T1659" s="1"/>
    </row>
    <row r="1660" customFormat="false" ht="15" hidden="false" customHeight="true" outlineLevel="0" collapsed="false">
      <c r="A1660" s="1" t="s">
        <v>3252</v>
      </c>
      <c r="B1660" s="1" t="n">
        <v>1935</v>
      </c>
      <c r="C1660" s="1" t="n">
        <v>1</v>
      </c>
      <c r="D1660" s="1" t="s">
        <v>38</v>
      </c>
      <c r="E1660" s="1"/>
      <c r="F1660" s="1"/>
      <c r="G1660" s="1" t="n">
        <v>175</v>
      </c>
      <c r="H1660" s="2" t="n">
        <v>530000</v>
      </c>
      <c r="I1660" s="2" t="n">
        <f aca="false">(((H1660 / 800) / IF(ISBLANK(R1660), 1000000, IF(ISNA(VLOOKUP(R1660, Mileages!$A$2:$C$34, 2, 0)), R1660, VLOOKUP(R1660, Mileages!$A$2:$C$34, 2, 0)))) + (F1660 * IF(ISBLANK(P1660), 1, P1660) * IF(ISBLANK(T1660), 0, IF(ISNA(VLOOKUP(T1660, 'Fuel Costs'!$A$2:$C$42, 2, 0)), T1660, VLOOKUP(T1660, 'Fuel Costs'!$A$2:$C$42, 2, 0))) / IF(ISBLANK(O1660), 1, O1660))) * 100</f>
        <v>0.05520833333</v>
      </c>
      <c r="J1660" s="2" t="n">
        <f aca="false">((H1660 / 800) / (IF(ISBLANK(S1660), 100, IF(ISNA(VLOOKUP(S1660, Lives!$A$2:$C$35, 2, 0)), S1660, VLOOKUP(S1660, Lives!$A$2:$C$35, 2, 0))) * 12) + (IF(ISBLANK(Q1660), 0, IF(ISNA(VLOOKUP(Q1660, Wages!$A$2:$C$17, 2, 0)), Q1660, VLOOKUP(Q1660, Wages!$A$2:$C$17, 2, 0))) * IF(ISBLANK(N1660), 0, IF(ISNA(VLOOKUP(N1660, Crews!$A$2:$C$28, 2, 0)), N1660, VLOOKUP(N1660, Crews!$A$2:$C$28, 2, 0))))) * 400</f>
        <v>5430.952381</v>
      </c>
      <c r="K1660" s="1"/>
      <c r="L1660" s="1" t="s">
        <v>3248</v>
      </c>
      <c r="M1660" s="1" t="n">
        <v>4</v>
      </c>
      <c r="N1660" s="1" t="s">
        <v>25</v>
      </c>
      <c r="O1660" s="1"/>
      <c r="P1660" s="1"/>
      <c r="Q1660" s="1" t="s">
        <v>378</v>
      </c>
      <c r="R1660" s="1" t="s">
        <v>689</v>
      </c>
      <c r="S1660" s="1" t="s">
        <v>856</v>
      </c>
      <c r="T1660" s="1"/>
    </row>
    <row r="1661" customFormat="false" ht="15" hidden="false" customHeight="true" outlineLevel="0" collapsed="false">
      <c r="A1661" s="1" t="s">
        <v>3253</v>
      </c>
      <c r="B1661" s="1" t="n">
        <v>1935</v>
      </c>
      <c r="C1661" s="1" t="n">
        <v>1</v>
      </c>
      <c r="D1661" s="1" t="s">
        <v>38</v>
      </c>
      <c r="E1661" s="1"/>
      <c r="F1661" s="1"/>
      <c r="G1661" s="1" t="n">
        <v>175</v>
      </c>
      <c r="H1661" s="2" t="n">
        <v>53000</v>
      </c>
      <c r="I1661" s="2" t="n">
        <f aca="false">(((H1661 / 800) / IF(ISBLANK(R1661), 1000000, IF(ISNA(VLOOKUP(R1661, Mileages!$A$2:$C$34, 2, 0)), R1661, VLOOKUP(R1661, Mileages!$A$2:$C$34, 2, 0)))) + (F1661 * IF(ISBLANK(P1661), 1, P1661) * IF(ISBLANK(T1661), 0, IF(ISNA(VLOOKUP(T1661, 'Fuel Costs'!$A$2:$C$42, 2, 0)), T1661, VLOOKUP(T1661, 'Fuel Costs'!$A$2:$C$42, 2, 0))) / IF(ISBLANK(O1661), 1, O1661))) * 100</f>
        <v>0.005520833333</v>
      </c>
      <c r="J1661" s="2" t="n">
        <f aca="false">((H1661 / 800) / (IF(ISBLANK(S1661), 100, IF(ISNA(VLOOKUP(S1661, Lives!$A$2:$C$35, 2, 0)), S1661, VLOOKUP(S1661, Lives!$A$2:$C$35, 2, 0))) * 12) + (IF(ISBLANK(Q1661), 0, IF(ISNA(VLOOKUP(Q1661, Wages!$A$2:$C$17, 2, 0)), Q1661, VLOOKUP(Q1661, Wages!$A$2:$C$17, 2, 0))) * IF(ISBLANK(N1661), 0, IF(ISNA(VLOOKUP(N1661, Crews!$A$2:$C$28, 2, 0)), N1661, VLOOKUP(N1661, Crews!$A$2:$C$28, 2, 0))))) * 400</f>
        <v>4863.095238</v>
      </c>
      <c r="K1661" s="1"/>
      <c r="L1661" s="1" t="s">
        <v>3248</v>
      </c>
      <c r="M1661" s="1" t="n">
        <v>5</v>
      </c>
      <c r="N1661" s="1" t="s">
        <v>25</v>
      </c>
      <c r="O1661" s="1"/>
      <c r="P1661" s="1"/>
      <c r="Q1661" s="1" t="s">
        <v>378</v>
      </c>
      <c r="R1661" s="1" t="s">
        <v>689</v>
      </c>
      <c r="S1661" s="1" t="s">
        <v>856</v>
      </c>
      <c r="T1661" s="1"/>
    </row>
    <row r="1662" customFormat="false" ht="15" hidden="false" customHeight="true" outlineLevel="0" collapsed="false">
      <c r="A1662" s="1" t="s">
        <v>3254</v>
      </c>
      <c r="B1662" s="1" t="n">
        <v>1935</v>
      </c>
      <c r="C1662" s="1" t="n">
        <v>1</v>
      </c>
      <c r="D1662" s="1" t="s">
        <v>38</v>
      </c>
      <c r="E1662" s="1"/>
      <c r="F1662" s="1"/>
      <c r="G1662" s="1" t="n">
        <v>175</v>
      </c>
      <c r="H1662" s="2" t="n">
        <v>530000</v>
      </c>
      <c r="I1662" s="2" t="n">
        <f aca="false">(((H1662 / 800) / IF(ISBLANK(R1662), 1000000, IF(ISNA(VLOOKUP(R1662, Mileages!$A$2:$C$34, 2, 0)), R1662, VLOOKUP(R1662, Mileages!$A$2:$C$34, 2, 0)))) + (F1662 * IF(ISBLANK(P1662), 1, P1662) * IF(ISBLANK(T1662), 0, IF(ISNA(VLOOKUP(T1662, 'Fuel Costs'!$A$2:$C$42, 2, 0)), T1662, VLOOKUP(T1662, 'Fuel Costs'!$A$2:$C$42, 2, 0))) / IF(ISBLANK(O1662), 1, O1662))) * 100</f>
        <v>0.05520833333</v>
      </c>
      <c r="J1662" s="2" t="n">
        <f aca="false">((H1662 / 800) / (IF(ISBLANK(S1662), 100, IF(ISNA(VLOOKUP(S1662, Lives!$A$2:$C$35, 2, 0)), S1662, VLOOKUP(S1662, Lives!$A$2:$C$35, 2, 0))) * 12) + (IF(ISBLANK(Q1662), 0, IF(ISNA(VLOOKUP(Q1662, Wages!$A$2:$C$17, 2, 0)), Q1662, VLOOKUP(Q1662, Wages!$A$2:$C$17, 2, 0))) * IF(ISBLANK(N1662), 0, IF(ISNA(VLOOKUP(N1662, Crews!$A$2:$C$28, 2, 0)), N1662, VLOOKUP(N1662, Crews!$A$2:$C$28, 2, 0))))) * 400</f>
        <v>5430.952381</v>
      </c>
      <c r="K1662" s="1"/>
      <c r="L1662" s="1" t="s">
        <v>3248</v>
      </c>
      <c r="M1662" s="1" t="n">
        <v>6</v>
      </c>
      <c r="N1662" s="1" t="s">
        <v>25</v>
      </c>
      <c r="O1662" s="1"/>
      <c r="P1662" s="1"/>
      <c r="Q1662" s="1" t="s">
        <v>378</v>
      </c>
      <c r="R1662" s="1" t="s">
        <v>689</v>
      </c>
      <c r="S1662" s="1" t="s">
        <v>856</v>
      </c>
      <c r="T1662" s="1"/>
    </row>
    <row r="1663" customFormat="false" ht="15" hidden="false" customHeight="true" outlineLevel="0" collapsed="false">
      <c r="A1663" s="1" t="s">
        <v>3255</v>
      </c>
      <c r="B1663" s="1" t="n">
        <v>1935</v>
      </c>
      <c r="C1663" s="1" t="n">
        <v>1</v>
      </c>
      <c r="D1663" s="1" t="s">
        <v>38</v>
      </c>
      <c r="E1663" s="1"/>
      <c r="F1663" s="1"/>
      <c r="G1663" s="1" t="n">
        <v>175</v>
      </c>
      <c r="H1663" s="2" t="n">
        <v>530000</v>
      </c>
      <c r="I1663" s="2" t="n">
        <f aca="false">(((H1663 / 800) / IF(ISBLANK(R1663), 1000000, IF(ISNA(VLOOKUP(R1663, Mileages!$A$2:$C$34, 2, 0)), R1663, VLOOKUP(R1663, Mileages!$A$2:$C$34, 2, 0)))) + (F1663 * IF(ISBLANK(P1663), 1, P1663) * IF(ISBLANK(T1663), 0, IF(ISNA(VLOOKUP(T1663, 'Fuel Costs'!$A$2:$C$42, 2, 0)), T1663, VLOOKUP(T1663, 'Fuel Costs'!$A$2:$C$42, 2, 0))) / IF(ISBLANK(O1663), 1, O1663))) * 100</f>
        <v>0.05520833333</v>
      </c>
      <c r="J1663" s="2" t="n">
        <f aca="false">((H1663 / 800) / (IF(ISBLANK(S1663), 100, IF(ISNA(VLOOKUP(S1663, Lives!$A$2:$C$35, 2, 0)), S1663, VLOOKUP(S1663, Lives!$A$2:$C$35, 2, 0))) * 12) + (IF(ISBLANK(Q1663), 0, IF(ISNA(VLOOKUP(Q1663, Wages!$A$2:$C$17, 2, 0)), Q1663, VLOOKUP(Q1663, Wages!$A$2:$C$17, 2, 0))) * IF(ISBLANK(N1663), 0, IF(ISNA(VLOOKUP(N1663, Crews!$A$2:$C$28, 2, 0)), N1663, VLOOKUP(N1663, Crews!$A$2:$C$28, 2, 0))))) * 400</f>
        <v>630.952381</v>
      </c>
      <c r="K1663" s="1"/>
      <c r="L1663" s="1" t="s">
        <v>3248</v>
      </c>
      <c r="M1663" s="1" t="n">
        <v>7</v>
      </c>
      <c r="N1663" s="1"/>
      <c r="O1663" s="1"/>
      <c r="P1663" s="1"/>
      <c r="Q1663" s="1"/>
      <c r="R1663" s="1" t="s">
        <v>689</v>
      </c>
      <c r="S1663" s="1" t="s">
        <v>856</v>
      </c>
      <c r="T1663" s="1"/>
    </row>
    <row r="1664" customFormat="false" ht="15" hidden="false" customHeight="true" outlineLevel="0" collapsed="false">
      <c r="A1664" s="1" t="s">
        <v>3256</v>
      </c>
      <c r="B1664" s="1" t="n">
        <v>1935</v>
      </c>
      <c r="C1664" s="1" t="n">
        <v>1</v>
      </c>
      <c r="D1664" s="1" t="s">
        <v>38</v>
      </c>
      <c r="E1664" s="1"/>
      <c r="F1664" s="1"/>
      <c r="G1664" s="1" t="n">
        <v>175</v>
      </c>
      <c r="H1664" s="2" t="n">
        <v>530000</v>
      </c>
      <c r="I1664" s="2" t="n">
        <f aca="false">(((H1664 / 800) / IF(ISBLANK(R1664), 1000000, IF(ISNA(VLOOKUP(R1664, Mileages!$A$2:$C$34, 2, 0)), R1664, VLOOKUP(R1664, Mileages!$A$2:$C$34, 2, 0)))) + (F1664 * IF(ISBLANK(P1664), 1, P1664) * IF(ISBLANK(T1664), 0, IF(ISNA(VLOOKUP(T1664, 'Fuel Costs'!$A$2:$C$42, 2, 0)), T1664, VLOOKUP(T1664, 'Fuel Costs'!$A$2:$C$42, 2, 0))) / IF(ISBLANK(O1664), 1, O1664))) * 100</f>
        <v>0.05520833333</v>
      </c>
      <c r="J1664" s="2" t="n">
        <f aca="false">((H1664 / 800) / (IF(ISBLANK(S1664), 100, IF(ISNA(VLOOKUP(S1664, Lives!$A$2:$C$35, 2, 0)), S1664, VLOOKUP(S1664, Lives!$A$2:$C$35, 2, 0))) * 12) + (IF(ISBLANK(Q1664), 0, IF(ISNA(VLOOKUP(Q1664, Wages!$A$2:$C$17, 2, 0)), Q1664, VLOOKUP(Q1664, Wages!$A$2:$C$17, 2, 0))) * IF(ISBLANK(N1664), 0, IF(ISNA(VLOOKUP(N1664, Crews!$A$2:$C$28, 2, 0)), N1664, VLOOKUP(N1664, Crews!$A$2:$C$28, 2, 0))))) * 400</f>
        <v>18630.95238</v>
      </c>
      <c r="K1664" s="1"/>
      <c r="L1664" s="1" t="s">
        <v>3248</v>
      </c>
      <c r="M1664" s="1" t="n">
        <v>8</v>
      </c>
      <c r="N1664" s="1" t="s">
        <v>1481</v>
      </c>
      <c r="O1664" s="1"/>
      <c r="P1664" s="1"/>
      <c r="Q1664" s="1" t="s">
        <v>1481</v>
      </c>
      <c r="R1664" s="1" t="s">
        <v>689</v>
      </c>
      <c r="S1664" s="1" t="s">
        <v>856</v>
      </c>
      <c r="T1664" s="1"/>
    </row>
    <row r="1665" customFormat="false" ht="15" hidden="false" customHeight="true" outlineLevel="0" collapsed="false">
      <c r="A1665" s="1" t="s">
        <v>3257</v>
      </c>
      <c r="B1665" s="1" t="n">
        <v>1935</v>
      </c>
      <c r="C1665" s="1" t="n">
        <v>1</v>
      </c>
      <c r="D1665" s="1" t="s">
        <v>38</v>
      </c>
      <c r="E1665" s="1"/>
      <c r="F1665" s="1"/>
      <c r="G1665" s="1" t="n">
        <v>175</v>
      </c>
      <c r="H1665" s="2" t="n">
        <v>530000</v>
      </c>
      <c r="I1665" s="2" t="n">
        <f aca="false">(((H1665 / 800) / IF(ISBLANK(R1665), 1000000, IF(ISNA(VLOOKUP(R1665, Mileages!$A$2:$C$34, 2, 0)), R1665, VLOOKUP(R1665, Mileages!$A$2:$C$34, 2, 0)))) + (F1665 * IF(ISBLANK(P1665), 1, P1665) * IF(ISBLANK(T1665), 0, IF(ISNA(VLOOKUP(T1665, 'Fuel Costs'!$A$2:$C$42, 2, 0)), T1665, VLOOKUP(T1665, 'Fuel Costs'!$A$2:$C$42, 2, 0))) / IF(ISBLANK(O1665), 1, O1665))) * 100</f>
        <v>0.05520833333</v>
      </c>
      <c r="J1665" s="2" t="n">
        <f aca="false">((H1665 / 800) / (IF(ISBLANK(S1665), 100, IF(ISNA(VLOOKUP(S1665, Lives!$A$2:$C$35, 2, 0)), S1665, VLOOKUP(S1665, Lives!$A$2:$C$35, 2, 0))) * 12) + (IF(ISBLANK(Q1665), 0, IF(ISNA(VLOOKUP(Q1665, Wages!$A$2:$C$17, 2, 0)), Q1665, VLOOKUP(Q1665, Wages!$A$2:$C$17, 2, 0))) * IF(ISBLANK(N1665), 0, IF(ISNA(VLOOKUP(N1665, Crews!$A$2:$C$28, 2, 0)), N1665, VLOOKUP(N1665, Crews!$A$2:$C$28, 2, 0))))) * 400</f>
        <v>18630.95238</v>
      </c>
      <c r="K1665" s="1"/>
      <c r="L1665" s="1" t="s">
        <v>3248</v>
      </c>
      <c r="M1665" s="1" t="n">
        <v>9</v>
      </c>
      <c r="N1665" s="1" t="s">
        <v>1481</v>
      </c>
      <c r="O1665" s="1"/>
      <c r="P1665" s="1"/>
      <c r="Q1665" s="1" t="s">
        <v>1481</v>
      </c>
      <c r="R1665" s="1" t="s">
        <v>689</v>
      </c>
      <c r="S1665" s="1" t="s">
        <v>856</v>
      </c>
      <c r="T1665" s="1"/>
    </row>
    <row r="1666" customFormat="false" ht="15" hidden="false" customHeight="true" outlineLevel="0" collapsed="false">
      <c r="A1666" s="1" t="s">
        <v>3258</v>
      </c>
      <c r="B1666" s="1" t="n">
        <v>1935</v>
      </c>
      <c r="C1666" s="1" t="n">
        <v>1</v>
      </c>
      <c r="D1666" s="1" t="s">
        <v>38</v>
      </c>
      <c r="E1666" s="1"/>
      <c r="F1666" s="1"/>
      <c r="G1666" s="1" t="n">
        <v>175</v>
      </c>
      <c r="H1666" s="2" t="n">
        <v>530000</v>
      </c>
      <c r="I1666" s="2" t="n">
        <f aca="false">(((H1666 / 800) / IF(ISBLANK(R1666), 1000000, IF(ISNA(VLOOKUP(R1666, Mileages!$A$2:$C$34, 2, 0)), R1666, VLOOKUP(R1666, Mileages!$A$2:$C$34, 2, 0)))) + (F1666 * IF(ISBLANK(P1666), 1, P1666) * IF(ISBLANK(T1666), 0, IF(ISNA(VLOOKUP(T1666, 'Fuel Costs'!$A$2:$C$42, 2, 0)), T1666, VLOOKUP(T1666, 'Fuel Costs'!$A$2:$C$42, 2, 0))) / IF(ISBLANK(O1666), 1, O1666))) * 100</f>
        <v>0.05520833333</v>
      </c>
      <c r="J1666" s="2" t="n">
        <f aca="false">((H1666 / 800) / (IF(ISBLANK(S1666), 100, IF(ISNA(VLOOKUP(S1666, Lives!$A$2:$C$35, 2, 0)), S1666, VLOOKUP(S1666, Lives!$A$2:$C$35, 2, 0))) * 12) + (IF(ISBLANK(Q1666), 0, IF(ISNA(VLOOKUP(Q1666, Wages!$A$2:$C$17, 2, 0)), Q1666, VLOOKUP(Q1666, Wages!$A$2:$C$17, 2, 0))) * IF(ISBLANK(N1666), 0, IF(ISNA(VLOOKUP(N1666, Crews!$A$2:$C$28, 2, 0)), N1666, VLOOKUP(N1666, Crews!$A$2:$C$28, 2, 0))))) * 400</f>
        <v>18630.95238</v>
      </c>
      <c r="K1666" s="1"/>
      <c r="L1666" s="1" t="s">
        <v>3248</v>
      </c>
      <c r="M1666" s="1" t="n">
        <v>10</v>
      </c>
      <c r="N1666" s="1" t="s">
        <v>1481</v>
      </c>
      <c r="O1666" s="1"/>
      <c r="P1666" s="1"/>
      <c r="Q1666" s="1" t="s">
        <v>1481</v>
      </c>
      <c r="R1666" s="1" t="s">
        <v>689</v>
      </c>
      <c r="S1666" s="1" t="s">
        <v>856</v>
      </c>
      <c r="T1666" s="1"/>
    </row>
    <row r="1667" customFormat="false" ht="15" hidden="false" customHeight="true" outlineLevel="0" collapsed="false">
      <c r="A1667" s="1" t="s">
        <v>3259</v>
      </c>
      <c r="B1667" s="1" t="n">
        <v>1935</v>
      </c>
      <c r="C1667" s="1" t="n">
        <v>1</v>
      </c>
      <c r="D1667" s="1" t="s">
        <v>38</v>
      </c>
      <c r="E1667" s="1"/>
      <c r="F1667" s="1"/>
      <c r="G1667" s="1" t="n">
        <v>175</v>
      </c>
      <c r="H1667" s="2" t="n">
        <v>530000</v>
      </c>
      <c r="I1667" s="2" t="n">
        <f aca="false">(((H1667 / 800) / IF(ISBLANK(R1667), 1000000, IF(ISNA(VLOOKUP(R1667, Mileages!$A$2:$C$34, 2, 0)), R1667, VLOOKUP(R1667, Mileages!$A$2:$C$34, 2, 0)))) + (F1667 * IF(ISBLANK(P1667), 1, P1667) * IF(ISBLANK(T1667), 0, IF(ISNA(VLOOKUP(T1667, 'Fuel Costs'!$A$2:$C$42, 2, 0)), T1667, VLOOKUP(T1667, 'Fuel Costs'!$A$2:$C$42, 2, 0))) / IF(ISBLANK(O1667), 1, O1667))) * 100</f>
        <v>0.05520833333</v>
      </c>
      <c r="J1667" s="2" t="n">
        <f aca="false">((H1667 / 800) / (IF(ISBLANK(S1667), 100, IF(ISNA(VLOOKUP(S1667, Lives!$A$2:$C$35, 2, 0)), S1667, VLOOKUP(S1667, Lives!$A$2:$C$35, 2, 0))) * 12) + (IF(ISBLANK(Q1667), 0, IF(ISNA(VLOOKUP(Q1667, Wages!$A$2:$C$17, 2, 0)), Q1667, VLOOKUP(Q1667, Wages!$A$2:$C$17, 2, 0))) * IF(ISBLANK(N1667), 0, IF(ISNA(VLOOKUP(N1667, Crews!$A$2:$C$28, 2, 0)), N1667, VLOOKUP(N1667, Crews!$A$2:$C$28, 2, 0))))) * 400</f>
        <v>5430.952381</v>
      </c>
      <c r="K1667" s="1"/>
      <c r="L1667" s="1" t="s">
        <v>3260</v>
      </c>
      <c r="M1667" s="1" t="n">
        <v>0</v>
      </c>
      <c r="N1667" s="1" t="s">
        <v>25</v>
      </c>
      <c r="O1667" s="1"/>
      <c r="P1667" s="1"/>
      <c r="Q1667" s="1" t="s">
        <v>378</v>
      </c>
      <c r="R1667" s="1" t="s">
        <v>689</v>
      </c>
      <c r="S1667" s="1" t="s">
        <v>856</v>
      </c>
      <c r="T1667" s="1"/>
    </row>
    <row r="1668" customFormat="false" ht="15" hidden="false" customHeight="true" outlineLevel="0" collapsed="false">
      <c r="A1668" s="1" t="s">
        <v>3261</v>
      </c>
      <c r="B1668" s="1" t="n">
        <v>1935</v>
      </c>
      <c r="C1668" s="1" t="n">
        <v>1</v>
      </c>
      <c r="D1668" s="1" t="s">
        <v>38</v>
      </c>
      <c r="E1668" s="1"/>
      <c r="F1668" s="1"/>
      <c r="G1668" s="1" t="n">
        <v>175</v>
      </c>
      <c r="H1668" s="2" t="n">
        <v>530000</v>
      </c>
      <c r="I1668" s="2" t="n">
        <f aca="false">(((H1668 / 800) / IF(ISBLANK(R1668), 1000000, IF(ISNA(VLOOKUP(R1668, Mileages!$A$2:$C$34, 2, 0)), R1668, VLOOKUP(R1668, Mileages!$A$2:$C$34, 2, 0)))) + (F1668 * IF(ISBLANK(P1668), 1, P1668) * IF(ISBLANK(T1668), 0, IF(ISNA(VLOOKUP(T1668, 'Fuel Costs'!$A$2:$C$42, 2, 0)), T1668, VLOOKUP(T1668, 'Fuel Costs'!$A$2:$C$42, 2, 0))) / IF(ISBLANK(O1668), 1, O1668))) * 100</f>
        <v>0.05520833333</v>
      </c>
      <c r="J1668" s="2" t="n">
        <f aca="false">((H1668 / 800) / (IF(ISBLANK(S1668), 100, IF(ISNA(VLOOKUP(S1668, Lives!$A$2:$C$35, 2, 0)), S1668, VLOOKUP(S1668, Lives!$A$2:$C$35, 2, 0))) * 12) + (IF(ISBLANK(Q1668), 0, IF(ISNA(VLOOKUP(Q1668, Wages!$A$2:$C$17, 2, 0)), Q1668, VLOOKUP(Q1668, Wages!$A$2:$C$17, 2, 0))) * IF(ISBLANK(N1668), 0, IF(ISNA(VLOOKUP(N1668, Crews!$A$2:$C$28, 2, 0)), N1668, VLOOKUP(N1668, Crews!$A$2:$C$28, 2, 0))))) * 400</f>
        <v>5430.952381</v>
      </c>
      <c r="K1668" s="1"/>
      <c r="L1668" s="1" t="s">
        <v>3260</v>
      </c>
      <c r="M1668" s="1" t="n">
        <v>1</v>
      </c>
      <c r="N1668" s="1" t="s">
        <v>25</v>
      </c>
      <c r="O1668" s="1"/>
      <c r="P1668" s="1"/>
      <c r="Q1668" s="1" t="s">
        <v>378</v>
      </c>
      <c r="R1668" s="1" t="s">
        <v>689</v>
      </c>
      <c r="S1668" s="1" t="s">
        <v>856</v>
      </c>
      <c r="T1668" s="1"/>
    </row>
    <row r="1669" customFormat="false" ht="15" hidden="false" customHeight="true" outlineLevel="0" collapsed="false">
      <c r="A1669" s="1" t="s">
        <v>3262</v>
      </c>
      <c r="B1669" s="1" t="n">
        <v>1935</v>
      </c>
      <c r="C1669" s="1" t="n">
        <v>1</v>
      </c>
      <c r="D1669" s="1" t="s">
        <v>38</v>
      </c>
      <c r="E1669" s="1"/>
      <c r="F1669" s="1"/>
      <c r="G1669" s="1" t="n">
        <v>175</v>
      </c>
      <c r="H1669" s="2" t="n">
        <v>530000</v>
      </c>
      <c r="I1669" s="2" t="n">
        <f aca="false">(((H1669 / 800) / IF(ISBLANK(R1669), 1000000, IF(ISNA(VLOOKUP(R1669, Mileages!$A$2:$C$34, 2, 0)), R1669, VLOOKUP(R1669, Mileages!$A$2:$C$34, 2, 0)))) + (F1669 * IF(ISBLANK(P1669), 1, P1669) * IF(ISBLANK(T1669), 0, IF(ISNA(VLOOKUP(T1669, 'Fuel Costs'!$A$2:$C$42, 2, 0)), T1669, VLOOKUP(T1669, 'Fuel Costs'!$A$2:$C$42, 2, 0))) / IF(ISBLANK(O1669), 1, O1669))) * 100</f>
        <v>0.05520833333</v>
      </c>
      <c r="J1669" s="2" t="n">
        <f aca="false">((H1669 / 800) / (IF(ISBLANK(S1669), 100, IF(ISNA(VLOOKUP(S1669, Lives!$A$2:$C$35, 2, 0)), S1669, VLOOKUP(S1669, Lives!$A$2:$C$35, 2, 0))) * 12) + (IF(ISBLANK(Q1669), 0, IF(ISNA(VLOOKUP(Q1669, Wages!$A$2:$C$17, 2, 0)), Q1669, VLOOKUP(Q1669, Wages!$A$2:$C$17, 2, 0))) * IF(ISBLANK(N1669), 0, IF(ISNA(VLOOKUP(N1669, Crews!$A$2:$C$28, 2, 0)), N1669, VLOOKUP(N1669, Crews!$A$2:$C$28, 2, 0))))) * 400</f>
        <v>5430.952381</v>
      </c>
      <c r="K1669" s="1"/>
      <c r="L1669" s="1" t="s">
        <v>3260</v>
      </c>
      <c r="M1669" s="1" t="n">
        <v>2</v>
      </c>
      <c r="N1669" s="1" t="s">
        <v>25</v>
      </c>
      <c r="O1669" s="1"/>
      <c r="P1669" s="1"/>
      <c r="Q1669" s="1" t="s">
        <v>378</v>
      </c>
      <c r="R1669" s="1" t="s">
        <v>689</v>
      </c>
      <c r="S1669" s="1" t="s">
        <v>856</v>
      </c>
      <c r="T1669" s="1"/>
    </row>
    <row r="1670" customFormat="false" ht="15" hidden="false" customHeight="true" outlineLevel="0" collapsed="false">
      <c r="A1670" s="1" t="s">
        <v>3263</v>
      </c>
      <c r="B1670" s="1" t="n">
        <v>1935</v>
      </c>
      <c r="C1670" s="1" t="n">
        <v>1</v>
      </c>
      <c r="D1670" s="1" t="s">
        <v>38</v>
      </c>
      <c r="E1670" s="1"/>
      <c r="F1670" s="1"/>
      <c r="G1670" s="1" t="n">
        <v>175</v>
      </c>
      <c r="H1670" s="2" t="n">
        <v>530000</v>
      </c>
      <c r="I1670" s="2" t="n">
        <f aca="false">(((H1670 / 800) / IF(ISBLANK(R1670), 1000000, IF(ISNA(VLOOKUP(R1670, Mileages!$A$2:$C$34, 2, 0)), R1670, VLOOKUP(R1670, Mileages!$A$2:$C$34, 2, 0)))) + (F1670 * IF(ISBLANK(P1670), 1, P1670) * IF(ISBLANK(T1670), 0, IF(ISNA(VLOOKUP(T1670, 'Fuel Costs'!$A$2:$C$42, 2, 0)), T1670, VLOOKUP(T1670, 'Fuel Costs'!$A$2:$C$42, 2, 0))) / IF(ISBLANK(O1670), 1, O1670))) * 100</f>
        <v>0.05520833333</v>
      </c>
      <c r="J1670" s="2" t="n">
        <f aca="false">((H1670 / 800) / (IF(ISBLANK(S1670), 100, IF(ISNA(VLOOKUP(S1670, Lives!$A$2:$C$35, 2, 0)), S1670, VLOOKUP(S1670, Lives!$A$2:$C$35, 2, 0))) * 12) + (IF(ISBLANK(Q1670), 0, IF(ISNA(VLOOKUP(Q1670, Wages!$A$2:$C$17, 2, 0)), Q1670, VLOOKUP(Q1670, Wages!$A$2:$C$17, 2, 0))) * IF(ISBLANK(N1670), 0, IF(ISNA(VLOOKUP(N1670, Crews!$A$2:$C$28, 2, 0)), N1670, VLOOKUP(N1670, Crews!$A$2:$C$28, 2, 0))))) * 400</f>
        <v>5430.952381</v>
      </c>
      <c r="K1670" s="1"/>
      <c r="L1670" s="1" t="s">
        <v>3260</v>
      </c>
      <c r="M1670" s="1" t="n">
        <v>3</v>
      </c>
      <c r="N1670" s="1" t="s">
        <v>25</v>
      </c>
      <c r="O1670" s="1"/>
      <c r="P1670" s="1"/>
      <c r="Q1670" s="1" t="s">
        <v>378</v>
      </c>
      <c r="R1670" s="1" t="s">
        <v>689</v>
      </c>
      <c r="S1670" s="1" t="s">
        <v>856</v>
      </c>
      <c r="T1670" s="1"/>
    </row>
    <row r="1671" customFormat="false" ht="15" hidden="false" customHeight="true" outlineLevel="0" collapsed="false">
      <c r="A1671" s="1" t="s">
        <v>3264</v>
      </c>
      <c r="B1671" s="1" t="n">
        <v>1935</v>
      </c>
      <c r="C1671" s="1" t="n">
        <v>1</v>
      </c>
      <c r="D1671" s="1" t="s">
        <v>38</v>
      </c>
      <c r="E1671" s="1"/>
      <c r="F1671" s="1"/>
      <c r="G1671" s="1" t="n">
        <v>175</v>
      </c>
      <c r="H1671" s="2" t="n">
        <v>530000</v>
      </c>
      <c r="I1671" s="2" t="n">
        <f aca="false">(((H1671 / 800) / IF(ISBLANK(R1671), 1000000, IF(ISNA(VLOOKUP(R1671, Mileages!$A$2:$C$34, 2, 0)), R1671, VLOOKUP(R1671, Mileages!$A$2:$C$34, 2, 0)))) + (F1671 * IF(ISBLANK(P1671), 1, P1671) * IF(ISBLANK(T1671), 0, IF(ISNA(VLOOKUP(T1671, 'Fuel Costs'!$A$2:$C$42, 2, 0)), T1671, VLOOKUP(T1671, 'Fuel Costs'!$A$2:$C$42, 2, 0))) / IF(ISBLANK(O1671), 1, O1671))) * 100</f>
        <v>0.05520833333</v>
      </c>
      <c r="J1671" s="2" t="n">
        <f aca="false">((H1671 / 800) / (IF(ISBLANK(S1671), 100, IF(ISNA(VLOOKUP(S1671, Lives!$A$2:$C$35, 2, 0)), S1671, VLOOKUP(S1671, Lives!$A$2:$C$35, 2, 0))) * 12) + (IF(ISBLANK(Q1671), 0, IF(ISNA(VLOOKUP(Q1671, Wages!$A$2:$C$17, 2, 0)), Q1671, VLOOKUP(Q1671, Wages!$A$2:$C$17, 2, 0))) * IF(ISBLANK(N1671), 0, IF(ISNA(VLOOKUP(N1671, Crews!$A$2:$C$28, 2, 0)), N1671, VLOOKUP(N1671, Crews!$A$2:$C$28, 2, 0))))) * 400</f>
        <v>5430.952381</v>
      </c>
      <c r="K1671" s="1"/>
      <c r="L1671" s="1" t="s">
        <v>3260</v>
      </c>
      <c r="M1671" s="1" t="n">
        <v>4</v>
      </c>
      <c r="N1671" s="1" t="s">
        <v>25</v>
      </c>
      <c r="O1671" s="1"/>
      <c r="P1671" s="1"/>
      <c r="Q1671" s="1" t="s">
        <v>378</v>
      </c>
      <c r="R1671" s="1" t="s">
        <v>689</v>
      </c>
      <c r="S1671" s="1" t="s">
        <v>856</v>
      </c>
      <c r="T1671" s="1"/>
    </row>
    <row r="1672" customFormat="false" ht="15" hidden="false" customHeight="true" outlineLevel="0" collapsed="false">
      <c r="A1672" s="1" t="s">
        <v>3265</v>
      </c>
      <c r="B1672" s="1" t="n">
        <v>1935</v>
      </c>
      <c r="C1672" s="1" t="n">
        <v>1</v>
      </c>
      <c r="D1672" s="1" t="s">
        <v>38</v>
      </c>
      <c r="E1672" s="1"/>
      <c r="F1672" s="1"/>
      <c r="G1672" s="1" t="n">
        <v>175</v>
      </c>
      <c r="H1672" s="2" t="n">
        <v>53000</v>
      </c>
      <c r="I1672" s="2" t="n">
        <f aca="false">(((H1672 / 800) / IF(ISBLANK(R1672), 1000000, IF(ISNA(VLOOKUP(R1672, Mileages!$A$2:$C$34, 2, 0)), R1672, VLOOKUP(R1672, Mileages!$A$2:$C$34, 2, 0)))) + (F1672 * IF(ISBLANK(P1672), 1, P1672) * IF(ISBLANK(T1672), 0, IF(ISNA(VLOOKUP(T1672, 'Fuel Costs'!$A$2:$C$42, 2, 0)), T1672, VLOOKUP(T1672, 'Fuel Costs'!$A$2:$C$42, 2, 0))) / IF(ISBLANK(O1672), 1, O1672))) * 100</f>
        <v>0.005520833333</v>
      </c>
      <c r="J1672" s="2" t="n">
        <f aca="false">((H1672 / 800) / (IF(ISBLANK(S1672), 100, IF(ISNA(VLOOKUP(S1672, Lives!$A$2:$C$35, 2, 0)), S1672, VLOOKUP(S1672, Lives!$A$2:$C$35, 2, 0))) * 12) + (IF(ISBLANK(Q1672), 0, IF(ISNA(VLOOKUP(Q1672, Wages!$A$2:$C$17, 2, 0)), Q1672, VLOOKUP(Q1672, Wages!$A$2:$C$17, 2, 0))) * IF(ISBLANK(N1672), 0, IF(ISNA(VLOOKUP(N1672, Crews!$A$2:$C$28, 2, 0)), N1672, VLOOKUP(N1672, Crews!$A$2:$C$28, 2, 0))))) * 400</f>
        <v>4863.095238</v>
      </c>
      <c r="K1672" s="1"/>
      <c r="L1672" s="1" t="s">
        <v>3260</v>
      </c>
      <c r="M1672" s="1" t="n">
        <v>5</v>
      </c>
      <c r="N1672" s="1" t="s">
        <v>25</v>
      </c>
      <c r="O1672" s="1"/>
      <c r="P1672" s="1"/>
      <c r="Q1672" s="1" t="s">
        <v>378</v>
      </c>
      <c r="R1672" s="1" t="s">
        <v>689</v>
      </c>
      <c r="S1672" s="1" t="s">
        <v>856</v>
      </c>
      <c r="T1672" s="1"/>
    </row>
    <row r="1673" customFormat="false" ht="15" hidden="false" customHeight="true" outlineLevel="0" collapsed="false">
      <c r="A1673" s="1" t="s">
        <v>3266</v>
      </c>
      <c r="B1673" s="1" t="n">
        <v>1935</v>
      </c>
      <c r="C1673" s="1" t="n">
        <v>1</v>
      </c>
      <c r="D1673" s="1" t="s">
        <v>38</v>
      </c>
      <c r="E1673" s="1"/>
      <c r="F1673" s="1"/>
      <c r="G1673" s="1" t="n">
        <v>175</v>
      </c>
      <c r="H1673" s="2" t="n">
        <v>530000</v>
      </c>
      <c r="I1673" s="2" t="n">
        <f aca="false">(((H1673 / 800) / IF(ISBLANK(R1673), 1000000, IF(ISNA(VLOOKUP(R1673, Mileages!$A$2:$C$34, 2, 0)), R1673, VLOOKUP(R1673, Mileages!$A$2:$C$34, 2, 0)))) + (F1673 * IF(ISBLANK(P1673), 1, P1673) * IF(ISBLANK(T1673), 0, IF(ISNA(VLOOKUP(T1673, 'Fuel Costs'!$A$2:$C$42, 2, 0)), T1673, VLOOKUP(T1673, 'Fuel Costs'!$A$2:$C$42, 2, 0))) / IF(ISBLANK(O1673), 1, O1673))) * 100</f>
        <v>0.05520833333</v>
      </c>
      <c r="J1673" s="2" t="n">
        <f aca="false">((H1673 / 800) / (IF(ISBLANK(S1673), 100, IF(ISNA(VLOOKUP(S1673, Lives!$A$2:$C$35, 2, 0)), S1673, VLOOKUP(S1673, Lives!$A$2:$C$35, 2, 0))) * 12) + (IF(ISBLANK(Q1673), 0, IF(ISNA(VLOOKUP(Q1673, Wages!$A$2:$C$17, 2, 0)), Q1673, VLOOKUP(Q1673, Wages!$A$2:$C$17, 2, 0))) * IF(ISBLANK(N1673), 0, IF(ISNA(VLOOKUP(N1673, Crews!$A$2:$C$28, 2, 0)), N1673, VLOOKUP(N1673, Crews!$A$2:$C$28, 2, 0))))) * 400</f>
        <v>5430.952381</v>
      </c>
      <c r="K1673" s="1"/>
      <c r="L1673" s="1" t="s">
        <v>3260</v>
      </c>
      <c r="M1673" s="1" t="n">
        <v>6</v>
      </c>
      <c r="N1673" s="1" t="s">
        <v>25</v>
      </c>
      <c r="O1673" s="1"/>
      <c r="P1673" s="1"/>
      <c r="Q1673" s="1" t="s">
        <v>378</v>
      </c>
      <c r="R1673" s="1" t="s">
        <v>689</v>
      </c>
      <c r="S1673" s="1" t="s">
        <v>856</v>
      </c>
      <c r="T1673" s="1"/>
    </row>
    <row r="1674" customFormat="false" ht="15" hidden="false" customHeight="true" outlineLevel="0" collapsed="false">
      <c r="A1674" s="1" t="s">
        <v>3267</v>
      </c>
      <c r="B1674" s="1" t="n">
        <v>1935</v>
      </c>
      <c r="C1674" s="1" t="n">
        <v>1</v>
      </c>
      <c r="D1674" s="1" t="s">
        <v>38</v>
      </c>
      <c r="E1674" s="1"/>
      <c r="F1674" s="1"/>
      <c r="G1674" s="1" t="n">
        <v>175</v>
      </c>
      <c r="H1674" s="2" t="n">
        <v>530000</v>
      </c>
      <c r="I1674" s="2" t="n">
        <f aca="false">(((H1674 / 800) / IF(ISBLANK(R1674), 1000000, IF(ISNA(VLOOKUP(R1674, Mileages!$A$2:$C$34, 2, 0)), R1674, VLOOKUP(R1674, Mileages!$A$2:$C$34, 2, 0)))) + (F1674 * IF(ISBLANK(P1674), 1, P1674) * IF(ISBLANK(T1674), 0, IF(ISNA(VLOOKUP(T1674, 'Fuel Costs'!$A$2:$C$42, 2, 0)), T1674, VLOOKUP(T1674, 'Fuel Costs'!$A$2:$C$42, 2, 0))) / IF(ISBLANK(O1674), 1, O1674))) * 100</f>
        <v>0.05520833333</v>
      </c>
      <c r="J1674" s="2" t="n">
        <f aca="false">((H1674 / 800) / (IF(ISBLANK(S1674), 100, IF(ISNA(VLOOKUP(S1674, Lives!$A$2:$C$35, 2, 0)), S1674, VLOOKUP(S1674, Lives!$A$2:$C$35, 2, 0))) * 12) + (IF(ISBLANK(Q1674), 0, IF(ISNA(VLOOKUP(Q1674, Wages!$A$2:$C$17, 2, 0)), Q1674, VLOOKUP(Q1674, Wages!$A$2:$C$17, 2, 0))) * IF(ISBLANK(N1674), 0, IF(ISNA(VLOOKUP(N1674, Crews!$A$2:$C$28, 2, 0)), N1674, VLOOKUP(N1674, Crews!$A$2:$C$28, 2, 0))))) * 400</f>
        <v>630.952381</v>
      </c>
      <c r="K1674" s="1"/>
      <c r="L1674" s="1" t="s">
        <v>3260</v>
      </c>
      <c r="M1674" s="1" t="n">
        <v>7</v>
      </c>
      <c r="N1674" s="1"/>
      <c r="O1674" s="1"/>
      <c r="P1674" s="1"/>
      <c r="Q1674" s="1"/>
      <c r="R1674" s="1" t="s">
        <v>689</v>
      </c>
      <c r="S1674" s="1" t="s">
        <v>856</v>
      </c>
      <c r="T1674" s="1"/>
    </row>
    <row r="1675" customFormat="false" ht="15" hidden="false" customHeight="true" outlineLevel="0" collapsed="false">
      <c r="A1675" s="1" t="s">
        <v>3268</v>
      </c>
      <c r="B1675" s="1" t="n">
        <v>1935</v>
      </c>
      <c r="C1675" s="1" t="n">
        <v>1</v>
      </c>
      <c r="D1675" s="1" t="s">
        <v>38</v>
      </c>
      <c r="E1675" s="1"/>
      <c r="F1675" s="1"/>
      <c r="G1675" s="1" t="n">
        <v>175</v>
      </c>
      <c r="H1675" s="2" t="n">
        <v>530000</v>
      </c>
      <c r="I1675" s="2" t="n">
        <f aca="false">(((H1675 / 800) / IF(ISBLANK(R1675), 1000000, IF(ISNA(VLOOKUP(R1675, Mileages!$A$2:$C$34, 2, 0)), R1675, VLOOKUP(R1675, Mileages!$A$2:$C$34, 2, 0)))) + (F1675 * IF(ISBLANK(P1675), 1, P1675) * IF(ISBLANK(T1675), 0, IF(ISNA(VLOOKUP(T1675, 'Fuel Costs'!$A$2:$C$42, 2, 0)), T1675, VLOOKUP(T1675, 'Fuel Costs'!$A$2:$C$42, 2, 0))) / IF(ISBLANK(O1675), 1, O1675))) * 100</f>
        <v>0.05520833333</v>
      </c>
      <c r="J1675" s="2" t="n">
        <f aca="false">((H1675 / 800) / (IF(ISBLANK(S1675), 100, IF(ISNA(VLOOKUP(S1675, Lives!$A$2:$C$35, 2, 0)), S1675, VLOOKUP(S1675, Lives!$A$2:$C$35, 2, 0))) * 12) + (IF(ISBLANK(Q1675), 0, IF(ISNA(VLOOKUP(Q1675, Wages!$A$2:$C$17, 2, 0)), Q1675, VLOOKUP(Q1675, Wages!$A$2:$C$17, 2, 0))) * IF(ISBLANK(N1675), 0, IF(ISNA(VLOOKUP(N1675, Crews!$A$2:$C$28, 2, 0)), N1675, VLOOKUP(N1675, Crews!$A$2:$C$28, 2, 0))))) * 400</f>
        <v>18630.95238</v>
      </c>
      <c r="K1675" s="1"/>
      <c r="L1675" s="1" t="s">
        <v>3260</v>
      </c>
      <c r="M1675" s="1" t="n">
        <v>8</v>
      </c>
      <c r="N1675" s="1" t="s">
        <v>1481</v>
      </c>
      <c r="O1675" s="1"/>
      <c r="P1675" s="1"/>
      <c r="Q1675" s="1" t="s">
        <v>1481</v>
      </c>
      <c r="R1675" s="1" t="s">
        <v>689</v>
      </c>
      <c r="S1675" s="1" t="s">
        <v>856</v>
      </c>
      <c r="T1675" s="1"/>
    </row>
    <row r="1676" customFormat="false" ht="15" hidden="false" customHeight="true" outlineLevel="0" collapsed="false">
      <c r="A1676" s="1" t="s">
        <v>3269</v>
      </c>
      <c r="B1676" s="1" t="n">
        <v>1935</v>
      </c>
      <c r="C1676" s="1" t="n">
        <v>1</v>
      </c>
      <c r="D1676" s="1" t="s">
        <v>38</v>
      </c>
      <c r="E1676" s="1"/>
      <c r="F1676" s="1"/>
      <c r="G1676" s="1" t="n">
        <v>175</v>
      </c>
      <c r="H1676" s="2" t="n">
        <v>530000</v>
      </c>
      <c r="I1676" s="2" t="n">
        <f aca="false">(((H1676 / 800) / IF(ISBLANK(R1676), 1000000, IF(ISNA(VLOOKUP(R1676, Mileages!$A$2:$C$34, 2, 0)), R1676, VLOOKUP(R1676, Mileages!$A$2:$C$34, 2, 0)))) + (F1676 * IF(ISBLANK(P1676), 1, P1676) * IF(ISBLANK(T1676), 0, IF(ISNA(VLOOKUP(T1676, 'Fuel Costs'!$A$2:$C$42, 2, 0)), T1676, VLOOKUP(T1676, 'Fuel Costs'!$A$2:$C$42, 2, 0))) / IF(ISBLANK(O1676), 1, O1676))) * 100</f>
        <v>0.05520833333</v>
      </c>
      <c r="J1676" s="2" t="n">
        <f aca="false">((H1676 / 800) / (IF(ISBLANK(S1676), 100, IF(ISNA(VLOOKUP(S1676, Lives!$A$2:$C$35, 2, 0)), S1676, VLOOKUP(S1676, Lives!$A$2:$C$35, 2, 0))) * 12) + (IF(ISBLANK(Q1676), 0, IF(ISNA(VLOOKUP(Q1676, Wages!$A$2:$C$17, 2, 0)), Q1676, VLOOKUP(Q1676, Wages!$A$2:$C$17, 2, 0))) * IF(ISBLANK(N1676), 0, IF(ISNA(VLOOKUP(N1676, Crews!$A$2:$C$28, 2, 0)), N1676, VLOOKUP(N1676, Crews!$A$2:$C$28, 2, 0))))) * 400</f>
        <v>18630.95238</v>
      </c>
      <c r="K1676" s="1"/>
      <c r="L1676" s="1" t="s">
        <v>3260</v>
      </c>
      <c r="M1676" s="1" t="n">
        <v>9</v>
      </c>
      <c r="N1676" s="1" t="s">
        <v>1481</v>
      </c>
      <c r="O1676" s="1"/>
      <c r="P1676" s="1"/>
      <c r="Q1676" s="1" t="s">
        <v>1481</v>
      </c>
      <c r="R1676" s="1" t="s">
        <v>689</v>
      </c>
      <c r="S1676" s="1" t="s">
        <v>856</v>
      </c>
      <c r="T1676" s="1"/>
    </row>
    <row r="1677" customFormat="false" ht="15" hidden="false" customHeight="true" outlineLevel="0" collapsed="false">
      <c r="A1677" s="1" t="s">
        <v>3270</v>
      </c>
      <c r="B1677" s="1" t="n">
        <v>1935</v>
      </c>
      <c r="C1677" s="1" t="n">
        <v>1</v>
      </c>
      <c r="D1677" s="1" t="s">
        <v>38</v>
      </c>
      <c r="E1677" s="1"/>
      <c r="F1677" s="1"/>
      <c r="G1677" s="1" t="n">
        <v>175</v>
      </c>
      <c r="H1677" s="2" t="n">
        <v>530000</v>
      </c>
      <c r="I1677" s="2" t="n">
        <f aca="false">(((H1677 / 800) / IF(ISBLANK(R1677), 1000000, IF(ISNA(VLOOKUP(R1677, Mileages!$A$2:$C$34, 2, 0)), R1677, VLOOKUP(R1677, Mileages!$A$2:$C$34, 2, 0)))) + (F1677 * IF(ISBLANK(P1677), 1, P1677) * IF(ISBLANK(T1677), 0, IF(ISNA(VLOOKUP(T1677, 'Fuel Costs'!$A$2:$C$42, 2, 0)), T1677, VLOOKUP(T1677, 'Fuel Costs'!$A$2:$C$42, 2, 0))) / IF(ISBLANK(O1677), 1, O1677))) * 100</f>
        <v>0.05520833333</v>
      </c>
      <c r="J1677" s="2" t="n">
        <f aca="false">((H1677 / 800) / (IF(ISBLANK(S1677), 100, IF(ISNA(VLOOKUP(S1677, Lives!$A$2:$C$35, 2, 0)), S1677, VLOOKUP(S1677, Lives!$A$2:$C$35, 2, 0))) * 12) + (IF(ISBLANK(Q1677), 0, IF(ISNA(VLOOKUP(Q1677, Wages!$A$2:$C$17, 2, 0)), Q1677, VLOOKUP(Q1677, Wages!$A$2:$C$17, 2, 0))) * IF(ISBLANK(N1677), 0, IF(ISNA(VLOOKUP(N1677, Crews!$A$2:$C$28, 2, 0)), N1677, VLOOKUP(N1677, Crews!$A$2:$C$28, 2, 0))))) * 400</f>
        <v>18630.95238</v>
      </c>
      <c r="K1677" s="1"/>
      <c r="L1677" s="1" t="s">
        <v>3260</v>
      </c>
      <c r="M1677" s="1" t="n">
        <v>10</v>
      </c>
      <c r="N1677" s="1" t="s">
        <v>1481</v>
      </c>
      <c r="O1677" s="1"/>
      <c r="P1677" s="1"/>
      <c r="Q1677" s="1" t="s">
        <v>1481</v>
      </c>
      <c r="R1677" s="1" t="s">
        <v>689</v>
      </c>
      <c r="S1677" s="1" t="s">
        <v>856</v>
      </c>
      <c r="T1677" s="1"/>
    </row>
    <row r="1678" customFormat="false" ht="15" hidden="false" customHeight="true" outlineLevel="0" collapsed="false">
      <c r="A1678" s="1" t="s">
        <v>3271</v>
      </c>
      <c r="B1678" s="1" t="n">
        <v>1935</v>
      </c>
      <c r="C1678" s="1" t="n">
        <v>1</v>
      </c>
      <c r="D1678" s="1" t="s">
        <v>2225</v>
      </c>
      <c r="E1678" s="1" t="s">
        <v>1839</v>
      </c>
      <c r="F1678" s="1" t="n">
        <v>480</v>
      </c>
      <c r="G1678" s="1" t="n">
        <v>306</v>
      </c>
      <c r="H1678" s="2" t="n">
        <v>2350000</v>
      </c>
      <c r="I1678" s="2" t="n">
        <f aca="false">(((H1678 / 800) / IF(ISBLANK(R1678), 1000000, IF(ISNA(VLOOKUP(R1678, Mileages!$A$2:$C$34, 2, 0)), R1678, VLOOKUP(R1678, Mileages!$A$2:$C$34, 2, 0)))) + (F1678 * IF(ISBLANK(P1678), 1, P1678) * IF(ISBLANK(T1678), 0, IF(ISNA(VLOOKUP(T1678, 'Fuel Costs'!$A$2:$C$42, 2, 0)), T1678, VLOOKUP(T1678, 'Fuel Costs'!$A$2:$C$42, 2, 0))) / IF(ISBLANK(O1678), 1, O1678))) * 100</f>
        <v>24.05875</v>
      </c>
      <c r="J1678" s="2" t="n">
        <f aca="false">((H1678 / 800) / (IF(ISBLANK(S1678), 100, IF(ISNA(VLOOKUP(S1678, Lives!$A$2:$C$35, 2, 0)), S1678, VLOOKUP(S1678, Lives!$A$2:$C$35, 2, 0))) * 12) + (IF(ISBLANK(Q1678), 0, IF(ISNA(VLOOKUP(Q1678, Wages!$A$2:$C$17, 2, 0)), Q1678, VLOOKUP(Q1678, Wages!$A$2:$C$17, 2, 0))) * IF(ISBLANK(N1678), 0, IF(ISNA(VLOOKUP(N1678, Crews!$A$2:$C$28, 2, 0)), N1678, VLOOKUP(N1678, Crews!$A$2:$C$28, 2, 0))))) * 400</f>
        <v>51631.94444</v>
      </c>
      <c r="K1678" s="3" t="s">
        <v>3272</v>
      </c>
      <c r="L1678" s="1" t="s">
        <v>3273</v>
      </c>
      <c r="M1678" s="1" t="n">
        <v>0</v>
      </c>
      <c r="N1678" s="1" t="s">
        <v>2342</v>
      </c>
      <c r="O1678" s="1"/>
      <c r="P1678" s="1" t="n">
        <v>0.1</v>
      </c>
      <c r="Q1678" s="1" t="s">
        <v>2229</v>
      </c>
      <c r="R1678" s="1" t="s">
        <v>2229</v>
      </c>
      <c r="S1678" s="1" t="s">
        <v>2229</v>
      </c>
      <c r="T1678" s="1" t="s">
        <v>2572</v>
      </c>
    </row>
    <row r="1679" customFormat="false" ht="15" hidden="false" customHeight="true" outlineLevel="0" collapsed="false">
      <c r="A1679" s="1" t="s">
        <v>3274</v>
      </c>
      <c r="B1679" s="1" t="n">
        <v>1935</v>
      </c>
      <c r="C1679" s="1" t="n">
        <v>1</v>
      </c>
      <c r="D1679" s="1" t="s">
        <v>38</v>
      </c>
      <c r="E1679" s="1"/>
      <c r="F1679" s="1" t="n">
        <v>0</v>
      </c>
      <c r="G1679" s="1" t="n">
        <v>175</v>
      </c>
      <c r="H1679" s="2" t="n">
        <v>0</v>
      </c>
      <c r="I1679" s="2" t="n">
        <f aca="false">(((H1679 / 800) / IF(ISBLANK(R1679), 1000000, IF(ISNA(VLOOKUP(R1679, Mileages!$A$2:$C$34, 2, 0)), R1679, VLOOKUP(R1679, Mileages!$A$2:$C$34, 2, 0)))) + (F1679 * IF(ISBLANK(P1679), 1, P1679) * IF(ISBLANK(T1679), 0, IF(ISNA(VLOOKUP(T1679, 'Fuel Costs'!$A$2:$C$42, 2, 0)), T1679, VLOOKUP(T1679, 'Fuel Costs'!$A$2:$C$42, 2, 0))) / IF(ISBLANK(O1679), 1, O1679))) * 100</f>
        <v>0</v>
      </c>
      <c r="J1679" s="2" t="n">
        <f aca="false">((H1679 / 800) / (IF(ISBLANK(S1679), 100, IF(ISNA(VLOOKUP(S1679, Lives!$A$2:$C$35, 2, 0)), S1679, VLOOKUP(S1679, Lives!$A$2:$C$35, 2, 0))) * 12) + (IF(ISBLANK(Q1679), 0, IF(ISNA(VLOOKUP(Q1679, Wages!$A$2:$C$17, 2, 0)), Q1679, VLOOKUP(Q1679, Wages!$A$2:$C$17, 2, 0))) * IF(ISBLANK(N1679), 0, IF(ISNA(VLOOKUP(N1679, Crews!$A$2:$C$28, 2, 0)), N1679, VLOOKUP(N1679, Crews!$A$2:$C$28, 2, 0))))) * 400</f>
        <v>0</v>
      </c>
      <c r="K1679" s="1"/>
      <c r="L1679" s="1" t="s">
        <v>3275</v>
      </c>
      <c r="M1679" s="1" t="n">
        <v>0</v>
      </c>
      <c r="N1679" s="1"/>
      <c r="O1679" s="1"/>
      <c r="P1679" s="1"/>
      <c r="Q1679" s="1"/>
      <c r="R1679" s="1"/>
      <c r="S1679" s="1"/>
      <c r="T1679" s="1"/>
    </row>
    <row r="1680" customFormat="false" ht="15" hidden="false" customHeight="true" outlineLevel="0" collapsed="false">
      <c r="A1680" s="1" t="s">
        <v>3276</v>
      </c>
      <c r="B1680" s="1" t="n">
        <v>1935</v>
      </c>
      <c r="C1680" s="1" t="n">
        <v>1</v>
      </c>
      <c r="D1680" s="1" t="s">
        <v>38</v>
      </c>
      <c r="E1680" s="1"/>
      <c r="F1680" s="1" t="n">
        <v>0</v>
      </c>
      <c r="G1680" s="1" t="n">
        <v>175</v>
      </c>
      <c r="H1680" s="2" t="n">
        <v>0</v>
      </c>
      <c r="I1680" s="2" t="n">
        <f aca="false">(((H1680 / 800) / IF(ISBLANK(R1680), 1000000, IF(ISNA(VLOOKUP(R1680, Mileages!$A$2:$C$34, 2, 0)), R1680, VLOOKUP(R1680, Mileages!$A$2:$C$34, 2, 0)))) + (F1680 * IF(ISBLANK(P1680), 1, P1680) * IF(ISBLANK(T1680), 0, IF(ISNA(VLOOKUP(T1680, 'Fuel Costs'!$A$2:$C$42, 2, 0)), T1680, VLOOKUP(T1680, 'Fuel Costs'!$A$2:$C$42, 2, 0))) / IF(ISBLANK(O1680), 1, O1680))) * 100</f>
        <v>0</v>
      </c>
      <c r="J1680" s="2" t="n">
        <f aca="false">((H1680 / 800) / (IF(ISBLANK(S1680), 100, IF(ISNA(VLOOKUP(S1680, Lives!$A$2:$C$35, 2, 0)), S1680, VLOOKUP(S1680, Lives!$A$2:$C$35, 2, 0))) * 12) + (IF(ISBLANK(Q1680), 0, IF(ISNA(VLOOKUP(Q1680, Wages!$A$2:$C$17, 2, 0)), Q1680, VLOOKUP(Q1680, Wages!$A$2:$C$17, 2, 0))) * IF(ISBLANK(N1680), 0, IF(ISNA(VLOOKUP(N1680, Crews!$A$2:$C$28, 2, 0)), N1680, VLOOKUP(N1680, Crews!$A$2:$C$28, 2, 0))))) * 400</f>
        <v>0</v>
      </c>
      <c r="K1680" s="1"/>
      <c r="L1680" s="1" t="s">
        <v>3275</v>
      </c>
      <c r="M1680" s="1" t="n">
        <v>1</v>
      </c>
      <c r="N1680" s="1"/>
      <c r="O1680" s="1"/>
      <c r="P1680" s="1"/>
      <c r="Q1680" s="1"/>
      <c r="R1680" s="1"/>
      <c r="S1680" s="1"/>
      <c r="T1680" s="1"/>
    </row>
    <row r="1681" customFormat="false" ht="15" hidden="false" customHeight="true" outlineLevel="0" collapsed="false">
      <c r="A1681" s="1" t="s">
        <v>3277</v>
      </c>
      <c r="B1681" s="1" t="n">
        <v>1935</v>
      </c>
      <c r="C1681" s="1" t="n">
        <v>1</v>
      </c>
      <c r="D1681" s="1" t="s">
        <v>38</v>
      </c>
      <c r="E1681" s="1"/>
      <c r="F1681" s="1" t="n">
        <v>0</v>
      </c>
      <c r="G1681" s="1" t="n">
        <v>175</v>
      </c>
      <c r="H1681" s="2" t="n">
        <v>0</v>
      </c>
      <c r="I1681" s="2" t="n">
        <f aca="false">(((H1681 / 800) / IF(ISBLANK(R1681), 1000000, IF(ISNA(VLOOKUP(R1681, Mileages!$A$2:$C$34, 2, 0)), R1681, VLOOKUP(R1681, Mileages!$A$2:$C$34, 2, 0)))) + (F1681 * IF(ISBLANK(P1681), 1, P1681) * IF(ISBLANK(T1681), 0, IF(ISNA(VLOOKUP(T1681, 'Fuel Costs'!$A$2:$C$42, 2, 0)), T1681, VLOOKUP(T1681, 'Fuel Costs'!$A$2:$C$42, 2, 0))) / IF(ISBLANK(O1681), 1, O1681))) * 100</f>
        <v>0</v>
      </c>
      <c r="J1681" s="2" t="n">
        <f aca="false">((H1681 / 800) / (IF(ISBLANK(S1681), 100, IF(ISNA(VLOOKUP(S1681, Lives!$A$2:$C$35, 2, 0)), S1681, VLOOKUP(S1681, Lives!$A$2:$C$35, 2, 0))) * 12) + (IF(ISBLANK(Q1681), 0, IF(ISNA(VLOOKUP(Q1681, Wages!$A$2:$C$17, 2, 0)), Q1681, VLOOKUP(Q1681, Wages!$A$2:$C$17, 2, 0))) * IF(ISBLANK(N1681), 0, IF(ISNA(VLOOKUP(N1681, Crews!$A$2:$C$28, 2, 0)), N1681, VLOOKUP(N1681, Crews!$A$2:$C$28, 2, 0))))) * 400</f>
        <v>0</v>
      </c>
      <c r="K1681" s="1"/>
      <c r="L1681" s="1" t="s">
        <v>3275</v>
      </c>
      <c r="M1681" s="1" t="n">
        <v>2</v>
      </c>
      <c r="N1681" s="1"/>
      <c r="O1681" s="1"/>
      <c r="P1681" s="1"/>
      <c r="Q1681" s="1"/>
      <c r="R1681" s="1"/>
      <c r="S1681" s="1"/>
      <c r="T1681" s="1"/>
    </row>
    <row r="1682" customFormat="false" ht="15" hidden="false" customHeight="true" outlineLevel="0" collapsed="false">
      <c r="A1682" s="1" t="s">
        <v>3278</v>
      </c>
      <c r="B1682" s="1" t="n">
        <v>1935</v>
      </c>
      <c r="C1682" s="1" t="n">
        <v>1</v>
      </c>
      <c r="D1682" s="1" t="s">
        <v>38</v>
      </c>
      <c r="E1682" s="1"/>
      <c r="F1682" s="1" t="n">
        <v>0</v>
      </c>
      <c r="G1682" s="1" t="n">
        <v>175</v>
      </c>
      <c r="H1682" s="2" t="n">
        <v>0</v>
      </c>
      <c r="I1682" s="2" t="n">
        <f aca="false">(((H1682 / 800) / IF(ISBLANK(R1682), 1000000, IF(ISNA(VLOOKUP(R1682, Mileages!$A$2:$C$34, 2, 0)), R1682, VLOOKUP(R1682, Mileages!$A$2:$C$34, 2, 0)))) + (F1682 * IF(ISBLANK(P1682), 1, P1682) * IF(ISBLANK(T1682), 0, IF(ISNA(VLOOKUP(T1682, 'Fuel Costs'!$A$2:$C$42, 2, 0)), T1682, VLOOKUP(T1682, 'Fuel Costs'!$A$2:$C$42, 2, 0))) / IF(ISBLANK(O1682), 1, O1682))) * 100</f>
        <v>0</v>
      </c>
      <c r="J1682" s="2" t="n">
        <f aca="false">((H1682 / 800) / (IF(ISBLANK(S1682), 100, IF(ISNA(VLOOKUP(S1682, Lives!$A$2:$C$35, 2, 0)), S1682, VLOOKUP(S1682, Lives!$A$2:$C$35, 2, 0))) * 12) + (IF(ISBLANK(Q1682), 0, IF(ISNA(VLOOKUP(Q1682, Wages!$A$2:$C$17, 2, 0)), Q1682, VLOOKUP(Q1682, Wages!$A$2:$C$17, 2, 0))) * IF(ISBLANK(N1682), 0, IF(ISNA(VLOOKUP(N1682, Crews!$A$2:$C$28, 2, 0)), N1682, VLOOKUP(N1682, Crews!$A$2:$C$28, 2, 0))))) * 400</f>
        <v>0</v>
      </c>
      <c r="K1682" s="1"/>
      <c r="L1682" s="1" t="s">
        <v>3275</v>
      </c>
      <c r="M1682" s="1" t="n">
        <v>3</v>
      </c>
      <c r="N1682" s="1"/>
      <c r="O1682" s="1"/>
      <c r="P1682" s="1"/>
      <c r="Q1682" s="1"/>
      <c r="R1682" s="1"/>
      <c r="S1682" s="1"/>
      <c r="T1682" s="1"/>
    </row>
    <row r="1683" customFormat="false" ht="15" hidden="false" customHeight="true" outlineLevel="0" collapsed="false">
      <c r="A1683" s="1" t="s">
        <v>3279</v>
      </c>
      <c r="B1683" s="1" t="n">
        <v>1935</v>
      </c>
      <c r="C1683" s="1" t="n">
        <v>1</v>
      </c>
      <c r="D1683" s="1" t="s">
        <v>38</v>
      </c>
      <c r="E1683" s="1"/>
      <c r="F1683" s="1" t="n">
        <v>0</v>
      </c>
      <c r="G1683" s="1" t="n">
        <v>175</v>
      </c>
      <c r="H1683" s="2" t="n">
        <v>0</v>
      </c>
      <c r="I1683" s="2" t="n">
        <f aca="false">(((H1683 / 800) / IF(ISBLANK(R1683), 1000000, IF(ISNA(VLOOKUP(R1683, Mileages!$A$2:$C$34, 2, 0)), R1683, VLOOKUP(R1683, Mileages!$A$2:$C$34, 2, 0)))) + (F1683 * IF(ISBLANK(P1683), 1, P1683) * IF(ISBLANK(T1683), 0, IF(ISNA(VLOOKUP(T1683, 'Fuel Costs'!$A$2:$C$42, 2, 0)), T1683, VLOOKUP(T1683, 'Fuel Costs'!$A$2:$C$42, 2, 0))) / IF(ISBLANK(O1683), 1, O1683))) * 100</f>
        <v>0</v>
      </c>
      <c r="J1683" s="2" t="n">
        <f aca="false">((H1683 / 800) / (IF(ISBLANK(S1683), 100, IF(ISNA(VLOOKUP(S1683, Lives!$A$2:$C$35, 2, 0)), S1683, VLOOKUP(S1683, Lives!$A$2:$C$35, 2, 0))) * 12) + (IF(ISBLANK(Q1683), 0, IF(ISNA(VLOOKUP(Q1683, Wages!$A$2:$C$17, 2, 0)), Q1683, VLOOKUP(Q1683, Wages!$A$2:$C$17, 2, 0))) * IF(ISBLANK(N1683), 0, IF(ISNA(VLOOKUP(N1683, Crews!$A$2:$C$28, 2, 0)), N1683, VLOOKUP(N1683, Crews!$A$2:$C$28, 2, 0))))) * 400</f>
        <v>0</v>
      </c>
      <c r="K1683" s="1"/>
      <c r="L1683" s="1" t="s">
        <v>3275</v>
      </c>
      <c r="M1683" s="1" t="n">
        <v>4</v>
      </c>
      <c r="N1683" s="1"/>
      <c r="O1683" s="1"/>
      <c r="P1683" s="1"/>
      <c r="Q1683" s="1"/>
      <c r="R1683" s="1"/>
      <c r="S1683" s="1"/>
      <c r="T1683" s="1"/>
    </row>
    <row r="1684" customFormat="false" ht="15" hidden="false" customHeight="true" outlineLevel="0" collapsed="false">
      <c r="A1684" s="1" t="s">
        <v>3280</v>
      </c>
      <c r="B1684" s="1" t="n">
        <v>1935</v>
      </c>
      <c r="C1684" s="1" t="n">
        <v>1</v>
      </c>
      <c r="D1684" s="1" t="s">
        <v>38</v>
      </c>
      <c r="E1684" s="1"/>
      <c r="F1684" s="1"/>
      <c r="G1684" s="1" t="n">
        <v>175</v>
      </c>
      <c r="H1684" s="2" t="n">
        <v>530000</v>
      </c>
      <c r="I1684" s="2" t="n">
        <f aca="false">(((H1684 / 800) / IF(ISBLANK(R1684), 1000000, IF(ISNA(VLOOKUP(R1684, Mileages!$A$2:$C$34, 2, 0)), R1684, VLOOKUP(R1684, Mileages!$A$2:$C$34, 2, 0)))) + (F1684 * IF(ISBLANK(P1684), 1, P1684) * IF(ISBLANK(T1684), 0, IF(ISNA(VLOOKUP(T1684, 'Fuel Costs'!$A$2:$C$42, 2, 0)), T1684, VLOOKUP(T1684, 'Fuel Costs'!$A$2:$C$42, 2, 0))) / IF(ISBLANK(O1684), 1, O1684))) * 100</f>
        <v>0.05520833333</v>
      </c>
      <c r="J1684" s="2" t="n">
        <f aca="false">((H1684 / 800) / (IF(ISBLANK(S1684), 100, IF(ISNA(VLOOKUP(S1684, Lives!$A$2:$C$35, 2, 0)), S1684, VLOOKUP(S1684, Lives!$A$2:$C$35, 2, 0))) * 12) + (IF(ISBLANK(Q1684), 0, IF(ISNA(VLOOKUP(Q1684, Wages!$A$2:$C$17, 2, 0)), Q1684, VLOOKUP(Q1684, Wages!$A$2:$C$17, 2, 0))) * IF(ISBLANK(N1684), 0, IF(ISNA(VLOOKUP(N1684, Crews!$A$2:$C$28, 2, 0)), N1684, VLOOKUP(N1684, Crews!$A$2:$C$28, 2, 0))))) * 400</f>
        <v>5430.952381</v>
      </c>
      <c r="K1684" s="1"/>
      <c r="L1684" s="1" t="s">
        <v>3281</v>
      </c>
      <c r="M1684" s="1" t="n">
        <v>0</v>
      </c>
      <c r="N1684" s="1" t="s">
        <v>25</v>
      </c>
      <c r="O1684" s="1"/>
      <c r="P1684" s="1"/>
      <c r="Q1684" s="1" t="s">
        <v>378</v>
      </c>
      <c r="R1684" s="1" t="s">
        <v>689</v>
      </c>
      <c r="S1684" s="1" t="s">
        <v>856</v>
      </c>
      <c r="T1684" s="1"/>
    </row>
    <row r="1685" customFormat="false" ht="15" hidden="false" customHeight="true" outlineLevel="0" collapsed="false">
      <c r="A1685" s="1" t="s">
        <v>3282</v>
      </c>
      <c r="B1685" s="1" t="n">
        <v>1935</v>
      </c>
      <c r="C1685" s="1" t="n">
        <v>1</v>
      </c>
      <c r="D1685" s="1" t="s">
        <v>38</v>
      </c>
      <c r="E1685" s="1"/>
      <c r="F1685" s="1"/>
      <c r="G1685" s="1" t="n">
        <v>175</v>
      </c>
      <c r="H1685" s="2" t="n">
        <v>530000</v>
      </c>
      <c r="I1685" s="2" t="n">
        <f aca="false">(((H1685 / 800) / IF(ISBLANK(R1685), 1000000, IF(ISNA(VLOOKUP(R1685, Mileages!$A$2:$C$34, 2, 0)), R1685, VLOOKUP(R1685, Mileages!$A$2:$C$34, 2, 0)))) + (F1685 * IF(ISBLANK(P1685), 1, P1685) * IF(ISBLANK(T1685), 0, IF(ISNA(VLOOKUP(T1685, 'Fuel Costs'!$A$2:$C$42, 2, 0)), T1685, VLOOKUP(T1685, 'Fuel Costs'!$A$2:$C$42, 2, 0))) / IF(ISBLANK(O1685), 1, O1685))) * 100</f>
        <v>0.05520833333</v>
      </c>
      <c r="J1685" s="2" t="n">
        <f aca="false">((H1685 / 800) / (IF(ISBLANK(S1685), 100, IF(ISNA(VLOOKUP(S1685, Lives!$A$2:$C$35, 2, 0)), S1685, VLOOKUP(S1685, Lives!$A$2:$C$35, 2, 0))) * 12) + (IF(ISBLANK(Q1685), 0, IF(ISNA(VLOOKUP(Q1685, Wages!$A$2:$C$17, 2, 0)), Q1685, VLOOKUP(Q1685, Wages!$A$2:$C$17, 2, 0))) * IF(ISBLANK(N1685), 0, IF(ISNA(VLOOKUP(N1685, Crews!$A$2:$C$28, 2, 0)), N1685, VLOOKUP(N1685, Crews!$A$2:$C$28, 2, 0))))) * 400</f>
        <v>5430.952381</v>
      </c>
      <c r="K1685" s="1"/>
      <c r="L1685" s="1" t="s">
        <v>3281</v>
      </c>
      <c r="M1685" s="1" t="n">
        <v>1</v>
      </c>
      <c r="N1685" s="1" t="s">
        <v>25</v>
      </c>
      <c r="O1685" s="1"/>
      <c r="P1685" s="1"/>
      <c r="Q1685" s="1" t="s">
        <v>378</v>
      </c>
      <c r="R1685" s="1" t="s">
        <v>689</v>
      </c>
      <c r="S1685" s="1" t="s">
        <v>856</v>
      </c>
      <c r="T1685" s="1"/>
    </row>
    <row r="1686" customFormat="false" ht="15" hidden="false" customHeight="true" outlineLevel="0" collapsed="false">
      <c r="A1686" s="1" t="s">
        <v>3283</v>
      </c>
      <c r="B1686" s="1" t="n">
        <v>1935</v>
      </c>
      <c r="C1686" s="1" t="n">
        <v>1</v>
      </c>
      <c r="D1686" s="1" t="s">
        <v>38</v>
      </c>
      <c r="E1686" s="1"/>
      <c r="F1686" s="1"/>
      <c r="G1686" s="1" t="n">
        <v>175</v>
      </c>
      <c r="H1686" s="2" t="n">
        <v>530000</v>
      </c>
      <c r="I1686" s="2" t="n">
        <f aca="false">(((H1686 / 800) / IF(ISBLANK(R1686), 1000000, IF(ISNA(VLOOKUP(R1686, Mileages!$A$2:$C$34, 2, 0)), R1686, VLOOKUP(R1686, Mileages!$A$2:$C$34, 2, 0)))) + (F1686 * IF(ISBLANK(P1686), 1, P1686) * IF(ISBLANK(T1686), 0, IF(ISNA(VLOOKUP(T1686, 'Fuel Costs'!$A$2:$C$42, 2, 0)), T1686, VLOOKUP(T1686, 'Fuel Costs'!$A$2:$C$42, 2, 0))) / IF(ISBLANK(O1686), 1, O1686))) * 100</f>
        <v>0.05520833333</v>
      </c>
      <c r="J1686" s="2" t="n">
        <f aca="false">((H1686 / 800) / (IF(ISBLANK(S1686), 100, IF(ISNA(VLOOKUP(S1686, Lives!$A$2:$C$35, 2, 0)), S1686, VLOOKUP(S1686, Lives!$A$2:$C$35, 2, 0))) * 12) + (IF(ISBLANK(Q1686), 0, IF(ISNA(VLOOKUP(Q1686, Wages!$A$2:$C$17, 2, 0)), Q1686, VLOOKUP(Q1686, Wages!$A$2:$C$17, 2, 0))) * IF(ISBLANK(N1686), 0, IF(ISNA(VLOOKUP(N1686, Crews!$A$2:$C$28, 2, 0)), N1686, VLOOKUP(N1686, Crews!$A$2:$C$28, 2, 0))))) * 400</f>
        <v>5430.952381</v>
      </c>
      <c r="K1686" s="1"/>
      <c r="L1686" s="1" t="s">
        <v>3281</v>
      </c>
      <c r="M1686" s="1" t="n">
        <v>2</v>
      </c>
      <c r="N1686" s="1" t="s">
        <v>25</v>
      </c>
      <c r="O1686" s="1"/>
      <c r="P1686" s="1"/>
      <c r="Q1686" s="1" t="s">
        <v>378</v>
      </c>
      <c r="R1686" s="1" t="s">
        <v>689</v>
      </c>
      <c r="S1686" s="1" t="s">
        <v>856</v>
      </c>
      <c r="T1686" s="1"/>
    </row>
    <row r="1687" customFormat="false" ht="15" hidden="false" customHeight="true" outlineLevel="0" collapsed="false">
      <c r="A1687" s="1" t="s">
        <v>3284</v>
      </c>
      <c r="B1687" s="1" t="n">
        <v>1935</v>
      </c>
      <c r="C1687" s="1" t="n">
        <v>1</v>
      </c>
      <c r="D1687" s="1" t="s">
        <v>38</v>
      </c>
      <c r="E1687" s="1"/>
      <c r="F1687" s="1"/>
      <c r="G1687" s="1" t="n">
        <v>175</v>
      </c>
      <c r="H1687" s="2" t="n">
        <v>530000</v>
      </c>
      <c r="I1687" s="2" t="n">
        <f aca="false">(((H1687 / 800) / IF(ISBLANK(R1687), 1000000, IF(ISNA(VLOOKUP(R1687, Mileages!$A$2:$C$34, 2, 0)), R1687, VLOOKUP(R1687, Mileages!$A$2:$C$34, 2, 0)))) + (F1687 * IF(ISBLANK(P1687), 1, P1687) * IF(ISBLANK(T1687), 0, IF(ISNA(VLOOKUP(T1687, 'Fuel Costs'!$A$2:$C$42, 2, 0)), T1687, VLOOKUP(T1687, 'Fuel Costs'!$A$2:$C$42, 2, 0))) / IF(ISBLANK(O1687), 1, O1687))) * 100</f>
        <v>0.05520833333</v>
      </c>
      <c r="J1687" s="2" t="n">
        <f aca="false">((H1687 / 800) / (IF(ISBLANK(S1687), 100, IF(ISNA(VLOOKUP(S1687, Lives!$A$2:$C$35, 2, 0)), S1687, VLOOKUP(S1687, Lives!$A$2:$C$35, 2, 0))) * 12) + (IF(ISBLANK(Q1687), 0, IF(ISNA(VLOOKUP(Q1687, Wages!$A$2:$C$17, 2, 0)), Q1687, VLOOKUP(Q1687, Wages!$A$2:$C$17, 2, 0))) * IF(ISBLANK(N1687), 0, IF(ISNA(VLOOKUP(N1687, Crews!$A$2:$C$28, 2, 0)), N1687, VLOOKUP(N1687, Crews!$A$2:$C$28, 2, 0))))) * 400</f>
        <v>5430.952381</v>
      </c>
      <c r="K1687" s="1"/>
      <c r="L1687" s="1" t="s">
        <v>3281</v>
      </c>
      <c r="M1687" s="1" t="n">
        <v>3</v>
      </c>
      <c r="N1687" s="1" t="s">
        <v>25</v>
      </c>
      <c r="O1687" s="1"/>
      <c r="P1687" s="1"/>
      <c r="Q1687" s="1" t="s">
        <v>378</v>
      </c>
      <c r="R1687" s="1" t="s">
        <v>689</v>
      </c>
      <c r="S1687" s="1" t="s">
        <v>856</v>
      </c>
      <c r="T1687" s="1"/>
    </row>
    <row r="1688" customFormat="false" ht="15" hidden="false" customHeight="true" outlineLevel="0" collapsed="false">
      <c r="A1688" s="1" t="s">
        <v>3285</v>
      </c>
      <c r="B1688" s="1" t="n">
        <v>1935</v>
      </c>
      <c r="C1688" s="1" t="n">
        <v>1</v>
      </c>
      <c r="D1688" s="1" t="s">
        <v>38</v>
      </c>
      <c r="E1688" s="1"/>
      <c r="F1688" s="1"/>
      <c r="G1688" s="1" t="n">
        <v>175</v>
      </c>
      <c r="H1688" s="2" t="n">
        <v>530000</v>
      </c>
      <c r="I1688" s="2" t="n">
        <f aca="false">(((H1688 / 800) / IF(ISBLANK(R1688), 1000000, IF(ISNA(VLOOKUP(R1688, Mileages!$A$2:$C$34, 2, 0)), R1688, VLOOKUP(R1688, Mileages!$A$2:$C$34, 2, 0)))) + (F1688 * IF(ISBLANK(P1688), 1, P1688) * IF(ISBLANK(T1688), 0, IF(ISNA(VLOOKUP(T1688, 'Fuel Costs'!$A$2:$C$42, 2, 0)), T1688, VLOOKUP(T1688, 'Fuel Costs'!$A$2:$C$42, 2, 0))) / IF(ISBLANK(O1688), 1, O1688))) * 100</f>
        <v>0.05520833333</v>
      </c>
      <c r="J1688" s="2" t="n">
        <f aca="false">((H1688 / 800) / (IF(ISBLANK(S1688), 100, IF(ISNA(VLOOKUP(S1688, Lives!$A$2:$C$35, 2, 0)), S1688, VLOOKUP(S1688, Lives!$A$2:$C$35, 2, 0))) * 12) + (IF(ISBLANK(Q1688), 0, IF(ISNA(VLOOKUP(Q1688, Wages!$A$2:$C$17, 2, 0)), Q1688, VLOOKUP(Q1688, Wages!$A$2:$C$17, 2, 0))) * IF(ISBLANK(N1688), 0, IF(ISNA(VLOOKUP(N1688, Crews!$A$2:$C$28, 2, 0)), N1688, VLOOKUP(N1688, Crews!$A$2:$C$28, 2, 0))))) * 400</f>
        <v>5430.952381</v>
      </c>
      <c r="K1688" s="1"/>
      <c r="L1688" s="1" t="s">
        <v>3281</v>
      </c>
      <c r="M1688" s="1" t="n">
        <v>4</v>
      </c>
      <c r="N1688" s="1" t="s">
        <v>25</v>
      </c>
      <c r="O1688" s="1"/>
      <c r="P1688" s="1"/>
      <c r="Q1688" s="1" t="s">
        <v>378</v>
      </c>
      <c r="R1688" s="1" t="s">
        <v>689</v>
      </c>
      <c r="S1688" s="1" t="s">
        <v>856</v>
      </c>
      <c r="T1688" s="1"/>
    </row>
    <row r="1689" customFormat="false" ht="15" hidden="false" customHeight="true" outlineLevel="0" collapsed="false">
      <c r="A1689" s="1" t="s">
        <v>3286</v>
      </c>
      <c r="B1689" s="1" t="n">
        <v>1935</v>
      </c>
      <c r="C1689" s="1" t="n">
        <v>1</v>
      </c>
      <c r="D1689" s="1" t="s">
        <v>38</v>
      </c>
      <c r="E1689" s="1"/>
      <c r="F1689" s="1"/>
      <c r="G1689" s="1" t="n">
        <v>175</v>
      </c>
      <c r="H1689" s="2" t="n">
        <v>53000</v>
      </c>
      <c r="I1689" s="2" t="n">
        <f aca="false">(((H1689 / 800) / IF(ISBLANK(R1689), 1000000, IF(ISNA(VLOOKUP(R1689, Mileages!$A$2:$C$34, 2, 0)), R1689, VLOOKUP(R1689, Mileages!$A$2:$C$34, 2, 0)))) + (F1689 * IF(ISBLANK(P1689), 1, P1689) * IF(ISBLANK(T1689), 0, IF(ISNA(VLOOKUP(T1689, 'Fuel Costs'!$A$2:$C$42, 2, 0)), T1689, VLOOKUP(T1689, 'Fuel Costs'!$A$2:$C$42, 2, 0))) / IF(ISBLANK(O1689), 1, O1689))) * 100</f>
        <v>0.005520833333</v>
      </c>
      <c r="J1689" s="2" t="n">
        <f aca="false">((H1689 / 800) / (IF(ISBLANK(S1689), 100, IF(ISNA(VLOOKUP(S1689, Lives!$A$2:$C$35, 2, 0)), S1689, VLOOKUP(S1689, Lives!$A$2:$C$35, 2, 0))) * 12) + (IF(ISBLANK(Q1689), 0, IF(ISNA(VLOOKUP(Q1689, Wages!$A$2:$C$17, 2, 0)), Q1689, VLOOKUP(Q1689, Wages!$A$2:$C$17, 2, 0))) * IF(ISBLANK(N1689), 0, IF(ISNA(VLOOKUP(N1689, Crews!$A$2:$C$28, 2, 0)), N1689, VLOOKUP(N1689, Crews!$A$2:$C$28, 2, 0))))) * 400</f>
        <v>4863.095238</v>
      </c>
      <c r="K1689" s="1"/>
      <c r="L1689" s="1" t="s">
        <v>3281</v>
      </c>
      <c r="M1689" s="1" t="n">
        <v>5</v>
      </c>
      <c r="N1689" s="1" t="s">
        <v>25</v>
      </c>
      <c r="O1689" s="1"/>
      <c r="P1689" s="1"/>
      <c r="Q1689" s="1" t="s">
        <v>378</v>
      </c>
      <c r="R1689" s="1" t="s">
        <v>689</v>
      </c>
      <c r="S1689" s="1" t="s">
        <v>856</v>
      </c>
      <c r="T1689" s="1"/>
    </row>
    <row r="1690" customFormat="false" ht="15" hidden="false" customHeight="true" outlineLevel="0" collapsed="false">
      <c r="A1690" s="1" t="s">
        <v>3287</v>
      </c>
      <c r="B1690" s="1" t="n">
        <v>1935</v>
      </c>
      <c r="C1690" s="1" t="n">
        <v>1</v>
      </c>
      <c r="D1690" s="1" t="s">
        <v>38</v>
      </c>
      <c r="E1690" s="1"/>
      <c r="F1690" s="1"/>
      <c r="G1690" s="1" t="n">
        <v>175</v>
      </c>
      <c r="H1690" s="2" t="n">
        <v>530000</v>
      </c>
      <c r="I1690" s="2" t="n">
        <f aca="false">(((H1690 / 800) / IF(ISBLANK(R1690), 1000000, IF(ISNA(VLOOKUP(R1690, Mileages!$A$2:$C$34, 2, 0)), R1690, VLOOKUP(R1690, Mileages!$A$2:$C$34, 2, 0)))) + (F1690 * IF(ISBLANK(P1690), 1, P1690) * IF(ISBLANK(T1690), 0, IF(ISNA(VLOOKUP(T1690, 'Fuel Costs'!$A$2:$C$42, 2, 0)), T1690, VLOOKUP(T1690, 'Fuel Costs'!$A$2:$C$42, 2, 0))) / IF(ISBLANK(O1690), 1, O1690))) * 100</f>
        <v>0.05520833333</v>
      </c>
      <c r="J1690" s="2" t="n">
        <f aca="false">((H1690 / 800) / (IF(ISBLANK(S1690), 100, IF(ISNA(VLOOKUP(S1690, Lives!$A$2:$C$35, 2, 0)), S1690, VLOOKUP(S1690, Lives!$A$2:$C$35, 2, 0))) * 12) + (IF(ISBLANK(Q1690), 0, IF(ISNA(VLOOKUP(Q1690, Wages!$A$2:$C$17, 2, 0)), Q1690, VLOOKUP(Q1690, Wages!$A$2:$C$17, 2, 0))) * IF(ISBLANK(N1690), 0, IF(ISNA(VLOOKUP(N1690, Crews!$A$2:$C$28, 2, 0)), N1690, VLOOKUP(N1690, Crews!$A$2:$C$28, 2, 0))))) * 400</f>
        <v>5430.952381</v>
      </c>
      <c r="K1690" s="1"/>
      <c r="L1690" s="1" t="s">
        <v>3281</v>
      </c>
      <c r="M1690" s="1" t="n">
        <v>6</v>
      </c>
      <c r="N1690" s="1" t="s">
        <v>25</v>
      </c>
      <c r="O1690" s="1"/>
      <c r="P1690" s="1"/>
      <c r="Q1690" s="1" t="s">
        <v>378</v>
      </c>
      <c r="R1690" s="1" t="s">
        <v>689</v>
      </c>
      <c r="S1690" s="1" t="s">
        <v>856</v>
      </c>
      <c r="T1690" s="1"/>
    </row>
    <row r="1691" customFormat="false" ht="15" hidden="false" customHeight="true" outlineLevel="0" collapsed="false">
      <c r="A1691" s="1" t="s">
        <v>3288</v>
      </c>
      <c r="B1691" s="1" t="n">
        <v>1935</v>
      </c>
      <c r="C1691" s="1" t="n">
        <v>1</v>
      </c>
      <c r="D1691" s="1" t="s">
        <v>38</v>
      </c>
      <c r="E1691" s="1"/>
      <c r="F1691" s="1"/>
      <c r="G1691" s="1" t="n">
        <v>175</v>
      </c>
      <c r="H1691" s="2" t="n">
        <v>530000</v>
      </c>
      <c r="I1691" s="2" t="n">
        <f aca="false">(((H1691 / 800) / IF(ISBLANK(R1691), 1000000, IF(ISNA(VLOOKUP(R1691, Mileages!$A$2:$C$34, 2, 0)), R1691, VLOOKUP(R1691, Mileages!$A$2:$C$34, 2, 0)))) + (F1691 * IF(ISBLANK(P1691), 1, P1691) * IF(ISBLANK(T1691), 0, IF(ISNA(VLOOKUP(T1691, 'Fuel Costs'!$A$2:$C$42, 2, 0)), T1691, VLOOKUP(T1691, 'Fuel Costs'!$A$2:$C$42, 2, 0))) / IF(ISBLANK(O1691), 1, O1691))) * 100</f>
        <v>0.05520833333</v>
      </c>
      <c r="J1691" s="2" t="n">
        <f aca="false">((H1691 / 800) / (IF(ISBLANK(S1691), 100, IF(ISNA(VLOOKUP(S1691, Lives!$A$2:$C$35, 2, 0)), S1691, VLOOKUP(S1691, Lives!$A$2:$C$35, 2, 0))) * 12) + (IF(ISBLANK(Q1691), 0, IF(ISNA(VLOOKUP(Q1691, Wages!$A$2:$C$17, 2, 0)), Q1691, VLOOKUP(Q1691, Wages!$A$2:$C$17, 2, 0))) * IF(ISBLANK(N1691), 0, IF(ISNA(VLOOKUP(N1691, Crews!$A$2:$C$28, 2, 0)), N1691, VLOOKUP(N1691, Crews!$A$2:$C$28, 2, 0))))) * 400</f>
        <v>630.952381</v>
      </c>
      <c r="K1691" s="1"/>
      <c r="L1691" s="1" t="s">
        <v>3281</v>
      </c>
      <c r="M1691" s="1" t="n">
        <v>7</v>
      </c>
      <c r="N1691" s="1"/>
      <c r="O1691" s="1"/>
      <c r="P1691" s="1"/>
      <c r="Q1691" s="1"/>
      <c r="R1691" s="1" t="s">
        <v>689</v>
      </c>
      <c r="S1691" s="1" t="s">
        <v>856</v>
      </c>
      <c r="T1691" s="1"/>
    </row>
    <row r="1692" customFormat="false" ht="15" hidden="false" customHeight="true" outlineLevel="0" collapsed="false">
      <c r="A1692" s="1" t="s">
        <v>3289</v>
      </c>
      <c r="B1692" s="1" t="n">
        <v>1935</v>
      </c>
      <c r="C1692" s="1" t="n">
        <v>1</v>
      </c>
      <c r="D1692" s="1" t="s">
        <v>38</v>
      </c>
      <c r="E1692" s="1"/>
      <c r="F1692" s="1"/>
      <c r="G1692" s="1" t="n">
        <v>175</v>
      </c>
      <c r="H1692" s="2" t="n">
        <v>530000</v>
      </c>
      <c r="I1692" s="2" t="n">
        <f aca="false">(((H1692 / 800) / IF(ISBLANK(R1692), 1000000, IF(ISNA(VLOOKUP(R1692, Mileages!$A$2:$C$34, 2, 0)), R1692, VLOOKUP(R1692, Mileages!$A$2:$C$34, 2, 0)))) + (F1692 * IF(ISBLANK(P1692), 1, P1692) * IF(ISBLANK(T1692), 0, IF(ISNA(VLOOKUP(T1692, 'Fuel Costs'!$A$2:$C$42, 2, 0)), T1692, VLOOKUP(T1692, 'Fuel Costs'!$A$2:$C$42, 2, 0))) / IF(ISBLANK(O1692), 1, O1692))) * 100</f>
        <v>0.05520833333</v>
      </c>
      <c r="J1692" s="2" t="n">
        <f aca="false">((H1692 / 800) / (IF(ISBLANK(S1692), 100, IF(ISNA(VLOOKUP(S1692, Lives!$A$2:$C$35, 2, 0)), S1692, VLOOKUP(S1692, Lives!$A$2:$C$35, 2, 0))) * 12) + (IF(ISBLANK(Q1692), 0, IF(ISNA(VLOOKUP(Q1692, Wages!$A$2:$C$17, 2, 0)), Q1692, VLOOKUP(Q1692, Wages!$A$2:$C$17, 2, 0))) * IF(ISBLANK(N1692), 0, IF(ISNA(VLOOKUP(N1692, Crews!$A$2:$C$28, 2, 0)), N1692, VLOOKUP(N1692, Crews!$A$2:$C$28, 2, 0))))) * 400</f>
        <v>18630.95238</v>
      </c>
      <c r="K1692" s="1"/>
      <c r="L1692" s="1" t="s">
        <v>3281</v>
      </c>
      <c r="M1692" s="1" t="n">
        <v>8</v>
      </c>
      <c r="N1692" s="1" t="s">
        <v>1481</v>
      </c>
      <c r="O1692" s="1"/>
      <c r="P1692" s="1"/>
      <c r="Q1692" s="1" t="s">
        <v>1481</v>
      </c>
      <c r="R1692" s="1" t="s">
        <v>689</v>
      </c>
      <c r="S1692" s="1" t="s">
        <v>856</v>
      </c>
      <c r="T1692" s="1"/>
    </row>
    <row r="1693" customFormat="false" ht="15" hidden="false" customHeight="true" outlineLevel="0" collapsed="false">
      <c r="A1693" s="1" t="s">
        <v>3290</v>
      </c>
      <c r="B1693" s="1" t="n">
        <v>1935</v>
      </c>
      <c r="C1693" s="1" t="n">
        <v>1</v>
      </c>
      <c r="D1693" s="1" t="s">
        <v>38</v>
      </c>
      <c r="E1693" s="1"/>
      <c r="F1693" s="1"/>
      <c r="G1693" s="1" t="n">
        <v>175</v>
      </c>
      <c r="H1693" s="2" t="n">
        <v>530000</v>
      </c>
      <c r="I1693" s="2" t="n">
        <f aca="false">(((H1693 / 800) / IF(ISBLANK(R1693), 1000000, IF(ISNA(VLOOKUP(R1693, Mileages!$A$2:$C$34, 2, 0)), R1693, VLOOKUP(R1693, Mileages!$A$2:$C$34, 2, 0)))) + (F1693 * IF(ISBLANK(P1693), 1, P1693) * IF(ISBLANK(T1693), 0, IF(ISNA(VLOOKUP(T1693, 'Fuel Costs'!$A$2:$C$42, 2, 0)), T1693, VLOOKUP(T1693, 'Fuel Costs'!$A$2:$C$42, 2, 0))) / IF(ISBLANK(O1693), 1, O1693))) * 100</f>
        <v>0.05520833333</v>
      </c>
      <c r="J1693" s="2" t="n">
        <f aca="false">((H1693 / 800) / (IF(ISBLANK(S1693), 100, IF(ISNA(VLOOKUP(S1693, Lives!$A$2:$C$35, 2, 0)), S1693, VLOOKUP(S1693, Lives!$A$2:$C$35, 2, 0))) * 12) + (IF(ISBLANK(Q1693), 0, IF(ISNA(VLOOKUP(Q1693, Wages!$A$2:$C$17, 2, 0)), Q1693, VLOOKUP(Q1693, Wages!$A$2:$C$17, 2, 0))) * IF(ISBLANK(N1693), 0, IF(ISNA(VLOOKUP(N1693, Crews!$A$2:$C$28, 2, 0)), N1693, VLOOKUP(N1693, Crews!$A$2:$C$28, 2, 0))))) * 400</f>
        <v>18630.95238</v>
      </c>
      <c r="K1693" s="1"/>
      <c r="L1693" s="1" t="s">
        <v>3281</v>
      </c>
      <c r="M1693" s="1" t="n">
        <v>9</v>
      </c>
      <c r="N1693" s="1" t="s">
        <v>1481</v>
      </c>
      <c r="O1693" s="1"/>
      <c r="P1693" s="1"/>
      <c r="Q1693" s="1" t="s">
        <v>1481</v>
      </c>
      <c r="R1693" s="1" t="s">
        <v>689</v>
      </c>
      <c r="S1693" s="1" t="s">
        <v>856</v>
      </c>
      <c r="T1693" s="1"/>
    </row>
    <row r="1694" customFormat="false" ht="15" hidden="false" customHeight="true" outlineLevel="0" collapsed="false">
      <c r="A1694" s="1" t="s">
        <v>3291</v>
      </c>
      <c r="B1694" s="1" t="n">
        <v>1935</v>
      </c>
      <c r="C1694" s="1" t="n">
        <v>1</v>
      </c>
      <c r="D1694" s="1" t="s">
        <v>38</v>
      </c>
      <c r="E1694" s="1"/>
      <c r="F1694" s="1"/>
      <c r="G1694" s="1" t="n">
        <v>175</v>
      </c>
      <c r="H1694" s="2" t="n">
        <v>530000</v>
      </c>
      <c r="I1694" s="2" t="n">
        <f aca="false">(((H1694 / 800) / IF(ISBLANK(R1694), 1000000, IF(ISNA(VLOOKUP(R1694, Mileages!$A$2:$C$34, 2, 0)), R1694, VLOOKUP(R1694, Mileages!$A$2:$C$34, 2, 0)))) + (F1694 * IF(ISBLANK(P1694), 1, P1694) * IF(ISBLANK(T1694), 0, IF(ISNA(VLOOKUP(T1694, 'Fuel Costs'!$A$2:$C$42, 2, 0)), T1694, VLOOKUP(T1694, 'Fuel Costs'!$A$2:$C$42, 2, 0))) / IF(ISBLANK(O1694), 1, O1694))) * 100</f>
        <v>0.05520833333</v>
      </c>
      <c r="J1694" s="2" t="n">
        <f aca="false">((H1694 / 800) / (IF(ISBLANK(S1694), 100, IF(ISNA(VLOOKUP(S1694, Lives!$A$2:$C$35, 2, 0)), S1694, VLOOKUP(S1694, Lives!$A$2:$C$35, 2, 0))) * 12) + (IF(ISBLANK(Q1694), 0, IF(ISNA(VLOOKUP(Q1694, Wages!$A$2:$C$17, 2, 0)), Q1694, VLOOKUP(Q1694, Wages!$A$2:$C$17, 2, 0))) * IF(ISBLANK(N1694), 0, IF(ISNA(VLOOKUP(N1694, Crews!$A$2:$C$28, 2, 0)), N1694, VLOOKUP(N1694, Crews!$A$2:$C$28, 2, 0))))) * 400</f>
        <v>18630.95238</v>
      </c>
      <c r="K1694" s="1"/>
      <c r="L1694" s="1" t="s">
        <v>3281</v>
      </c>
      <c r="M1694" s="1" t="n">
        <v>10</v>
      </c>
      <c r="N1694" s="1" t="s">
        <v>1481</v>
      </c>
      <c r="O1694" s="1"/>
      <c r="P1694" s="1"/>
      <c r="Q1694" s="1" t="s">
        <v>1481</v>
      </c>
      <c r="R1694" s="1" t="s">
        <v>689</v>
      </c>
      <c r="S1694" s="1" t="s">
        <v>856</v>
      </c>
      <c r="T1694" s="1"/>
    </row>
    <row r="1695" customFormat="false" ht="15" hidden="false" customHeight="true" outlineLevel="0" collapsed="false">
      <c r="A1695" s="1" t="s">
        <v>3292</v>
      </c>
      <c r="B1695" s="1" t="n">
        <v>1935</v>
      </c>
      <c r="C1695" s="1" t="n">
        <v>1</v>
      </c>
      <c r="D1695" s="1" t="s">
        <v>38</v>
      </c>
      <c r="E1695" s="1" t="s">
        <v>274</v>
      </c>
      <c r="F1695" s="1" t="n">
        <v>2550</v>
      </c>
      <c r="G1695" s="1" t="n">
        <v>175</v>
      </c>
      <c r="H1695" s="2" t="n">
        <v>11088000</v>
      </c>
      <c r="I1695" s="2" t="n">
        <f aca="false">(((H1695 / 800) / IF(ISBLANK(R1695), 1000000, IF(ISNA(VLOOKUP(R1695, Mileages!$A$2:$C$34, 2, 0)), R1695, VLOOKUP(R1695, Mileages!$A$2:$C$34, 2, 0)))) + (F1695 * IF(ISBLANK(P1695), 1, P1695) * IF(ISBLANK(T1695), 0, IF(ISNA(VLOOKUP(T1695, 'Fuel Costs'!$A$2:$C$42, 2, 0)), T1695, VLOOKUP(T1695, 'Fuel Costs'!$A$2:$C$42, 2, 0))) / IF(ISBLANK(O1695), 1, O1695))) * 100</f>
        <v>1277.31</v>
      </c>
      <c r="J1695" s="2" t="n">
        <f aca="false">((H1695 / 800) / (IF(ISBLANK(S1695), 100, IF(ISNA(VLOOKUP(S1695, Lives!$A$2:$C$35, 2, 0)), S1695, VLOOKUP(S1695, Lives!$A$2:$C$35, 2, 0))) * 12) + (IF(ISBLANK(Q1695), 0, IF(ISNA(VLOOKUP(Q1695, Wages!$A$2:$C$17, 2, 0)), Q1695, VLOOKUP(Q1695, Wages!$A$2:$C$17, 2, 0))) * IF(ISBLANK(N1695), 0, IF(ISNA(VLOOKUP(N1695, Crews!$A$2:$C$28, 2, 0)), N1695, VLOOKUP(N1695, Crews!$A$2:$C$28, 2, 0))))) * 400</f>
        <v>63100</v>
      </c>
      <c r="K1695" s="1"/>
      <c r="L1695" s="1" t="s">
        <v>3293</v>
      </c>
      <c r="M1695" s="1" t="n">
        <v>0</v>
      </c>
      <c r="N1695" s="1" t="s">
        <v>1705</v>
      </c>
      <c r="O1695" s="1" t="n">
        <v>0.8</v>
      </c>
      <c r="P1695" s="1"/>
      <c r="Q1695" s="5" t="s">
        <v>284</v>
      </c>
      <c r="R1695" s="1" t="s">
        <v>2617</v>
      </c>
      <c r="S1695" s="1" t="s">
        <v>2617</v>
      </c>
      <c r="T1695" s="1" t="s">
        <v>2252</v>
      </c>
    </row>
    <row r="1696" customFormat="false" ht="15" hidden="false" customHeight="true" outlineLevel="0" collapsed="false">
      <c r="A1696" s="1" t="s">
        <v>3294</v>
      </c>
      <c r="B1696" s="1" t="n">
        <v>1935</v>
      </c>
      <c r="C1696" s="1" t="n">
        <v>1</v>
      </c>
      <c r="D1696" s="1" t="s">
        <v>38</v>
      </c>
      <c r="E1696" s="1" t="s">
        <v>274</v>
      </c>
      <c r="F1696" s="1" t="n">
        <v>2550</v>
      </c>
      <c r="G1696" s="1" t="n">
        <v>175</v>
      </c>
      <c r="H1696" s="2" t="n">
        <v>11088000</v>
      </c>
      <c r="I1696" s="2" t="n">
        <f aca="false">(((H1696 / 800) / IF(ISBLANK(R1696), 1000000, IF(ISNA(VLOOKUP(R1696, Mileages!$A$2:$C$34, 2, 0)), R1696, VLOOKUP(R1696, Mileages!$A$2:$C$34, 2, 0)))) + (F1696 * IF(ISBLANK(P1696), 1, P1696) * IF(ISBLANK(T1696), 0, IF(ISNA(VLOOKUP(T1696, 'Fuel Costs'!$A$2:$C$42, 2, 0)), T1696, VLOOKUP(T1696, 'Fuel Costs'!$A$2:$C$42, 2, 0))) / IF(ISBLANK(O1696), 1, O1696))) * 100</f>
        <v>1277.31</v>
      </c>
      <c r="J1696" s="2" t="n">
        <f aca="false">((H1696 / 800) / (IF(ISBLANK(S1696), 100, IF(ISNA(VLOOKUP(S1696, Lives!$A$2:$C$35, 2, 0)), S1696, VLOOKUP(S1696, Lives!$A$2:$C$35, 2, 0))) * 12) + (IF(ISBLANK(Q1696), 0, IF(ISNA(VLOOKUP(Q1696, Wages!$A$2:$C$17, 2, 0)), Q1696, VLOOKUP(Q1696, Wages!$A$2:$C$17, 2, 0))) * IF(ISBLANK(N1696), 0, IF(ISNA(VLOOKUP(N1696, Crews!$A$2:$C$28, 2, 0)), N1696, VLOOKUP(N1696, Crews!$A$2:$C$28, 2, 0))))) * 400</f>
        <v>63100</v>
      </c>
      <c r="K1696" s="1"/>
      <c r="L1696" s="1" t="s">
        <v>3293</v>
      </c>
      <c r="M1696" s="1" t="n">
        <v>1</v>
      </c>
      <c r="N1696" s="1" t="s">
        <v>1705</v>
      </c>
      <c r="O1696" s="1" t="n">
        <v>0.8</v>
      </c>
      <c r="P1696" s="1"/>
      <c r="Q1696" s="5" t="s">
        <v>284</v>
      </c>
      <c r="R1696" s="1" t="s">
        <v>2617</v>
      </c>
      <c r="S1696" s="1" t="s">
        <v>2617</v>
      </c>
      <c r="T1696" s="1" t="s">
        <v>2252</v>
      </c>
    </row>
    <row r="1697" customFormat="false" ht="15" hidden="false" customHeight="true" outlineLevel="0" collapsed="false">
      <c r="A1697" s="1" t="s">
        <v>3295</v>
      </c>
      <c r="B1697" s="1" t="n">
        <v>1935</v>
      </c>
      <c r="C1697" s="1" t="n">
        <v>1</v>
      </c>
      <c r="D1697" s="1" t="s">
        <v>38</v>
      </c>
      <c r="E1697" s="1" t="s">
        <v>274</v>
      </c>
      <c r="F1697" s="1" t="n">
        <v>2550</v>
      </c>
      <c r="G1697" s="1" t="n">
        <v>175</v>
      </c>
      <c r="H1697" s="2" t="n">
        <v>11088000</v>
      </c>
      <c r="I1697" s="2" t="n">
        <f aca="false">(((H1697 / 800) / IF(ISBLANK(R1697), 1000000, IF(ISNA(VLOOKUP(R1697, Mileages!$A$2:$C$34, 2, 0)), R1697, VLOOKUP(R1697, Mileages!$A$2:$C$34, 2, 0)))) + (F1697 * IF(ISBLANK(P1697), 1, P1697) * IF(ISBLANK(T1697), 0, IF(ISNA(VLOOKUP(T1697, 'Fuel Costs'!$A$2:$C$42, 2, 0)), T1697, VLOOKUP(T1697, 'Fuel Costs'!$A$2:$C$42, 2, 0))) / IF(ISBLANK(O1697), 1, O1697))) * 100</f>
        <v>1277.31</v>
      </c>
      <c r="J1697" s="2" t="n">
        <f aca="false">((H1697 / 800) / (IF(ISBLANK(S1697), 100, IF(ISNA(VLOOKUP(S1697, Lives!$A$2:$C$35, 2, 0)), S1697, VLOOKUP(S1697, Lives!$A$2:$C$35, 2, 0))) * 12) + (IF(ISBLANK(Q1697), 0, IF(ISNA(VLOOKUP(Q1697, Wages!$A$2:$C$17, 2, 0)), Q1697, VLOOKUP(Q1697, Wages!$A$2:$C$17, 2, 0))) * IF(ISBLANK(N1697), 0, IF(ISNA(VLOOKUP(N1697, Crews!$A$2:$C$28, 2, 0)), N1697, VLOOKUP(N1697, Crews!$A$2:$C$28, 2, 0))))) * 400</f>
        <v>63100</v>
      </c>
      <c r="K1697" s="1"/>
      <c r="L1697" s="1" t="s">
        <v>3293</v>
      </c>
      <c r="M1697" s="1" t="n">
        <v>2</v>
      </c>
      <c r="N1697" s="1" t="s">
        <v>1705</v>
      </c>
      <c r="O1697" s="1" t="n">
        <v>0.8</v>
      </c>
      <c r="P1697" s="1"/>
      <c r="Q1697" s="5" t="s">
        <v>284</v>
      </c>
      <c r="R1697" s="1" t="s">
        <v>2617</v>
      </c>
      <c r="S1697" s="1" t="s">
        <v>2617</v>
      </c>
      <c r="T1697" s="1" t="s">
        <v>2252</v>
      </c>
    </row>
    <row r="1698" customFormat="false" ht="15" hidden="false" customHeight="true" outlineLevel="0" collapsed="false">
      <c r="A1698" s="1" t="s">
        <v>3296</v>
      </c>
      <c r="B1698" s="1" t="n">
        <v>1935</v>
      </c>
      <c r="C1698" s="1" t="n">
        <v>1</v>
      </c>
      <c r="D1698" s="1" t="s">
        <v>38</v>
      </c>
      <c r="E1698" s="1" t="s">
        <v>274</v>
      </c>
      <c r="F1698" s="1" t="n">
        <v>2550</v>
      </c>
      <c r="G1698" s="1" t="n">
        <v>175</v>
      </c>
      <c r="H1698" s="2" t="n">
        <v>11088000</v>
      </c>
      <c r="I1698" s="2" t="n">
        <f aca="false">(((H1698 / 800) / IF(ISBLANK(R1698), 1000000, IF(ISNA(VLOOKUP(R1698, Mileages!$A$2:$C$34, 2, 0)), R1698, VLOOKUP(R1698, Mileages!$A$2:$C$34, 2, 0)))) + (F1698 * IF(ISBLANK(P1698), 1, P1698) * IF(ISBLANK(T1698), 0, IF(ISNA(VLOOKUP(T1698, 'Fuel Costs'!$A$2:$C$42, 2, 0)), T1698, VLOOKUP(T1698, 'Fuel Costs'!$A$2:$C$42, 2, 0))) / IF(ISBLANK(O1698), 1, O1698))) * 100</f>
        <v>1277.31</v>
      </c>
      <c r="J1698" s="2" t="n">
        <f aca="false">((H1698 / 800) / (IF(ISBLANK(S1698), 100, IF(ISNA(VLOOKUP(S1698, Lives!$A$2:$C$35, 2, 0)), S1698, VLOOKUP(S1698, Lives!$A$2:$C$35, 2, 0))) * 12) + (IF(ISBLANK(Q1698), 0, IF(ISNA(VLOOKUP(Q1698, Wages!$A$2:$C$17, 2, 0)), Q1698, VLOOKUP(Q1698, Wages!$A$2:$C$17, 2, 0))) * IF(ISBLANK(N1698), 0, IF(ISNA(VLOOKUP(N1698, Crews!$A$2:$C$28, 2, 0)), N1698, VLOOKUP(N1698, Crews!$A$2:$C$28, 2, 0))))) * 400</f>
        <v>63100</v>
      </c>
      <c r="K1698" s="1"/>
      <c r="L1698" s="1" t="s">
        <v>3293</v>
      </c>
      <c r="M1698" s="1" t="n">
        <v>3</v>
      </c>
      <c r="N1698" s="1" t="s">
        <v>1705</v>
      </c>
      <c r="O1698" s="1" t="n">
        <v>0.8</v>
      </c>
      <c r="P1698" s="1"/>
      <c r="Q1698" s="5" t="s">
        <v>284</v>
      </c>
      <c r="R1698" s="1" t="s">
        <v>2617</v>
      </c>
      <c r="S1698" s="1" t="s">
        <v>2617</v>
      </c>
      <c r="T1698" s="1" t="s">
        <v>2252</v>
      </c>
    </row>
    <row r="1699" customFormat="false" ht="15" hidden="false" customHeight="true" outlineLevel="0" collapsed="false">
      <c r="A1699" s="1" t="s">
        <v>3297</v>
      </c>
      <c r="B1699" s="1" t="n">
        <v>1935</v>
      </c>
      <c r="C1699" s="1" t="n">
        <v>1</v>
      </c>
      <c r="D1699" s="1" t="s">
        <v>38</v>
      </c>
      <c r="E1699" s="1" t="s">
        <v>274</v>
      </c>
      <c r="F1699" s="1" t="n">
        <v>2550</v>
      </c>
      <c r="G1699" s="1" t="n">
        <v>175</v>
      </c>
      <c r="H1699" s="2" t="n">
        <v>11088000</v>
      </c>
      <c r="I1699" s="2" t="n">
        <f aca="false">(((H1699 / 800) / IF(ISBLANK(R1699), 1000000, IF(ISNA(VLOOKUP(R1699, Mileages!$A$2:$C$34, 2, 0)), R1699, VLOOKUP(R1699, Mileages!$A$2:$C$34, 2, 0)))) + (F1699 * IF(ISBLANK(P1699), 1, P1699) * IF(ISBLANK(T1699), 0, IF(ISNA(VLOOKUP(T1699, 'Fuel Costs'!$A$2:$C$42, 2, 0)), T1699, VLOOKUP(T1699, 'Fuel Costs'!$A$2:$C$42, 2, 0))) / IF(ISBLANK(O1699), 1, O1699))) * 100</f>
        <v>1277.31</v>
      </c>
      <c r="J1699" s="2" t="n">
        <f aca="false">((H1699 / 800) / (IF(ISBLANK(S1699), 100, IF(ISNA(VLOOKUP(S1699, Lives!$A$2:$C$35, 2, 0)), S1699, VLOOKUP(S1699, Lives!$A$2:$C$35, 2, 0))) * 12) + (IF(ISBLANK(Q1699), 0, IF(ISNA(VLOOKUP(Q1699, Wages!$A$2:$C$17, 2, 0)), Q1699, VLOOKUP(Q1699, Wages!$A$2:$C$17, 2, 0))) * IF(ISBLANK(N1699), 0, IF(ISNA(VLOOKUP(N1699, Crews!$A$2:$C$28, 2, 0)), N1699, VLOOKUP(N1699, Crews!$A$2:$C$28, 2, 0))))) * 400</f>
        <v>63100</v>
      </c>
      <c r="K1699" s="1"/>
      <c r="L1699" s="1" t="s">
        <v>3293</v>
      </c>
      <c r="M1699" s="1" t="n">
        <v>4</v>
      </c>
      <c r="N1699" s="1" t="s">
        <v>1705</v>
      </c>
      <c r="O1699" s="1" t="n">
        <v>0.8</v>
      </c>
      <c r="P1699" s="1"/>
      <c r="Q1699" s="5" t="s">
        <v>284</v>
      </c>
      <c r="R1699" s="1" t="s">
        <v>2617</v>
      </c>
      <c r="S1699" s="1" t="s">
        <v>2617</v>
      </c>
      <c r="T1699" s="1" t="s">
        <v>2252</v>
      </c>
    </row>
    <row r="1700" customFormat="false" ht="15" hidden="false" customHeight="true" outlineLevel="0" collapsed="false">
      <c r="A1700" s="1" t="s">
        <v>3298</v>
      </c>
      <c r="B1700" s="1" t="n">
        <v>1935</v>
      </c>
      <c r="C1700" s="1" t="n">
        <v>3</v>
      </c>
      <c r="D1700" s="1" t="s">
        <v>38</v>
      </c>
      <c r="E1700" s="1"/>
      <c r="F1700" s="1"/>
      <c r="G1700" s="1" t="n">
        <v>175</v>
      </c>
      <c r="H1700" s="2" t="n">
        <v>870000</v>
      </c>
      <c r="I1700" s="2" t="n">
        <f aca="false">(((H1700 / 800) / IF(ISBLANK(R1700), 1000000, IF(ISNA(VLOOKUP(R1700, Mileages!$A$2:$C$34, 2, 0)), R1700, VLOOKUP(R1700, Mileages!$A$2:$C$34, 2, 0)))) + (F1700 * IF(ISBLANK(P1700), 1, P1700) * IF(ISBLANK(T1700), 0, IF(ISNA(VLOOKUP(T1700, 'Fuel Costs'!$A$2:$C$42, 2, 0)), T1700, VLOOKUP(T1700, 'Fuel Costs'!$A$2:$C$42, 2, 0))) / IF(ISBLANK(O1700), 1, O1700))) * 100</f>
        <v>0.090625</v>
      </c>
      <c r="J1700" s="2" t="n">
        <f aca="false">((H1700 / 800) / (IF(ISBLANK(S1700), 100, IF(ISNA(VLOOKUP(S1700, Lives!$A$2:$C$35, 2, 0)), S1700, VLOOKUP(S1700, Lives!$A$2:$C$35, 2, 0))) * 12) + (IF(ISBLANK(Q1700), 0, IF(ISNA(VLOOKUP(Q1700, Wages!$A$2:$C$17, 2, 0)), Q1700, VLOOKUP(Q1700, Wages!$A$2:$C$17, 2, 0))) * IF(ISBLANK(N1700), 0, IF(ISNA(VLOOKUP(N1700, Crews!$A$2:$C$28, 2, 0)), N1700, VLOOKUP(N1700, Crews!$A$2:$C$28, 2, 0))))) * 400</f>
        <v>5835.714286</v>
      </c>
      <c r="K1700" s="1"/>
      <c r="L1700" s="1" t="s">
        <v>3299</v>
      </c>
      <c r="M1700" s="1" t="n">
        <v>0</v>
      </c>
      <c r="N1700" s="1" t="s">
        <v>25</v>
      </c>
      <c r="O1700" s="1"/>
      <c r="P1700" s="1"/>
      <c r="Q1700" s="1" t="s">
        <v>378</v>
      </c>
      <c r="R1700" s="1" t="s">
        <v>689</v>
      </c>
      <c r="S1700" s="1" t="s">
        <v>856</v>
      </c>
      <c r="T1700" s="1"/>
    </row>
    <row r="1701" customFormat="false" ht="15" hidden="false" customHeight="true" outlineLevel="0" collapsed="false">
      <c r="A1701" s="1" t="s">
        <v>3300</v>
      </c>
      <c r="B1701" s="1" t="n">
        <v>1935</v>
      </c>
      <c r="C1701" s="1" t="n">
        <v>3</v>
      </c>
      <c r="D1701" s="1" t="s">
        <v>38</v>
      </c>
      <c r="E1701" s="1"/>
      <c r="F1701" s="1"/>
      <c r="G1701" s="1" t="n">
        <v>175</v>
      </c>
      <c r="H1701" s="2" t="n">
        <v>870000</v>
      </c>
      <c r="I1701" s="2" t="n">
        <f aca="false">(((H1701 / 800) / IF(ISBLANK(R1701), 1000000, IF(ISNA(VLOOKUP(R1701, Mileages!$A$2:$C$34, 2, 0)), R1701, VLOOKUP(R1701, Mileages!$A$2:$C$34, 2, 0)))) + (F1701 * IF(ISBLANK(P1701), 1, P1701) * IF(ISBLANK(T1701), 0, IF(ISNA(VLOOKUP(T1701, 'Fuel Costs'!$A$2:$C$42, 2, 0)), T1701, VLOOKUP(T1701, 'Fuel Costs'!$A$2:$C$42, 2, 0))) / IF(ISBLANK(O1701), 1, O1701))) * 100</f>
        <v>0.090625</v>
      </c>
      <c r="J1701" s="2" t="n">
        <f aca="false">((H1701 / 800) / (IF(ISBLANK(S1701), 100, IF(ISNA(VLOOKUP(S1701, Lives!$A$2:$C$35, 2, 0)), S1701, VLOOKUP(S1701, Lives!$A$2:$C$35, 2, 0))) * 12) + (IF(ISBLANK(Q1701), 0, IF(ISNA(VLOOKUP(Q1701, Wages!$A$2:$C$17, 2, 0)), Q1701, VLOOKUP(Q1701, Wages!$A$2:$C$17, 2, 0))) * IF(ISBLANK(N1701), 0, IF(ISNA(VLOOKUP(N1701, Crews!$A$2:$C$28, 2, 0)), N1701, VLOOKUP(N1701, Crews!$A$2:$C$28, 2, 0))))) * 400</f>
        <v>5835.714286</v>
      </c>
      <c r="K1701" s="1"/>
      <c r="L1701" s="1" t="s">
        <v>3299</v>
      </c>
      <c r="M1701" s="1" t="n">
        <v>1</v>
      </c>
      <c r="N1701" s="1" t="s">
        <v>25</v>
      </c>
      <c r="O1701" s="1"/>
      <c r="P1701" s="1"/>
      <c r="Q1701" s="1" t="s">
        <v>378</v>
      </c>
      <c r="R1701" s="1" t="s">
        <v>689</v>
      </c>
      <c r="S1701" s="1" t="s">
        <v>856</v>
      </c>
      <c r="T1701" s="1"/>
    </row>
    <row r="1702" customFormat="false" ht="15" hidden="false" customHeight="true" outlineLevel="0" collapsed="false">
      <c r="A1702" s="1" t="s">
        <v>3301</v>
      </c>
      <c r="B1702" s="1" t="n">
        <v>1935</v>
      </c>
      <c r="C1702" s="1" t="n">
        <v>3</v>
      </c>
      <c r="D1702" s="1" t="s">
        <v>38</v>
      </c>
      <c r="E1702" s="1" t="s">
        <v>274</v>
      </c>
      <c r="F1702" s="1" t="n">
        <v>420</v>
      </c>
      <c r="G1702" s="1" t="n">
        <v>90</v>
      </c>
      <c r="H1702" s="2" t="n">
        <v>5940000</v>
      </c>
      <c r="I1702" s="2" t="n">
        <f aca="false">(((H1702 / 800) / IF(ISBLANK(R1702), 1000000, IF(ISNA(VLOOKUP(R1702, Mileages!$A$2:$C$34, 2, 0)), R1702, VLOOKUP(R1702, Mileages!$A$2:$C$34, 2, 0)))) + (F1702 * IF(ISBLANK(P1702), 1, P1702) * IF(ISBLANK(T1702), 0, IF(ISNA(VLOOKUP(T1702, 'Fuel Costs'!$A$2:$C$42, 2, 0)), T1702, VLOOKUP(T1702, 'Fuel Costs'!$A$2:$C$42, 2, 0))) / IF(ISBLANK(O1702), 1, O1702))) * 100</f>
        <v>240.7425</v>
      </c>
      <c r="J1702" s="2" t="n">
        <f aca="false">((H1702 / 800) / (IF(ISBLANK(S1702), 100, IF(ISNA(VLOOKUP(S1702, Lives!$A$2:$C$35, 2, 0)), S1702, VLOOKUP(S1702, Lives!$A$2:$C$35, 2, 0))) * 12) + (IF(ISBLANK(Q1702), 0, IF(ISNA(VLOOKUP(Q1702, Wages!$A$2:$C$17, 2, 0)), Q1702, VLOOKUP(Q1702, Wages!$A$2:$C$17, 2, 0))) * IF(ISBLANK(N1702), 0, IF(ISNA(VLOOKUP(N1702, Crews!$A$2:$C$28, 2, 0)), N1702, VLOOKUP(N1702, Crews!$A$2:$C$28, 2, 0))))) * 400</f>
        <v>28950</v>
      </c>
      <c r="K1702" s="1" t="s">
        <v>1692</v>
      </c>
      <c r="L1702" s="1" t="s">
        <v>3302</v>
      </c>
      <c r="M1702" s="1" t="n">
        <v>0</v>
      </c>
      <c r="N1702" s="1" t="s">
        <v>590</v>
      </c>
      <c r="O1702" s="1" t="n">
        <v>0.7</v>
      </c>
      <c r="P1702" s="1"/>
      <c r="Q1702" s="5" t="s">
        <v>284</v>
      </c>
      <c r="R1702" s="1" t="s">
        <v>677</v>
      </c>
      <c r="S1702" s="1" t="s">
        <v>677</v>
      </c>
      <c r="T1702" s="1" t="s">
        <v>2252</v>
      </c>
    </row>
    <row r="1703" customFormat="false" ht="15" hidden="false" customHeight="true" outlineLevel="0" collapsed="false">
      <c r="A1703" s="1" t="s">
        <v>3303</v>
      </c>
      <c r="B1703" s="1" t="n">
        <v>1935</v>
      </c>
      <c r="C1703" s="1" t="n">
        <v>3</v>
      </c>
      <c r="D1703" s="1" t="s">
        <v>21</v>
      </c>
      <c r="E1703" s="1" t="s">
        <v>1839</v>
      </c>
      <c r="F1703" s="1" t="n">
        <v>48</v>
      </c>
      <c r="G1703" s="1" t="n">
        <v>64</v>
      </c>
      <c r="H1703" s="2" t="n">
        <v>620000</v>
      </c>
      <c r="I1703" s="2" t="n">
        <f aca="false">(((H1703 / 800) / IF(ISBLANK(R1703), 1000000, IF(ISNA(VLOOKUP(R1703, Mileages!$A$2:$C$34, 2, 0)), R1703, VLOOKUP(R1703, Mileages!$A$2:$C$34, 2, 0)))) + (F1703 * IF(ISBLANK(P1703), 1, P1703) * IF(ISBLANK(T1703), 0, IF(ISNA(VLOOKUP(T1703, 'Fuel Costs'!$A$2:$C$42, 2, 0)), T1703, VLOOKUP(T1703, 'Fuel Costs'!$A$2:$C$42, 2, 0))) / IF(ISBLANK(O1703), 1, O1703))) * 100</f>
        <v>48.155</v>
      </c>
      <c r="J1703" s="2" t="n">
        <f aca="false">((H1703 / 800) / (IF(ISBLANK(S1703), 100, IF(ISNA(VLOOKUP(S1703, Lives!$A$2:$C$35, 2, 0)), S1703, VLOOKUP(S1703, Lives!$A$2:$C$35, 2, 0))) * 12) + (IF(ISBLANK(Q1703), 0, IF(ISNA(VLOOKUP(Q1703, Wages!$A$2:$C$17, 2, 0)), Q1703, VLOOKUP(Q1703, Wages!$A$2:$C$17, 2, 0))) * IF(ISBLANK(N1703), 0, IF(ISNA(VLOOKUP(N1703, Crews!$A$2:$C$28, 2, 0)), N1703, VLOOKUP(N1703, Crews!$A$2:$C$28, 2, 0))))) * 400</f>
        <v>8322.916667</v>
      </c>
      <c r="K1703" s="3" t="s">
        <v>3304</v>
      </c>
      <c r="L1703" s="1" t="s">
        <v>3305</v>
      </c>
      <c r="M1703" s="1" t="n">
        <v>0</v>
      </c>
      <c r="N1703" s="1" t="s">
        <v>25</v>
      </c>
      <c r="O1703" s="1" t="n">
        <v>0.6</v>
      </c>
      <c r="P1703" s="1"/>
      <c r="Q1703" s="1" t="s">
        <v>1815</v>
      </c>
      <c r="R1703" s="1" t="s">
        <v>1842</v>
      </c>
      <c r="S1703" s="1" t="s">
        <v>1843</v>
      </c>
      <c r="T1703" s="1" t="s">
        <v>2534</v>
      </c>
    </row>
    <row r="1704" customFormat="false" ht="15" hidden="false" customHeight="true" outlineLevel="0" collapsed="false">
      <c r="A1704" s="1" t="s">
        <v>3306</v>
      </c>
      <c r="B1704" s="1" t="n">
        <v>1935</v>
      </c>
      <c r="C1704" s="1" t="n">
        <v>3</v>
      </c>
      <c r="D1704" s="1" t="s">
        <v>38</v>
      </c>
      <c r="E1704" s="1"/>
      <c r="F1704" s="1"/>
      <c r="G1704" s="1" t="n">
        <v>175</v>
      </c>
      <c r="H1704" s="2" t="n">
        <v>885000</v>
      </c>
      <c r="I1704" s="2" t="n">
        <f aca="false">(((H1704 / 800) / IF(ISBLANK(R1704), 1000000, IF(ISNA(VLOOKUP(R1704, Mileages!$A$2:$C$34, 2, 0)), R1704, VLOOKUP(R1704, Mileages!$A$2:$C$34, 2, 0)))) + (F1704 * IF(ISBLANK(P1704), 1, P1704) * IF(ISBLANK(T1704), 0, IF(ISNA(VLOOKUP(T1704, 'Fuel Costs'!$A$2:$C$42, 2, 0)), T1704, VLOOKUP(T1704, 'Fuel Costs'!$A$2:$C$42, 2, 0))) / IF(ISBLANK(O1704), 1, O1704))) * 100</f>
        <v>0.0921875</v>
      </c>
      <c r="J1704" s="2" t="n">
        <f aca="false">((H1704 / 800) / (IF(ISBLANK(S1704), 100, IF(ISNA(VLOOKUP(S1704, Lives!$A$2:$C$35, 2, 0)), S1704, VLOOKUP(S1704, Lives!$A$2:$C$35, 2, 0))) * 12) + (IF(ISBLANK(Q1704), 0, IF(ISNA(VLOOKUP(Q1704, Wages!$A$2:$C$17, 2, 0)), Q1704, VLOOKUP(Q1704, Wages!$A$2:$C$17, 2, 0))) * IF(ISBLANK(N1704), 0, IF(ISNA(VLOOKUP(N1704, Crews!$A$2:$C$28, 2, 0)), N1704, VLOOKUP(N1704, Crews!$A$2:$C$28, 2, 0))))) * 400</f>
        <v>19053.57143</v>
      </c>
      <c r="K1704" s="1"/>
      <c r="L1704" s="1" t="s">
        <v>3307</v>
      </c>
      <c r="M1704" s="1" t="n">
        <v>0</v>
      </c>
      <c r="N1704" s="1" t="s">
        <v>1481</v>
      </c>
      <c r="O1704" s="1"/>
      <c r="P1704" s="1"/>
      <c r="Q1704" s="1" t="s">
        <v>1481</v>
      </c>
      <c r="R1704" s="1" t="s">
        <v>689</v>
      </c>
      <c r="S1704" s="1" t="s">
        <v>856</v>
      </c>
      <c r="T1704" s="1"/>
    </row>
    <row r="1705" customFormat="false" ht="15" hidden="false" customHeight="true" outlineLevel="0" collapsed="false">
      <c r="A1705" s="1" t="s">
        <v>3308</v>
      </c>
      <c r="B1705" s="1" t="n">
        <v>1935</v>
      </c>
      <c r="C1705" s="1" t="n">
        <v>3</v>
      </c>
      <c r="D1705" s="1" t="s">
        <v>38</v>
      </c>
      <c r="E1705" s="1"/>
      <c r="F1705" s="1"/>
      <c r="G1705" s="1" t="n">
        <v>175</v>
      </c>
      <c r="H1705" s="2" t="n">
        <v>885000</v>
      </c>
      <c r="I1705" s="2" t="n">
        <f aca="false">(((H1705 / 800) / IF(ISBLANK(R1705), 1000000, IF(ISNA(VLOOKUP(R1705, Mileages!$A$2:$C$34, 2, 0)), R1705, VLOOKUP(R1705, Mileages!$A$2:$C$34, 2, 0)))) + (F1705 * IF(ISBLANK(P1705), 1, P1705) * IF(ISBLANK(T1705), 0, IF(ISNA(VLOOKUP(T1705, 'Fuel Costs'!$A$2:$C$42, 2, 0)), T1705, VLOOKUP(T1705, 'Fuel Costs'!$A$2:$C$42, 2, 0))) / IF(ISBLANK(O1705), 1, O1705))) * 100</f>
        <v>0.0921875</v>
      </c>
      <c r="J1705" s="2" t="n">
        <f aca="false">((H1705 / 800) / (IF(ISBLANK(S1705), 100, IF(ISNA(VLOOKUP(S1705, Lives!$A$2:$C$35, 2, 0)), S1705, VLOOKUP(S1705, Lives!$A$2:$C$35, 2, 0))) * 12) + (IF(ISBLANK(Q1705), 0, IF(ISNA(VLOOKUP(Q1705, Wages!$A$2:$C$17, 2, 0)), Q1705, VLOOKUP(Q1705, Wages!$A$2:$C$17, 2, 0))) * IF(ISBLANK(N1705), 0, IF(ISNA(VLOOKUP(N1705, Crews!$A$2:$C$28, 2, 0)), N1705, VLOOKUP(N1705, Crews!$A$2:$C$28, 2, 0))))) * 400</f>
        <v>19053.57143</v>
      </c>
      <c r="K1705" s="1"/>
      <c r="L1705" s="1" t="s">
        <v>3307</v>
      </c>
      <c r="M1705" s="1" t="n">
        <v>1</v>
      </c>
      <c r="N1705" s="1" t="s">
        <v>1481</v>
      </c>
      <c r="O1705" s="1"/>
      <c r="P1705" s="1"/>
      <c r="Q1705" s="1" t="s">
        <v>1481</v>
      </c>
      <c r="R1705" s="1" t="s">
        <v>689</v>
      </c>
      <c r="S1705" s="1" t="s">
        <v>856</v>
      </c>
      <c r="T1705" s="1"/>
    </row>
    <row r="1706" customFormat="false" ht="15" hidden="false" customHeight="true" outlineLevel="0" collapsed="false">
      <c r="A1706" s="1" t="s">
        <v>3309</v>
      </c>
      <c r="B1706" s="1" t="n">
        <v>1935</v>
      </c>
      <c r="C1706" s="1" t="n">
        <v>3</v>
      </c>
      <c r="D1706" s="1" t="s">
        <v>38</v>
      </c>
      <c r="E1706" s="1"/>
      <c r="F1706" s="1"/>
      <c r="G1706" s="1" t="n">
        <v>175</v>
      </c>
      <c r="H1706" s="2" t="n">
        <v>885000</v>
      </c>
      <c r="I1706" s="2" t="n">
        <f aca="false">(((H1706 / 800) / IF(ISBLANK(R1706), 1000000, IF(ISNA(VLOOKUP(R1706, Mileages!$A$2:$C$34, 2, 0)), R1706, VLOOKUP(R1706, Mileages!$A$2:$C$34, 2, 0)))) + (F1706 * IF(ISBLANK(P1706), 1, P1706) * IF(ISBLANK(T1706), 0, IF(ISNA(VLOOKUP(T1706, 'Fuel Costs'!$A$2:$C$42, 2, 0)), T1706, VLOOKUP(T1706, 'Fuel Costs'!$A$2:$C$42, 2, 0))) / IF(ISBLANK(O1706), 1, O1706))) * 100</f>
        <v>0.0921875</v>
      </c>
      <c r="J1706" s="2" t="n">
        <f aca="false">((H1706 / 800) / (IF(ISBLANK(S1706), 100, IF(ISNA(VLOOKUP(S1706, Lives!$A$2:$C$35, 2, 0)), S1706, VLOOKUP(S1706, Lives!$A$2:$C$35, 2, 0))) * 12) + (IF(ISBLANK(Q1706), 0, IF(ISNA(VLOOKUP(Q1706, Wages!$A$2:$C$17, 2, 0)), Q1706, VLOOKUP(Q1706, Wages!$A$2:$C$17, 2, 0))) * IF(ISBLANK(N1706), 0, IF(ISNA(VLOOKUP(N1706, Crews!$A$2:$C$28, 2, 0)), N1706, VLOOKUP(N1706, Crews!$A$2:$C$28, 2, 0))))) * 400</f>
        <v>19053.57143</v>
      </c>
      <c r="K1706" s="1"/>
      <c r="L1706" s="1" t="s">
        <v>3307</v>
      </c>
      <c r="M1706" s="1" t="n">
        <v>2</v>
      </c>
      <c r="N1706" s="1" t="s">
        <v>1481</v>
      </c>
      <c r="O1706" s="1"/>
      <c r="P1706" s="1"/>
      <c r="Q1706" s="1" t="s">
        <v>1481</v>
      </c>
      <c r="R1706" s="1" t="s">
        <v>689</v>
      </c>
      <c r="S1706" s="1" t="s">
        <v>856</v>
      </c>
      <c r="T1706" s="1"/>
    </row>
    <row r="1707" customFormat="false" ht="15" hidden="false" customHeight="true" outlineLevel="0" collapsed="false">
      <c r="A1707" s="1" t="s">
        <v>3310</v>
      </c>
      <c r="B1707" s="1" t="n">
        <v>1935</v>
      </c>
      <c r="C1707" s="1" t="n">
        <v>3</v>
      </c>
      <c r="D1707" s="1" t="s">
        <v>38</v>
      </c>
      <c r="E1707" s="1"/>
      <c r="F1707" s="1"/>
      <c r="G1707" s="1" t="n">
        <v>175</v>
      </c>
      <c r="H1707" s="2" t="n">
        <v>870000</v>
      </c>
      <c r="I1707" s="2" t="n">
        <f aca="false">(((H1707 / 800) / IF(ISBLANK(R1707), 1000000, IF(ISNA(VLOOKUP(R1707, Mileages!$A$2:$C$34, 2, 0)), R1707, VLOOKUP(R1707, Mileages!$A$2:$C$34, 2, 0)))) + (F1707 * IF(ISBLANK(P1707), 1, P1707) * IF(ISBLANK(T1707), 0, IF(ISNA(VLOOKUP(T1707, 'Fuel Costs'!$A$2:$C$42, 2, 0)), T1707, VLOOKUP(T1707, 'Fuel Costs'!$A$2:$C$42, 2, 0))) / IF(ISBLANK(O1707), 1, O1707))) * 100</f>
        <v>0.090625</v>
      </c>
      <c r="J1707" s="2" t="n">
        <f aca="false">((H1707 / 800) / (IF(ISBLANK(S1707), 100, IF(ISNA(VLOOKUP(S1707, Lives!$A$2:$C$35, 2, 0)), S1707, VLOOKUP(S1707, Lives!$A$2:$C$35, 2, 0))) * 12) + (IF(ISBLANK(Q1707), 0, IF(ISNA(VLOOKUP(Q1707, Wages!$A$2:$C$17, 2, 0)), Q1707, VLOOKUP(Q1707, Wages!$A$2:$C$17, 2, 0))) * IF(ISBLANK(N1707), 0, IF(ISNA(VLOOKUP(N1707, Crews!$A$2:$C$28, 2, 0)), N1707, VLOOKUP(N1707, Crews!$A$2:$C$28, 2, 0))))) * 400</f>
        <v>5835.714286</v>
      </c>
      <c r="K1707" s="1"/>
      <c r="L1707" s="1" t="s">
        <v>3311</v>
      </c>
      <c r="M1707" s="1" t="n">
        <v>0</v>
      </c>
      <c r="N1707" s="1" t="s">
        <v>25</v>
      </c>
      <c r="O1707" s="1"/>
      <c r="P1707" s="1"/>
      <c r="Q1707" s="1" t="s">
        <v>378</v>
      </c>
      <c r="R1707" s="1" t="s">
        <v>689</v>
      </c>
      <c r="S1707" s="1" t="s">
        <v>856</v>
      </c>
      <c r="T1707" s="1"/>
    </row>
    <row r="1708" customFormat="false" ht="15" hidden="false" customHeight="true" outlineLevel="0" collapsed="false">
      <c r="A1708" s="1" t="s">
        <v>3312</v>
      </c>
      <c r="B1708" s="1" t="n">
        <v>1935</v>
      </c>
      <c r="C1708" s="1" t="n">
        <v>3</v>
      </c>
      <c r="D1708" s="1" t="s">
        <v>38</v>
      </c>
      <c r="E1708" s="1"/>
      <c r="F1708" s="1"/>
      <c r="G1708" s="1" t="n">
        <v>175</v>
      </c>
      <c r="H1708" s="2" t="n">
        <v>870000</v>
      </c>
      <c r="I1708" s="2" t="n">
        <f aca="false">(((H1708 / 800) / IF(ISBLANK(R1708), 1000000, IF(ISNA(VLOOKUP(R1708, Mileages!$A$2:$C$34, 2, 0)), R1708, VLOOKUP(R1708, Mileages!$A$2:$C$34, 2, 0)))) + (F1708 * IF(ISBLANK(P1708), 1, P1708) * IF(ISBLANK(T1708), 0, IF(ISNA(VLOOKUP(T1708, 'Fuel Costs'!$A$2:$C$42, 2, 0)), T1708, VLOOKUP(T1708, 'Fuel Costs'!$A$2:$C$42, 2, 0))) / IF(ISBLANK(O1708), 1, O1708))) * 100</f>
        <v>0.090625</v>
      </c>
      <c r="J1708" s="2" t="n">
        <f aca="false">((H1708 / 800) / (IF(ISBLANK(S1708), 100, IF(ISNA(VLOOKUP(S1708, Lives!$A$2:$C$35, 2, 0)), S1708, VLOOKUP(S1708, Lives!$A$2:$C$35, 2, 0))) * 12) + (IF(ISBLANK(Q1708), 0, IF(ISNA(VLOOKUP(Q1708, Wages!$A$2:$C$17, 2, 0)), Q1708, VLOOKUP(Q1708, Wages!$A$2:$C$17, 2, 0))) * IF(ISBLANK(N1708), 0, IF(ISNA(VLOOKUP(N1708, Crews!$A$2:$C$28, 2, 0)), N1708, VLOOKUP(N1708, Crews!$A$2:$C$28, 2, 0))))) * 400</f>
        <v>5835.714286</v>
      </c>
      <c r="K1708" s="1"/>
      <c r="L1708" s="1" t="s">
        <v>3311</v>
      </c>
      <c r="M1708" s="1" t="n">
        <v>1</v>
      </c>
      <c r="N1708" s="1" t="s">
        <v>25</v>
      </c>
      <c r="O1708" s="1"/>
      <c r="P1708" s="1"/>
      <c r="Q1708" s="1" t="s">
        <v>378</v>
      </c>
      <c r="R1708" s="1" t="s">
        <v>689</v>
      </c>
      <c r="S1708" s="1" t="s">
        <v>856</v>
      </c>
      <c r="T1708" s="1"/>
    </row>
    <row r="1709" customFormat="false" ht="15" hidden="false" customHeight="true" outlineLevel="0" collapsed="false">
      <c r="A1709" s="1" t="s">
        <v>3313</v>
      </c>
      <c r="B1709" s="1" t="n">
        <v>1935</v>
      </c>
      <c r="C1709" s="1" t="n">
        <v>3</v>
      </c>
      <c r="D1709" s="1" t="s">
        <v>38</v>
      </c>
      <c r="E1709" s="1"/>
      <c r="F1709" s="1"/>
      <c r="G1709" s="1" t="n">
        <v>175</v>
      </c>
      <c r="H1709" s="2" t="n">
        <v>870000</v>
      </c>
      <c r="I1709" s="2" t="n">
        <f aca="false">(((H1709 / 800) / IF(ISBLANK(R1709), 1000000, IF(ISNA(VLOOKUP(R1709, Mileages!$A$2:$C$34, 2, 0)), R1709, VLOOKUP(R1709, Mileages!$A$2:$C$34, 2, 0)))) + (F1709 * IF(ISBLANK(P1709), 1, P1709) * IF(ISBLANK(T1709), 0, IF(ISNA(VLOOKUP(T1709, 'Fuel Costs'!$A$2:$C$42, 2, 0)), T1709, VLOOKUP(T1709, 'Fuel Costs'!$A$2:$C$42, 2, 0))) / IF(ISBLANK(O1709), 1, O1709))) * 100</f>
        <v>0.090625</v>
      </c>
      <c r="J1709" s="2" t="n">
        <f aca="false">((H1709 / 800) / (IF(ISBLANK(S1709), 100, IF(ISNA(VLOOKUP(S1709, Lives!$A$2:$C$35, 2, 0)), S1709, VLOOKUP(S1709, Lives!$A$2:$C$35, 2, 0))) * 12) + (IF(ISBLANK(Q1709), 0, IF(ISNA(VLOOKUP(Q1709, Wages!$A$2:$C$17, 2, 0)), Q1709, VLOOKUP(Q1709, Wages!$A$2:$C$17, 2, 0))) * IF(ISBLANK(N1709), 0, IF(ISNA(VLOOKUP(N1709, Crews!$A$2:$C$28, 2, 0)), N1709, VLOOKUP(N1709, Crews!$A$2:$C$28, 2, 0))))) * 400</f>
        <v>5835.714286</v>
      </c>
      <c r="K1709" s="1"/>
      <c r="L1709" s="1" t="s">
        <v>3311</v>
      </c>
      <c r="M1709" s="1" t="n">
        <v>2</v>
      </c>
      <c r="N1709" s="1" t="s">
        <v>25</v>
      </c>
      <c r="O1709" s="1"/>
      <c r="P1709" s="1"/>
      <c r="Q1709" s="1" t="s">
        <v>378</v>
      </c>
      <c r="R1709" s="1" t="s">
        <v>689</v>
      </c>
      <c r="S1709" s="1" t="s">
        <v>856</v>
      </c>
      <c r="T1709" s="1"/>
    </row>
    <row r="1710" customFormat="false" ht="15" hidden="false" customHeight="true" outlineLevel="0" collapsed="false">
      <c r="A1710" s="1" t="s">
        <v>3314</v>
      </c>
      <c r="B1710" s="1" t="n">
        <v>1935</v>
      </c>
      <c r="C1710" s="1" t="n">
        <v>3</v>
      </c>
      <c r="D1710" s="1" t="s">
        <v>38</v>
      </c>
      <c r="E1710" s="1"/>
      <c r="F1710" s="1"/>
      <c r="G1710" s="1" t="n">
        <v>175</v>
      </c>
      <c r="H1710" s="2" t="n">
        <v>870000</v>
      </c>
      <c r="I1710" s="2" t="n">
        <f aca="false">(((H1710 / 800) / IF(ISBLANK(R1710), 1000000, IF(ISNA(VLOOKUP(R1710, Mileages!$A$2:$C$34, 2, 0)), R1710, VLOOKUP(R1710, Mileages!$A$2:$C$34, 2, 0)))) + (F1710 * IF(ISBLANK(P1710), 1, P1710) * IF(ISBLANK(T1710), 0, IF(ISNA(VLOOKUP(T1710, 'Fuel Costs'!$A$2:$C$42, 2, 0)), T1710, VLOOKUP(T1710, 'Fuel Costs'!$A$2:$C$42, 2, 0))) / IF(ISBLANK(O1710), 1, O1710))) * 100</f>
        <v>0.090625</v>
      </c>
      <c r="J1710" s="2" t="n">
        <f aca="false">((H1710 / 800) / (IF(ISBLANK(S1710), 100, IF(ISNA(VLOOKUP(S1710, Lives!$A$2:$C$35, 2, 0)), S1710, VLOOKUP(S1710, Lives!$A$2:$C$35, 2, 0))) * 12) + (IF(ISBLANK(Q1710), 0, IF(ISNA(VLOOKUP(Q1710, Wages!$A$2:$C$17, 2, 0)), Q1710, VLOOKUP(Q1710, Wages!$A$2:$C$17, 2, 0))) * IF(ISBLANK(N1710), 0, IF(ISNA(VLOOKUP(N1710, Crews!$A$2:$C$28, 2, 0)), N1710, VLOOKUP(N1710, Crews!$A$2:$C$28, 2, 0))))) * 400</f>
        <v>5835.714286</v>
      </c>
      <c r="K1710" s="1"/>
      <c r="L1710" s="1" t="s">
        <v>3311</v>
      </c>
      <c r="M1710" s="1" t="n">
        <v>3</v>
      </c>
      <c r="N1710" s="1" t="s">
        <v>25</v>
      </c>
      <c r="O1710" s="1"/>
      <c r="P1710" s="1"/>
      <c r="Q1710" s="1" t="s">
        <v>378</v>
      </c>
      <c r="R1710" s="1" t="s">
        <v>689</v>
      </c>
      <c r="S1710" s="1" t="s">
        <v>856</v>
      </c>
      <c r="T1710" s="1"/>
    </row>
    <row r="1711" customFormat="false" ht="15" hidden="false" customHeight="true" outlineLevel="0" collapsed="false">
      <c r="A1711" s="1" t="s">
        <v>3315</v>
      </c>
      <c r="B1711" s="1" t="n">
        <v>1935</v>
      </c>
      <c r="C1711" s="1" t="n">
        <v>3</v>
      </c>
      <c r="D1711" s="1" t="s">
        <v>38</v>
      </c>
      <c r="E1711" s="1"/>
      <c r="F1711" s="1"/>
      <c r="G1711" s="1" t="n">
        <v>175</v>
      </c>
      <c r="H1711" s="2" t="n">
        <v>870000</v>
      </c>
      <c r="I1711" s="2" t="n">
        <f aca="false">(((H1711 / 800) / IF(ISBLANK(R1711), 1000000, IF(ISNA(VLOOKUP(R1711, Mileages!$A$2:$C$34, 2, 0)), R1711, VLOOKUP(R1711, Mileages!$A$2:$C$34, 2, 0)))) + (F1711 * IF(ISBLANK(P1711), 1, P1711) * IF(ISBLANK(T1711), 0, IF(ISNA(VLOOKUP(T1711, 'Fuel Costs'!$A$2:$C$42, 2, 0)), T1711, VLOOKUP(T1711, 'Fuel Costs'!$A$2:$C$42, 2, 0))) / IF(ISBLANK(O1711), 1, O1711))) * 100</f>
        <v>0.090625</v>
      </c>
      <c r="J1711" s="2" t="n">
        <f aca="false">((H1711 / 800) / (IF(ISBLANK(S1711), 100, IF(ISNA(VLOOKUP(S1711, Lives!$A$2:$C$35, 2, 0)), S1711, VLOOKUP(S1711, Lives!$A$2:$C$35, 2, 0))) * 12) + (IF(ISBLANK(Q1711), 0, IF(ISNA(VLOOKUP(Q1711, Wages!$A$2:$C$17, 2, 0)), Q1711, VLOOKUP(Q1711, Wages!$A$2:$C$17, 2, 0))) * IF(ISBLANK(N1711), 0, IF(ISNA(VLOOKUP(N1711, Crews!$A$2:$C$28, 2, 0)), N1711, VLOOKUP(N1711, Crews!$A$2:$C$28, 2, 0))))) * 400</f>
        <v>5835.714286</v>
      </c>
      <c r="K1711" s="1"/>
      <c r="L1711" s="1" t="s">
        <v>3311</v>
      </c>
      <c r="M1711" s="1" t="n">
        <v>4</v>
      </c>
      <c r="N1711" s="1" t="s">
        <v>25</v>
      </c>
      <c r="O1711" s="1"/>
      <c r="P1711" s="1"/>
      <c r="Q1711" s="1" t="s">
        <v>378</v>
      </c>
      <c r="R1711" s="1" t="s">
        <v>689</v>
      </c>
      <c r="S1711" s="1" t="s">
        <v>856</v>
      </c>
      <c r="T1711" s="1"/>
    </row>
    <row r="1712" customFormat="false" ht="15" hidden="false" customHeight="true" outlineLevel="0" collapsed="false">
      <c r="A1712" s="1" t="s">
        <v>3316</v>
      </c>
      <c r="B1712" s="1" t="n">
        <v>1935</v>
      </c>
      <c r="C1712" s="1" t="n">
        <v>3</v>
      </c>
      <c r="D1712" s="1" t="s">
        <v>38</v>
      </c>
      <c r="E1712" s="1" t="s">
        <v>274</v>
      </c>
      <c r="F1712" s="1" t="n">
        <v>0</v>
      </c>
      <c r="G1712" s="1" t="n">
        <v>90</v>
      </c>
      <c r="H1712" s="2" t="n">
        <v>0</v>
      </c>
      <c r="I1712" s="2" t="n">
        <f aca="false">(((H1712 / 800) / IF(ISBLANK(R1712), 1000000, IF(ISNA(VLOOKUP(R1712, Mileages!$A$2:$C$34, 2, 0)), R1712, VLOOKUP(R1712, Mileages!$A$2:$C$34, 2, 0)))) + (F1712 * IF(ISBLANK(P1712), 1, P1712) * IF(ISBLANK(T1712), 0, IF(ISNA(VLOOKUP(T1712, 'Fuel Costs'!$A$2:$C$42, 2, 0)), T1712, VLOOKUP(T1712, 'Fuel Costs'!$A$2:$C$42, 2, 0))) / IF(ISBLANK(O1712), 1, O1712))) * 100</f>
        <v>0</v>
      </c>
      <c r="J1712" s="2" t="n">
        <f aca="false">((H1712 / 800) / (IF(ISBLANK(S1712), 100, IF(ISNA(VLOOKUP(S1712, Lives!$A$2:$C$35, 2, 0)), S1712, VLOOKUP(S1712, Lives!$A$2:$C$35, 2, 0))) * 12) + (IF(ISBLANK(Q1712), 0, IF(ISNA(VLOOKUP(Q1712, Wages!$A$2:$C$17, 2, 0)), Q1712, VLOOKUP(Q1712, Wages!$A$2:$C$17, 2, 0))) * IF(ISBLANK(N1712), 0, IF(ISNA(VLOOKUP(N1712, Crews!$A$2:$C$28, 2, 0)), N1712, VLOOKUP(N1712, Crews!$A$2:$C$28, 2, 0))))) * 400</f>
        <v>0</v>
      </c>
      <c r="K1712" s="1"/>
      <c r="L1712" s="1" t="s">
        <v>3317</v>
      </c>
      <c r="M1712" s="1" t="n">
        <v>0</v>
      </c>
      <c r="N1712" s="1"/>
      <c r="O1712" s="1"/>
      <c r="P1712" s="1"/>
      <c r="Q1712" s="1"/>
      <c r="R1712" s="1"/>
      <c r="S1712" s="1"/>
      <c r="T1712" s="1" t="s">
        <v>2252</v>
      </c>
    </row>
    <row r="1713" customFormat="false" ht="15" hidden="false" customHeight="true" outlineLevel="0" collapsed="false">
      <c r="A1713" s="1" t="s">
        <v>3318</v>
      </c>
      <c r="B1713" s="1" t="n">
        <v>1935</v>
      </c>
      <c r="C1713" s="1" t="n">
        <v>4</v>
      </c>
      <c r="D1713" s="1" t="s">
        <v>38</v>
      </c>
      <c r="E1713" s="1"/>
      <c r="F1713" s="1" t="n">
        <v>0</v>
      </c>
      <c r="G1713" s="1" t="n">
        <v>160</v>
      </c>
      <c r="H1713" s="2" t="n">
        <v>0</v>
      </c>
      <c r="I1713" s="2" t="n">
        <f aca="false">(((H1713 / 800) / IF(ISBLANK(R1713), 1000000, IF(ISNA(VLOOKUP(R1713, Mileages!$A$2:$C$34, 2, 0)), R1713, VLOOKUP(R1713, Mileages!$A$2:$C$34, 2, 0)))) + (F1713 * IF(ISBLANK(P1713), 1, P1713) * IF(ISBLANK(T1713), 0, IF(ISNA(VLOOKUP(T1713, 'Fuel Costs'!$A$2:$C$42, 2, 0)), T1713, VLOOKUP(T1713, 'Fuel Costs'!$A$2:$C$42, 2, 0))) / IF(ISBLANK(O1713), 1, O1713))) * 100</f>
        <v>0</v>
      </c>
      <c r="J1713" s="2" t="n">
        <f aca="false">((H1713 / 800) / (IF(ISBLANK(S1713), 100, IF(ISNA(VLOOKUP(S1713, Lives!$A$2:$C$35, 2, 0)), S1713, VLOOKUP(S1713, Lives!$A$2:$C$35, 2, 0))) * 12) + (IF(ISBLANK(Q1713), 0, IF(ISNA(VLOOKUP(Q1713, Wages!$A$2:$C$17, 2, 0)), Q1713, VLOOKUP(Q1713, Wages!$A$2:$C$17, 2, 0))) * IF(ISBLANK(N1713), 0, IF(ISNA(VLOOKUP(N1713, Crews!$A$2:$C$28, 2, 0)), N1713, VLOOKUP(N1713, Crews!$A$2:$C$28, 2, 0))))) * 400</f>
        <v>0</v>
      </c>
      <c r="K1713" s="1"/>
      <c r="L1713" s="1" t="s">
        <v>3319</v>
      </c>
      <c r="M1713" s="1" t="n">
        <v>0</v>
      </c>
      <c r="N1713" s="1"/>
      <c r="O1713" s="1"/>
      <c r="P1713" s="1"/>
      <c r="Q1713" s="1"/>
      <c r="R1713" s="1"/>
      <c r="S1713" s="1"/>
      <c r="T1713" s="1"/>
    </row>
    <row r="1714" customFormat="false" ht="15" hidden="false" customHeight="true" outlineLevel="0" collapsed="false">
      <c r="A1714" s="1" t="s">
        <v>3320</v>
      </c>
      <c r="B1714" s="1" t="n">
        <v>1935</v>
      </c>
      <c r="C1714" s="1" t="n">
        <v>4</v>
      </c>
      <c r="D1714" s="1" t="s">
        <v>38</v>
      </c>
      <c r="E1714" s="1" t="s">
        <v>1346</v>
      </c>
      <c r="F1714" s="1" t="n">
        <v>410</v>
      </c>
      <c r="G1714" s="1" t="n">
        <v>120</v>
      </c>
      <c r="H1714" s="2" t="n">
        <v>1512000</v>
      </c>
      <c r="I1714" s="2" t="n">
        <f aca="false">(((H1714 / 800) / IF(ISBLANK(R1714), 1000000, IF(ISNA(VLOOKUP(R1714, Mileages!$A$2:$C$34, 2, 0)), R1714, VLOOKUP(R1714, Mileages!$A$2:$C$34, 2, 0)))) + (F1714 * IF(ISBLANK(P1714), 1, P1714) * IF(ISBLANK(T1714), 0, IF(ISNA(VLOOKUP(T1714, 'Fuel Costs'!$A$2:$C$42, 2, 0)), T1714, VLOOKUP(T1714, 'Fuel Costs'!$A$2:$C$42, 2, 0))) / IF(ISBLANK(O1714), 1, O1714))) * 100</f>
        <v>164.189</v>
      </c>
      <c r="J1714" s="2" t="n">
        <f aca="false">((H1714 / 800) / (IF(ISBLANK(S1714), 100, IF(ISNA(VLOOKUP(S1714, Lives!$A$2:$C$35, 2, 0)), S1714, VLOOKUP(S1714, Lives!$A$2:$C$35, 2, 0))) * 12) + (IF(ISBLANK(Q1714), 0, IF(ISNA(VLOOKUP(Q1714, Wages!$A$2:$C$17, 2, 0)), Q1714, VLOOKUP(Q1714, Wages!$A$2:$C$17, 2, 0))) * IF(ISBLANK(N1714), 0, IF(ISNA(VLOOKUP(N1714, Crews!$A$2:$C$28, 2, 0)), N1714, VLOOKUP(N1714, Crews!$A$2:$C$28, 2, 0))))) * 400</f>
        <v>11050</v>
      </c>
      <c r="K1714" s="1" t="s">
        <v>3096</v>
      </c>
      <c r="L1714" s="1" t="s">
        <v>3321</v>
      </c>
      <c r="M1714" s="1" t="n">
        <v>0</v>
      </c>
      <c r="N1714" s="1" t="s">
        <v>1488</v>
      </c>
      <c r="O1714" s="1" t="n">
        <v>1</v>
      </c>
      <c r="P1714" s="1"/>
      <c r="Q1714" s="1" t="str">
        <f aca="false">IF(ISBLANK('Pak128 Britain In'!$N1714),,'Pak128 Britain In'!$N1714)</f>
        <v>ElectricDriverRail</v>
      </c>
      <c r="R1714" s="1" t="s">
        <v>1349</v>
      </c>
      <c r="S1714" s="1" t="s">
        <v>1349</v>
      </c>
      <c r="T1714" s="1" t="s">
        <v>2580</v>
      </c>
    </row>
    <row r="1715" customFormat="false" ht="15" hidden="false" customHeight="true" outlineLevel="0" collapsed="false">
      <c r="A1715" s="1" t="s">
        <v>3322</v>
      </c>
      <c r="B1715" s="1" t="n">
        <v>1935</v>
      </c>
      <c r="C1715" s="1" t="n">
        <v>4</v>
      </c>
      <c r="D1715" s="1" t="s">
        <v>38</v>
      </c>
      <c r="E1715" s="1" t="s">
        <v>1346</v>
      </c>
      <c r="F1715" s="1" t="n">
        <v>0</v>
      </c>
      <c r="G1715" s="1" t="n">
        <v>120</v>
      </c>
      <c r="H1715" s="2" t="n">
        <v>1512000</v>
      </c>
      <c r="I1715" s="2" t="n">
        <f aca="false">(((H1715 / 800) / IF(ISBLANK(R1715), 1000000, IF(ISNA(VLOOKUP(R1715, Mileages!$A$2:$C$34, 2, 0)), R1715, VLOOKUP(R1715, Mileages!$A$2:$C$34, 2, 0)))) + (F1715 * IF(ISBLANK(P1715), 1, P1715) * IF(ISBLANK(T1715), 0, IF(ISNA(VLOOKUP(T1715, 'Fuel Costs'!$A$2:$C$42, 2, 0)), T1715, VLOOKUP(T1715, 'Fuel Costs'!$A$2:$C$42, 2, 0))) / IF(ISBLANK(O1715), 1, O1715))) * 100</f>
        <v>0.1575</v>
      </c>
      <c r="J1715" s="2" t="n">
        <f aca="false">((H1715 / 800) / (IF(ISBLANK(S1715), 100, IF(ISNA(VLOOKUP(S1715, Lives!$A$2:$C$35, 2, 0)), S1715, VLOOKUP(S1715, Lives!$A$2:$C$35, 2, 0))) * 12) + (IF(ISBLANK(Q1715), 0, IF(ISNA(VLOOKUP(Q1715, Wages!$A$2:$C$17, 2, 0)), Q1715, VLOOKUP(Q1715, Wages!$A$2:$C$17, 2, 0))) * IF(ISBLANK(N1715), 0, IF(ISNA(VLOOKUP(N1715, Crews!$A$2:$C$28, 2, 0)), N1715, VLOOKUP(N1715, Crews!$A$2:$C$28, 2, 0))))) * 400</f>
        <v>1800</v>
      </c>
      <c r="K1715" s="1"/>
      <c r="L1715" s="1" t="s">
        <v>3321</v>
      </c>
      <c r="M1715" s="1" t="n">
        <v>1</v>
      </c>
      <c r="N1715" s="1"/>
      <c r="O1715" s="1"/>
      <c r="P1715" s="1"/>
      <c r="Q1715" s="1"/>
      <c r="R1715" s="1" t="s">
        <v>689</v>
      </c>
      <c r="S1715" s="1" t="s">
        <v>856</v>
      </c>
      <c r="T1715" s="1"/>
    </row>
    <row r="1716" customFormat="false" ht="15" hidden="false" customHeight="true" outlineLevel="0" collapsed="false">
      <c r="A1716" s="1" t="s">
        <v>3323</v>
      </c>
      <c r="B1716" s="1" t="n">
        <v>1935</v>
      </c>
      <c r="C1716" s="1" t="n">
        <v>4</v>
      </c>
      <c r="D1716" s="1" t="s">
        <v>38</v>
      </c>
      <c r="E1716" s="1" t="s">
        <v>274</v>
      </c>
      <c r="F1716" s="1" t="n">
        <v>687</v>
      </c>
      <c r="G1716" s="1" t="n">
        <v>160</v>
      </c>
      <c r="H1716" s="2" t="n">
        <v>11088000</v>
      </c>
      <c r="I1716" s="2" t="n">
        <f aca="false">(((H1716 / 800) / IF(ISBLANK(R1716), 1000000, IF(ISNA(VLOOKUP(R1716, Mileages!$A$2:$C$34, 2, 0)), R1716, VLOOKUP(R1716, Mileages!$A$2:$C$34, 2, 0)))) + (F1716 * IF(ISBLANK(P1716), 1, P1716) * IF(ISBLANK(T1716), 0, IF(ISNA(VLOOKUP(T1716, 'Fuel Costs'!$A$2:$C$42, 2, 0)), T1716, VLOOKUP(T1716, 'Fuel Costs'!$A$2:$C$42, 2, 0))) / IF(ISBLANK(O1716), 1, O1716))) * 100</f>
        <v>394.8814286</v>
      </c>
      <c r="J1716" s="2" t="n">
        <f aca="false">((H1716 / 800) / (IF(ISBLANK(S1716), 100, IF(ISNA(VLOOKUP(S1716, Lives!$A$2:$C$35, 2, 0)), S1716, VLOOKUP(S1716, Lives!$A$2:$C$35, 2, 0))) * 12) + (IF(ISBLANK(Q1716), 0, IF(ISNA(VLOOKUP(Q1716, Wages!$A$2:$C$17, 2, 0)), Q1716, VLOOKUP(Q1716, Wages!$A$2:$C$17, 2, 0))) * IF(ISBLANK(N1716), 0, IF(ISNA(VLOOKUP(N1716, Crews!$A$2:$C$28, 2, 0)), N1716, VLOOKUP(N1716, Crews!$A$2:$C$28, 2, 0))))) * 400</f>
        <v>63100</v>
      </c>
      <c r="K1716" s="3" t="s">
        <v>3324</v>
      </c>
      <c r="L1716" s="1" t="s">
        <v>3325</v>
      </c>
      <c r="M1716" s="1" t="n">
        <v>0</v>
      </c>
      <c r="N1716" s="1" t="s">
        <v>1705</v>
      </c>
      <c r="O1716" s="1" t="n">
        <v>0.7</v>
      </c>
      <c r="P1716" s="1"/>
      <c r="Q1716" s="5" t="s">
        <v>284</v>
      </c>
      <c r="R1716" s="1" t="s">
        <v>2617</v>
      </c>
      <c r="S1716" s="1" t="s">
        <v>2617</v>
      </c>
      <c r="T1716" s="1" t="s">
        <v>2252</v>
      </c>
    </row>
    <row r="1717" customFormat="false" ht="15" hidden="false" customHeight="true" outlineLevel="0" collapsed="false">
      <c r="A1717" s="1" t="s">
        <v>3326</v>
      </c>
      <c r="B1717" s="1" t="n">
        <v>1935</v>
      </c>
      <c r="C1717" s="1" t="n">
        <v>5</v>
      </c>
      <c r="D1717" s="1" t="s">
        <v>21</v>
      </c>
      <c r="E1717" s="1" t="s">
        <v>1346</v>
      </c>
      <c r="F1717" s="1" t="n">
        <v>80</v>
      </c>
      <c r="G1717" s="1" t="n">
        <v>50</v>
      </c>
      <c r="H1717" s="2" t="n">
        <v>232000</v>
      </c>
      <c r="I1717" s="2" t="n">
        <f aca="false">(((H1717 / 800) / IF(ISBLANK(R1717), 1000000, IF(ISNA(VLOOKUP(R1717, Mileages!$A$2:$C$34, 2, 0)), R1717, VLOOKUP(R1717, Mileages!$A$2:$C$34, 2, 0)))) + (F1717 * IF(ISBLANK(P1717), 1, P1717) * IF(ISBLANK(T1717), 0, IF(ISNA(VLOOKUP(T1717, 'Fuel Costs'!$A$2:$C$42, 2, 0)), T1717, VLOOKUP(T1717, 'Fuel Costs'!$A$2:$C$42, 2, 0))) / IF(ISBLANK(O1717), 1, O1717))) * 100</f>
        <v>32.03866667</v>
      </c>
      <c r="J1717" s="2" t="n">
        <f aca="false">((H1717 / 800) / (IF(ISBLANK(S1717), 100, IF(ISNA(VLOOKUP(S1717, Lives!$A$2:$C$35, 2, 0)), S1717, VLOOKUP(S1717, Lives!$A$2:$C$35, 2, 0))) * 12) + (IF(ISBLANK(Q1717), 0, IF(ISNA(VLOOKUP(Q1717, Wages!$A$2:$C$17, 2, 0)), Q1717, VLOOKUP(Q1717, Wages!$A$2:$C$17, 2, 0))) * IF(ISBLANK(N1717), 0, IF(ISNA(VLOOKUP(N1717, Crews!$A$2:$C$28, 2, 0)), N1717, VLOOKUP(N1717, Crews!$A$2:$C$28, 2, 0))))) * 400</f>
        <v>12241.66667</v>
      </c>
      <c r="K1717" s="3" t="s">
        <v>3327</v>
      </c>
      <c r="L1717" s="1" t="s">
        <v>3328</v>
      </c>
      <c r="M1717" s="1" t="n">
        <v>0</v>
      </c>
      <c r="N1717" s="1" t="s">
        <v>3063</v>
      </c>
      <c r="O1717" s="1"/>
      <c r="P1717" s="1"/>
      <c r="Q1717" s="1" t="s">
        <v>3064</v>
      </c>
      <c r="R1717" s="1" t="s">
        <v>3064</v>
      </c>
      <c r="S1717" s="1" t="s">
        <v>3064</v>
      </c>
      <c r="T1717" s="1" t="s">
        <v>2580</v>
      </c>
    </row>
    <row r="1718" customFormat="false" ht="15" hidden="false" customHeight="true" outlineLevel="0" collapsed="false">
      <c r="A1718" s="1" t="s">
        <v>3329</v>
      </c>
      <c r="B1718" s="1" t="n">
        <v>1935</v>
      </c>
      <c r="C1718" s="1" t="n">
        <v>6</v>
      </c>
      <c r="D1718" s="1" t="s">
        <v>38</v>
      </c>
      <c r="E1718" s="1" t="s">
        <v>274</v>
      </c>
      <c r="F1718" s="1" t="n">
        <v>377</v>
      </c>
      <c r="G1718" s="1" t="n">
        <v>126</v>
      </c>
      <c r="H1718" s="2" t="n">
        <v>3845000</v>
      </c>
      <c r="I1718" s="2" t="n">
        <f aca="false">(((H1718 / 800) / IF(ISBLANK(R1718), 1000000, IF(ISNA(VLOOKUP(R1718, Mileages!$A$2:$C$34, 2, 0)), R1718, VLOOKUP(R1718, Mileages!$A$2:$C$34, 2, 0)))) + (F1718 * IF(ISBLANK(P1718), 1, P1718) * IF(ISBLANK(T1718), 0, IF(ISNA(VLOOKUP(T1718, 'Fuel Costs'!$A$2:$C$42, 2, 0)), T1718, VLOOKUP(T1718, 'Fuel Costs'!$A$2:$C$42, 2, 0))) / IF(ISBLANK(O1718), 1, O1718))) * 100</f>
        <v>188.980625</v>
      </c>
      <c r="J1718" s="2" t="n">
        <f aca="false">((H1718 / 800) / (IF(ISBLANK(S1718), 100, IF(ISNA(VLOOKUP(S1718, Lives!$A$2:$C$35, 2, 0)), S1718, VLOOKUP(S1718, Lives!$A$2:$C$35, 2, 0))) * 12) + (IF(ISBLANK(Q1718), 0, IF(ISNA(VLOOKUP(Q1718, Wages!$A$2:$C$17, 2, 0)), Q1718, VLOOKUP(Q1718, Wages!$A$2:$C$17, 2, 0))) * IF(ISBLANK(N1718), 0, IF(ISNA(VLOOKUP(N1718, Crews!$A$2:$C$28, 2, 0)), N1718, VLOOKUP(N1718, Crews!$A$2:$C$28, 2, 0))))) * 400</f>
        <v>27204.16667</v>
      </c>
      <c r="K1718" s="3" t="s">
        <v>3330</v>
      </c>
      <c r="L1718" s="1" t="s">
        <v>2856</v>
      </c>
      <c r="M1718" s="1" t="n">
        <v>1</v>
      </c>
      <c r="N1718" s="1" t="s">
        <v>590</v>
      </c>
      <c r="O1718" s="1" t="n">
        <v>0.8</v>
      </c>
      <c r="P1718" s="1"/>
      <c r="Q1718" s="5" t="s">
        <v>284</v>
      </c>
      <c r="R1718" s="1" t="s">
        <v>677</v>
      </c>
      <c r="S1718" s="1" t="s">
        <v>677</v>
      </c>
      <c r="T1718" s="1" t="s">
        <v>2252</v>
      </c>
    </row>
    <row r="1719" customFormat="false" ht="15" hidden="false" customHeight="true" outlineLevel="0" collapsed="false">
      <c r="A1719" s="1" t="s">
        <v>3331</v>
      </c>
      <c r="B1719" s="1" t="n">
        <v>1935</v>
      </c>
      <c r="C1719" s="1" t="n">
        <v>7</v>
      </c>
      <c r="D1719" s="1" t="s">
        <v>21</v>
      </c>
      <c r="E1719" s="1" t="s">
        <v>2039</v>
      </c>
      <c r="F1719" s="1" t="n">
        <v>67</v>
      </c>
      <c r="G1719" s="1" t="n">
        <v>70</v>
      </c>
      <c r="H1719" s="2" t="n">
        <v>790000</v>
      </c>
      <c r="I1719" s="2" t="n">
        <f aca="false">(((H1719 / 800) / IF(ISBLANK(R1719), 1000000, IF(ISNA(VLOOKUP(R1719, Mileages!$A$2:$C$34, 2, 0)), R1719, VLOOKUP(R1719, Mileages!$A$2:$C$34, 2, 0)))) + (F1719 * IF(ISBLANK(P1719), 1, P1719) * IF(ISBLANK(T1719), 0, IF(ISNA(VLOOKUP(T1719, 'Fuel Costs'!$A$2:$C$42, 2, 0)), T1719, VLOOKUP(T1719, 'Fuel Costs'!$A$2:$C$42, 2, 0))) / IF(ISBLANK(O1719), 1, O1719))) * 100</f>
        <v>67.09875</v>
      </c>
      <c r="J1719" s="2" t="n">
        <f aca="false">((H1719 / 800) / (IF(ISBLANK(S1719), 100, IF(ISNA(VLOOKUP(S1719, Lives!$A$2:$C$35, 2, 0)), S1719, VLOOKUP(S1719, Lives!$A$2:$C$35, 2, 0))) * 12) + (IF(ISBLANK(Q1719), 0, IF(ISNA(VLOOKUP(Q1719, Wages!$A$2:$C$17, 2, 0)), Q1719, VLOOKUP(Q1719, Wages!$A$2:$C$17, 2, 0))) * IF(ISBLANK(N1719), 0, IF(ISNA(VLOOKUP(N1719, Crews!$A$2:$C$28, 2, 0)), N1719, VLOOKUP(N1719, Crews!$A$2:$C$28, 2, 0))))) * 400</f>
        <v>8411.458333</v>
      </c>
      <c r="K1719" s="3" t="s">
        <v>3332</v>
      </c>
      <c r="L1719" s="1" t="s">
        <v>3333</v>
      </c>
      <c r="M1719" s="1" t="n">
        <v>0</v>
      </c>
      <c r="N1719" s="1" t="s">
        <v>1815</v>
      </c>
      <c r="O1719" s="1" t="n">
        <v>0.5</v>
      </c>
      <c r="P1719" s="1"/>
      <c r="Q1719" s="1" t="s">
        <v>1815</v>
      </c>
      <c r="R1719" s="1" t="s">
        <v>1843</v>
      </c>
      <c r="S1719" s="1" t="s">
        <v>1843</v>
      </c>
      <c r="T1719" s="1" t="s">
        <v>2041</v>
      </c>
    </row>
    <row r="1720" customFormat="false" ht="15" hidden="false" customHeight="true" outlineLevel="0" collapsed="false">
      <c r="A1720" s="1" t="s">
        <v>3334</v>
      </c>
      <c r="B1720" s="1" t="n">
        <v>1935</v>
      </c>
      <c r="C1720" s="1" t="n">
        <v>7</v>
      </c>
      <c r="D1720" s="1" t="s">
        <v>38</v>
      </c>
      <c r="E1720" s="1" t="s">
        <v>2039</v>
      </c>
      <c r="F1720" s="1" t="n">
        <v>195</v>
      </c>
      <c r="G1720" s="1" t="n">
        <v>130</v>
      </c>
      <c r="H1720" s="2" t="n">
        <v>2772000</v>
      </c>
      <c r="I1720" s="2" t="n">
        <f aca="false">(((H1720 / 800) / IF(ISBLANK(R1720), 1000000, IF(ISNA(VLOOKUP(R1720, Mileages!$A$2:$C$34, 2, 0)), R1720, VLOOKUP(R1720, Mileages!$A$2:$C$34, 2, 0)))) + (F1720 * IF(ISBLANK(P1720), 1, P1720) * IF(ISBLANK(T1720), 0, IF(ISNA(VLOOKUP(T1720, 'Fuel Costs'!$A$2:$C$42, 2, 0)), T1720, VLOOKUP(T1720, 'Fuel Costs'!$A$2:$C$42, 2, 0))) / IF(ISBLANK(O1720), 1, O1720))) * 100</f>
        <v>195.693</v>
      </c>
      <c r="J1720" s="2" t="n">
        <f aca="false">((H1720 / 800) / (IF(ISBLANK(S1720), 100, IF(ISNA(VLOOKUP(S1720, Lives!$A$2:$C$35, 2, 0)), S1720, VLOOKUP(S1720, Lives!$A$2:$C$35, 2, 0))) * 12) + (IF(ISBLANK(Q1720), 0, IF(ISNA(VLOOKUP(Q1720, Wages!$A$2:$C$17, 2, 0)), Q1720, VLOOKUP(Q1720, Wages!$A$2:$C$17, 2, 0))) * IF(ISBLANK(N1720), 0, IF(ISNA(VLOOKUP(N1720, Crews!$A$2:$C$28, 2, 0)), N1720, VLOOKUP(N1720, Crews!$A$2:$C$28, 2, 0))))) * 400</f>
        <v>12887.5</v>
      </c>
      <c r="K1720" s="1" t="s">
        <v>3335</v>
      </c>
      <c r="L1720" s="1" t="s">
        <v>3336</v>
      </c>
      <c r="M1720" s="1" t="n">
        <v>0</v>
      </c>
      <c r="N1720" s="1" t="s">
        <v>1488</v>
      </c>
      <c r="O1720" s="1" t="n">
        <v>0.5</v>
      </c>
      <c r="P1720" s="1"/>
      <c r="Q1720" s="1" t="s">
        <v>1488</v>
      </c>
      <c r="R1720" s="1" t="s">
        <v>3179</v>
      </c>
      <c r="S1720" s="1" t="s">
        <v>3179</v>
      </c>
      <c r="T1720" s="1" t="s">
        <v>2041</v>
      </c>
    </row>
    <row r="1721" customFormat="false" ht="15" hidden="false" customHeight="true" outlineLevel="0" collapsed="false">
      <c r="A1721" s="1" t="s">
        <v>3337</v>
      </c>
      <c r="B1721" s="1" t="n">
        <v>1935</v>
      </c>
      <c r="C1721" s="1" t="n">
        <v>7</v>
      </c>
      <c r="D1721" s="1" t="s">
        <v>38</v>
      </c>
      <c r="E1721" s="1" t="s">
        <v>2039</v>
      </c>
      <c r="F1721" s="1" t="n">
        <v>195</v>
      </c>
      <c r="G1721" s="1" t="n">
        <v>130</v>
      </c>
      <c r="H1721" s="2" t="n">
        <v>3200000</v>
      </c>
      <c r="I1721" s="2" t="n">
        <f aca="false">(((H1721 / 800) / IF(ISBLANK(R1721), 1000000, IF(ISNA(VLOOKUP(R1721, Mileages!$A$2:$C$34, 2, 0)), R1721, VLOOKUP(R1721, Mileages!$A$2:$C$34, 2, 0)))) + (F1721 * IF(ISBLANK(P1721), 1, P1721) * IF(ISBLANK(T1721), 0, IF(ISNA(VLOOKUP(T1721, 'Fuel Costs'!$A$2:$C$42, 2, 0)), T1721, VLOOKUP(T1721, 'Fuel Costs'!$A$2:$C$42, 2, 0))) / IF(ISBLANK(O1721), 1, O1721))) * 100</f>
        <v>195.8</v>
      </c>
      <c r="J1721" s="2" t="n">
        <f aca="false">((H1721 / 800) / (IF(ISBLANK(S1721), 100, IF(ISNA(VLOOKUP(S1721, Lives!$A$2:$C$35, 2, 0)), S1721, VLOOKUP(S1721, Lives!$A$2:$C$35, 2, 0))) * 12) + (IF(ISBLANK(Q1721), 0, IF(ISNA(VLOOKUP(Q1721, Wages!$A$2:$C$17, 2, 0)), Q1721, VLOOKUP(Q1721, Wages!$A$2:$C$17, 2, 0))) * IF(ISBLANK(N1721), 0, IF(ISNA(VLOOKUP(N1721, Crews!$A$2:$C$28, 2, 0)), N1721, VLOOKUP(N1721, Crews!$A$2:$C$28, 2, 0))))) * 400</f>
        <v>13333.33333</v>
      </c>
      <c r="K1721" s="1"/>
      <c r="L1721" s="1" t="s">
        <v>3338</v>
      </c>
      <c r="M1721" s="1" t="n">
        <v>0</v>
      </c>
      <c r="N1721" s="1" t="s">
        <v>1488</v>
      </c>
      <c r="O1721" s="1" t="n">
        <v>0.5</v>
      </c>
      <c r="P1721" s="1"/>
      <c r="Q1721" s="1" t="s">
        <v>1488</v>
      </c>
      <c r="R1721" s="1" t="s">
        <v>3179</v>
      </c>
      <c r="S1721" s="1" t="s">
        <v>3179</v>
      </c>
      <c r="T1721" s="1" t="s">
        <v>2041</v>
      </c>
    </row>
    <row r="1722" customFormat="false" ht="15" hidden="false" customHeight="true" outlineLevel="0" collapsed="false">
      <c r="A1722" s="1" t="s">
        <v>3339</v>
      </c>
      <c r="B1722" s="1" t="n">
        <v>1935</v>
      </c>
      <c r="C1722" s="1" t="n">
        <v>7</v>
      </c>
      <c r="D1722" s="1" t="s">
        <v>21</v>
      </c>
      <c r="E1722" s="1" t="s">
        <v>2039</v>
      </c>
      <c r="F1722" s="1" t="n">
        <v>67</v>
      </c>
      <c r="G1722" s="1" t="n">
        <v>55</v>
      </c>
      <c r="H1722" s="2" t="n">
        <v>760000</v>
      </c>
      <c r="I1722" s="2" t="n">
        <f aca="false">(((H1722 / 800) / IF(ISBLANK(R1722), 1000000, IF(ISNA(VLOOKUP(R1722, Mileages!$A$2:$C$34, 2, 0)), R1722, VLOOKUP(R1722, Mileages!$A$2:$C$34, 2, 0)))) + (F1722 * IF(ISBLANK(P1722), 1, P1722) * IF(ISBLANK(T1722), 0, IF(ISNA(VLOOKUP(T1722, 'Fuel Costs'!$A$2:$C$42, 2, 0)), T1722, VLOOKUP(T1722, 'Fuel Costs'!$A$2:$C$42, 2, 0))) / IF(ISBLANK(O1722), 1, O1722))) * 100</f>
        <v>67.095</v>
      </c>
      <c r="J1722" s="2" t="n">
        <f aca="false">((H1722 / 800) / (IF(ISBLANK(S1722), 100, IF(ISNA(VLOOKUP(S1722, Lives!$A$2:$C$35, 2, 0)), S1722, VLOOKUP(S1722, Lives!$A$2:$C$35, 2, 0))) * 12) + (IF(ISBLANK(Q1722), 0, IF(ISNA(VLOOKUP(Q1722, Wages!$A$2:$C$17, 2, 0)), Q1722, VLOOKUP(Q1722, Wages!$A$2:$C$17, 2, 0))) * IF(ISBLANK(N1722), 0, IF(ISNA(VLOOKUP(N1722, Crews!$A$2:$C$28, 2, 0)), N1722, VLOOKUP(N1722, Crews!$A$2:$C$28, 2, 0))))) * 400</f>
        <v>8395.833333</v>
      </c>
      <c r="K1722" s="3" t="s">
        <v>3340</v>
      </c>
      <c r="L1722" s="1" t="s">
        <v>3341</v>
      </c>
      <c r="M1722" s="1" t="n">
        <v>0</v>
      </c>
      <c r="N1722" s="1" t="s">
        <v>1815</v>
      </c>
      <c r="O1722" s="1" t="n">
        <v>0.5</v>
      </c>
      <c r="P1722" s="1"/>
      <c r="Q1722" s="1" t="s">
        <v>1815</v>
      </c>
      <c r="R1722" s="1" t="s">
        <v>1843</v>
      </c>
      <c r="S1722" s="1" t="s">
        <v>1843</v>
      </c>
      <c r="T1722" s="1" t="s">
        <v>2041</v>
      </c>
    </row>
    <row r="1723" customFormat="false" ht="15" hidden="false" customHeight="true" outlineLevel="0" collapsed="false">
      <c r="A1723" s="1" t="s">
        <v>3342</v>
      </c>
      <c r="B1723" s="1" t="n">
        <v>1935</v>
      </c>
      <c r="C1723" s="1" t="n">
        <v>7</v>
      </c>
      <c r="D1723" s="1" t="s">
        <v>38</v>
      </c>
      <c r="E1723" s="1" t="s">
        <v>1346</v>
      </c>
      <c r="F1723" s="1" t="n">
        <v>0</v>
      </c>
      <c r="G1723" s="1" t="n">
        <v>90</v>
      </c>
      <c r="H1723" s="2" t="n">
        <v>1512000</v>
      </c>
      <c r="I1723" s="2" t="n">
        <f aca="false">(((H1723 / 800) / IF(ISBLANK(R1723), 1000000, IF(ISNA(VLOOKUP(R1723, Mileages!$A$2:$C$34, 2, 0)), R1723, VLOOKUP(R1723, Mileages!$A$2:$C$34, 2, 0)))) + (F1723 * IF(ISBLANK(P1723), 1, P1723) * IF(ISBLANK(T1723), 0, IF(ISNA(VLOOKUP(T1723, 'Fuel Costs'!$A$2:$C$42, 2, 0)), T1723, VLOOKUP(T1723, 'Fuel Costs'!$A$2:$C$42, 2, 0))) / IF(ISBLANK(O1723), 1, O1723))) * 100</f>
        <v>0.1575</v>
      </c>
      <c r="J1723" s="2" t="n">
        <f aca="false">((H1723 / 800) / (IF(ISBLANK(S1723), 100, IF(ISNA(VLOOKUP(S1723, Lives!$A$2:$C$35, 2, 0)), S1723, VLOOKUP(S1723, Lives!$A$2:$C$35, 2, 0))) * 12) + (IF(ISBLANK(Q1723), 0, IF(ISNA(VLOOKUP(Q1723, Wages!$A$2:$C$17, 2, 0)), Q1723, VLOOKUP(Q1723, Wages!$A$2:$C$17, 2, 0))) * IF(ISBLANK(N1723), 0, IF(ISNA(VLOOKUP(N1723, Crews!$A$2:$C$28, 2, 0)), N1723, VLOOKUP(N1723, Crews!$A$2:$C$28, 2, 0))))) * 400</f>
        <v>1800</v>
      </c>
      <c r="K1723" s="1"/>
      <c r="L1723" s="1" t="s">
        <v>3343</v>
      </c>
      <c r="M1723" s="1" t="n">
        <v>1</v>
      </c>
      <c r="N1723" s="1"/>
      <c r="O1723" s="1"/>
      <c r="P1723" s="1"/>
      <c r="Q1723" s="1"/>
      <c r="R1723" s="1" t="s">
        <v>689</v>
      </c>
      <c r="S1723" s="1" t="s">
        <v>856</v>
      </c>
      <c r="T1723" s="1"/>
    </row>
    <row r="1724" customFormat="false" ht="15" hidden="false" customHeight="true" outlineLevel="0" collapsed="false">
      <c r="A1724" s="1" t="s">
        <v>3344</v>
      </c>
      <c r="B1724" s="1" t="n">
        <v>1935</v>
      </c>
      <c r="C1724" s="1" t="n">
        <v>7</v>
      </c>
      <c r="D1724" s="1" t="s">
        <v>38</v>
      </c>
      <c r="E1724" s="1" t="s">
        <v>1346</v>
      </c>
      <c r="F1724" s="1" t="n">
        <v>0</v>
      </c>
      <c r="G1724" s="1" t="n">
        <v>90</v>
      </c>
      <c r="H1724" s="2" t="n">
        <v>1512000</v>
      </c>
      <c r="I1724" s="2" t="n">
        <f aca="false">(((H1724 / 800) / IF(ISBLANK(R1724), 1000000, IF(ISNA(VLOOKUP(R1724, Mileages!$A$2:$C$34, 2, 0)), R1724, VLOOKUP(R1724, Mileages!$A$2:$C$34, 2, 0)))) + (F1724 * IF(ISBLANK(P1724), 1, P1724) * IF(ISBLANK(T1724), 0, IF(ISNA(VLOOKUP(T1724, 'Fuel Costs'!$A$2:$C$42, 2, 0)), T1724, VLOOKUP(T1724, 'Fuel Costs'!$A$2:$C$42, 2, 0))) / IF(ISBLANK(O1724), 1, O1724))) * 100</f>
        <v>0.1575</v>
      </c>
      <c r="J1724" s="2" t="n">
        <f aca="false">((H1724 / 800) / (IF(ISBLANK(S1724), 100, IF(ISNA(VLOOKUP(S1724, Lives!$A$2:$C$35, 2, 0)), S1724, VLOOKUP(S1724, Lives!$A$2:$C$35, 2, 0))) * 12) + (IF(ISBLANK(Q1724), 0, IF(ISNA(VLOOKUP(Q1724, Wages!$A$2:$C$17, 2, 0)), Q1724, VLOOKUP(Q1724, Wages!$A$2:$C$17, 2, 0))) * IF(ISBLANK(N1724), 0, IF(ISNA(VLOOKUP(N1724, Crews!$A$2:$C$28, 2, 0)), N1724, VLOOKUP(N1724, Crews!$A$2:$C$28, 2, 0))))) * 400</f>
        <v>1800</v>
      </c>
      <c r="K1724" s="1"/>
      <c r="L1724" s="1" t="s">
        <v>3343</v>
      </c>
      <c r="M1724" s="1" t="n">
        <v>2</v>
      </c>
      <c r="N1724" s="1"/>
      <c r="O1724" s="1"/>
      <c r="P1724" s="1"/>
      <c r="Q1724" s="1"/>
      <c r="R1724" s="1" t="s">
        <v>689</v>
      </c>
      <c r="S1724" s="1" t="s">
        <v>856</v>
      </c>
      <c r="T1724" s="1"/>
    </row>
    <row r="1725" customFormat="false" ht="15" hidden="false" customHeight="true" outlineLevel="0" collapsed="false">
      <c r="A1725" s="1" t="s">
        <v>3345</v>
      </c>
      <c r="B1725" s="1" t="n">
        <v>1935</v>
      </c>
      <c r="C1725" s="1" t="n">
        <v>7</v>
      </c>
      <c r="D1725" s="1" t="s">
        <v>21</v>
      </c>
      <c r="E1725" s="1" t="s">
        <v>2039</v>
      </c>
      <c r="F1725" s="1" t="n">
        <v>67</v>
      </c>
      <c r="G1725" s="1" t="n">
        <v>55</v>
      </c>
      <c r="H1725" s="2" t="n">
        <v>755000</v>
      </c>
      <c r="I1725" s="2" t="n">
        <f aca="false">(((H1725 / 800) / IF(ISBLANK(R1725), 1000000, IF(ISNA(VLOOKUP(R1725, Mileages!$A$2:$C$34, 2, 0)), R1725, VLOOKUP(R1725, Mileages!$A$2:$C$34, 2, 0)))) + (F1725 * IF(ISBLANK(P1725), 1, P1725) * IF(ISBLANK(T1725), 0, IF(ISNA(VLOOKUP(T1725, 'Fuel Costs'!$A$2:$C$42, 2, 0)), T1725, VLOOKUP(T1725, 'Fuel Costs'!$A$2:$C$42, 2, 0))) / IF(ISBLANK(O1725), 1, O1725))) * 100</f>
        <v>67.094375</v>
      </c>
      <c r="J1725" s="2" t="n">
        <f aca="false">((H1725 / 800) / (IF(ISBLANK(S1725), 100, IF(ISNA(VLOOKUP(S1725, Lives!$A$2:$C$35, 2, 0)), S1725, VLOOKUP(S1725, Lives!$A$2:$C$35, 2, 0))) * 12) + (IF(ISBLANK(Q1725), 0, IF(ISNA(VLOOKUP(Q1725, Wages!$A$2:$C$17, 2, 0)), Q1725, VLOOKUP(Q1725, Wages!$A$2:$C$17, 2, 0))) * IF(ISBLANK(N1725), 0, IF(ISNA(VLOOKUP(N1725, Crews!$A$2:$C$28, 2, 0)), N1725, VLOOKUP(N1725, Crews!$A$2:$C$28, 2, 0))))) * 400</f>
        <v>8393.229167</v>
      </c>
      <c r="K1725" s="3" t="s">
        <v>3346</v>
      </c>
      <c r="L1725" s="1" t="s">
        <v>3347</v>
      </c>
      <c r="M1725" s="1" t="n">
        <v>0</v>
      </c>
      <c r="N1725" s="1" t="s">
        <v>1815</v>
      </c>
      <c r="O1725" s="1" t="n">
        <v>0.5</v>
      </c>
      <c r="P1725" s="1"/>
      <c r="Q1725" s="1" t="s">
        <v>1815</v>
      </c>
      <c r="R1725" s="1" t="s">
        <v>1843</v>
      </c>
      <c r="S1725" s="1" t="s">
        <v>1843</v>
      </c>
      <c r="T1725" s="1" t="s">
        <v>2041</v>
      </c>
    </row>
    <row r="1726" customFormat="false" ht="15" hidden="false" customHeight="true" outlineLevel="0" collapsed="false">
      <c r="A1726" s="1" t="s">
        <v>3348</v>
      </c>
      <c r="B1726" s="1" t="n">
        <v>1935</v>
      </c>
      <c r="C1726" s="1" t="n">
        <v>12</v>
      </c>
      <c r="D1726" s="1" t="s">
        <v>38</v>
      </c>
      <c r="E1726" s="1" t="s">
        <v>274</v>
      </c>
      <c r="F1726" s="1" t="n">
        <v>250</v>
      </c>
      <c r="G1726" s="1" t="n">
        <v>100</v>
      </c>
      <c r="H1726" s="2" t="n">
        <v>3024049</v>
      </c>
      <c r="I1726" s="2" t="n">
        <f aca="false">(((H1726 / 800) / IF(ISBLANK(R1726), 1000000, IF(ISNA(VLOOKUP(R1726, Mileages!$A$2:$C$34, 2, 0)), R1726, VLOOKUP(R1726, Mileages!$A$2:$C$34, 2, 0)))) + (F1726 * IF(ISBLANK(P1726), 1, P1726) * IF(ISBLANK(T1726), 0, IF(ISNA(VLOOKUP(T1726, 'Fuel Costs'!$A$2:$C$42, 2, 0)), T1726, VLOOKUP(T1726, 'Fuel Costs'!$A$2:$C$42, 2, 0))) / IF(ISBLANK(O1726), 1, O1726))) * 100</f>
        <v>125.3780061</v>
      </c>
      <c r="J1726" s="2" t="n">
        <f aca="false">((H1726 / 800) / (IF(ISBLANK(S1726), 100, IF(ISNA(VLOOKUP(S1726, Lives!$A$2:$C$35, 2, 0)), S1726, VLOOKUP(S1726, Lives!$A$2:$C$35, 2, 0))) * 12) + (IF(ISBLANK(Q1726), 0, IF(ISNA(VLOOKUP(Q1726, Wages!$A$2:$C$17, 2, 0)), Q1726, VLOOKUP(Q1726, Wages!$A$2:$C$17, 2, 0))) * IF(ISBLANK(N1726), 0, IF(ISNA(VLOOKUP(N1726, Crews!$A$2:$C$28, 2, 0)), N1726, VLOOKUP(N1726, Crews!$A$2:$C$28, 2, 0))))) * 400</f>
        <v>26520.04083</v>
      </c>
      <c r="K1726" s="3" t="s">
        <v>3349</v>
      </c>
      <c r="L1726" s="1" t="s">
        <v>3350</v>
      </c>
      <c r="M1726" s="1" t="n">
        <v>0</v>
      </c>
      <c r="N1726" s="1" t="s">
        <v>590</v>
      </c>
      <c r="O1726" s="1" t="n">
        <v>0.8</v>
      </c>
      <c r="P1726" s="1"/>
      <c r="Q1726" s="5" t="s">
        <v>284</v>
      </c>
      <c r="R1726" s="1" t="s">
        <v>677</v>
      </c>
      <c r="S1726" s="1" t="s">
        <v>677</v>
      </c>
      <c r="T1726" s="1" t="s">
        <v>2252</v>
      </c>
    </row>
    <row r="1727" customFormat="false" ht="15" hidden="false" customHeight="true" outlineLevel="0" collapsed="false">
      <c r="A1727" s="1" t="s">
        <v>3351</v>
      </c>
      <c r="B1727" s="1" t="n">
        <v>1935</v>
      </c>
      <c r="C1727" s="1" t="n">
        <v>12</v>
      </c>
      <c r="D1727" s="1" t="s">
        <v>38</v>
      </c>
      <c r="E1727" s="1" t="s">
        <v>274</v>
      </c>
      <c r="F1727" s="1" t="n">
        <v>151</v>
      </c>
      <c r="G1727" s="1" t="n">
        <v>110</v>
      </c>
      <c r="H1727" s="2" t="n">
        <v>3064049</v>
      </c>
      <c r="I1727" s="2" t="n">
        <f aca="false">(((H1727 / 800) / IF(ISBLANK(R1727), 1000000, IF(ISNA(VLOOKUP(R1727, Mileages!$A$2:$C$34, 2, 0)), R1727, VLOOKUP(R1727, Mileages!$A$2:$C$34, 2, 0)))) + (F1727 * IF(ISBLANK(P1727), 1, P1727) * IF(ISBLANK(T1727), 0, IF(ISNA(VLOOKUP(T1727, 'Fuel Costs'!$A$2:$C$42, 2, 0)), T1727, VLOOKUP(T1727, 'Fuel Costs'!$A$2:$C$42, 2, 0))) / IF(ISBLANK(O1727), 1, O1727))) * 100</f>
        <v>75.88300613</v>
      </c>
      <c r="J1727" s="2" t="n">
        <f aca="false">((H1727 / 800) / (IF(ISBLANK(S1727), 100, IF(ISNA(VLOOKUP(S1727, Lives!$A$2:$C$35, 2, 0)), S1727, VLOOKUP(S1727, Lives!$A$2:$C$35, 2, 0))) * 12) + (IF(ISBLANK(Q1727), 0, IF(ISNA(VLOOKUP(Q1727, Wages!$A$2:$C$17, 2, 0)), Q1727, VLOOKUP(Q1727, Wages!$A$2:$C$17, 2, 0))) * IF(ISBLANK(N1727), 0, IF(ISNA(VLOOKUP(N1727, Crews!$A$2:$C$28, 2, 0)), N1727, VLOOKUP(N1727, Crews!$A$2:$C$28, 2, 0))))) * 400</f>
        <v>26553.37417</v>
      </c>
      <c r="K1727" s="1" t="s">
        <v>3352</v>
      </c>
      <c r="L1727" s="1" t="s">
        <v>3350</v>
      </c>
      <c r="M1727" s="1" t="n">
        <v>1</v>
      </c>
      <c r="N1727" s="1" t="s">
        <v>590</v>
      </c>
      <c r="O1727" s="1" t="n">
        <v>0.8</v>
      </c>
      <c r="P1727" s="1"/>
      <c r="Q1727" s="5" t="s">
        <v>284</v>
      </c>
      <c r="R1727" s="1" t="s">
        <v>677</v>
      </c>
      <c r="S1727" s="1" t="s">
        <v>677</v>
      </c>
      <c r="T1727" s="1" t="s">
        <v>2252</v>
      </c>
    </row>
    <row r="1728" customFormat="false" ht="15" hidden="false" customHeight="true" outlineLevel="0" collapsed="false">
      <c r="A1728" s="1" t="s">
        <v>3353</v>
      </c>
      <c r="B1728" s="1" t="n">
        <v>1936</v>
      </c>
      <c r="C1728" s="1" t="n">
        <v>3</v>
      </c>
      <c r="D1728" s="1" t="s">
        <v>2225</v>
      </c>
      <c r="E1728" s="1" t="s">
        <v>2039</v>
      </c>
      <c r="F1728" s="1" t="n">
        <v>2940</v>
      </c>
      <c r="G1728" s="1" t="n">
        <v>135</v>
      </c>
      <c r="H1728" s="2" t="n">
        <v>25000000</v>
      </c>
      <c r="I1728" s="2" t="n">
        <f aca="false">(((H1728 / 800) / IF(ISBLANK(R1728), 1000000, IF(ISNA(VLOOKUP(R1728, Mileages!$A$2:$C$34, 2, 0)), R1728, VLOOKUP(R1728, Mileages!$A$2:$C$34, 2, 0)))) + (F1728 * IF(ISBLANK(P1728), 1, P1728) * IF(ISBLANK(T1728), 0, IF(ISNA(VLOOKUP(T1728, 'Fuel Costs'!$A$2:$C$42, 2, 0)), T1728, VLOOKUP(T1728, 'Fuel Costs'!$A$2:$C$42, 2, 0))) / IF(ISBLANK(O1728), 1, O1728))) * 100</f>
        <v>147.625</v>
      </c>
      <c r="J1728" s="2" t="n">
        <f aca="false">((H1728 / 800) / (IF(ISBLANK(S1728), 100, IF(ISNA(VLOOKUP(S1728, Lives!$A$2:$C$35, 2, 0)), S1728, VLOOKUP(S1728, Lives!$A$2:$C$35, 2, 0))) * 12) + (IF(ISBLANK(Q1728), 0, IF(ISNA(VLOOKUP(Q1728, Wages!$A$2:$C$17, 2, 0)), Q1728, VLOOKUP(Q1728, Wages!$A$2:$C$17, 2, 0))) * IF(ISBLANK(N1728), 0, IF(ISNA(VLOOKUP(N1728, Crews!$A$2:$C$28, 2, 0)), N1728, VLOOKUP(N1728, Crews!$A$2:$C$28, 2, 0))))) * 400</f>
        <v>193020.8333</v>
      </c>
      <c r="K1728" s="3" t="s">
        <v>3354</v>
      </c>
      <c r="L1728" s="1" t="s">
        <v>3355</v>
      </c>
      <c r="M1728" s="1" t="n">
        <v>0</v>
      </c>
      <c r="N1728" s="1" t="s">
        <v>2228</v>
      </c>
      <c r="O1728" s="1"/>
      <c r="P1728" s="1" t="n">
        <v>0.1</v>
      </c>
      <c r="Q1728" s="1" t="s">
        <v>2228</v>
      </c>
      <c r="R1728" s="1" t="s">
        <v>2229</v>
      </c>
      <c r="S1728" s="1" t="s">
        <v>2228</v>
      </c>
      <c r="T1728" s="1" t="s">
        <v>2228</v>
      </c>
    </row>
    <row r="1729" customFormat="false" ht="15" hidden="false" customHeight="true" outlineLevel="0" collapsed="false">
      <c r="A1729" s="1" t="s">
        <v>3356</v>
      </c>
      <c r="B1729" s="1" t="n">
        <v>1936</v>
      </c>
      <c r="C1729" s="1" t="n">
        <v>6</v>
      </c>
      <c r="D1729" s="1" t="s">
        <v>38</v>
      </c>
      <c r="E1729" s="1" t="s">
        <v>274</v>
      </c>
      <c r="F1729" s="1" t="n">
        <v>670</v>
      </c>
      <c r="G1729" s="1" t="n">
        <v>147</v>
      </c>
      <c r="H1729" s="2" t="n">
        <v>6585600</v>
      </c>
      <c r="I1729" s="2" t="n">
        <f aca="false">(((H1729 / 800) / IF(ISBLANK(R1729), 1000000, IF(ISNA(VLOOKUP(R1729, Mileages!$A$2:$C$34, 2, 0)), R1729, VLOOKUP(R1729, Mileages!$A$2:$C$34, 2, 0)))) + (F1729 * IF(ISBLANK(P1729), 1, P1729) * IF(ISBLANK(T1729), 0, IF(ISNA(VLOOKUP(T1729, 'Fuel Costs'!$A$2:$C$42, 2, 0)), T1729, VLOOKUP(T1729, 'Fuel Costs'!$A$2:$C$42, 2, 0))) / IF(ISBLANK(O1729), 1, O1729))) * 100</f>
        <v>384.2291429</v>
      </c>
      <c r="J1729" s="2" t="n">
        <f aca="false">((H1729 / 800) / (IF(ISBLANK(S1729), 100, IF(ISNA(VLOOKUP(S1729, Lives!$A$2:$C$35, 2, 0)), S1729, VLOOKUP(S1729, Lives!$A$2:$C$35, 2, 0))) * 12) + (IF(ISBLANK(Q1729), 0, IF(ISNA(VLOOKUP(Q1729, Wages!$A$2:$C$17, 2, 0)), Q1729, VLOOKUP(Q1729, Wages!$A$2:$C$17, 2, 0))) * IF(ISBLANK(N1729), 0, IF(ISNA(VLOOKUP(N1729, Crews!$A$2:$C$28, 2, 0)), N1729, VLOOKUP(N1729, Crews!$A$2:$C$28, 2, 0))))) * 400</f>
        <v>53720</v>
      </c>
      <c r="K1729" s="3" t="s">
        <v>3357</v>
      </c>
      <c r="L1729" s="1" t="s">
        <v>3358</v>
      </c>
      <c r="M1729" s="1" t="n">
        <v>0</v>
      </c>
      <c r="N1729" s="1" t="s">
        <v>1705</v>
      </c>
      <c r="O1729" s="1" t="n">
        <v>0.7</v>
      </c>
      <c r="P1729" s="1"/>
      <c r="Q1729" s="5" t="s">
        <v>284</v>
      </c>
      <c r="R1729" s="1" t="s">
        <v>2617</v>
      </c>
      <c r="S1729" s="1" t="s">
        <v>2617</v>
      </c>
      <c r="T1729" s="1" t="s">
        <v>2252</v>
      </c>
    </row>
    <row r="1730" customFormat="false" ht="15" hidden="false" customHeight="true" outlineLevel="0" collapsed="false">
      <c r="A1730" s="1" t="s">
        <v>3359</v>
      </c>
      <c r="B1730" s="1" t="n">
        <v>1936</v>
      </c>
      <c r="C1730" s="1" t="n">
        <v>6</v>
      </c>
      <c r="D1730" s="1" t="s">
        <v>2225</v>
      </c>
      <c r="E1730" s="1" t="s">
        <v>1839</v>
      </c>
      <c r="F1730" s="1" t="n">
        <v>1477</v>
      </c>
      <c r="G1730" s="1" t="n">
        <v>293</v>
      </c>
      <c r="H1730" s="2" t="n">
        <v>2700000</v>
      </c>
      <c r="I1730" s="2" t="n">
        <f aca="false">(((H1730 / 800) / IF(ISBLANK(R1730), 1000000, IF(ISNA(VLOOKUP(R1730, Mileages!$A$2:$C$34, 2, 0)), R1730, VLOOKUP(R1730, Mileages!$A$2:$C$34, 2, 0)))) + (F1730 * IF(ISBLANK(P1730), 1, P1730) * IF(ISBLANK(T1730), 0, IF(ISNA(VLOOKUP(T1730, 'Fuel Costs'!$A$2:$C$42, 2, 0)), T1730, VLOOKUP(T1730, 'Fuel Costs'!$A$2:$C$42, 2, 0))) / IF(ISBLANK(O1730), 1, O1730))) * 100</f>
        <v>73.9175</v>
      </c>
      <c r="J1730" s="2" t="n">
        <f aca="false">((H1730 / 800) / (IF(ISBLANK(S1730), 100, IF(ISNA(VLOOKUP(S1730, Lives!$A$2:$C$35, 2, 0)), S1730, VLOOKUP(S1730, Lives!$A$2:$C$35, 2, 0))) * 12) + (IF(ISBLANK(Q1730), 0, IF(ISNA(VLOOKUP(Q1730, Wages!$A$2:$C$17, 2, 0)), Q1730, VLOOKUP(Q1730, Wages!$A$2:$C$17, 2, 0))) * IF(ISBLANK(N1730), 0, IF(ISNA(VLOOKUP(N1730, Crews!$A$2:$C$28, 2, 0)), N1730, VLOOKUP(N1730, Crews!$A$2:$C$28, 2, 0))))) * 400</f>
        <v>51875</v>
      </c>
      <c r="K1730" s="3" t="s">
        <v>3360</v>
      </c>
      <c r="L1730" s="1" t="s">
        <v>3361</v>
      </c>
      <c r="M1730" s="1" t="n">
        <v>0</v>
      </c>
      <c r="N1730" s="1" t="s">
        <v>2342</v>
      </c>
      <c r="O1730" s="1"/>
      <c r="P1730" s="1" t="n">
        <v>0.1</v>
      </c>
      <c r="Q1730" s="1" t="s">
        <v>2229</v>
      </c>
      <c r="R1730" s="1" t="s">
        <v>2229</v>
      </c>
      <c r="S1730" s="1" t="s">
        <v>2229</v>
      </c>
      <c r="T1730" s="1" t="s">
        <v>2572</v>
      </c>
    </row>
    <row r="1731" customFormat="false" ht="15" hidden="false" customHeight="true" outlineLevel="0" collapsed="false">
      <c r="A1731" s="1" t="s">
        <v>3362</v>
      </c>
      <c r="B1731" s="1" t="n">
        <v>1936</v>
      </c>
      <c r="C1731" s="1" t="n">
        <v>6</v>
      </c>
      <c r="D1731" s="1" t="s">
        <v>2225</v>
      </c>
      <c r="E1731" s="1" t="s">
        <v>1839</v>
      </c>
      <c r="F1731" s="1" t="n">
        <v>1477</v>
      </c>
      <c r="G1731" s="1" t="n">
        <v>293</v>
      </c>
      <c r="H1731" s="2" t="n">
        <v>2700000</v>
      </c>
      <c r="I1731" s="2" t="n">
        <f aca="false">(((H1731 / 800) / IF(ISBLANK(R1731), 1000000, IF(ISNA(VLOOKUP(R1731, Mileages!$A$2:$C$34, 2, 0)), R1731, VLOOKUP(R1731, Mileages!$A$2:$C$34, 2, 0)))) + (F1731 * IF(ISBLANK(P1731), 1, P1731) * IF(ISBLANK(T1731), 0, IF(ISNA(VLOOKUP(T1731, 'Fuel Costs'!$A$2:$C$42, 2, 0)), T1731, VLOOKUP(T1731, 'Fuel Costs'!$A$2:$C$42, 2, 0))) / IF(ISBLANK(O1731), 1, O1731))) * 100</f>
        <v>73.9175</v>
      </c>
      <c r="J1731" s="2" t="n">
        <f aca="false">((H1731 / 800) / (IF(ISBLANK(S1731), 100, IF(ISNA(VLOOKUP(S1731, Lives!$A$2:$C$35, 2, 0)), S1731, VLOOKUP(S1731, Lives!$A$2:$C$35, 2, 0))) * 12) + (IF(ISBLANK(Q1731), 0, IF(ISNA(VLOOKUP(Q1731, Wages!$A$2:$C$17, 2, 0)), Q1731, VLOOKUP(Q1731, Wages!$A$2:$C$17, 2, 0))) * IF(ISBLANK(N1731), 0, IF(ISNA(VLOOKUP(N1731, Crews!$A$2:$C$28, 2, 0)), N1731, VLOOKUP(N1731, Crews!$A$2:$C$28, 2, 0))))) * 400</f>
        <v>11875</v>
      </c>
      <c r="K1731" s="3" t="s">
        <v>3363</v>
      </c>
      <c r="L1731" s="1" t="s">
        <v>3361</v>
      </c>
      <c r="M1731" s="1" t="n">
        <v>1</v>
      </c>
      <c r="N1731" s="1" t="s">
        <v>25</v>
      </c>
      <c r="O1731" s="1"/>
      <c r="P1731" s="1" t="n">
        <v>0.1</v>
      </c>
      <c r="Q1731" s="1" t="s">
        <v>2229</v>
      </c>
      <c r="R1731" s="1" t="s">
        <v>2229</v>
      </c>
      <c r="S1731" s="1" t="s">
        <v>2229</v>
      </c>
      <c r="T1731" s="1" t="s">
        <v>2572</v>
      </c>
    </row>
    <row r="1732" customFormat="false" ht="15" hidden="false" customHeight="true" outlineLevel="0" collapsed="false">
      <c r="A1732" s="1" t="s">
        <v>3364</v>
      </c>
      <c r="B1732" s="1" t="n">
        <v>1936</v>
      </c>
      <c r="C1732" s="1" t="n">
        <v>6</v>
      </c>
      <c r="D1732" s="1" t="s">
        <v>38</v>
      </c>
      <c r="E1732" s="1"/>
      <c r="F1732" s="1" t="n">
        <v>0</v>
      </c>
      <c r="G1732" s="1" t="n">
        <v>147</v>
      </c>
      <c r="H1732" s="2" t="n">
        <v>0</v>
      </c>
      <c r="I1732" s="2" t="n">
        <f aca="false">(((H1732 / 800) / IF(ISBLANK(R1732), 1000000, IF(ISNA(VLOOKUP(R1732, Mileages!$A$2:$C$34, 2, 0)), R1732, VLOOKUP(R1732, Mileages!$A$2:$C$34, 2, 0)))) + (F1732 * IF(ISBLANK(P1732), 1, P1732) * IF(ISBLANK(T1732), 0, IF(ISNA(VLOOKUP(T1732, 'Fuel Costs'!$A$2:$C$42, 2, 0)), T1732, VLOOKUP(T1732, 'Fuel Costs'!$A$2:$C$42, 2, 0))) / IF(ISBLANK(O1732), 1, O1732))) * 100</f>
        <v>0</v>
      </c>
      <c r="J1732" s="2" t="n">
        <f aca="false">((H1732 / 800) / (IF(ISBLANK(S1732), 100, IF(ISNA(VLOOKUP(S1732, Lives!$A$2:$C$35, 2, 0)), S1732, VLOOKUP(S1732, Lives!$A$2:$C$35, 2, 0))) * 12) + (IF(ISBLANK(Q1732), 0, IF(ISNA(VLOOKUP(Q1732, Wages!$A$2:$C$17, 2, 0)), Q1732, VLOOKUP(Q1732, Wages!$A$2:$C$17, 2, 0))) * IF(ISBLANK(N1732), 0, IF(ISNA(VLOOKUP(N1732, Crews!$A$2:$C$28, 2, 0)), N1732, VLOOKUP(N1732, Crews!$A$2:$C$28, 2, 0))))) * 400</f>
        <v>0</v>
      </c>
      <c r="K1732" s="1"/>
      <c r="L1732" s="1" t="s">
        <v>3365</v>
      </c>
      <c r="M1732" s="1" t="n">
        <v>0</v>
      </c>
      <c r="N1732" s="1"/>
      <c r="O1732" s="1"/>
      <c r="P1732" s="1"/>
      <c r="Q1732" s="1"/>
      <c r="R1732" s="1"/>
      <c r="S1732" s="1"/>
      <c r="T1732" s="1"/>
    </row>
    <row r="1733" customFormat="false" ht="15" hidden="false" customHeight="true" outlineLevel="0" collapsed="false">
      <c r="A1733" s="1" t="s">
        <v>3366</v>
      </c>
      <c r="B1733" s="1" t="n">
        <v>1936</v>
      </c>
      <c r="C1733" s="1" t="n">
        <v>7</v>
      </c>
      <c r="D1733" s="1" t="s">
        <v>21</v>
      </c>
      <c r="E1733" s="1" t="s">
        <v>2039</v>
      </c>
      <c r="F1733" s="1" t="n">
        <v>71</v>
      </c>
      <c r="G1733" s="1" t="n">
        <v>70</v>
      </c>
      <c r="H1733" s="2" t="n">
        <v>393450</v>
      </c>
      <c r="I1733" s="2" t="n">
        <f aca="false">(((H1733 / 800) / IF(ISBLANK(R1733), 1000000, IF(ISNA(VLOOKUP(R1733, Mileages!$A$2:$C$34, 2, 0)), R1733, VLOOKUP(R1733, Mileages!$A$2:$C$34, 2, 0)))) + (F1733 * IF(ISBLANK(P1733), 1, P1733) * IF(ISBLANK(T1733), 0, IF(ISNA(VLOOKUP(T1733, 'Fuel Costs'!$A$2:$C$42, 2, 0)), T1733, VLOOKUP(T1733, 'Fuel Costs'!$A$2:$C$42, 2, 0))) / IF(ISBLANK(O1733), 1, O1733))) * 100</f>
        <v>71.04918125</v>
      </c>
      <c r="J1733" s="2" t="n">
        <f aca="false">((H1733 / 800) / (IF(ISBLANK(S1733), 100, IF(ISNA(VLOOKUP(S1733, Lives!$A$2:$C$35, 2, 0)), S1733, VLOOKUP(S1733, Lives!$A$2:$C$35, 2, 0))) * 12) + (IF(ISBLANK(Q1733), 0, IF(ISNA(VLOOKUP(Q1733, Wages!$A$2:$C$17, 2, 0)), Q1733, VLOOKUP(Q1733, Wages!$A$2:$C$17, 2, 0))) * IF(ISBLANK(N1733), 0, IF(ISNA(VLOOKUP(N1733, Crews!$A$2:$C$28, 2, 0)), N1733, VLOOKUP(N1733, Crews!$A$2:$C$28, 2, 0))))) * 400</f>
        <v>8204.921875</v>
      </c>
      <c r="K1733" s="3" t="s">
        <v>3367</v>
      </c>
      <c r="L1733" s="1" t="s">
        <v>3368</v>
      </c>
      <c r="M1733" s="1" t="n">
        <v>0</v>
      </c>
      <c r="N1733" s="1" t="s">
        <v>1815</v>
      </c>
      <c r="O1733" s="1" t="n">
        <v>0.5</v>
      </c>
      <c r="P1733" s="1"/>
      <c r="Q1733" s="1" t="s">
        <v>1815</v>
      </c>
      <c r="R1733" s="1" t="s">
        <v>1843</v>
      </c>
      <c r="S1733" s="1" t="s">
        <v>1843</v>
      </c>
      <c r="T1733" s="1" t="s">
        <v>2041</v>
      </c>
    </row>
    <row r="1734" customFormat="false" ht="15" hidden="false" customHeight="true" outlineLevel="0" collapsed="false">
      <c r="A1734" s="1" t="s">
        <v>3369</v>
      </c>
      <c r="B1734" s="1" t="n">
        <v>1936</v>
      </c>
      <c r="C1734" s="1" t="n">
        <v>7</v>
      </c>
      <c r="D1734" s="1" t="s">
        <v>38</v>
      </c>
      <c r="E1734" s="1" t="s">
        <v>1346</v>
      </c>
      <c r="F1734" s="1" t="n">
        <v>320</v>
      </c>
      <c r="G1734" s="1" t="n">
        <v>90</v>
      </c>
      <c r="H1734" s="2" t="n">
        <v>1512000</v>
      </c>
      <c r="I1734" s="2" t="n">
        <f aca="false">(((H1734 / 800) / IF(ISBLANK(R1734), 1000000, IF(ISNA(VLOOKUP(R1734, Mileages!$A$2:$C$34, 2, 0)), R1734, VLOOKUP(R1734, Mileages!$A$2:$C$34, 2, 0)))) + (F1734 * IF(ISBLANK(P1734), 1, P1734) * IF(ISBLANK(T1734), 0, IF(ISNA(VLOOKUP(T1734, 'Fuel Costs'!$A$2:$C$42, 2, 0)), T1734, VLOOKUP(T1734, 'Fuel Costs'!$A$2:$C$42, 2, 0))) / IF(ISBLANK(O1734), 1, O1734))) * 100</f>
        <v>128.189</v>
      </c>
      <c r="J1734" s="2" t="n">
        <f aca="false">((H1734 / 800) / (IF(ISBLANK(S1734), 100, IF(ISNA(VLOOKUP(S1734, Lives!$A$2:$C$35, 2, 0)), S1734, VLOOKUP(S1734, Lives!$A$2:$C$35, 2, 0))) * 12) + (IF(ISBLANK(Q1734), 0, IF(ISNA(VLOOKUP(Q1734, Wages!$A$2:$C$17, 2, 0)), Q1734, VLOOKUP(Q1734, Wages!$A$2:$C$17, 2, 0))) * IF(ISBLANK(N1734), 0, IF(ISNA(VLOOKUP(N1734, Crews!$A$2:$C$28, 2, 0)), N1734, VLOOKUP(N1734, Crews!$A$2:$C$28, 2, 0))))) * 400</f>
        <v>7260</v>
      </c>
      <c r="K1734" s="1"/>
      <c r="L1734" s="1" t="s">
        <v>3343</v>
      </c>
      <c r="M1734" s="1" t="n">
        <v>0</v>
      </c>
      <c r="N1734" s="1" t="s">
        <v>1512</v>
      </c>
      <c r="O1734" s="1" t="n">
        <v>1</v>
      </c>
      <c r="P1734" s="1"/>
      <c r="Q1734" s="1" t="str">
        <f aca="false">IF(ISBLANK('Pak128 Britain In'!$N1734),,'Pak128 Britain In'!$N1734)</f>
        <v>ElectricMultipleUnit</v>
      </c>
      <c r="R1734" s="1" t="s">
        <v>1349</v>
      </c>
      <c r="S1734" s="1" t="s">
        <v>1350</v>
      </c>
      <c r="T1734" s="1" t="s">
        <v>2580</v>
      </c>
    </row>
    <row r="1735" customFormat="false" ht="15" hidden="false" customHeight="true" outlineLevel="0" collapsed="false">
      <c r="A1735" s="1" t="s">
        <v>3370</v>
      </c>
      <c r="B1735" s="1" t="n">
        <v>1936</v>
      </c>
      <c r="C1735" s="1" t="n">
        <v>7</v>
      </c>
      <c r="D1735" s="1" t="s">
        <v>38</v>
      </c>
      <c r="E1735" s="1" t="s">
        <v>1346</v>
      </c>
      <c r="F1735" s="1" t="n">
        <v>640</v>
      </c>
      <c r="G1735" s="1" t="n">
        <v>90</v>
      </c>
      <c r="H1735" s="2" t="n">
        <v>1620000</v>
      </c>
      <c r="I1735" s="2" t="n">
        <f aca="false">(((H1735 / 800) / IF(ISBLANK(R1735), 1000000, IF(ISNA(VLOOKUP(R1735, Mileages!$A$2:$C$34, 2, 0)), R1735, VLOOKUP(R1735, Mileages!$A$2:$C$34, 2, 0)))) + (F1735 * IF(ISBLANK(P1735), 1, P1735) * IF(ISBLANK(T1735), 0, IF(ISNA(VLOOKUP(T1735, 'Fuel Costs'!$A$2:$C$42, 2, 0)), T1735, VLOOKUP(T1735, 'Fuel Costs'!$A$2:$C$42, 2, 0))) / IF(ISBLANK(O1735), 1, O1735))) * 100</f>
        <v>256.2025</v>
      </c>
      <c r="J1735" s="2" t="n">
        <f aca="false">((H1735 / 800) / (IF(ISBLANK(S1735), 100, IF(ISNA(VLOOKUP(S1735, Lives!$A$2:$C$35, 2, 0)), S1735, VLOOKUP(S1735, Lives!$A$2:$C$35, 2, 0))) * 12) + (IF(ISBLANK(Q1735), 0, IF(ISNA(VLOOKUP(Q1735, Wages!$A$2:$C$17, 2, 0)), Q1735, VLOOKUP(Q1735, Wages!$A$2:$C$17, 2, 0))) * IF(ISBLANK(N1735), 0, IF(ISNA(VLOOKUP(N1735, Crews!$A$2:$C$28, 2, 0)), N1735, VLOOKUP(N1735, Crews!$A$2:$C$28, 2, 0))))) * 400</f>
        <v>7350</v>
      </c>
      <c r="K1735" s="1" t="s">
        <v>3371</v>
      </c>
      <c r="L1735" s="1" t="s">
        <v>3343</v>
      </c>
      <c r="M1735" s="1" t="n">
        <v>3</v>
      </c>
      <c r="N1735" s="1" t="s">
        <v>1512</v>
      </c>
      <c r="O1735" s="1" t="n">
        <v>1</v>
      </c>
      <c r="P1735" s="1"/>
      <c r="Q1735" s="1" t="str">
        <f aca="false">IF(ISBLANK('Pak128 Britain In'!$N1735),,'Pak128 Britain In'!$N1735)</f>
        <v>ElectricMultipleUnit</v>
      </c>
      <c r="R1735" s="1" t="s">
        <v>1349</v>
      </c>
      <c r="S1735" s="1" t="s">
        <v>1350</v>
      </c>
      <c r="T1735" s="1" t="s">
        <v>2580</v>
      </c>
    </row>
    <row r="1736" customFormat="false" ht="15" hidden="false" customHeight="true" outlineLevel="0" collapsed="false">
      <c r="A1736" s="1" t="s">
        <v>3372</v>
      </c>
      <c r="B1736" s="1" t="n">
        <v>1936</v>
      </c>
      <c r="C1736" s="1" t="n">
        <v>10</v>
      </c>
      <c r="D1736" s="1" t="s">
        <v>21</v>
      </c>
      <c r="E1736" s="1" t="s">
        <v>2039</v>
      </c>
      <c r="F1736" s="1" t="n">
        <v>59</v>
      </c>
      <c r="G1736" s="1" t="n">
        <v>50</v>
      </c>
      <c r="H1736" s="2" t="n">
        <v>705000</v>
      </c>
      <c r="I1736" s="2" t="n">
        <f aca="false">(((H1736 / 800) / IF(ISBLANK(R1736), 1000000, IF(ISNA(VLOOKUP(R1736, Mileages!$A$2:$C$34, 2, 0)), R1736, VLOOKUP(R1736, Mileages!$A$2:$C$34, 2, 0)))) + (F1736 * IF(ISBLANK(P1736), 1, P1736) * IF(ISBLANK(T1736), 0, IF(ISNA(VLOOKUP(T1736, 'Fuel Costs'!$A$2:$C$42, 2, 0)), T1736, VLOOKUP(T1736, 'Fuel Costs'!$A$2:$C$42, 2, 0))) / IF(ISBLANK(O1736), 1, O1736))) * 100</f>
        <v>59.088125</v>
      </c>
      <c r="J1736" s="2" t="n">
        <f aca="false">((H1736 / 800) / (IF(ISBLANK(S1736), 100, IF(ISNA(VLOOKUP(S1736, Lives!$A$2:$C$35, 2, 0)), S1736, VLOOKUP(S1736, Lives!$A$2:$C$35, 2, 0))) * 12) + (IF(ISBLANK(Q1736), 0, IF(ISNA(VLOOKUP(Q1736, Wages!$A$2:$C$17, 2, 0)), Q1736, VLOOKUP(Q1736, Wages!$A$2:$C$17, 2, 0))) * IF(ISBLANK(N1736), 0, IF(ISNA(VLOOKUP(N1736, Crews!$A$2:$C$28, 2, 0)), N1736, VLOOKUP(N1736, Crews!$A$2:$C$28, 2, 0))))) * 400</f>
        <v>8367.1875</v>
      </c>
      <c r="K1736" s="3" t="s">
        <v>3373</v>
      </c>
      <c r="L1736" s="1" t="s">
        <v>3374</v>
      </c>
      <c r="M1736" s="1" t="n">
        <v>0</v>
      </c>
      <c r="N1736" s="1" t="s">
        <v>1815</v>
      </c>
      <c r="O1736" s="1" t="n">
        <v>0.5</v>
      </c>
      <c r="P1736" s="1"/>
      <c r="Q1736" s="1" t="s">
        <v>1815</v>
      </c>
      <c r="R1736" s="1" t="s">
        <v>1843</v>
      </c>
      <c r="S1736" s="1" t="s">
        <v>1843</v>
      </c>
      <c r="T1736" s="1" t="s">
        <v>2041</v>
      </c>
    </row>
    <row r="1737" customFormat="false" ht="15" hidden="false" customHeight="true" outlineLevel="0" collapsed="false">
      <c r="A1737" s="1" t="s">
        <v>3375</v>
      </c>
      <c r="B1737" s="1" t="n">
        <v>1937</v>
      </c>
      <c r="C1737" s="1" t="n">
        <v>1</v>
      </c>
      <c r="D1737" s="1" t="s">
        <v>2225</v>
      </c>
      <c r="E1737" s="1" t="s">
        <v>1839</v>
      </c>
      <c r="F1737" s="1" t="n">
        <v>604</v>
      </c>
      <c r="G1737" s="1" t="n">
        <v>298</v>
      </c>
      <c r="H1737" s="2" t="n">
        <v>1000000</v>
      </c>
      <c r="I1737" s="2" t="n">
        <f aca="false">(((H1737 / 800) / IF(ISBLANK(R1737), 1000000, IF(ISNA(VLOOKUP(R1737, Mileages!$A$2:$C$34, 2, 0)), R1737, VLOOKUP(R1737, Mileages!$A$2:$C$34, 2, 0)))) + (F1737 * IF(ISBLANK(P1737), 1, P1737) * IF(ISBLANK(T1737), 0, IF(ISNA(VLOOKUP(T1737, 'Fuel Costs'!$A$2:$C$42, 2, 0)), T1737, VLOOKUP(T1737, 'Fuel Costs'!$A$2:$C$42, 2, 0))) / IF(ISBLANK(O1737), 1, O1737))) * 100</f>
        <v>30.225</v>
      </c>
      <c r="J1737" s="2" t="n">
        <f aca="false">((H1737 / 800) / (IF(ISBLANK(S1737), 100, IF(ISNA(VLOOKUP(S1737, Lives!$A$2:$C$35, 2, 0)), S1737, VLOOKUP(S1737, Lives!$A$2:$C$35, 2, 0))) * 12) + (IF(ISBLANK(Q1737), 0, IF(ISNA(VLOOKUP(Q1737, Wages!$A$2:$C$17, 2, 0)), Q1737, VLOOKUP(Q1737, Wages!$A$2:$C$17, 2, 0))) * IF(ISBLANK(N1737), 0, IF(ISNA(VLOOKUP(N1737, Crews!$A$2:$C$28, 2, 0)), N1737, VLOOKUP(N1737, Crews!$A$2:$C$28, 2, 0))))) * 400</f>
        <v>50694.44444</v>
      </c>
      <c r="K1737" s="3" t="s">
        <v>3376</v>
      </c>
      <c r="L1737" s="1" t="s">
        <v>3377</v>
      </c>
      <c r="M1737" s="1" t="n">
        <v>0</v>
      </c>
      <c r="N1737" s="1" t="s">
        <v>2342</v>
      </c>
      <c r="O1737" s="1"/>
      <c r="P1737" s="1" t="n">
        <v>0.1</v>
      </c>
      <c r="Q1737" s="1" t="s">
        <v>2229</v>
      </c>
      <c r="R1737" s="1" t="s">
        <v>2229</v>
      </c>
      <c r="S1737" s="1" t="s">
        <v>2229</v>
      </c>
      <c r="T1737" s="1" t="s">
        <v>2572</v>
      </c>
    </row>
    <row r="1738" customFormat="false" ht="15" hidden="false" customHeight="true" outlineLevel="0" collapsed="false">
      <c r="A1738" s="1" t="s">
        <v>3378</v>
      </c>
      <c r="B1738" s="1" t="n">
        <v>1937</v>
      </c>
      <c r="C1738" s="1" t="n">
        <v>1</v>
      </c>
      <c r="D1738" s="1" t="s">
        <v>2225</v>
      </c>
      <c r="E1738" s="1" t="s">
        <v>1839</v>
      </c>
      <c r="F1738" s="1" t="n">
        <v>604</v>
      </c>
      <c r="G1738" s="1" t="n">
        <v>298</v>
      </c>
      <c r="H1738" s="2" t="n">
        <v>1000000</v>
      </c>
      <c r="I1738" s="2" t="n">
        <f aca="false">(((H1738 / 800) / IF(ISBLANK(R1738), 1000000, IF(ISNA(VLOOKUP(R1738, Mileages!$A$2:$C$34, 2, 0)), R1738, VLOOKUP(R1738, Mileages!$A$2:$C$34, 2, 0)))) + (F1738 * IF(ISBLANK(P1738), 1, P1738) * IF(ISBLANK(T1738), 0, IF(ISNA(VLOOKUP(T1738, 'Fuel Costs'!$A$2:$C$42, 2, 0)), T1738, VLOOKUP(T1738, 'Fuel Costs'!$A$2:$C$42, 2, 0))) / IF(ISBLANK(O1738), 1, O1738))) * 100</f>
        <v>30.225</v>
      </c>
      <c r="J1738" s="2" t="n">
        <f aca="false">((H1738 / 800) / (IF(ISBLANK(S1738), 100, IF(ISNA(VLOOKUP(S1738, Lives!$A$2:$C$35, 2, 0)), S1738, VLOOKUP(S1738, Lives!$A$2:$C$35, 2, 0))) * 12) + (IF(ISBLANK(Q1738), 0, IF(ISNA(VLOOKUP(Q1738, Wages!$A$2:$C$17, 2, 0)), Q1738, VLOOKUP(Q1738, Wages!$A$2:$C$17, 2, 0))) * IF(ISBLANK(N1738), 0, IF(ISNA(VLOOKUP(N1738, Crews!$A$2:$C$28, 2, 0)), N1738, VLOOKUP(N1738, Crews!$A$2:$C$28, 2, 0))))) * 400</f>
        <v>10694.44444</v>
      </c>
      <c r="K1738" s="3" t="s">
        <v>3379</v>
      </c>
      <c r="L1738" s="1" t="s">
        <v>3377</v>
      </c>
      <c r="M1738" s="1" t="n">
        <v>1</v>
      </c>
      <c r="N1738" s="1" t="s">
        <v>25</v>
      </c>
      <c r="O1738" s="1"/>
      <c r="P1738" s="1" t="n">
        <v>0.1</v>
      </c>
      <c r="Q1738" s="1" t="s">
        <v>2229</v>
      </c>
      <c r="R1738" s="1" t="s">
        <v>2229</v>
      </c>
      <c r="S1738" s="1" t="s">
        <v>2229</v>
      </c>
      <c r="T1738" s="1" t="s">
        <v>2572</v>
      </c>
    </row>
    <row r="1739" customFormat="false" ht="15" hidden="false" customHeight="true" outlineLevel="0" collapsed="false">
      <c r="A1739" s="1" t="s">
        <v>3380</v>
      </c>
      <c r="B1739" s="1" t="n">
        <v>1937</v>
      </c>
      <c r="C1739" s="1" t="n">
        <v>4</v>
      </c>
      <c r="D1739" s="1" t="s">
        <v>38</v>
      </c>
      <c r="E1739" s="1" t="s">
        <v>1346</v>
      </c>
      <c r="F1739" s="1" t="n">
        <v>336</v>
      </c>
      <c r="G1739" s="1" t="n">
        <v>121</v>
      </c>
      <c r="H1739" s="2" t="n">
        <v>1680000</v>
      </c>
      <c r="I1739" s="2" t="n">
        <f aca="false">(((H1739 / 800) / IF(ISBLANK(R1739), 1000000, IF(ISNA(VLOOKUP(R1739, Mileages!$A$2:$C$34, 2, 0)), R1739, VLOOKUP(R1739, Mileages!$A$2:$C$34, 2, 0)))) + (F1739 * IF(ISBLANK(P1739), 1, P1739) * IF(ISBLANK(T1739), 0, IF(ISNA(VLOOKUP(T1739, 'Fuel Costs'!$A$2:$C$42, 2, 0)), T1739, VLOOKUP(T1739, 'Fuel Costs'!$A$2:$C$42, 2, 0))) / IF(ISBLANK(O1739), 1, O1739))) * 100</f>
        <v>134.61</v>
      </c>
      <c r="J1739" s="2" t="n">
        <f aca="false">((H1739 / 800) / (IF(ISBLANK(S1739), 100, IF(ISNA(VLOOKUP(S1739, Lives!$A$2:$C$35, 2, 0)), S1739, VLOOKUP(S1739, Lives!$A$2:$C$35, 2, 0))) * 12) + (IF(ISBLANK(Q1739), 0, IF(ISNA(VLOOKUP(Q1739, Wages!$A$2:$C$17, 2, 0)), Q1739, VLOOKUP(Q1739, Wages!$A$2:$C$17, 2, 0))) * IF(ISBLANK(N1739), 0, IF(ISNA(VLOOKUP(N1739, Crews!$A$2:$C$28, 2, 0)), N1739, VLOOKUP(N1739, Crews!$A$2:$C$28, 2, 0))))) * 400</f>
        <v>7400</v>
      </c>
      <c r="K1739" s="1"/>
      <c r="L1739" s="1" t="s">
        <v>3381</v>
      </c>
      <c r="M1739" s="1" t="n">
        <v>0</v>
      </c>
      <c r="N1739" s="1" t="s">
        <v>1512</v>
      </c>
      <c r="O1739" s="1" t="n">
        <v>1</v>
      </c>
      <c r="P1739" s="1"/>
      <c r="Q1739" s="1" t="str">
        <f aca="false">IF(ISBLANK('Pak128 Britain In'!$N1739),,'Pak128 Britain In'!$N1739)</f>
        <v>ElectricMultipleUnit</v>
      </c>
      <c r="R1739" s="1" t="s">
        <v>1349</v>
      </c>
      <c r="S1739" s="1" t="s">
        <v>1350</v>
      </c>
      <c r="T1739" s="1" t="s">
        <v>2580</v>
      </c>
    </row>
    <row r="1740" customFormat="false" ht="15" hidden="false" customHeight="true" outlineLevel="0" collapsed="false">
      <c r="A1740" s="1" t="s">
        <v>3382</v>
      </c>
      <c r="B1740" s="1" t="n">
        <v>1937</v>
      </c>
      <c r="C1740" s="1" t="n">
        <v>4</v>
      </c>
      <c r="D1740" s="1" t="s">
        <v>38</v>
      </c>
      <c r="E1740" s="1" t="s">
        <v>1346</v>
      </c>
      <c r="F1740" s="1"/>
      <c r="G1740" s="1" t="n">
        <v>121</v>
      </c>
      <c r="H1740" s="2" t="n">
        <v>1680000</v>
      </c>
      <c r="I1740" s="2" t="n">
        <f aca="false">(((H1740 / 800) / IF(ISBLANK(R1740), 1000000, IF(ISNA(VLOOKUP(R1740, Mileages!$A$2:$C$34, 2, 0)), R1740, VLOOKUP(R1740, Mileages!$A$2:$C$34, 2, 0)))) + (F1740 * IF(ISBLANK(P1740), 1, P1740) * IF(ISBLANK(T1740), 0, IF(ISNA(VLOOKUP(T1740, 'Fuel Costs'!$A$2:$C$42, 2, 0)), T1740, VLOOKUP(T1740, 'Fuel Costs'!$A$2:$C$42, 2, 0))) / IF(ISBLANK(O1740), 1, O1740))) * 100</f>
        <v>0.175</v>
      </c>
      <c r="J1740" s="2" t="n">
        <f aca="false">((H1740 / 800) / (IF(ISBLANK(S1740), 100, IF(ISNA(VLOOKUP(S1740, Lives!$A$2:$C$35, 2, 0)), S1740, VLOOKUP(S1740, Lives!$A$2:$C$35, 2, 0))) * 12) + (IF(ISBLANK(Q1740), 0, IF(ISNA(VLOOKUP(Q1740, Wages!$A$2:$C$17, 2, 0)), Q1740, VLOOKUP(Q1740, Wages!$A$2:$C$17, 2, 0))) * IF(ISBLANK(N1740), 0, IF(ISNA(VLOOKUP(N1740, Crews!$A$2:$C$28, 2, 0)), N1740, VLOOKUP(N1740, Crews!$A$2:$C$28, 2, 0))))) * 400</f>
        <v>2000</v>
      </c>
      <c r="K1740" s="1"/>
      <c r="L1740" s="1" t="s">
        <v>3381</v>
      </c>
      <c r="M1740" s="1" t="n">
        <v>1</v>
      </c>
      <c r="N1740" s="1"/>
      <c r="O1740" s="1"/>
      <c r="P1740" s="1"/>
      <c r="Q1740" s="1"/>
      <c r="R1740" s="1" t="s">
        <v>689</v>
      </c>
      <c r="S1740" s="1" t="s">
        <v>856</v>
      </c>
      <c r="T1740" s="1"/>
    </row>
    <row r="1741" customFormat="false" ht="15" hidden="false" customHeight="true" outlineLevel="0" collapsed="false">
      <c r="A1741" s="1" t="s">
        <v>3383</v>
      </c>
      <c r="B1741" s="1" t="n">
        <v>1937</v>
      </c>
      <c r="C1741" s="1" t="n">
        <v>4</v>
      </c>
      <c r="D1741" s="1" t="s">
        <v>38</v>
      </c>
      <c r="E1741" s="1" t="s">
        <v>1346</v>
      </c>
      <c r="F1741" s="1"/>
      <c r="G1741" s="1" t="n">
        <v>121</v>
      </c>
      <c r="H1741" s="2" t="n">
        <v>1880000</v>
      </c>
      <c r="I1741" s="2" t="n">
        <f aca="false">(((H1741 / 800) / IF(ISBLANK(R1741), 1000000, IF(ISNA(VLOOKUP(R1741, Mileages!$A$2:$C$34, 2, 0)), R1741, VLOOKUP(R1741, Mileages!$A$2:$C$34, 2, 0)))) + (F1741 * IF(ISBLANK(P1741), 1, P1741) * IF(ISBLANK(T1741), 0, IF(ISNA(VLOOKUP(T1741, 'Fuel Costs'!$A$2:$C$42, 2, 0)), T1741, VLOOKUP(T1741, 'Fuel Costs'!$A$2:$C$42, 2, 0))) / IF(ISBLANK(O1741), 1, O1741))) * 100</f>
        <v>0.1958333333</v>
      </c>
      <c r="J1741" s="2" t="n">
        <f aca="false">((H1741 / 800) / (IF(ISBLANK(S1741), 100, IF(ISNA(VLOOKUP(S1741, Lives!$A$2:$C$35, 2, 0)), S1741, VLOOKUP(S1741, Lives!$A$2:$C$35, 2, 0))) * 12) + (IF(ISBLANK(Q1741), 0, IF(ISNA(VLOOKUP(Q1741, Wages!$A$2:$C$17, 2, 0)), Q1741, VLOOKUP(Q1741, Wages!$A$2:$C$17, 2, 0))) * IF(ISBLANK(N1741), 0, IF(ISNA(VLOOKUP(N1741, Crews!$A$2:$C$28, 2, 0)), N1741, VLOOKUP(N1741, Crews!$A$2:$C$28, 2, 0))))) * 400</f>
        <v>2238.095238</v>
      </c>
      <c r="K1741" s="1"/>
      <c r="L1741" s="1" t="s">
        <v>3381</v>
      </c>
      <c r="M1741" s="1" t="n">
        <v>2</v>
      </c>
      <c r="N1741" s="1"/>
      <c r="O1741" s="1"/>
      <c r="P1741" s="1"/>
      <c r="Q1741" s="1"/>
      <c r="R1741" s="1" t="s">
        <v>689</v>
      </c>
      <c r="S1741" s="1" t="s">
        <v>856</v>
      </c>
      <c r="T1741" s="1"/>
    </row>
    <row r="1742" customFormat="false" ht="15" hidden="false" customHeight="true" outlineLevel="0" collapsed="false">
      <c r="A1742" s="1" t="s">
        <v>3384</v>
      </c>
      <c r="B1742" s="1" t="n">
        <v>1937</v>
      </c>
      <c r="C1742" s="1" t="n">
        <v>4</v>
      </c>
      <c r="D1742" s="1" t="s">
        <v>38</v>
      </c>
      <c r="E1742" s="1" t="s">
        <v>1346</v>
      </c>
      <c r="F1742" s="1"/>
      <c r="G1742" s="1" t="n">
        <v>121</v>
      </c>
      <c r="H1742" s="2" t="n">
        <v>1790000</v>
      </c>
      <c r="I1742" s="2" t="n">
        <f aca="false">(((H1742 / 800) / IF(ISBLANK(R1742), 1000000, IF(ISNA(VLOOKUP(R1742, Mileages!$A$2:$C$34, 2, 0)), R1742, VLOOKUP(R1742, Mileages!$A$2:$C$34, 2, 0)))) + (F1742 * IF(ISBLANK(P1742), 1, P1742) * IF(ISBLANK(T1742), 0, IF(ISNA(VLOOKUP(T1742, 'Fuel Costs'!$A$2:$C$42, 2, 0)), T1742, VLOOKUP(T1742, 'Fuel Costs'!$A$2:$C$42, 2, 0))) / IF(ISBLANK(O1742), 1, O1742))) * 100</f>
        <v>0.1864583333</v>
      </c>
      <c r="J1742" s="2" t="n">
        <f aca="false">((H1742 / 800) / (IF(ISBLANK(S1742), 100, IF(ISNA(VLOOKUP(S1742, Lives!$A$2:$C$35, 2, 0)), S1742, VLOOKUP(S1742, Lives!$A$2:$C$35, 2, 0))) * 12) + (IF(ISBLANK(Q1742), 0, IF(ISNA(VLOOKUP(Q1742, Wages!$A$2:$C$17, 2, 0)), Q1742, VLOOKUP(Q1742, Wages!$A$2:$C$17, 2, 0))) * IF(ISBLANK(N1742), 0, IF(ISNA(VLOOKUP(N1742, Crews!$A$2:$C$28, 2, 0)), N1742, VLOOKUP(N1742, Crews!$A$2:$C$28, 2, 0))))) * 400</f>
        <v>2130.952381</v>
      </c>
      <c r="K1742" s="3" t="s">
        <v>3385</v>
      </c>
      <c r="L1742" s="1" t="s">
        <v>3381</v>
      </c>
      <c r="M1742" s="1" t="n">
        <v>3</v>
      </c>
      <c r="N1742" s="1"/>
      <c r="O1742" s="1"/>
      <c r="P1742" s="1"/>
      <c r="Q1742" s="1"/>
      <c r="R1742" s="1" t="s">
        <v>689</v>
      </c>
      <c r="S1742" s="1" t="s">
        <v>856</v>
      </c>
      <c r="T1742" s="1"/>
    </row>
    <row r="1743" customFormat="false" ht="15" hidden="false" customHeight="true" outlineLevel="0" collapsed="false">
      <c r="A1743" s="1" t="s">
        <v>3386</v>
      </c>
      <c r="B1743" s="1" t="n">
        <v>1937</v>
      </c>
      <c r="C1743" s="1" t="n">
        <v>4</v>
      </c>
      <c r="D1743" s="1" t="s">
        <v>38</v>
      </c>
      <c r="E1743" s="1" t="s">
        <v>1346</v>
      </c>
      <c r="F1743" s="1"/>
      <c r="G1743" s="1" t="n">
        <v>121</v>
      </c>
      <c r="H1743" s="2" t="n">
        <v>1680000</v>
      </c>
      <c r="I1743" s="2" t="n">
        <f aca="false">(((H1743 / 800) / IF(ISBLANK(R1743), 1000000, IF(ISNA(VLOOKUP(R1743, Mileages!$A$2:$C$34, 2, 0)), R1743, VLOOKUP(R1743, Mileages!$A$2:$C$34, 2, 0)))) + (F1743 * IF(ISBLANK(P1743), 1, P1743) * IF(ISBLANK(T1743), 0, IF(ISNA(VLOOKUP(T1743, 'Fuel Costs'!$A$2:$C$42, 2, 0)), T1743, VLOOKUP(T1743, 'Fuel Costs'!$A$2:$C$42, 2, 0))) / IF(ISBLANK(O1743), 1, O1743))) * 100</f>
        <v>0.175</v>
      </c>
      <c r="J1743" s="2" t="n">
        <f aca="false">((H1743 / 800) / (IF(ISBLANK(S1743), 100, IF(ISNA(VLOOKUP(S1743, Lives!$A$2:$C$35, 2, 0)), S1743, VLOOKUP(S1743, Lives!$A$2:$C$35, 2, 0))) * 12) + (IF(ISBLANK(Q1743), 0, IF(ISNA(VLOOKUP(Q1743, Wages!$A$2:$C$17, 2, 0)), Q1743, VLOOKUP(Q1743, Wages!$A$2:$C$17, 2, 0))) * IF(ISBLANK(N1743), 0, IF(ISNA(VLOOKUP(N1743, Crews!$A$2:$C$28, 2, 0)), N1743, VLOOKUP(N1743, Crews!$A$2:$C$28, 2, 0))))) * 400</f>
        <v>2000</v>
      </c>
      <c r="K1743" s="1"/>
      <c r="L1743" s="1" t="s">
        <v>3381</v>
      </c>
      <c r="M1743" s="1" t="n">
        <v>4</v>
      </c>
      <c r="N1743" s="1"/>
      <c r="O1743" s="1"/>
      <c r="P1743" s="1"/>
      <c r="Q1743" s="1"/>
      <c r="R1743" s="1" t="s">
        <v>689</v>
      </c>
      <c r="S1743" s="1" t="s">
        <v>856</v>
      </c>
      <c r="T1743" s="1"/>
    </row>
    <row r="1744" customFormat="false" ht="15" hidden="false" customHeight="true" outlineLevel="0" collapsed="false">
      <c r="A1744" s="1" t="s">
        <v>3387</v>
      </c>
      <c r="B1744" s="1" t="n">
        <v>1937</v>
      </c>
      <c r="C1744" s="1" t="n">
        <v>4</v>
      </c>
      <c r="D1744" s="1" t="s">
        <v>38</v>
      </c>
      <c r="E1744" s="1" t="s">
        <v>1346</v>
      </c>
      <c r="F1744" s="1" t="n">
        <v>336</v>
      </c>
      <c r="G1744" s="1" t="n">
        <v>121</v>
      </c>
      <c r="H1744" s="2" t="n">
        <v>1680000</v>
      </c>
      <c r="I1744" s="2" t="n">
        <f aca="false">(((H1744 / 800) / IF(ISBLANK(R1744), 1000000, IF(ISNA(VLOOKUP(R1744, Mileages!$A$2:$C$34, 2, 0)), R1744, VLOOKUP(R1744, Mileages!$A$2:$C$34, 2, 0)))) + (F1744 * IF(ISBLANK(P1744), 1, P1744) * IF(ISBLANK(T1744), 0, IF(ISNA(VLOOKUP(T1744, 'Fuel Costs'!$A$2:$C$42, 2, 0)), T1744, VLOOKUP(T1744, 'Fuel Costs'!$A$2:$C$42, 2, 0))) / IF(ISBLANK(O1744), 1, O1744))) * 100</f>
        <v>134.61</v>
      </c>
      <c r="J1744" s="2" t="n">
        <f aca="false">((H1744 / 800) / (IF(ISBLANK(S1744), 100, IF(ISNA(VLOOKUP(S1744, Lives!$A$2:$C$35, 2, 0)), S1744, VLOOKUP(S1744, Lives!$A$2:$C$35, 2, 0))) * 12) + (IF(ISBLANK(Q1744), 0, IF(ISNA(VLOOKUP(Q1744, Wages!$A$2:$C$17, 2, 0)), Q1744, VLOOKUP(Q1744, Wages!$A$2:$C$17, 2, 0))) * IF(ISBLANK(N1744), 0, IF(ISNA(VLOOKUP(N1744, Crews!$A$2:$C$28, 2, 0)), N1744, VLOOKUP(N1744, Crews!$A$2:$C$28, 2, 0))))) * 400</f>
        <v>7400</v>
      </c>
      <c r="K1744" s="1"/>
      <c r="L1744" s="1" t="s">
        <v>3381</v>
      </c>
      <c r="M1744" s="1" t="n">
        <v>5</v>
      </c>
      <c r="N1744" s="1" t="s">
        <v>1512</v>
      </c>
      <c r="O1744" s="1" t="n">
        <v>1</v>
      </c>
      <c r="P1744" s="1"/>
      <c r="Q1744" s="1" t="str">
        <f aca="false">IF(ISBLANK('Pak128 Britain In'!$N1744),,'Pak128 Britain In'!$N1744)</f>
        <v>ElectricMultipleUnit</v>
      </c>
      <c r="R1744" s="1" t="s">
        <v>1349</v>
      </c>
      <c r="S1744" s="1" t="s">
        <v>1350</v>
      </c>
      <c r="T1744" s="1" t="s">
        <v>2580</v>
      </c>
    </row>
    <row r="1745" customFormat="false" ht="15" hidden="false" customHeight="true" outlineLevel="0" collapsed="false">
      <c r="A1745" s="1" t="s">
        <v>3388</v>
      </c>
      <c r="B1745" s="1" t="n">
        <v>1937</v>
      </c>
      <c r="C1745" s="1" t="n">
        <v>6</v>
      </c>
      <c r="D1745" s="1" t="s">
        <v>38</v>
      </c>
      <c r="E1745" s="1" t="s">
        <v>274</v>
      </c>
      <c r="F1745" s="1" t="n">
        <v>418</v>
      </c>
      <c r="G1745" s="1" t="n">
        <v>150</v>
      </c>
      <c r="H1745" s="2" t="n">
        <v>8467200</v>
      </c>
      <c r="I1745" s="2" t="n">
        <f aca="false">(((H1745 / 800) / IF(ISBLANK(R1745), 1000000, IF(ISNA(VLOOKUP(R1745, Mileages!$A$2:$C$34, 2, 0)), R1745, VLOOKUP(R1745, Mileages!$A$2:$C$34, 2, 0)))) + (F1745 * IF(ISBLANK(P1745), 1, P1745) * IF(ISBLANK(T1745), 0, IF(ISNA(VLOOKUP(T1745, 'Fuel Costs'!$A$2:$C$42, 2, 0)), T1745, VLOOKUP(T1745, 'Fuel Costs'!$A$2:$C$42, 2, 0))) / IF(ISBLANK(O1745), 1, O1745))) * 100</f>
        <v>239.9155429</v>
      </c>
      <c r="J1745" s="2" t="n">
        <f aca="false">((H1745 / 800) / (IF(ISBLANK(S1745), 100, IF(ISNA(VLOOKUP(S1745, Lives!$A$2:$C$35, 2, 0)), S1745, VLOOKUP(S1745, Lives!$A$2:$C$35, 2, 0))) * 12) + (IF(ISBLANK(Q1745), 0, IF(ISNA(VLOOKUP(Q1745, Wages!$A$2:$C$17, 2, 0)), Q1745, VLOOKUP(Q1745, Wages!$A$2:$C$17, 2, 0))) * IF(ISBLANK(N1745), 0, IF(ISNA(VLOOKUP(N1745, Crews!$A$2:$C$28, 2, 0)), N1745, VLOOKUP(N1745, Crews!$A$2:$C$28, 2, 0))))) * 400</f>
        <v>31056</v>
      </c>
      <c r="K1745" s="3" t="s">
        <v>3389</v>
      </c>
      <c r="L1745" s="1" t="s">
        <v>3390</v>
      </c>
      <c r="M1745" s="1" t="n">
        <v>0</v>
      </c>
      <c r="N1745" s="1" t="s">
        <v>590</v>
      </c>
      <c r="O1745" s="1" t="n">
        <v>0.7</v>
      </c>
      <c r="P1745" s="1"/>
      <c r="Q1745" s="5" t="s">
        <v>284</v>
      </c>
      <c r="R1745" s="1" t="s">
        <v>677</v>
      </c>
      <c r="S1745" s="1" t="s">
        <v>677</v>
      </c>
      <c r="T1745" s="1" t="s">
        <v>2252</v>
      </c>
    </row>
    <row r="1746" customFormat="false" ht="15" hidden="false" customHeight="true" outlineLevel="0" collapsed="false">
      <c r="A1746" s="1" t="s">
        <v>3391</v>
      </c>
      <c r="B1746" s="1" t="n">
        <v>1937</v>
      </c>
      <c r="C1746" s="1" t="n">
        <v>6</v>
      </c>
      <c r="D1746" s="1" t="s">
        <v>38</v>
      </c>
      <c r="E1746" s="1"/>
      <c r="F1746" s="1"/>
      <c r="G1746" s="1" t="n">
        <v>160</v>
      </c>
      <c r="H1746" s="2" t="n">
        <v>600000</v>
      </c>
      <c r="I1746" s="2" t="n">
        <f aca="false">(((H1746 / 800) / IF(ISBLANK(R1746), 1000000, IF(ISNA(VLOOKUP(R1746, Mileages!$A$2:$C$34, 2, 0)), R1746, VLOOKUP(R1746, Mileages!$A$2:$C$34, 2, 0)))) + (F1746 * IF(ISBLANK(P1746), 1, P1746) * IF(ISBLANK(T1746), 0, IF(ISNA(VLOOKUP(T1746, 'Fuel Costs'!$A$2:$C$42, 2, 0)), T1746, VLOOKUP(T1746, 'Fuel Costs'!$A$2:$C$42, 2, 0))) / IF(ISBLANK(O1746), 1, O1746))) * 100</f>
        <v>0.0625</v>
      </c>
      <c r="J1746" s="2" t="n">
        <f aca="false">((H1746 / 800) / (IF(ISBLANK(S1746), 100, IF(ISNA(VLOOKUP(S1746, Lives!$A$2:$C$35, 2, 0)), S1746, VLOOKUP(S1746, Lives!$A$2:$C$35, 2, 0))) * 12) + (IF(ISBLANK(Q1746), 0, IF(ISNA(VLOOKUP(Q1746, Wages!$A$2:$C$17, 2, 0)), Q1746, VLOOKUP(Q1746, Wages!$A$2:$C$17, 2, 0))) * IF(ISBLANK(N1746), 0, IF(ISNA(VLOOKUP(N1746, Crews!$A$2:$C$28, 2, 0)), N1746, VLOOKUP(N1746, Crews!$A$2:$C$28, 2, 0))))) * 400</f>
        <v>714.2857143</v>
      </c>
      <c r="K1746" s="1" t="s">
        <v>2676</v>
      </c>
      <c r="L1746" s="1" t="s">
        <v>3392</v>
      </c>
      <c r="M1746" s="1" t="n">
        <v>0</v>
      </c>
      <c r="N1746" s="1"/>
      <c r="O1746" s="1"/>
      <c r="P1746" s="1"/>
      <c r="Q1746" s="1"/>
      <c r="R1746" s="1" t="s">
        <v>689</v>
      </c>
      <c r="S1746" s="1" t="s">
        <v>856</v>
      </c>
      <c r="T1746" s="1"/>
    </row>
    <row r="1747" customFormat="false" ht="15" hidden="false" customHeight="true" outlineLevel="0" collapsed="false">
      <c r="A1747" s="1" t="s">
        <v>3393</v>
      </c>
      <c r="B1747" s="1" t="n">
        <v>1937</v>
      </c>
      <c r="C1747" s="1" t="n">
        <v>6</v>
      </c>
      <c r="D1747" s="1" t="s">
        <v>38</v>
      </c>
      <c r="E1747" s="1"/>
      <c r="F1747" s="1"/>
      <c r="G1747" s="1" t="n">
        <v>160</v>
      </c>
      <c r="H1747" s="2" t="n">
        <v>680000</v>
      </c>
      <c r="I1747" s="2" t="n">
        <f aca="false">(((H1747 / 800) / IF(ISBLANK(R1747), 1000000, IF(ISNA(VLOOKUP(R1747, Mileages!$A$2:$C$34, 2, 0)), R1747, VLOOKUP(R1747, Mileages!$A$2:$C$34, 2, 0)))) + (F1747 * IF(ISBLANK(P1747), 1, P1747) * IF(ISBLANK(T1747), 0, IF(ISNA(VLOOKUP(T1747, 'Fuel Costs'!$A$2:$C$42, 2, 0)), T1747, VLOOKUP(T1747, 'Fuel Costs'!$A$2:$C$42, 2, 0))) / IF(ISBLANK(O1747), 1, O1747))) * 100</f>
        <v>0.07083333333</v>
      </c>
      <c r="J1747" s="2" t="n">
        <f aca="false">((H1747 / 800) / (IF(ISBLANK(S1747), 100, IF(ISNA(VLOOKUP(S1747, Lives!$A$2:$C$35, 2, 0)), S1747, VLOOKUP(S1747, Lives!$A$2:$C$35, 2, 0))) * 12) + (IF(ISBLANK(Q1747), 0, IF(ISNA(VLOOKUP(Q1747, Wages!$A$2:$C$17, 2, 0)), Q1747, VLOOKUP(Q1747, Wages!$A$2:$C$17, 2, 0))) * IF(ISBLANK(N1747), 0, IF(ISNA(VLOOKUP(N1747, Crews!$A$2:$C$28, 2, 0)), N1747, VLOOKUP(N1747, Crews!$A$2:$C$28, 2, 0))))) * 400</f>
        <v>809.5238095</v>
      </c>
      <c r="K1747" s="1"/>
      <c r="L1747" s="1" t="s">
        <v>3394</v>
      </c>
      <c r="M1747" s="1" t="n">
        <v>0</v>
      </c>
      <c r="N1747" s="1"/>
      <c r="O1747" s="1"/>
      <c r="P1747" s="1"/>
      <c r="Q1747" s="1"/>
      <c r="R1747" s="1" t="s">
        <v>689</v>
      </c>
      <c r="S1747" s="1" t="s">
        <v>856</v>
      </c>
      <c r="T1747" s="1"/>
    </row>
    <row r="1748" customFormat="false" ht="15" hidden="false" customHeight="true" outlineLevel="0" collapsed="false">
      <c r="A1748" s="1" t="s">
        <v>3395</v>
      </c>
      <c r="B1748" s="1" t="n">
        <v>1937</v>
      </c>
      <c r="C1748" s="1" t="n">
        <v>6</v>
      </c>
      <c r="D1748" s="1" t="s">
        <v>38</v>
      </c>
      <c r="E1748" s="1"/>
      <c r="F1748" s="1"/>
      <c r="G1748" s="1" t="n">
        <v>160</v>
      </c>
      <c r="H1748" s="2" t="n">
        <v>660000</v>
      </c>
      <c r="I1748" s="2" t="n">
        <f aca="false">(((H1748 / 800) / IF(ISBLANK(R1748), 1000000, IF(ISNA(VLOOKUP(R1748, Mileages!$A$2:$C$34, 2, 0)), R1748, VLOOKUP(R1748, Mileages!$A$2:$C$34, 2, 0)))) + (F1748 * IF(ISBLANK(P1748), 1, P1748) * IF(ISBLANK(T1748), 0, IF(ISNA(VLOOKUP(T1748, 'Fuel Costs'!$A$2:$C$42, 2, 0)), T1748, VLOOKUP(T1748, 'Fuel Costs'!$A$2:$C$42, 2, 0))) / IF(ISBLANK(O1748), 1, O1748))) * 100</f>
        <v>0.06875</v>
      </c>
      <c r="J1748" s="2" t="n">
        <f aca="false">((H1748 / 800) / (IF(ISBLANK(S1748), 100, IF(ISNA(VLOOKUP(S1748, Lives!$A$2:$C$35, 2, 0)), S1748, VLOOKUP(S1748, Lives!$A$2:$C$35, 2, 0))) * 12) + (IF(ISBLANK(Q1748), 0, IF(ISNA(VLOOKUP(Q1748, Wages!$A$2:$C$17, 2, 0)), Q1748, VLOOKUP(Q1748, Wages!$A$2:$C$17, 2, 0))) * IF(ISBLANK(N1748), 0, IF(ISNA(VLOOKUP(N1748, Crews!$A$2:$C$28, 2, 0)), N1748, VLOOKUP(N1748, Crews!$A$2:$C$28, 2, 0))))) * 400</f>
        <v>785.7142857</v>
      </c>
      <c r="K1748" s="3" t="s">
        <v>3396</v>
      </c>
      <c r="L1748" s="1" t="s">
        <v>3397</v>
      </c>
      <c r="M1748" s="1" t="n">
        <v>0</v>
      </c>
      <c r="N1748" s="1"/>
      <c r="O1748" s="1"/>
      <c r="P1748" s="1"/>
      <c r="Q1748" s="1"/>
      <c r="R1748" s="1" t="s">
        <v>689</v>
      </c>
      <c r="S1748" s="1" t="s">
        <v>856</v>
      </c>
      <c r="T1748" s="1"/>
    </row>
    <row r="1749" customFormat="false" ht="15" hidden="false" customHeight="true" outlineLevel="0" collapsed="false">
      <c r="A1749" s="1" t="s">
        <v>3398</v>
      </c>
      <c r="B1749" s="1" t="n">
        <v>1937</v>
      </c>
      <c r="C1749" s="1" t="n">
        <v>6</v>
      </c>
      <c r="D1749" s="1" t="s">
        <v>38</v>
      </c>
      <c r="E1749" s="1" t="s">
        <v>274</v>
      </c>
      <c r="F1749" s="1" t="n">
        <v>761</v>
      </c>
      <c r="G1749" s="1" t="n">
        <v>160</v>
      </c>
      <c r="H1749" s="2" t="n">
        <v>10458000</v>
      </c>
      <c r="I1749" s="2" t="n">
        <f aca="false">(((H1749 / 800) / IF(ISBLANK(R1749), 1000000, IF(ISNA(VLOOKUP(R1749, Mileages!$A$2:$C$34, 2, 0)), R1749, VLOOKUP(R1749, Mileages!$A$2:$C$34, 2, 0)))) + (F1749 * IF(ISBLANK(P1749), 1, P1749) * IF(ISBLANK(T1749), 0, IF(ISNA(VLOOKUP(T1749, 'Fuel Costs'!$A$2:$C$42, 2, 0)), T1749, VLOOKUP(T1749, 'Fuel Costs'!$A$2:$C$42, 2, 0))) / IF(ISBLANK(O1749), 1, O1749))) * 100</f>
        <v>436.1643929</v>
      </c>
      <c r="J1749" s="2" t="n">
        <f aca="false">((H1749 / 800) / (IF(ISBLANK(S1749), 100, IF(ISNA(VLOOKUP(S1749, Lives!$A$2:$C$35, 2, 0)), S1749, VLOOKUP(S1749, Lives!$A$2:$C$35, 2, 0))) * 12) + (IF(ISBLANK(Q1749), 0, IF(ISNA(VLOOKUP(Q1749, Wages!$A$2:$C$17, 2, 0)), Q1749, VLOOKUP(Q1749, Wages!$A$2:$C$17, 2, 0))) * IF(ISBLANK(N1749), 0, IF(ISNA(VLOOKUP(N1749, Crews!$A$2:$C$28, 2, 0)), N1749, VLOOKUP(N1749, Crews!$A$2:$C$28, 2, 0))))) * 400</f>
        <v>48715</v>
      </c>
      <c r="K1749" s="3" t="s">
        <v>3399</v>
      </c>
      <c r="L1749" s="1" t="s">
        <v>3400</v>
      </c>
      <c r="M1749" s="1" t="n">
        <v>0</v>
      </c>
      <c r="N1749" s="1" t="s">
        <v>1705</v>
      </c>
      <c r="O1749" s="1" t="n">
        <v>0.7</v>
      </c>
      <c r="P1749" s="1"/>
      <c r="Q1749" s="5" t="s">
        <v>284</v>
      </c>
      <c r="R1749" s="1" t="s">
        <v>677</v>
      </c>
      <c r="S1749" s="1" t="s">
        <v>677</v>
      </c>
      <c r="T1749" s="1" t="s">
        <v>2252</v>
      </c>
    </row>
    <row r="1750" customFormat="false" ht="15" hidden="false" customHeight="true" outlineLevel="0" collapsed="false">
      <c r="A1750" s="1" t="s">
        <v>3401</v>
      </c>
      <c r="B1750" s="1" t="n">
        <v>1937</v>
      </c>
      <c r="C1750" s="1" t="n">
        <v>6</v>
      </c>
      <c r="D1750" s="1" t="s">
        <v>38</v>
      </c>
      <c r="E1750" s="1"/>
      <c r="F1750" s="1" t="n">
        <v>0</v>
      </c>
      <c r="G1750" s="1" t="n">
        <v>160</v>
      </c>
      <c r="H1750" s="2" t="n">
        <v>0</v>
      </c>
      <c r="I1750" s="2" t="n">
        <f aca="false">(((H1750 / 800) / IF(ISBLANK(R1750), 1000000, IF(ISNA(VLOOKUP(R1750, Mileages!$A$2:$C$34, 2, 0)), R1750, VLOOKUP(R1750, Mileages!$A$2:$C$34, 2, 0)))) + (F1750 * IF(ISBLANK(P1750), 1, P1750) * IF(ISBLANK(T1750), 0, IF(ISNA(VLOOKUP(T1750, 'Fuel Costs'!$A$2:$C$42, 2, 0)), T1750, VLOOKUP(T1750, 'Fuel Costs'!$A$2:$C$42, 2, 0))) / IF(ISBLANK(O1750), 1, O1750))) * 100</f>
        <v>0</v>
      </c>
      <c r="J1750" s="2" t="n">
        <f aca="false">((H1750 / 800) / (IF(ISBLANK(S1750), 100, IF(ISNA(VLOOKUP(S1750, Lives!$A$2:$C$35, 2, 0)), S1750, VLOOKUP(S1750, Lives!$A$2:$C$35, 2, 0))) * 12) + (IF(ISBLANK(Q1750), 0, IF(ISNA(VLOOKUP(Q1750, Wages!$A$2:$C$17, 2, 0)), Q1750, VLOOKUP(Q1750, Wages!$A$2:$C$17, 2, 0))) * IF(ISBLANK(N1750), 0, IF(ISNA(VLOOKUP(N1750, Crews!$A$2:$C$28, 2, 0)), N1750, VLOOKUP(N1750, Crews!$A$2:$C$28, 2, 0))))) * 400</f>
        <v>0</v>
      </c>
      <c r="K1750" s="1" t="s">
        <v>3402</v>
      </c>
      <c r="L1750" s="1" t="s">
        <v>3403</v>
      </c>
      <c r="M1750" s="1" t="n">
        <v>0</v>
      </c>
      <c r="N1750" s="1"/>
      <c r="O1750" s="1"/>
      <c r="P1750" s="1"/>
      <c r="Q1750" s="1"/>
      <c r="R1750" s="1"/>
      <c r="S1750" s="1"/>
      <c r="T1750" s="1"/>
    </row>
    <row r="1751" customFormat="false" ht="15" hidden="false" customHeight="true" outlineLevel="0" collapsed="false">
      <c r="A1751" s="1" t="s">
        <v>3404</v>
      </c>
      <c r="B1751" s="1" t="n">
        <v>1937</v>
      </c>
      <c r="C1751" s="1" t="n">
        <v>6</v>
      </c>
      <c r="D1751" s="1" t="s">
        <v>876</v>
      </c>
      <c r="E1751" s="1" t="s">
        <v>1346</v>
      </c>
      <c r="F1751" s="1" t="n">
        <v>60</v>
      </c>
      <c r="G1751" s="1" t="n">
        <v>65</v>
      </c>
      <c r="H1751" s="2" t="n">
        <v>446000</v>
      </c>
      <c r="I1751" s="2" t="n">
        <f aca="false">(((H1751 / 800) / IF(ISBLANK(R1751), 1000000, IF(ISNA(VLOOKUP(R1751, Mileages!$A$2:$C$34, 2, 0)), R1751, VLOOKUP(R1751, Mileages!$A$2:$C$34, 2, 0)))) + (F1751 * IF(ISBLANK(P1751), 1, P1751) * IF(ISBLANK(T1751), 0, IF(ISNA(VLOOKUP(T1751, 'Fuel Costs'!$A$2:$C$42, 2, 0)), T1751, VLOOKUP(T1751, 'Fuel Costs'!$A$2:$C$42, 2, 0))) / IF(ISBLANK(O1751), 1, O1751))) * 100</f>
        <v>24.05575</v>
      </c>
      <c r="J1751" s="2" t="n">
        <f aca="false">((H1751 / 800) / (IF(ISBLANK(S1751), 100, IF(ISNA(VLOOKUP(S1751, Lives!$A$2:$C$35, 2, 0)), S1751, VLOOKUP(S1751, Lives!$A$2:$C$35, 2, 0))) * 12) + (IF(ISBLANK(Q1751), 0, IF(ISNA(VLOOKUP(Q1751, Wages!$A$2:$C$17, 2, 0)), Q1751, VLOOKUP(Q1751, Wages!$A$2:$C$17, 2, 0))) * IF(ISBLANK(N1751), 0, IF(ISNA(VLOOKUP(N1751, Crews!$A$2:$C$28, 2, 0)), N1751, VLOOKUP(N1751, Crews!$A$2:$C$28, 2, 0))))) * 400</f>
        <v>6371.666667</v>
      </c>
      <c r="K1751" s="3" t="s">
        <v>3405</v>
      </c>
      <c r="L1751" s="1" t="s">
        <v>3406</v>
      </c>
      <c r="M1751" s="1" t="n">
        <v>0</v>
      </c>
      <c r="N1751" s="1" t="s">
        <v>895</v>
      </c>
      <c r="O1751" s="1"/>
      <c r="P1751" s="1"/>
      <c r="Q1751" s="1" t="s">
        <v>895</v>
      </c>
      <c r="R1751" s="1" t="s">
        <v>1349</v>
      </c>
      <c r="S1751" s="1" t="s">
        <v>1350</v>
      </c>
      <c r="T1751" s="1" t="s">
        <v>2580</v>
      </c>
    </row>
    <row r="1752" customFormat="false" ht="15" hidden="false" customHeight="true" outlineLevel="0" collapsed="false">
      <c r="A1752" s="1" t="s">
        <v>3407</v>
      </c>
      <c r="B1752" s="1" t="n">
        <v>1937</v>
      </c>
      <c r="C1752" s="1" t="n">
        <v>6</v>
      </c>
      <c r="D1752" s="1" t="s">
        <v>876</v>
      </c>
      <c r="E1752" s="1" t="s">
        <v>1346</v>
      </c>
      <c r="F1752" s="1" t="n">
        <v>104</v>
      </c>
      <c r="G1752" s="1" t="n">
        <v>67</v>
      </c>
      <c r="H1752" s="2" t="n">
        <v>500000</v>
      </c>
      <c r="I1752" s="2" t="n">
        <f aca="false">(((H1752 / 800) / IF(ISBLANK(R1752), 1000000, IF(ISNA(VLOOKUP(R1752, Mileages!$A$2:$C$34, 2, 0)), R1752, VLOOKUP(R1752, Mileages!$A$2:$C$34, 2, 0)))) + (F1752 * IF(ISBLANK(P1752), 1, P1752) * IF(ISBLANK(T1752), 0, IF(ISNA(VLOOKUP(T1752, 'Fuel Costs'!$A$2:$C$42, 2, 0)), T1752, VLOOKUP(T1752, 'Fuel Costs'!$A$2:$C$42, 2, 0))) / IF(ISBLANK(O1752), 1, O1752))) * 100</f>
        <v>41.6625</v>
      </c>
      <c r="J1752" s="2" t="n">
        <f aca="false">((H1752 / 800) / (IF(ISBLANK(S1752), 100, IF(ISNA(VLOOKUP(S1752, Lives!$A$2:$C$35, 2, 0)), S1752, VLOOKUP(S1752, Lives!$A$2:$C$35, 2, 0))) * 12) + (IF(ISBLANK(Q1752), 0, IF(ISNA(VLOOKUP(Q1752, Wages!$A$2:$C$17, 2, 0)), Q1752, VLOOKUP(Q1752, Wages!$A$2:$C$17, 2, 0))) * IF(ISBLANK(N1752), 0, IF(ISNA(VLOOKUP(N1752, Crews!$A$2:$C$28, 2, 0)), N1752, VLOOKUP(N1752, Crews!$A$2:$C$28, 2, 0))))) * 400</f>
        <v>6416.666667</v>
      </c>
      <c r="K1752" s="3" t="s">
        <v>3408</v>
      </c>
      <c r="L1752" s="1" t="s">
        <v>3409</v>
      </c>
      <c r="M1752" s="1" t="n">
        <v>0</v>
      </c>
      <c r="N1752" s="1" t="s">
        <v>895</v>
      </c>
      <c r="O1752" s="1"/>
      <c r="P1752" s="1"/>
      <c r="Q1752" s="1" t="s">
        <v>895</v>
      </c>
      <c r="R1752" s="1" t="s">
        <v>1349</v>
      </c>
      <c r="S1752" s="1" t="s">
        <v>1350</v>
      </c>
      <c r="T1752" s="1" t="s">
        <v>2580</v>
      </c>
    </row>
    <row r="1753" customFormat="false" ht="15" hidden="false" customHeight="true" outlineLevel="0" collapsed="false">
      <c r="A1753" s="1" t="s">
        <v>3410</v>
      </c>
      <c r="B1753" s="1" t="n">
        <v>1937</v>
      </c>
      <c r="C1753" s="1" t="n">
        <v>6</v>
      </c>
      <c r="D1753" s="1" t="s">
        <v>38</v>
      </c>
      <c r="E1753" s="1"/>
      <c r="F1753" s="1" t="n">
        <v>0</v>
      </c>
      <c r="G1753" s="1" t="n">
        <v>155</v>
      </c>
      <c r="H1753" s="2" t="n">
        <v>0</v>
      </c>
      <c r="I1753" s="2" t="n">
        <f aca="false">(((H1753 / 800) / IF(ISBLANK(R1753), 1000000, IF(ISNA(VLOOKUP(R1753, Mileages!$A$2:$C$34, 2, 0)), R1753, VLOOKUP(R1753, Mileages!$A$2:$C$34, 2, 0)))) + (F1753 * IF(ISBLANK(P1753), 1, P1753) * IF(ISBLANK(T1753), 0, IF(ISNA(VLOOKUP(T1753, 'Fuel Costs'!$A$2:$C$42, 2, 0)), T1753, VLOOKUP(T1753, 'Fuel Costs'!$A$2:$C$42, 2, 0))) / IF(ISBLANK(O1753), 1, O1753))) * 100</f>
        <v>0</v>
      </c>
      <c r="J1753" s="2" t="n">
        <f aca="false">((H1753 / 800) / (IF(ISBLANK(S1753), 100, IF(ISNA(VLOOKUP(S1753, Lives!$A$2:$C$35, 2, 0)), S1753, VLOOKUP(S1753, Lives!$A$2:$C$35, 2, 0))) * 12) + (IF(ISBLANK(Q1753), 0, IF(ISNA(VLOOKUP(Q1753, Wages!$A$2:$C$17, 2, 0)), Q1753, VLOOKUP(Q1753, Wages!$A$2:$C$17, 2, 0))) * IF(ISBLANK(N1753), 0, IF(ISNA(VLOOKUP(N1753, Crews!$A$2:$C$28, 2, 0)), N1753, VLOOKUP(N1753, Crews!$A$2:$C$28, 2, 0))))) * 400</f>
        <v>0</v>
      </c>
      <c r="K1753" s="1"/>
      <c r="L1753" s="1" t="s">
        <v>3411</v>
      </c>
      <c r="M1753" s="1" t="n">
        <v>0</v>
      </c>
      <c r="N1753" s="1"/>
      <c r="O1753" s="1"/>
      <c r="P1753" s="1"/>
      <c r="Q1753" s="1"/>
      <c r="R1753" s="1"/>
      <c r="S1753" s="1"/>
      <c r="T1753" s="1"/>
    </row>
    <row r="1754" customFormat="false" ht="15" hidden="false" customHeight="true" outlineLevel="0" collapsed="false">
      <c r="A1754" s="1" t="s">
        <v>3412</v>
      </c>
      <c r="B1754" s="1" t="n">
        <v>1937</v>
      </c>
      <c r="C1754" s="1" t="n">
        <v>6</v>
      </c>
      <c r="D1754" s="1" t="s">
        <v>38</v>
      </c>
      <c r="E1754" s="1"/>
      <c r="F1754" s="1"/>
      <c r="G1754" s="1" t="n">
        <v>160</v>
      </c>
      <c r="H1754" s="2" t="n">
        <v>610000</v>
      </c>
      <c r="I1754" s="2" t="n">
        <f aca="false">(((H1754 / 800) / IF(ISBLANK(R1754), 1000000, IF(ISNA(VLOOKUP(R1754, Mileages!$A$2:$C$34, 2, 0)), R1754, VLOOKUP(R1754, Mileages!$A$2:$C$34, 2, 0)))) + (F1754 * IF(ISBLANK(P1754), 1, P1754) * IF(ISBLANK(T1754), 0, IF(ISNA(VLOOKUP(T1754, 'Fuel Costs'!$A$2:$C$42, 2, 0)), T1754, VLOOKUP(T1754, 'Fuel Costs'!$A$2:$C$42, 2, 0))) / IF(ISBLANK(O1754), 1, O1754))) * 100</f>
        <v>0.06354166667</v>
      </c>
      <c r="J1754" s="2" t="n">
        <f aca="false">((H1754 / 800) / (IF(ISBLANK(S1754), 100, IF(ISNA(VLOOKUP(S1754, Lives!$A$2:$C$35, 2, 0)), S1754, VLOOKUP(S1754, Lives!$A$2:$C$35, 2, 0))) * 12) + (IF(ISBLANK(Q1754), 0, IF(ISNA(VLOOKUP(Q1754, Wages!$A$2:$C$17, 2, 0)), Q1754, VLOOKUP(Q1754, Wages!$A$2:$C$17, 2, 0))) * IF(ISBLANK(N1754), 0, IF(ISNA(VLOOKUP(N1754, Crews!$A$2:$C$28, 2, 0)), N1754, VLOOKUP(N1754, Crews!$A$2:$C$28, 2, 0))))) * 400</f>
        <v>726.1904762</v>
      </c>
      <c r="K1754" s="1" t="s">
        <v>2676</v>
      </c>
      <c r="L1754" s="1" t="s">
        <v>3413</v>
      </c>
      <c r="M1754" s="1" t="n">
        <v>0</v>
      </c>
      <c r="N1754" s="1"/>
      <c r="O1754" s="1"/>
      <c r="P1754" s="1"/>
      <c r="Q1754" s="1"/>
      <c r="R1754" s="1" t="s">
        <v>689</v>
      </c>
      <c r="S1754" s="1" t="s">
        <v>856</v>
      </c>
      <c r="T1754" s="1"/>
    </row>
    <row r="1755" customFormat="false" ht="15" hidden="false" customHeight="true" outlineLevel="0" collapsed="false">
      <c r="A1755" s="1" t="s">
        <v>3414</v>
      </c>
      <c r="B1755" s="1" t="n">
        <v>1937</v>
      </c>
      <c r="C1755" s="1" t="n">
        <v>7</v>
      </c>
      <c r="D1755" s="1" t="s">
        <v>38</v>
      </c>
      <c r="E1755" s="1"/>
      <c r="F1755" s="1"/>
      <c r="G1755" s="1" t="n">
        <v>175</v>
      </c>
      <c r="H1755" s="2" t="n">
        <v>885000</v>
      </c>
      <c r="I1755" s="2" t="n">
        <f aca="false">(((H1755 / 800) / IF(ISBLANK(R1755), 1000000, IF(ISNA(VLOOKUP(R1755, Mileages!$A$2:$C$34, 2, 0)), R1755, VLOOKUP(R1755, Mileages!$A$2:$C$34, 2, 0)))) + (F1755 * IF(ISBLANK(P1755), 1, P1755) * IF(ISBLANK(T1755), 0, IF(ISNA(VLOOKUP(T1755, 'Fuel Costs'!$A$2:$C$42, 2, 0)), T1755, VLOOKUP(T1755, 'Fuel Costs'!$A$2:$C$42, 2, 0))) / IF(ISBLANK(O1755), 1, O1755))) * 100</f>
        <v>0.0921875</v>
      </c>
      <c r="J1755" s="2" t="n">
        <f aca="false">((H1755 / 800) / (IF(ISBLANK(S1755), 100, IF(ISNA(VLOOKUP(S1755, Lives!$A$2:$C$35, 2, 0)), S1755, VLOOKUP(S1755, Lives!$A$2:$C$35, 2, 0))) * 12) + (IF(ISBLANK(Q1755), 0, IF(ISNA(VLOOKUP(Q1755, Wages!$A$2:$C$17, 2, 0)), Q1755, VLOOKUP(Q1755, Wages!$A$2:$C$17, 2, 0))) * IF(ISBLANK(N1755), 0, IF(ISNA(VLOOKUP(N1755, Crews!$A$2:$C$28, 2, 0)), N1755, VLOOKUP(N1755, Crews!$A$2:$C$28, 2, 0))))) * 400</f>
        <v>1053.571429</v>
      </c>
      <c r="K1755" s="1"/>
      <c r="L1755" s="1" t="s">
        <v>3415</v>
      </c>
      <c r="M1755" s="1" t="n">
        <v>0</v>
      </c>
      <c r="N1755" s="1"/>
      <c r="O1755" s="1"/>
      <c r="P1755" s="1"/>
      <c r="Q1755" s="1"/>
      <c r="R1755" s="1" t="s">
        <v>689</v>
      </c>
      <c r="S1755" s="1" t="s">
        <v>856</v>
      </c>
      <c r="T1755" s="1"/>
    </row>
    <row r="1756" customFormat="false" ht="15" hidden="false" customHeight="true" outlineLevel="0" collapsed="false">
      <c r="A1756" s="1" t="s">
        <v>3416</v>
      </c>
      <c r="B1756" s="1" t="n">
        <v>1937</v>
      </c>
      <c r="C1756" s="1" t="n">
        <v>7</v>
      </c>
      <c r="D1756" s="1" t="s">
        <v>38</v>
      </c>
      <c r="E1756" s="1"/>
      <c r="F1756" s="1"/>
      <c r="G1756" s="1" t="n">
        <v>56</v>
      </c>
      <c r="H1756" s="2" t="n">
        <v>240000</v>
      </c>
      <c r="I1756" s="2" t="n">
        <f aca="false">(((H1756 / 800) / IF(ISBLANK(R1756), 1000000, IF(ISNA(VLOOKUP(R1756, Mileages!$A$2:$C$34, 2, 0)), R1756, VLOOKUP(R1756, Mileages!$A$2:$C$34, 2, 0)))) + (F1756 * IF(ISBLANK(P1756), 1, P1756) * IF(ISBLANK(T1756), 0, IF(ISNA(VLOOKUP(T1756, 'Fuel Costs'!$A$2:$C$42, 2, 0)), T1756, VLOOKUP(T1756, 'Fuel Costs'!$A$2:$C$42, 2, 0))) / IF(ISBLANK(O1756), 1, O1756))) * 100</f>
        <v>0.025</v>
      </c>
      <c r="J1756" s="2" t="n">
        <f aca="false">((H1756 / 800) / (IF(ISBLANK(S1756), 100, IF(ISNA(VLOOKUP(S1756, Lives!$A$2:$C$35, 2, 0)), S1756, VLOOKUP(S1756, Lives!$A$2:$C$35, 2, 0))) * 12) + (IF(ISBLANK(Q1756), 0, IF(ISNA(VLOOKUP(Q1756, Wages!$A$2:$C$17, 2, 0)), Q1756, VLOOKUP(Q1756, Wages!$A$2:$C$17, 2, 0))) * IF(ISBLANK(N1756), 0, IF(ISNA(VLOOKUP(N1756, Crews!$A$2:$C$28, 2, 0)), N1756, VLOOKUP(N1756, Crews!$A$2:$C$28, 2, 0))))) * 400</f>
        <v>200</v>
      </c>
      <c r="K1756" s="3" t="s">
        <v>1766</v>
      </c>
      <c r="L1756" s="1" t="s">
        <v>3417</v>
      </c>
      <c r="M1756" s="1" t="n">
        <v>0</v>
      </c>
      <c r="N1756" s="1"/>
      <c r="O1756" s="1"/>
      <c r="P1756" s="1"/>
      <c r="Q1756" s="1"/>
      <c r="R1756" s="1" t="s">
        <v>689</v>
      </c>
      <c r="S1756" s="1" t="s">
        <v>785</v>
      </c>
      <c r="T1756" s="1"/>
    </row>
    <row r="1757" customFormat="false" ht="15" hidden="false" customHeight="true" outlineLevel="0" collapsed="false">
      <c r="A1757" s="1" t="s">
        <v>3418</v>
      </c>
      <c r="B1757" s="1" t="n">
        <v>1937</v>
      </c>
      <c r="C1757" s="1" t="n">
        <v>8</v>
      </c>
      <c r="D1757" s="1" t="s">
        <v>38</v>
      </c>
      <c r="E1757" s="1"/>
      <c r="F1757" s="1"/>
      <c r="G1757" s="1" t="n">
        <v>100</v>
      </c>
      <c r="H1757" s="2" t="n">
        <v>440000</v>
      </c>
      <c r="I1757" s="2" t="n">
        <f aca="false">(((H1757 / 800) / IF(ISBLANK(R1757), 1000000, IF(ISNA(VLOOKUP(R1757, Mileages!$A$2:$C$34, 2, 0)), R1757, VLOOKUP(R1757, Mileages!$A$2:$C$34, 2, 0)))) + (F1757 * IF(ISBLANK(P1757), 1, P1757) * IF(ISBLANK(T1757), 0, IF(ISNA(VLOOKUP(T1757, 'Fuel Costs'!$A$2:$C$42, 2, 0)), T1757, VLOOKUP(T1757, 'Fuel Costs'!$A$2:$C$42, 2, 0))) / IF(ISBLANK(O1757), 1, O1757))) * 100</f>
        <v>0.04583333333</v>
      </c>
      <c r="J1757" s="2" t="n">
        <f aca="false">((H1757 / 800) / (IF(ISBLANK(S1757), 100, IF(ISNA(VLOOKUP(S1757, Lives!$A$2:$C$35, 2, 0)), S1757, VLOOKUP(S1757, Lives!$A$2:$C$35, 2, 0))) * 12) + (IF(ISBLANK(Q1757), 0, IF(ISNA(VLOOKUP(Q1757, Wages!$A$2:$C$17, 2, 0)), Q1757, VLOOKUP(Q1757, Wages!$A$2:$C$17, 2, 0))) * IF(ISBLANK(N1757), 0, IF(ISNA(VLOOKUP(N1757, Crews!$A$2:$C$28, 2, 0)), N1757, VLOOKUP(N1757, Crews!$A$2:$C$28, 2, 0))))) * 400</f>
        <v>183.3333333</v>
      </c>
      <c r="K1757" s="1" t="s">
        <v>1326</v>
      </c>
      <c r="L1757" s="1" t="s">
        <v>3419</v>
      </c>
      <c r="M1757" s="1" t="n">
        <v>0</v>
      </c>
      <c r="N1757" s="1"/>
      <c r="O1757" s="1"/>
      <c r="P1757" s="1"/>
      <c r="Q1757" s="1"/>
      <c r="R1757" s="1" t="s">
        <v>689</v>
      </c>
      <c r="S1757" s="1" t="s">
        <v>389</v>
      </c>
      <c r="T1757" s="1"/>
    </row>
    <row r="1758" customFormat="false" ht="15" hidden="false" customHeight="true" outlineLevel="0" collapsed="false">
      <c r="A1758" s="1" t="s">
        <v>3420</v>
      </c>
      <c r="B1758" s="1" t="n">
        <v>1937</v>
      </c>
      <c r="C1758" s="1" t="n">
        <v>8</v>
      </c>
      <c r="D1758" s="1" t="s">
        <v>38</v>
      </c>
      <c r="E1758" s="1"/>
      <c r="F1758" s="1"/>
      <c r="G1758" s="1" t="n">
        <v>100</v>
      </c>
      <c r="H1758" s="2" t="n">
        <v>440000</v>
      </c>
      <c r="I1758" s="2" t="n">
        <f aca="false">(((H1758 / 800) / IF(ISBLANK(R1758), 1000000, IF(ISNA(VLOOKUP(R1758, Mileages!$A$2:$C$34, 2, 0)), R1758, VLOOKUP(R1758, Mileages!$A$2:$C$34, 2, 0)))) + (F1758 * IF(ISBLANK(P1758), 1, P1758) * IF(ISBLANK(T1758), 0, IF(ISNA(VLOOKUP(T1758, 'Fuel Costs'!$A$2:$C$42, 2, 0)), T1758, VLOOKUP(T1758, 'Fuel Costs'!$A$2:$C$42, 2, 0))) / IF(ISBLANK(O1758), 1, O1758))) * 100</f>
        <v>0.04583333333</v>
      </c>
      <c r="J1758" s="2" t="n">
        <f aca="false">((H1758 / 800) / (IF(ISBLANK(S1758), 100, IF(ISNA(VLOOKUP(S1758, Lives!$A$2:$C$35, 2, 0)), S1758, VLOOKUP(S1758, Lives!$A$2:$C$35, 2, 0))) * 12) + (IF(ISBLANK(Q1758), 0, IF(ISNA(VLOOKUP(Q1758, Wages!$A$2:$C$17, 2, 0)), Q1758, VLOOKUP(Q1758, Wages!$A$2:$C$17, 2, 0))) * IF(ISBLANK(N1758), 0, IF(ISNA(VLOOKUP(N1758, Crews!$A$2:$C$28, 2, 0)), N1758, VLOOKUP(N1758, Crews!$A$2:$C$28, 2, 0))))) * 400</f>
        <v>183.3333333</v>
      </c>
      <c r="K1758" s="1" t="s">
        <v>1326</v>
      </c>
      <c r="L1758" s="1" t="s">
        <v>3421</v>
      </c>
      <c r="M1758" s="1" t="n">
        <v>0</v>
      </c>
      <c r="N1758" s="1"/>
      <c r="O1758" s="1"/>
      <c r="P1758" s="1"/>
      <c r="Q1758" s="1"/>
      <c r="R1758" s="1" t="s">
        <v>689</v>
      </c>
      <c r="S1758" s="1" t="s">
        <v>389</v>
      </c>
      <c r="T1758" s="1"/>
    </row>
    <row r="1759" customFormat="false" ht="15" hidden="false" customHeight="true" outlineLevel="0" collapsed="false">
      <c r="A1759" s="1" t="s">
        <v>3422</v>
      </c>
      <c r="B1759" s="1" t="n">
        <v>1937</v>
      </c>
      <c r="C1759" s="1" t="n">
        <v>9</v>
      </c>
      <c r="D1759" s="1" t="s">
        <v>38</v>
      </c>
      <c r="E1759" s="1" t="s">
        <v>1346</v>
      </c>
      <c r="F1759" s="1" t="n">
        <v>220</v>
      </c>
      <c r="G1759" s="1" t="n">
        <v>72</v>
      </c>
      <c r="H1759" s="2" t="n">
        <v>1750000</v>
      </c>
      <c r="I1759" s="2" t="n">
        <f aca="false">(((H1759 / 800) / IF(ISBLANK(R1759), 1000000, IF(ISNA(VLOOKUP(R1759, Mileages!$A$2:$C$34, 2, 0)), R1759, VLOOKUP(R1759, Mileages!$A$2:$C$34, 2, 0)))) + (F1759 * IF(ISBLANK(P1759), 1, P1759) * IF(ISBLANK(T1759), 0, IF(ISNA(VLOOKUP(T1759, 'Fuel Costs'!$A$2:$C$42, 2, 0)), T1759, VLOOKUP(T1759, 'Fuel Costs'!$A$2:$C$42, 2, 0))) / IF(ISBLANK(O1759), 1, O1759))) * 100</f>
        <v>88.21875</v>
      </c>
      <c r="J1759" s="2" t="n">
        <f aca="false">((H1759 / 800) / (IF(ISBLANK(S1759), 100, IF(ISNA(VLOOKUP(S1759, Lives!$A$2:$C$35, 2, 0)), S1759, VLOOKUP(S1759, Lives!$A$2:$C$35, 2, 0))) * 12) + (IF(ISBLANK(Q1759), 0, IF(ISNA(VLOOKUP(Q1759, Wages!$A$2:$C$17, 2, 0)), Q1759, VLOOKUP(Q1759, Wages!$A$2:$C$17, 2, 0))) * IF(ISBLANK(N1759), 0, IF(ISNA(VLOOKUP(N1759, Crews!$A$2:$C$28, 2, 0)), N1759, VLOOKUP(N1759, Crews!$A$2:$C$28, 2, 0))))) * 400</f>
        <v>7458.333333</v>
      </c>
      <c r="K1759" s="1" t="s">
        <v>3423</v>
      </c>
      <c r="L1759" s="1" t="s">
        <v>3424</v>
      </c>
      <c r="M1759" s="1" t="n">
        <v>0</v>
      </c>
      <c r="N1759" s="1" t="s">
        <v>1512</v>
      </c>
      <c r="O1759" s="1" t="n">
        <v>1</v>
      </c>
      <c r="P1759" s="1"/>
      <c r="Q1759" s="1" t="str">
        <f aca="false">IF(ISBLANK('Pak128 Britain In'!$N1759),,'Pak128 Britain In'!$N1759)</f>
        <v>ElectricMultipleUnit</v>
      </c>
      <c r="R1759" s="1" t="s">
        <v>1349</v>
      </c>
      <c r="S1759" s="1" t="s">
        <v>1350</v>
      </c>
      <c r="T1759" s="1" t="s">
        <v>2580</v>
      </c>
    </row>
    <row r="1760" customFormat="false" ht="15" hidden="false" customHeight="true" outlineLevel="0" collapsed="false">
      <c r="A1760" s="1" t="s">
        <v>3425</v>
      </c>
      <c r="B1760" s="1" t="n">
        <v>1937</v>
      </c>
      <c r="C1760" s="1" t="n">
        <v>9</v>
      </c>
      <c r="D1760" s="1" t="s">
        <v>38</v>
      </c>
      <c r="E1760" s="1" t="s">
        <v>1346</v>
      </c>
      <c r="F1760" s="1"/>
      <c r="G1760" s="1" t="n">
        <v>72</v>
      </c>
      <c r="H1760" s="2" t="n">
        <v>700000</v>
      </c>
      <c r="I1760" s="2" t="n">
        <f aca="false">(((H1760 / 800) / IF(ISBLANK(R1760), 1000000, IF(ISNA(VLOOKUP(R1760, Mileages!$A$2:$C$34, 2, 0)), R1760, VLOOKUP(R1760, Mileages!$A$2:$C$34, 2, 0)))) + (F1760 * IF(ISBLANK(P1760), 1, P1760) * IF(ISBLANK(T1760), 0, IF(ISNA(VLOOKUP(T1760, 'Fuel Costs'!$A$2:$C$42, 2, 0)), T1760, VLOOKUP(T1760, 'Fuel Costs'!$A$2:$C$42, 2, 0))) / IF(ISBLANK(O1760), 1, O1760))) * 100</f>
        <v>0.07291666667</v>
      </c>
      <c r="J1760" s="2" t="n">
        <f aca="false">((H1760 / 800) / (IF(ISBLANK(S1760), 100, IF(ISNA(VLOOKUP(S1760, Lives!$A$2:$C$35, 2, 0)), S1760, VLOOKUP(S1760, Lives!$A$2:$C$35, 2, 0))) * 12) + (IF(ISBLANK(Q1760), 0, IF(ISNA(VLOOKUP(Q1760, Wages!$A$2:$C$17, 2, 0)), Q1760, VLOOKUP(Q1760, Wages!$A$2:$C$17, 2, 0))) * IF(ISBLANK(N1760), 0, IF(ISNA(VLOOKUP(N1760, Crews!$A$2:$C$28, 2, 0)), N1760, VLOOKUP(N1760, Crews!$A$2:$C$28, 2, 0))))) * 400</f>
        <v>833.3333333</v>
      </c>
      <c r="K1760" s="1"/>
      <c r="L1760" s="1" t="s">
        <v>3424</v>
      </c>
      <c r="M1760" s="1" t="n">
        <v>1</v>
      </c>
      <c r="N1760" s="1"/>
      <c r="O1760" s="1"/>
      <c r="P1760" s="1"/>
      <c r="Q1760" s="1"/>
      <c r="R1760" s="1" t="s">
        <v>689</v>
      </c>
      <c r="S1760" s="1" t="s">
        <v>856</v>
      </c>
      <c r="T1760" s="1"/>
    </row>
    <row r="1761" customFormat="false" ht="15" hidden="false" customHeight="true" outlineLevel="0" collapsed="false">
      <c r="A1761" s="1" t="s">
        <v>3426</v>
      </c>
      <c r="B1761" s="1" t="n">
        <v>1937</v>
      </c>
      <c r="C1761" s="1" t="n">
        <v>9</v>
      </c>
      <c r="D1761" s="1" t="s">
        <v>38</v>
      </c>
      <c r="E1761" s="1" t="s">
        <v>1346</v>
      </c>
      <c r="F1761" s="1" t="n">
        <v>220</v>
      </c>
      <c r="G1761" s="1" t="n">
        <v>72</v>
      </c>
      <c r="H1761" s="2" t="n">
        <v>700000</v>
      </c>
      <c r="I1761" s="2" t="n">
        <f aca="false">(((H1761 / 800) / IF(ISBLANK(R1761), 1000000, IF(ISNA(VLOOKUP(R1761, Mileages!$A$2:$C$34, 2, 0)), R1761, VLOOKUP(R1761, Mileages!$A$2:$C$34, 2, 0)))) + (F1761 * IF(ISBLANK(P1761), 1, P1761) * IF(ISBLANK(T1761), 0, IF(ISNA(VLOOKUP(T1761, 'Fuel Costs'!$A$2:$C$42, 2, 0)), T1761, VLOOKUP(T1761, 'Fuel Costs'!$A$2:$C$42, 2, 0))) / IF(ISBLANK(O1761), 1, O1761))) * 100</f>
        <v>88.0875</v>
      </c>
      <c r="J1761" s="2" t="n">
        <f aca="false">((H1761 / 800) / (IF(ISBLANK(S1761), 100, IF(ISNA(VLOOKUP(S1761, Lives!$A$2:$C$35, 2, 0)), S1761, VLOOKUP(S1761, Lives!$A$2:$C$35, 2, 0))) * 12) + (IF(ISBLANK(Q1761), 0, IF(ISNA(VLOOKUP(Q1761, Wages!$A$2:$C$17, 2, 0)), Q1761, VLOOKUP(Q1761, Wages!$A$2:$C$17, 2, 0))) * IF(ISBLANK(N1761), 0, IF(ISNA(VLOOKUP(N1761, Crews!$A$2:$C$28, 2, 0)), N1761, VLOOKUP(N1761, Crews!$A$2:$C$28, 2, 0))))) * 400</f>
        <v>6583.333333</v>
      </c>
      <c r="K1761" s="1"/>
      <c r="L1761" s="1" t="s">
        <v>3424</v>
      </c>
      <c r="M1761" s="1" t="n">
        <v>2</v>
      </c>
      <c r="N1761" s="1" t="s">
        <v>1512</v>
      </c>
      <c r="O1761" s="1" t="n">
        <v>1</v>
      </c>
      <c r="P1761" s="1"/>
      <c r="Q1761" s="1" t="str">
        <f aca="false">IF(ISBLANK('Pak128 Britain In'!$N1761),,'Pak128 Britain In'!$N1761)</f>
        <v>ElectricMultipleUnit</v>
      </c>
      <c r="R1761" s="1" t="s">
        <v>1349</v>
      </c>
      <c r="S1761" s="1" t="s">
        <v>1350</v>
      </c>
      <c r="T1761" s="1" t="s">
        <v>2580</v>
      </c>
    </row>
    <row r="1762" customFormat="false" ht="15" hidden="false" customHeight="true" outlineLevel="0" collapsed="false">
      <c r="A1762" s="1" t="s">
        <v>3427</v>
      </c>
      <c r="B1762" s="1" t="n">
        <v>1938</v>
      </c>
      <c r="C1762" s="1" t="n">
        <v>2</v>
      </c>
      <c r="D1762" s="1" t="s">
        <v>38</v>
      </c>
      <c r="E1762" s="1" t="s">
        <v>274</v>
      </c>
      <c r="F1762" s="1" t="n">
        <v>354</v>
      </c>
      <c r="G1762" s="1" t="n">
        <v>105</v>
      </c>
      <c r="H1762" s="2" t="n">
        <v>4165000</v>
      </c>
      <c r="I1762" s="2" t="n">
        <f aca="false">(((H1762 / 800) / IF(ISBLANK(R1762), 1000000, IF(ISNA(VLOOKUP(R1762, Mileages!$A$2:$C$34, 2, 0)), R1762, VLOOKUP(R1762, Mileages!$A$2:$C$34, 2, 0)))) + (F1762 * IF(ISBLANK(P1762), 1, P1762) * IF(ISBLANK(T1762), 0, IF(ISNA(VLOOKUP(T1762, 'Fuel Costs'!$A$2:$C$42, 2, 0)), T1762, VLOOKUP(T1762, 'Fuel Costs'!$A$2:$C$42, 2, 0))) / IF(ISBLANK(O1762), 1, O1762))) * 100</f>
        <v>177.520625</v>
      </c>
      <c r="J1762" s="2" t="n">
        <f aca="false">((H1762 / 800) / (IF(ISBLANK(S1762), 100, IF(ISNA(VLOOKUP(S1762, Lives!$A$2:$C$35, 2, 0)), S1762, VLOOKUP(S1762, Lives!$A$2:$C$35, 2, 0))) * 12) + (IF(ISBLANK(Q1762), 0, IF(ISNA(VLOOKUP(Q1762, Wages!$A$2:$C$17, 2, 0)), Q1762, VLOOKUP(Q1762, Wages!$A$2:$C$17, 2, 0))) * IF(ISBLANK(N1762), 0, IF(ISNA(VLOOKUP(N1762, Crews!$A$2:$C$28, 2, 0)), N1762, VLOOKUP(N1762, Crews!$A$2:$C$28, 2, 0))))) * 400</f>
        <v>27470.83333</v>
      </c>
      <c r="K1762" s="1" t="s">
        <v>1692</v>
      </c>
      <c r="L1762" s="1" t="s">
        <v>1933</v>
      </c>
      <c r="M1762" s="1" t="n">
        <v>1</v>
      </c>
      <c r="N1762" s="1" t="s">
        <v>590</v>
      </c>
      <c r="O1762" s="1" t="n">
        <v>0.8</v>
      </c>
      <c r="P1762" s="1"/>
      <c r="Q1762" s="5" t="s">
        <v>284</v>
      </c>
      <c r="R1762" s="1" t="s">
        <v>677</v>
      </c>
      <c r="S1762" s="1" t="s">
        <v>677</v>
      </c>
      <c r="T1762" s="1" t="s">
        <v>2252</v>
      </c>
    </row>
    <row r="1763" customFormat="false" ht="15" hidden="false" customHeight="true" outlineLevel="0" collapsed="false">
      <c r="A1763" s="1" t="s">
        <v>3428</v>
      </c>
      <c r="B1763" s="1" t="n">
        <v>1938</v>
      </c>
      <c r="C1763" s="1" t="n">
        <v>6</v>
      </c>
      <c r="D1763" s="1" t="s">
        <v>38</v>
      </c>
      <c r="E1763" s="1" t="s">
        <v>1346</v>
      </c>
      <c r="F1763" s="1" t="n">
        <v>410</v>
      </c>
      <c r="G1763" s="1" t="n">
        <v>120</v>
      </c>
      <c r="H1763" s="2" t="n">
        <v>1400000</v>
      </c>
      <c r="I1763" s="2" t="n">
        <f aca="false">(((H1763 / 800) / IF(ISBLANK(R1763), 1000000, IF(ISNA(VLOOKUP(R1763, Mileages!$A$2:$C$34, 2, 0)), R1763, VLOOKUP(R1763, Mileages!$A$2:$C$34, 2, 0)))) + (F1763 * IF(ISBLANK(P1763), 1, P1763) * IF(ISBLANK(T1763), 0, IF(ISNA(VLOOKUP(T1763, 'Fuel Costs'!$A$2:$C$42, 2, 0)), T1763, VLOOKUP(T1763, 'Fuel Costs'!$A$2:$C$42, 2, 0))) / IF(ISBLANK(O1763), 1, O1763))) * 100</f>
        <v>164.175</v>
      </c>
      <c r="J1763" s="2" t="n">
        <f aca="false">((H1763 / 800) / (IF(ISBLANK(S1763), 100, IF(ISNA(VLOOKUP(S1763, Lives!$A$2:$C$35, 2, 0)), S1763, VLOOKUP(S1763, Lives!$A$2:$C$35, 2, 0))) * 12) + (IF(ISBLANK(Q1763), 0, IF(ISNA(VLOOKUP(Q1763, Wages!$A$2:$C$17, 2, 0)), Q1763, VLOOKUP(Q1763, Wages!$A$2:$C$17, 2, 0))) * IF(ISBLANK(N1763), 0, IF(ISNA(VLOOKUP(N1763, Crews!$A$2:$C$28, 2, 0)), N1763, VLOOKUP(N1763, Crews!$A$2:$C$28, 2, 0))))) * 400</f>
        <v>10972.22222</v>
      </c>
      <c r="K1763" s="1"/>
      <c r="L1763" s="1" t="s">
        <v>3429</v>
      </c>
      <c r="M1763" s="1" t="n">
        <v>0</v>
      </c>
      <c r="N1763" s="1" t="s">
        <v>1488</v>
      </c>
      <c r="O1763" s="1" t="n">
        <v>1</v>
      </c>
      <c r="P1763" s="1"/>
      <c r="Q1763" s="1" t="str">
        <f aca="false">IF(ISBLANK('Pak128 Britain In'!$N1763),,'Pak128 Britain In'!$N1763)</f>
        <v>ElectricDriverRail</v>
      </c>
      <c r="R1763" s="1" t="s">
        <v>1349</v>
      </c>
      <c r="S1763" s="1" t="s">
        <v>1349</v>
      </c>
      <c r="T1763" s="1" t="s">
        <v>2580</v>
      </c>
    </row>
    <row r="1764" customFormat="false" ht="15" hidden="false" customHeight="true" outlineLevel="0" collapsed="false">
      <c r="A1764" s="1" t="s">
        <v>3430</v>
      </c>
      <c r="B1764" s="1" t="n">
        <v>1938</v>
      </c>
      <c r="C1764" s="1" t="n">
        <v>6</v>
      </c>
      <c r="D1764" s="1" t="s">
        <v>38</v>
      </c>
      <c r="E1764" s="1" t="s">
        <v>1346</v>
      </c>
      <c r="F1764" s="1" t="n">
        <v>0</v>
      </c>
      <c r="G1764" s="1" t="n">
        <v>120</v>
      </c>
      <c r="H1764" s="2" t="n">
        <v>1400000</v>
      </c>
      <c r="I1764" s="2" t="n">
        <f aca="false">(((H1764 / 800) / IF(ISBLANK(R1764), 1000000, IF(ISNA(VLOOKUP(R1764, Mileages!$A$2:$C$34, 2, 0)), R1764, VLOOKUP(R1764, Mileages!$A$2:$C$34, 2, 0)))) + (F1764 * IF(ISBLANK(P1764), 1, P1764) * IF(ISBLANK(T1764), 0, IF(ISNA(VLOOKUP(T1764, 'Fuel Costs'!$A$2:$C$42, 2, 0)), T1764, VLOOKUP(T1764, 'Fuel Costs'!$A$2:$C$42, 2, 0))) / IF(ISBLANK(O1764), 1, O1764))) * 100</f>
        <v>0.1458333333</v>
      </c>
      <c r="J1764" s="2" t="n">
        <f aca="false">((H1764 / 800) / (IF(ISBLANK(S1764), 100, IF(ISNA(VLOOKUP(S1764, Lives!$A$2:$C$35, 2, 0)), S1764, VLOOKUP(S1764, Lives!$A$2:$C$35, 2, 0))) * 12) + (IF(ISBLANK(Q1764), 0, IF(ISNA(VLOOKUP(Q1764, Wages!$A$2:$C$17, 2, 0)), Q1764, VLOOKUP(Q1764, Wages!$A$2:$C$17, 2, 0))) * IF(ISBLANK(N1764), 0, IF(ISNA(VLOOKUP(N1764, Crews!$A$2:$C$28, 2, 0)), N1764, VLOOKUP(N1764, Crews!$A$2:$C$28, 2, 0))))) * 400</f>
        <v>1666.666667</v>
      </c>
      <c r="K1764" s="1"/>
      <c r="L1764" s="1" t="s">
        <v>3429</v>
      </c>
      <c r="M1764" s="1" t="n">
        <v>1</v>
      </c>
      <c r="N1764" s="1"/>
      <c r="O1764" s="1"/>
      <c r="P1764" s="1"/>
      <c r="Q1764" s="1"/>
      <c r="R1764" s="1" t="s">
        <v>689</v>
      </c>
      <c r="S1764" s="1" t="s">
        <v>856</v>
      </c>
      <c r="T1764" s="1"/>
    </row>
    <row r="1765" customFormat="false" ht="15" hidden="false" customHeight="true" outlineLevel="0" collapsed="false">
      <c r="A1765" s="1" t="s">
        <v>3431</v>
      </c>
      <c r="B1765" s="1" t="n">
        <v>1938</v>
      </c>
      <c r="C1765" s="1" t="n">
        <v>8</v>
      </c>
      <c r="D1765" s="1" t="s">
        <v>38</v>
      </c>
      <c r="E1765" s="1" t="s">
        <v>1346</v>
      </c>
      <c r="F1765" s="1" t="n">
        <v>220</v>
      </c>
      <c r="G1765" s="1" t="n">
        <v>72</v>
      </c>
      <c r="H1765" s="2" t="n">
        <v>1000000</v>
      </c>
      <c r="I1765" s="2" t="n">
        <f aca="false">(((H1765 / 800) / IF(ISBLANK(R1765), 1000000, IF(ISNA(VLOOKUP(R1765, Mileages!$A$2:$C$34, 2, 0)), R1765, VLOOKUP(R1765, Mileages!$A$2:$C$34, 2, 0)))) + (F1765 * IF(ISBLANK(P1765), 1, P1765) * IF(ISBLANK(T1765), 0, IF(ISNA(VLOOKUP(T1765, 'Fuel Costs'!$A$2:$C$42, 2, 0)), T1765, VLOOKUP(T1765, 'Fuel Costs'!$A$2:$C$42, 2, 0))) / IF(ISBLANK(O1765), 1, O1765))) * 100</f>
        <v>88.125</v>
      </c>
      <c r="J1765" s="2" t="n">
        <f aca="false">((H1765 / 800) / (IF(ISBLANK(S1765), 100, IF(ISNA(VLOOKUP(S1765, Lives!$A$2:$C$35, 2, 0)), S1765, VLOOKUP(S1765, Lives!$A$2:$C$35, 2, 0))) * 12) + (IF(ISBLANK(Q1765), 0, IF(ISNA(VLOOKUP(Q1765, Wages!$A$2:$C$17, 2, 0)), Q1765, VLOOKUP(Q1765, Wages!$A$2:$C$17, 2, 0))) * IF(ISBLANK(N1765), 0, IF(ISNA(VLOOKUP(N1765, Crews!$A$2:$C$28, 2, 0)), N1765, VLOOKUP(N1765, Crews!$A$2:$C$28, 2, 0))))) * 400</f>
        <v>6833.333333</v>
      </c>
      <c r="K1765" s="1"/>
      <c r="L1765" s="1" t="s">
        <v>3432</v>
      </c>
      <c r="M1765" s="1" t="n">
        <v>0</v>
      </c>
      <c r="N1765" s="1" t="s">
        <v>1512</v>
      </c>
      <c r="O1765" s="1" t="n">
        <v>1</v>
      </c>
      <c r="P1765" s="1"/>
      <c r="Q1765" s="1" t="str">
        <f aca="false">IF(ISBLANK('Pak128 Britain In'!$N1765),,'Pak128 Britain In'!$N1765)</f>
        <v>ElectricMultipleUnit</v>
      </c>
      <c r="R1765" s="1" t="s">
        <v>1349</v>
      </c>
      <c r="S1765" s="1" t="s">
        <v>1350</v>
      </c>
      <c r="T1765" s="1" t="s">
        <v>2580</v>
      </c>
    </row>
    <row r="1766" customFormat="false" ht="15" hidden="false" customHeight="true" outlineLevel="0" collapsed="false">
      <c r="A1766" s="1" t="s">
        <v>3433</v>
      </c>
      <c r="B1766" s="1" t="n">
        <v>1938</v>
      </c>
      <c r="C1766" s="1" t="n">
        <v>8</v>
      </c>
      <c r="D1766" s="1" t="s">
        <v>38</v>
      </c>
      <c r="E1766" s="1" t="s">
        <v>1346</v>
      </c>
      <c r="F1766" s="1" t="n">
        <v>220</v>
      </c>
      <c r="G1766" s="1" t="n">
        <v>72</v>
      </c>
      <c r="H1766" s="2" t="n">
        <v>800000</v>
      </c>
      <c r="I1766" s="2" t="n">
        <f aca="false">(((H1766 / 800) / IF(ISBLANK(R1766), 1000000, IF(ISNA(VLOOKUP(R1766, Mileages!$A$2:$C$34, 2, 0)), R1766, VLOOKUP(R1766, Mileages!$A$2:$C$34, 2, 0)))) + (F1766 * IF(ISBLANK(P1766), 1, P1766) * IF(ISBLANK(T1766), 0, IF(ISNA(VLOOKUP(T1766, 'Fuel Costs'!$A$2:$C$42, 2, 0)), T1766, VLOOKUP(T1766, 'Fuel Costs'!$A$2:$C$42, 2, 0))) / IF(ISBLANK(O1766), 1, O1766))) * 100</f>
        <v>88.1</v>
      </c>
      <c r="J1766" s="2" t="n">
        <f aca="false">((H1766 / 800) / (IF(ISBLANK(S1766), 100, IF(ISNA(VLOOKUP(S1766, Lives!$A$2:$C$35, 2, 0)), S1766, VLOOKUP(S1766, Lives!$A$2:$C$35, 2, 0))) * 12) + (IF(ISBLANK(Q1766), 0, IF(ISNA(VLOOKUP(Q1766, Wages!$A$2:$C$17, 2, 0)), Q1766, VLOOKUP(Q1766, Wages!$A$2:$C$17, 2, 0))) * IF(ISBLANK(N1766), 0, IF(ISNA(VLOOKUP(N1766, Crews!$A$2:$C$28, 2, 0)), N1766, VLOOKUP(N1766, Crews!$A$2:$C$28, 2, 0))))) * 400</f>
        <v>6666.666667</v>
      </c>
      <c r="K1766" s="1"/>
      <c r="L1766" s="1" t="s">
        <v>3432</v>
      </c>
      <c r="M1766" s="1" t="n">
        <v>1</v>
      </c>
      <c r="N1766" s="1" t="s">
        <v>1512</v>
      </c>
      <c r="O1766" s="1" t="n">
        <v>1</v>
      </c>
      <c r="P1766" s="1"/>
      <c r="Q1766" s="1" t="str">
        <f aca="false">IF(ISBLANK('Pak128 Britain In'!$N1766),,'Pak128 Britain In'!$N1766)</f>
        <v>ElectricMultipleUnit</v>
      </c>
      <c r="R1766" s="1" t="s">
        <v>1349</v>
      </c>
      <c r="S1766" s="1" t="s">
        <v>1350</v>
      </c>
      <c r="T1766" s="1" t="s">
        <v>2580</v>
      </c>
    </row>
    <row r="1767" customFormat="false" ht="15" hidden="false" customHeight="true" outlineLevel="0" collapsed="false">
      <c r="A1767" s="1" t="s">
        <v>3434</v>
      </c>
      <c r="B1767" s="1" t="n">
        <v>1938</v>
      </c>
      <c r="C1767" s="1" t="n">
        <v>8</v>
      </c>
      <c r="D1767" s="1" t="s">
        <v>38</v>
      </c>
      <c r="E1767" s="1" t="s">
        <v>1346</v>
      </c>
      <c r="F1767" s="1"/>
      <c r="G1767" s="1" t="n">
        <v>72</v>
      </c>
      <c r="H1767" s="2" t="n">
        <v>400000</v>
      </c>
      <c r="I1767" s="2" t="n">
        <f aca="false">(((H1767 / 800) / IF(ISBLANK(R1767), 1000000, IF(ISNA(VLOOKUP(R1767, Mileages!$A$2:$C$34, 2, 0)), R1767, VLOOKUP(R1767, Mileages!$A$2:$C$34, 2, 0)))) + (F1767 * IF(ISBLANK(P1767), 1, P1767) * IF(ISBLANK(T1767), 0, IF(ISNA(VLOOKUP(T1767, 'Fuel Costs'!$A$2:$C$42, 2, 0)), T1767, VLOOKUP(T1767, 'Fuel Costs'!$A$2:$C$42, 2, 0))) / IF(ISBLANK(O1767), 1, O1767))) * 100</f>
        <v>0.04166666667</v>
      </c>
      <c r="J1767" s="2" t="n">
        <f aca="false">((H1767 / 800) / (IF(ISBLANK(S1767), 100, IF(ISNA(VLOOKUP(S1767, Lives!$A$2:$C$35, 2, 0)), S1767, VLOOKUP(S1767, Lives!$A$2:$C$35, 2, 0))) * 12) + (IF(ISBLANK(Q1767), 0, IF(ISNA(VLOOKUP(Q1767, Wages!$A$2:$C$17, 2, 0)), Q1767, VLOOKUP(Q1767, Wages!$A$2:$C$17, 2, 0))) * IF(ISBLANK(N1767), 0, IF(ISNA(VLOOKUP(N1767, Crews!$A$2:$C$28, 2, 0)), N1767, VLOOKUP(N1767, Crews!$A$2:$C$28, 2, 0))))) * 400</f>
        <v>476.1904762</v>
      </c>
      <c r="K1767" s="1"/>
      <c r="L1767" s="1" t="s">
        <v>3432</v>
      </c>
      <c r="M1767" s="1" t="n">
        <v>2</v>
      </c>
      <c r="N1767" s="1"/>
      <c r="O1767" s="1"/>
      <c r="P1767" s="1"/>
      <c r="Q1767" s="1"/>
      <c r="R1767" s="1" t="s">
        <v>689</v>
      </c>
      <c r="S1767" s="1" t="s">
        <v>856</v>
      </c>
      <c r="T1767" s="1"/>
    </row>
    <row r="1768" customFormat="false" ht="15" hidden="false" customHeight="true" outlineLevel="0" collapsed="false">
      <c r="A1768" s="1" t="s">
        <v>3435</v>
      </c>
      <c r="B1768" s="1" t="n">
        <v>1938</v>
      </c>
      <c r="C1768" s="1" t="n">
        <v>8</v>
      </c>
      <c r="D1768" s="1" t="s">
        <v>38</v>
      </c>
      <c r="E1768" s="1" t="s">
        <v>1346</v>
      </c>
      <c r="F1768" s="1" t="n">
        <v>220</v>
      </c>
      <c r="G1768" s="1" t="n">
        <v>72</v>
      </c>
      <c r="H1768" s="2" t="n">
        <v>1000000</v>
      </c>
      <c r="I1768" s="2" t="n">
        <f aca="false">(((H1768 / 800) / IF(ISBLANK(R1768), 1000000, IF(ISNA(VLOOKUP(R1768, Mileages!$A$2:$C$34, 2, 0)), R1768, VLOOKUP(R1768, Mileages!$A$2:$C$34, 2, 0)))) + (F1768 * IF(ISBLANK(P1768), 1, P1768) * IF(ISBLANK(T1768), 0, IF(ISNA(VLOOKUP(T1768, 'Fuel Costs'!$A$2:$C$42, 2, 0)), T1768, VLOOKUP(T1768, 'Fuel Costs'!$A$2:$C$42, 2, 0))) / IF(ISBLANK(O1768), 1, O1768))) * 100</f>
        <v>88.125</v>
      </c>
      <c r="J1768" s="2" t="n">
        <f aca="false">((H1768 / 800) / (IF(ISBLANK(S1768), 100, IF(ISNA(VLOOKUP(S1768, Lives!$A$2:$C$35, 2, 0)), S1768, VLOOKUP(S1768, Lives!$A$2:$C$35, 2, 0))) * 12) + (IF(ISBLANK(Q1768), 0, IF(ISNA(VLOOKUP(Q1768, Wages!$A$2:$C$17, 2, 0)), Q1768, VLOOKUP(Q1768, Wages!$A$2:$C$17, 2, 0))) * IF(ISBLANK(N1768), 0, IF(ISNA(VLOOKUP(N1768, Crews!$A$2:$C$28, 2, 0)), N1768, VLOOKUP(N1768, Crews!$A$2:$C$28, 2, 0))))) * 400</f>
        <v>6833.333333</v>
      </c>
      <c r="K1768" s="1"/>
      <c r="L1768" s="1" t="s">
        <v>3432</v>
      </c>
      <c r="M1768" s="1" t="n">
        <v>3</v>
      </c>
      <c r="N1768" s="1" t="s">
        <v>1512</v>
      </c>
      <c r="O1768" s="1" t="n">
        <v>1</v>
      </c>
      <c r="P1768" s="1"/>
      <c r="Q1768" s="1" t="str">
        <f aca="false">IF(ISBLANK('Pak128 Britain In'!$N1768),,'Pak128 Britain In'!$N1768)</f>
        <v>ElectricMultipleUnit</v>
      </c>
      <c r="R1768" s="1" t="s">
        <v>1349</v>
      </c>
      <c r="S1768" s="1" t="s">
        <v>1350</v>
      </c>
      <c r="T1768" s="1" t="s">
        <v>2580</v>
      </c>
    </row>
    <row r="1769" customFormat="false" ht="15" hidden="false" customHeight="true" outlineLevel="0" collapsed="false">
      <c r="A1769" s="1" t="s">
        <v>3436</v>
      </c>
      <c r="B1769" s="1" t="n">
        <v>1938</v>
      </c>
      <c r="C1769" s="1" t="n">
        <v>10</v>
      </c>
      <c r="D1769" s="1" t="s">
        <v>2225</v>
      </c>
      <c r="E1769" s="1" t="s">
        <v>1839</v>
      </c>
      <c r="F1769" s="1" t="n">
        <v>1411</v>
      </c>
      <c r="G1769" s="1" t="n">
        <v>338</v>
      </c>
      <c r="H1769" s="2" t="n">
        <v>3000000</v>
      </c>
      <c r="I1769" s="2" t="n">
        <f aca="false">(((H1769 / 800) / IF(ISBLANK(R1769), 1000000, IF(ISNA(VLOOKUP(R1769, Mileages!$A$2:$C$34, 2, 0)), R1769, VLOOKUP(R1769, Mileages!$A$2:$C$34, 2, 0)))) + (F1769 * IF(ISBLANK(P1769), 1, P1769) * IF(ISBLANK(T1769), 0, IF(ISNA(VLOOKUP(T1769, 'Fuel Costs'!$A$2:$C$42, 2, 0)), T1769, VLOOKUP(T1769, 'Fuel Costs'!$A$2:$C$42, 2, 0))) / IF(ISBLANK(O1769), 1, O1769))) * 100</f>
        <v>70.625</v>
      </c>
      <c r="J1769" s="2" t="n">
        <f aca="false">((H1769 / 800) / (IF(ISBLANK(S1769), 100, IF(ISNA(VLOOKUP(S1769, Lives!$A$2:$C$35, 2, 0)), S1769, VLOOKUP(S1769, Lives!$A$2:$C$35, 2, 0))) * 12) + (IF(ISBLANK(Q1769), 0, IF(ISNA(VLOOKUP(Q1769, Wages!$A$2:$C$17, 2, 0)), Q1769, VLOOKUP(Q1769, Wages!$A$2:$C$17, 2, 0))) * IF(ISBLANK(N1769), 0, IF(ISNA(VLOOKUP(N1769, Crews!$A$2:$C$28, 2, 0)), N1769, VLOOKUP(N1769, Crews!$A$2:$C$28, 2, 0))))) * 400</f>
        <v>52083.33333</v>
      </c>
      <c r="K1769" s="3" t="s">
        <v>3437</v>
      </c>
      <c r="L1769" s="1" t="s">
        <v>3438</v>
      </c>
      <c r="M1769" s="1" t="n">
        <v>0</v>
      </c>
      <c r="N1769" s="1" t="s">
        <v>2342</v>
      </c>
      <c r="O1769" s="1"/>
      <c r="P1769" s="1" t="n">
        <v>0.1</v>
      </c>
      <c r="Q1769" s="1" t="s">
        <v>2229</v>
      </c>
      <c r="R1769" s="1" t="s">
        <v>2229</v>
      </c>
      <c r="S1769" s="1" t="s">
        <v>2229</v>
      </c>
      <c r="T1769" s="1" t="s">
        <v>2572</v>
      </c>
    </row>
    <row r="1770" customFormat="false" ht="15" hidden="false" customHeight="true" outlineLevel="0" collapsed="false">
      <c r="A1770" s="1" t="s">
        <v>3439</v>
      </c>
      <c r="B1770" s="1" t="n">
        <v>1938</v>
      </c>
      <c r="C1770" s="1" t="n">
        <v>10</v>
      </c>
      <c r="D1770" s="1" t="s">
        <v>2225</v>
      </c>
      <c r="E1770" s="1" t="s">
        <v>1839</v>
      </c>
      <c r="F1770" s="1" t="n">
        <v>1568</v>
      </c>
      <c r="G1770" s="1" t="n">
        <v>338</v>
      </c>
      <c r="H1770" s="2" t="n">
        <v>3000000</v>
      </c>
      <c r="I1770" s="2" t="n">
        <f aca="false">(((H1770 / 800) / IF(ISBLANK(R1770), 1000000, IF(ISNA(VLOOKUP(R1770, Mileages!$A$2:$C$34, 2, 0)), R1770, VLOOKUP(R1770, Mileages!$A$2:$C$34, 2, 0)))) + (F1770 * IF(ISBLANK(P1770), 1, P1770) * IF(ISBLANK(T1770), 0, IF(ISNA(VLOOKUP(T1770, 'Fuel Costs'!$A$2:$C$42, 2, 0)), T1770, VLOOKUP(T1770, 'Fuel Costs'!$A$2:$C$42, 2, 0))) / IF(ISBLANK(O1770), 1, O1770))) * 100</f>
        <v>78.475</v>
      </c>
      <c r="J1770" s="2" t="n">
        <f aca="false">((H1770 / 800) / (IF(ISBLANK(S1770), 100, IF(ISNA(VLOOKUP(S1770, Lives!$A$2:$C$35, 2, 0)), S1770, VLOOKUP(S1770, Lives!$A$2:$C$35, 2, 0))) * 12) + (IF(ISBLANK(Q1770), 0, IF(ISNA(VLOOKUP(Q1770, Wages!$A$2:$C$17, 2, 0)), Q1770, VLOOKUP(Q1770, Wages!$A$2:$C$17, 2, 0))) * IF(ISBLANK(N1770), 0, IF(ISNA(VLOOKUP(N1770, Crews!$A$2:$C$28, 2, 0)), N1770, VLOOKUP(N1770, Crews!$A$2:$C$28, 2, 0))))) * 400</f>
        <v>12083.33333</v>
      </c>
      <c r="K1770" s="3" t="s">
        <v>3197</v>
      </c>
      <c r="L1770" s="1" t="s">
        <v>3438</v>
      </c>
      <c r="M1770" s="1" t="n">
        <v>1</v>
      </c>
      <c r="N1770" s="1" t="s">
        <v>25</v>
      </c>
      <c r="O1770" s="1"/>
      <c r="P1770" s="1" t="n">
        <v>0.1</v>
      </c>
      <c r="Q1770" s="1" t="s">
        <v>2229</v>
      </c>
      <c r="R1770" s="1" t="s">
        <v>2229</v>
      </c>
      <c r="S1770" s="1" t="s">
        <v>2229</v>
      </c>
      <c r="T1770" s="1" t="s">
        <v>2572</v>
      </c>
    </row>
    <row r="1771" customFormat="false" ht="15" hidden="false" customHeight="true" outlineLevel="0" collapsed="false">
      <c r="A1771" s="1" t="s">
        <v>3440</v>
      </c>
      <c r="B1771" s="1" t="n">
        <v>1938</v>
      </c>
      <c r="C1771" s="1" t="n">
        <v>11</v>
      </c>
      <c r="D1771" s="1" t="s">
        <v>21</v>
      </c>
      <c r="E1771" s="1" t="s">
        <v>2039</v>
      </c>
      <c r="F1771" s="1" t="n">
        <v>76</v>
      </c>
      <c r="G1771" s="1" t="n">
        <v>70</v>
      </c>
      <c r="H1771" s="2" t="n">
        <v>401000</v>
      </c>
      <c r="I1771" s="2" t="n">
        <f aca="false">(((H1771 / 800) / IF(ISBLANK(R1771), 1000000, IF(ISNA(VLOOKUP(R1771, Mileages!$A$2:$C$34, 2, 0)), R1771, VLOOKUP(R1771, Mileages!$A$2:$C$34, 2, 0)))) + (F1771 * IF(ISBLANK(P1771), 1, P1771) * IF(ISBLANK(T1771), 0, IF(ISNA(VLOOKUP(T1771, 'Fuel Costs'!$A$2:$C$42, 2, 0)), T1771, VLOOKUP(T1771, 'Fuel Costs'!$A$2:$C$42, 2, 0))) / IF(ISBLANK(O1771), 1, O1771))) * 100</f>
        <v>76.050125</v>
      </c>
      <c r="J1771" s="2" t="n">
        <f aca="false">((H1771 / 800) / (IF(ISBLANK(S1771), 100, IF(ISNA(VLOOKUP(S1771, Lives!$A$2:$C$35, 2, 0)), S1771, VLOOKUP(S1771, Lives!$A$2:$C$35, 2, 0))) * 12) + (IF(ISBLANK(Q1771), 0, IF(ISNA(VLOOKUP(Q1771, Wages!$A$2:$C$17, 2, 0)), Q1771, VLOOKUP(Q1771, Wages!$A$2:$C$17, 2, 0))) * IF(ISBLANK(N1771), 0, IF(ISNA(VLOOKUP(N1771, Crews!$A$2:$C$28, 2, 0)), N1771, VLOOKUP(N1771, Crews!$A$2:$C$28, 2, 0))))) * 400</f>
        <v>8208.854167</v>
      </c>
      <c r="K1771" s="3" t="s">
        <v>3441</v>
      </c>
      <c r="L1771" s="1" t="s">
        <v>3442</v>
      </c>
      <c r="M1771" s="1" t="n">
        <v>0</v>
      </c>
      <c r="N1771" s="1" t="s">
        <v>1815</v>
      </c>
      <c r="O1771" s="1" t="n">
        <v>0.5</v>
      </c>
      <c r="P1771" s="1"/>
      <c r="Q1771" s="1" t="s">
        <v>1815</v>
      </c>
      <c r="R1771" s="1" t="s">
        <v>1843</v>
      </c>
      <c r="S1771" s="1" t="s">
        <v>1843</v>
      </c>
      <c r="T1771" s="1" t="s">
        <v>2041</v>
      </c>
    </row>
    <row r="1772" customFormat="false" ht="15" hidden="false" customHeight="true" outlineLevel="0" collapsed="false">
      <c r="A1772" s="1" t="s">
        <v>3443</v>
      </c>
      <c r="B1772" s="1" t="n">
        <v>1939</v>
      </c>
      <c r="C1772" s="1" t="n">
        <v>3</v>
      </c>
      <c r="D1772" s="1" t="s">
        <v>21</v>
      </c>
      <c r="E1772" s="1" t="s">
        <v>2039</v>
      </c>
      <c r="F1772" s="1" t="n">
        <v>65</v>
      </c>
      <c r="G1772" s="1" t="n">
        <v>64</v>
      </c>
      <c r="H1772" s="2" t="n">
        <v>447500</v>
      </c>
      <c r="I1772" s="2" t="n">
        <f aca="false">(((H1772 / 800) / IF(ISBLANK(R1772), 1000000, IF(ISNA(VLOOKUP(R1772, Mileages!$A$2:$C$34, 2, 0)), R1772, VLOOKUP(R1772, Mileages!$A$2:$C$34, 2, 0)))) + (F1772 * IF(ISBLANK(P1772), 1, P1772) * IF(ISBLANK(T1772), 0, IF(ISNA(VLOOKUP(T1772, 'Fuel Costs'!$A$2:$C$42, 2, 0)), T1772, VLOOKUP(T1772, 'Fuel Costs'!$A$2:$C$42, 2, 0))) / IF(ISBLANK(O1772), 1, O1772))) * 100</f>
        <v>65.0559375</v>
      </c>
      <c r="J1772" s="2" t="n">
        <f aca="false">((H1772 / 800) / (IF(ISBLANK(S1772), 100, IF(ISNA(VLOOKUP(S1772, Lives!$A$2:$C$35, 2, 0)), S1772, VLOOKUP(S1772, Lives!$A$2:$C$35, 2, 0))) * 12) + (IF(ISBLANK(Q1772), 0, IF(ISNA(VLOOKUP(Q1772, Wages!$A$2:$C$17, 2, 0)), Q1772, VLOOKUP(Q1772, Wages!$A$2:$C$17, 2, 0))) * IF(ISBLANK(N1772), 0, IF(ISNA(VLOOKUP(N1772, Crews!$A$2:$C$28, 2, 0)), N1772, VLOOKUP(N1772, Crews!$A$2:$C$28, 2, 0))))) * 400</f>
        <v>8233.072917</v>
      </c>
      <c r="K1772" s="3" t="s">
        <v>3444</v>
      </c>
      <c r="L1772" s="1" t="s">
        <v>3445</v>
      </c>
      <c r="M1772" s="1" t="n">
        <v>0</v>
      </c>
      <c r="N1772" s="1" t="s">
        <v>1815</v>
      </c>
      <c r="O1772" s="1" t="n">
        <v>0.5</v>
      </c>
      <c r="P1772" s="1"/>
      <c r="Q1772" s="1" t="s">
        <v>1815</v>
      </c>
      <c r="R1772" s="1" t="s">
        <v>1843</v>
      </c>
      <c r="S1772" s="1" t="s">
        <v>1843</v>
      </c>
      <c r="T1772" s="1" t="s">
        <v>2041</v>
      </c>
    </row>
    <row r="1773" customFormat="false" ht="15" hidden="false" customHeight="true" outlineLevel="0" collapsed="false">
      <c r="A1773" s="1" t="s">
        <v>3446</v>
      </c>
      <c r="B1773" s="1" t="n">
        <v>1939</v>
      </c>
      <c r="C1773" s="1" t="n">
        <v>4</v>
      </c>
      <c r="D1773" s="1" t="s">
        <v>2225</v>
      </c>
      <c r="E1773" s="1" t="s">
        <v>1839</v>
      </c>
      <c r="F1773" s="1" t="n">
        <v>1611</v>
      </c>
      <c r="G1773" s="1" t="n">
        <v>333</v>
      </c>
      <c r="H1773" s="2" t="n">
        <v>2750000</v>
      </c>
      <c r="I1773" s="2" t="n">
        <f aca="false">(((H1773 / 800) / IF(ISBLANK(R1773), 1000000, IF(ISNA(VLOOKUP(R1773, Mileages!$A$2:$C$34, 2, 0)), R1773, VLOOKUP(R1773, Mileages!$A$2:$C$34, 2, 0)))) + (F1773 * IF(ISBLANK(P1773), 1, P1773) * IF(ISBLANK(T1773), 0, IF(ISNA(VLOOKUP(T1773, 'Fuel Costs'!$A$2:$C$42, 2, 0)), T1773, VLOOKUP(T1773, 'Fuel Costs'!$A$2:$C$42, 2, 0))) / IF(ISBLANK(O1773), 1, O1773))) * 100</f>
        <v>80.61875</v>
      </c>
      <c r="J1773" s="2" t="n">
        <f aca="false">((H1773 / 800) / (IF(ISBLANK(S1773), 100, IF(ISNA(VLOOKUP(S1773, Lives!$A$2:$C$35, 2, 0)), S1773, VLOOKUP(S1773, Lives!$A$2:$C$35, 2, 0))) * 12) + (IF(ISBLANK(Q1773), 0, IF(ISNA(VLOOKUP(Q1773, Wages!$A$2:$C$17, 2, 0)), Q1773, VLOOKUP(Q1773, Wages!$A$2:$C$17, 2, 0))) * IF(ISBLANK(N1773), 0, IF(ISNA(VLOOKUP(N1773, Crews!$A$2:$C$28, 2, 0)), N1773, VLOOKUP(N1773, Crews!$A$2:$C$28, 2, 0))))) * 400</f>
        <v>51909.72222</v>
      </c>
      <c r="K1773" s="3" t="s">
        <v>3360</v>
      </c>
      <c r="L1773" s="1" t="s">
        <v>3447</v>
      </c>
      <c r="M1773" s="1" t="n">
        <v>0</v>
      </c>
      <c r="N1773" s="1" t="s">
        <v>2342</v>
      </c>
      <c r="O1773" s="1"/>
      <c r="P1773" s="1" t="n">
        <v>0.1</v>
      </c>
      <c r="Q1773" s="1" t="s">
        <v>2229</v>
      </c>
      <c r="R1773" s="1" t="s">
        <v>2229</v>
      </c>
      <c r="S1773" s="1" t="s">
        <v>2229</v>
      </c>
      <c r="T1773" s="1" t="s">
        <v>2572</v>
      </c>
    </row>
    <row r="1774" customFormat="false" ht="15" hidden="false" customHeight="true" outlineLevel="0" collapsed="false">
      <c r="A1774" s="1" t="s">
        <v>3448</v>
      </c>
      <c r="B1774" s="1" t="n">
        <v>1939</v>
      </c>
      <c r="C1774" s="1" t="n">
        <v>4</v>
      </c>
      <c r="D1774" s="1" t="s">
        <v>2225</v>
      </c>
      <c r="E1774" s="1" t="s">
        <v>1839</v>
      </c>
      <c r="F1774" s="1" t="n">
        <v>1611</v>
      </c>
      <c r="G1774" s="1" t="n">
        <v>333</v>
      </c>
      <c r="H1774" s="2" t="n">
        <v>2750000</v>
      </c>
      <c r="I1774" s="2" t="n">
        <f aca="false">(((H1774 / 800) / IF(ISBLANK(R1774), 1000000, IF(ISNA(VLOOKUP(R1774, Mileages!$A$2:$C$34, 2, 0)), R1774, VLOOKUP(R1774, Mileages!$A$2:$C$34, 2, 0)))) + (F1774 * IF(ISBLANK(P1774), 1, P1774) * IF(ISBLANK(T1774), 0, IF(ISNA(VLOOKUP(T1774, 'Fuel Costs'!$A$2:$C$42, 2, 0)), T1774, VLOOKUP(T1774, 'Fuel Costs'!$A$2:$C$42, 2, 0))) / IF(ISBLANK(O1774), 1, O1774))) * 100</f>
        <v>80.61875</v>
      </c>
      <c r="J1774" s="2" t="n">
        <f aca="false">((H1774 / 800) / (IF(ISBLANK(S1774), 100, IF(ISNA(VLOOKUP(S1774, Lives!$A$2:$C$35, 2, 0)), S1774, VLOOKUP(S1774, Lives!$A$2:$C$35, 2, 0))) * 12) + (IF(ISBLANK(Q1774), 0, IF(ISNA(VLOOKUP(Q1774, Wages!$A$2:$C$17, 2, 0)), Q1774, VLOOKUP(Q1774, Wages!$A$2:$C$17, 2, 0))) * IF(ISBLANK(N1774), 0, IF(ISNA(VLOOKUP(N1774, Crews!$A$2:$C$28, 2, 0)), N1774, VLOOKUP(N1774, Crews!$A$2:$C$28, 2, 0))))) * 400</f>
        <v>11909.72222</v>
      </c>
      <c r="K1774" s="3" t="s">
        <v>3363</v>
      </c>
      <c r="L1774" s="1" t="s">
        <v>3447</v>
      </c>
      <c r="M1774" s="1" t="n">
        <v>1</v>
      </c>
      <c r="N1774" s="1" t="s">
        <v>25</v>
      </c>
      <c r="O1774" s="1"/>
      <c r="P1774" s="1" t="n">
        <v>0.1</v>
      </c>
      <c r="Q1774" s="1" t="s">
        <v>2229</v>
      </c>
      <c r="R1774" s="1" t="s">
        <v>2229</v>
      </c>
      <c r="S1774" s="1" t="s">
        <v>2229</v>
      </c>
      <c r="T1774" s="1" t="s">
        <v>2572</v>
      </c>
    </row>
    <row r="1775" customFormat="false" ht="15" hidden="false" customHeight="true" outlineLevel="0" collapsed="false">
      <c r="A1775" s="1" t="s">
        <v>3449</v>
      </c>
      <c r="B1775" s="1" t="n">
        <v>1939</v>
      </c>
      <c r="C1775" s="1" t="n">
        <v>6</v>
      </c>
      <c r="D1775" s="1" t="s">
        <v>29</v>
      </c>
      <c r="E1775" s="1"/>
      <c r="F1775" s="1"/>
      <c r="G1775" s="1" t="n">
        <v>41</v>
      </c>
      <c r="H1775" s="2"/>
      <c r="I1775" s="2"/>
      <c r="J1775" s="2"/>
      <c r="K1775" s="1"/>
      <c r="L1775" s="1" t="s">
        <v>3450</v>
      </c>
      <c r="M1775" s="1" t="n">
        <v>0</v>
      </c>
      <c r="N1775" s="1"/>
      <c r="O1775" s="1"/>
      <c r="P1775" s="1"/>
      <c r="Q1775" s="1"/>
      <c r="R1775" s="1"/>
      <c r="S1775" s="1"/>
      <c r="T1775" s="1"/>
    </row>
    <row r="1776" customFormat="false" ht="15" hidden="false" customHeight="true" outlineLevel="0" collapsed="false">
      <c r="A1776" s="1" t="s">
        <v>3451</v>
      </c>
      <c r="B1776" s="1" t="n">
        <v>1939</v>
      </c>
      <c r="C1776" s="1" t="n">
        <v>8</v>
      </c>
      <c r="D1776" s="1" t="s">
        <v>21</v>
      </c>
      <c r="E1776" s="1" t="s">
        <v>2039</v>
      </c>
      <c r="F1776" s="1" t="n">
        <v>80</v>
      </c>
      <c r="G1776" s="1" t="n">
        <v>50</v>
      </c>
      <c r="H1776" s="2" t="n">
        <v>1012000</v>
      </c>
      <c r="I1776" s="2" t="n">
        <f aca="false">(((H1776 / 800) / IF(ISBLANK(R1776), 1000000, IF(ISNA(VLOOKUP(R1776, Mileages!$A$2:$C$34, 2, 0)), R1776, VLOOKUP(R1776, Mileages!$A$2:$C$34, 2, 0)))) + (F1776 * IF(ISBLANK(P1776), 1, P1776) * IF(ISBLANK(T1776), 0, IF(ISNA(VLOOKUP(T1776, 'Fuel Costs'!$A$2:$C$42, 2, 0)), T1776, VLOOKUP(T1776, 'Fuel Costs'!$A$2:$C$42, 2, 0))) / IF(ISBLANK(O1776), 1, O1776))) * 100</f>
        <v>80.1265</v>
      </c>
      <c r="J1776" s="2" t="n">
        <f aca="false">((H1776 / 800) / (IF(ISBLANK(S1776), 100, IF(ISNA(VLOOKUP(S1776, Lives!$A$2:$C$35, 2, 0)), S1776, VLOOKUP(S1776, Lives!$A$2:$C$35, 2, 0))) * 12) + (IF(ISBLANK(Q1776), 0, IF(ISNA(VLOOKUP(Q1776, Wages!$A$2:$C$17, 2, 0)), Q1776, VLOOKUP(Q1776, Wages!$A$2:$C$17, 2, 0))) * IF(ISBLANK(N1776), 0, IF(ISNA(VLOOKUP(N1776, Crews!$A$2:$C$28, 2, 0)), N1776, VLOOKUP(N1776, Crews!$A$2:$C$28, 2, 0))))) * 400</f>
        <v>8527.083333</v>
      </c>
      <c r="K1776" s="3" t="s">
        <v>3452</v>
      </c>
      <c r="L1776" s="1" t="s">
        <v>3453</v>
      </c>
      <c r="M1776" s="1" t="n">
        <v>0</v>
      </c>
      <c r="N1776" s="1" t="s">
        <v>1815</v>
      </c>
      <c r="O1776" s="1" t="n">
        <v>0.5</v>
      </c>
      <c r="P1776" s="1"/>
      <c r="Q1776" s="1" t="s">
        <v>1815</v>
      </c>
      <c r="R1776" s="1" t="s">
        <v>1843</v>
      </c>
      <c r="S1776" s="1" t="s">
        <v>1843</v>
      </c>
      <c r="T1776" s="1" t="s">
        <v>2041</v>
      </c>
    </row>
    <row r="1777" customFormat="false" ht="15" hidden="false" customHeight="true" outlineLevel="0" collapsed="false">
      <c r="A1777" s="1" t="s">
        <v>3454</v>
      </c>
      <c r="B1777" s="1" t="n">
        <v>1939</v>
      </c>
      <c r="C1777" s="1" t="n">
        <v>8</v>
      </c>
      <c r="D1777" s="1" t="s">
        <v>21</v>
      </c>
      <c r="E1777" s="1" t="s">
        <v>1839</v>
      </c>
      <c r="F1777" s="1" t="n">
        <v>62</v>
      </c>
      <c r="G1777" s="1" t="n">
        <v>64</v>
      </c>
      <c r="H1777" s="2" t="n">
        <v>630000</v>
      </c>
      <c r="I1777" s="2" t="n">
        <f aca="false">(((H1777 / 800) / IF(ISBLANK(R1777), 1000000, IF(ISNA(VLOOKUP(R1777, Mileages!$A$2:$C$34, 2, 0)), R1777, VLOOKUP(R1777, Mileages!$A$2:$C$34, 2, 0)))) + (F1777 * IF(ISBLANK(P1777), 1, P1777) * IF(ISBLANK(T1777), 0, IF(ISNA(VLOOKUP(T1777, 'Fuel Costs'!$A$2:$C$42, 2, 0)), T1777, VLOOKUP(T1777, 'Fuel Costs'!$A$2:$C$42, 2, 0))) / IF(ISBLANK(O1777), 1, O1777))) * 100</f>
        <v>72.49083333</v>
      </c>
      <c r="J1777" s="2" t="n">
        <f aca="false">((H1777 / 800) / (IF(ISBLANK(S1777), 100, IF(ISNA(VLOOKUP(S1777, Lives!$A$2:$C$35, 2, 0)), S1777, VLOOKUP(S1777, Lives!$A$2:$C$35, 2, 0))) * 12) + (IF(ISBLANK(Q1777), 0, IF(ISNA(VLOOKUP(Q1777, Wages!$A$2:$C$17, 2, 0)), Q1777, VLOOKUP(Q1777, Wages!$A$2:$C$17, 2, 0))) * IF(ISBLANK(N1777), 0, IF(ISNA(VLOOKUP(N1777, Crews!$A$2:$C$28, 2, 0)), N1777, VLOOKUP(N1777, Crews!$A$2:$C$28, 2, 0))))) * 400</f>
        <v>8328.125</v>
      </c>
      <c r="K1777" s="3" t="s">
        <v>3455</v>
      </c>
      <c r="L1777" s="1" t="s">
        <v>3456</v>
      </c>
      <c r="M1777" s="1" t="n">
        <v>0</v>
      </c>
      <c r="N1777" s="1" t="s">
        <v>25</v>
      </c>
      <c r="O1777" s="1" t="n">
        <v>0.6</v>
      </c>
      <c r="P1777" s="1"/>
      <c r="Q1777" s="1" t="s">
        <v>1815</v>
      </c>
      <c r="R1777" s="1" t="s">
        <v>1842</v>
      </c>
      <c r="S1777" s="1" t="s">
        <v>1843</v>
      </c>
      <c r="T1777" s="1" t="s">
        <v>3457</v>
      </c>
    </row>
    <row r="1778" customFormat="false" ht="15" hidden="false" customHeight="true" outlineLevel="0" collapsed="false">
      <c r="A1778" s="1" t="s">
        <v>3458</v>
      </c>
      <c r="B1778" s="1" t="n">
        <v>1939</v>
      </c>
      <c r="C1778" s="1" t="n">
        <v>8</v>
      </c>
      <c r="D1778" s="1" t="s">
        <v>38</v>
      </c>
      <c r="E1778" s="1" t="s">
        <v>1346</v>
      </c>
      <c r="F1778" s="1" t="n">
        <v>705</v>
      </c>
      <c r="G1778" s="1" t="n">
        <v>112</v>
      </c>
      <c r="H1778" s="2" t="n">
        <v>6064000</v>
      </c>
      <c r="I1778" s="2" t="n">
        <f aca="false">(((H1778 / 800) / IF(ISBLANK(R1778), 1000000, IF(ISNA(VLOOKUP(R1778, Mileages!$A$2:$C$34, 2, 0)), R1778, VLOOKUP(R1778, Mileages!$A$2:$C$34, 2, 0)))) + (F1778 * IF(ISBLANK(P1778), 1, P1778) * IF(ISBLANK(T1778), 0, IF(ISNA(VLOOKUP(T1778, 'Fuel Costs'!$A$2:$C$42, 2, 0)), T1778, VLOOKUP(T1778, 'Fuel Costs'!$A$2:$C$42, 2, 0))) / IF(ISBLANK(O1778), 1, O1778))) * 100</f>
        <v>282.758</v>
      </c>
      <c r="J1778" s="2" t="n">
        <f aca="false">((H1778 / 800) / (IF(ISBLANK(S1778), 100, IF(ISNA(VLOOKUP(S1778, Lives!$A$2:$C$35, 2, 0)), S1778, VLOOKUP(S1778, Lives!$A$2:$C$35, 2, 0))) * 12) + (IF(ISBLANK(Q1778), 0, IF(ISNA(VLOOKUP(Q1778, Wages!$A$2:$C$17, 2, 0)), Q1778, VLOOKUP(Q1778, Wages!$A$2:$C$17, 2, 0))) * IF(ISBLANK(N1778), 0, IF(ISNA(VLOOKUP(N1778, Crews!$A$2:$C$28, 2, 0)), N1778, VLOOKUP(N1778, Crews!$A$2:$C$28, 2, 0))))) * 400</f>
        <v>14211.11111</v>
      </c>
      <c r="K1778" s="1" t="s">
        <v>3459</v>
      </c>
      <c r="L1778" s="1" t="s">
        <v>3460</v>
      </c>
      <c r="M1778" s="1" t="n">
        <v>0</v>
      </c>
      <c r="N1778" s="1" t="s">
        <v>1488</v>
      </c>
      <c r="O1778" s="1" t="n">
        <v>1</v>
      </c>
      <c r="P1778" s="1"/>
      <c r="Q1778" s="1" t="str">
        <f aca="false">IF(ISBLANK('Pak128 Britain In'!$N1778),,'Pak128 Britain In'!$N1778)</f>
        <v>ElectricDriverRail</v>
      </c>
      <c r="R1778" s="1" t="s">
        <v>1349</v>
      </c>
      <c r="S1778" s="1" t="s">
        <v>1349</v>
      </c>
      <c r="T1778" s="1" t="s">
        <v>2580</v>
      </c>
    </row>
    <row r="1779" customFormat="false" ht="15" hidden="false" customHeight="true" outlineLevel="0" collapsed="false">
      <c r="A1779" s="1" t="s">
        <v>3461</v>
      </c>
      <c r="B1779" s="1" t="n">
        <v>1939</v>
      </c>
      <c r="C1779" s="1" t="n">
        <v>8</v>
      </c>
      <c r="D1779" s="1" t="s">
        <v>38</v>
      </c>
      <c r="E1779" s="1" t="s">
        <v>1346</v>
      </c>
      <c r="F1779" s="1" t="n">
        <v>0</v>
      </c>
      <c r="G1779" s="1" t="n">
        <v>112</v>
      </c>
      <c r="H1779" s="2" t="n">
        <v>163200</v>
      </c>
      <c r="I1779" s="2" t="n">
        <f aca="false">(((H1779 / 800) / IF(ISBLANK(R1779), 1000000, IF(ISNA(VLOOKUP(R1779, Mileages!$A$2:$C$34, 2, 0)), R1779, VLOOKUP(R1779, Mileages!$A$2:$C$34, 2, 0)))) + (F1779 * IF(ISBLANK(P1779), 1, P1779) * IF(ISBLANK(T1779), 0, IF(ISNA(VLOOKUP(T1779, 'Fuel Costs'!$A$2:$C$42, 2, 0)), T1779, VLOOKUP(T1779, 'Fuel Costs'!$A$2:$C$42, 2, 0))) / IF(ISBLANK(O1779), 1, O1779))) * 100</f>
        <v>0.017</v>
      </c>
      <c r="J1779" s="2" t="n">
        <f aca="false">((H1779 / 800) / (IF(ISBLANK(S1779), 100, IF(ISNA(VLOOKUP(S1779, Lives!$A$2:$C$35, 2, 0)), S1779, VLOOKUP(S1779, Lives!$A$2:$C$35, 2, 0))) * 12) + (IF(ISBLANK(Q1779), 0, IF(ISNA(VLOOKUP(Q1779, Wages!$A$2:$C$17, 2, 0)), Q1779, VLOOKUP(Q1779, Wages!$A$2:$C$17, 2, 0))) * IF(ISBLANK(N1779), 0, IF(ISNA(VLOOKUP(N1779, Crews!$A$2:$C$28, 2, 0)), N1779, VLOOKUP(N1779, Crews!$A$2:$C$28, 2, 0))))) * 400</f>
        <v>194.2857143</v>
      </c>
      <c r="K1779" s="1"/>
      <c r="L1779" s="1" t="s">
        <v>3460</v>
      </c>
      <c r="M1779" s="1" t="n">
        <v>1</v>
      </c>
      <c r="N1779" s="1"/>
      <c r="O1779" s="1"/>
      <c r="P1779" s="1"/>
      <c r="Q1779" s="1"/>
      <c r="R1779" s="1" t="s">
        <v>689</v>
      </c>
      <c r="S1779" s="1" t="s">
        <v>856</v>
      </c>
      <c r="T1779" s="1"/>
    </row>
    <row r="1780" customFormat="false" ht="15" hidden="false" customHeight="true" outlineLevel="0" collapsed="false">
      <c r="A1780" s="1" t="s">
        <v>3462</v>
      </c>
      <c r="B1780" s="1" t="n">
        <v>1939</v>
      </c>
      <c r="C1780" s="1" t="n">
        <v>8</v>
      </c>
      <c r="D1780" s="1" t="s">
        <v>38</v>
      </c>
      <c r="E1780" s="1" t="s">
        <v>1346</v>
      </c>
      <c r="F1780" s="1" t="n">
        <v>0</v>
      </c>
      <c r="G1780" s="1" t="n">
        <v>112</v>
      </c>
      <c r="H1780" s="2" t="n">
        <v>163200</v>
      </c>
      <c r="I1780" s="2" t="n">
        <f aca="false">(((H1780 / 800) / IF(ISBLANK(R1780), 1000000, IF(ISNA(VLOOKUP(R1780, Mileages!$A$2:$C$34, 2, 0)), R1780, VLOOKUP(R1780, Mileages!$A$2:$C$34, 2, 0)))) + (F1780 * IF(ISBLANK(P1780), 1, P1780) * IF(ISBLANK(T1780), 0, IF(ISNA(VLOOKUP(T1780, 'Fuel Costs'!$A$2:$C$42, 2, 0)), T1780, VLOOKUP(T1780, 'Fuel Costs'!$A$2:$C$42, 2, 0))) / IF(ISBLANK(O1780), 1, O1780))) * 100</f>
        <v>0.017</v>
      </c>
      <c r="J1780" s="2" t="n">
        <f aca="false">((H1780 / 800) / (IF(ISBLANK(S1780), 100, IF(ISNA(VLOOKUP(S1780, Lives!$A$2:$C$35, 2, 0)), S1780, VLOOKUP(S1780, Lives!$A$2:$C$35, 2, 0))) * 12) + (IF(ISBLANK(Q1780), 0, IF(ISNA(VLOOKUP(Q1780, Wages!$A$2:$C$17, 2, 0)), Q1780, VLOOKUP(Q1780, Wages!$A$2:$C$17, 2, 0))) * IF(ISBLANK(N1780), 0, IF(ISNA(VLOOKUP(N1780, Crews!$A$2:$C$28, 2, 0)), N1780, VLOOKUP(N1780, Crews!$A$2:$C$28, 2, 0))))) * 400</f>
        <v>194.2857143</v>
      </c>
      <c r="K1780" s="1" t="s">
        <v>3463</v>
      </c>
      <c r="L1780" s="1" t="s">
        <v>3460</v>
      </c>
      <c r="M1780" s="1" t="n">
        <v>2</v>
      </c>
      <c r="N1780" s="1"/>
      <c r="O1780" s="1"/>
      <c r="P1780" s="1"/>
      <c r="Q1780" s="1"/>
      <c r="R1780" s="1" t="s">
        <v>689</v>
      </c>
      <c r="S1780" s="1" t="s">
        <v>856</v>
      </c>
      <c r="T1780" s="1"/>
    </row>
    <row r="1781" customFormat="false" ht="15" hidden="false" customHeight="true" outlineLevel="0" collapsed="false">
      <c r="A1781" s="1" t="s">
        <v>3464</v>
      </c>
      <c r="B1781" s="1" t="n">
        <v>1939</v>
      </c>
      <c r="C1781" s="1" t="n">
        <v>8</v>
      </c>
      <c r="D1781" s="1" t="s">
        <v>38</v>
      </c>
      <c r="E1781" s="1" t="s">
        <v>1346</v>
      </c>
      <c r="F1781" s="1" t="n">
        <v>0</v>
      </c>
      <c r="G1781" s="1" t="n">
        <v>112</v>
      </c>
      <c r="H1781" s="2" t="n">
        <v>6064000</v>
      </c>
      <c r="I1781" s="2" t="n">
        <f aca="false">(((H1781 / 800) / IF(ISBLANK(R1781), 1000000, IF(ISNA(VLOOKUP(R1781, Mileages!$A$2:$C$34, 2, 0)), R1781, VLOOKUP(R1781, Mileages!$A$2:$C$34, 2, 0)))) + (F1781 * IF(ISBLANK(P1781), 1, P1781) * IF(ISBLANK(T1781), 0, IF(ISNA(VLOOKUP(T1781, 'Fuel Costs'!$A$2:$C$42, 2, 0)), T1781, VLOOKUP(T1781, 'Fuel Costs'!$A$2:$C$42, 2, 0))) / IF(ISBLANK(O1781), 1, O1781))) * 100</f>
        <v>0.6316666667</v>
      </c>
      <c r="J1781" s="2" t="n">
        <f aca="false">((H1781 / 800) / (IF(ISBLANK(S1781), 100, IF(ISNA(VLOOKUP(S1781, Lives!$A$2:$C$35, 2, 0)), S1781, VLOOKUP(S1781, Lives!$A$2:$C$35, 2, 0))) * 12) + (IF(ISBLANK(Q1781), 0, IF(ISNA(VLOOKUP(Q1781, Wages!$A$2:$C$17, 2, 0)), Q1781, VLOOKUP(Q1781, Wages!$A$2:$C$17, 2, 0))) * IF(ISBLANK(N1781), 0, IF(ISNA(VLOOKUP(N1781, Crews!$A$2:$C$28, 2, 0)), N1781, VLOOKUP(N1781, Crews!$A$2:$C$28, 2, 0))))) * 400</f>
        <v>7219.047619</v>
      </c>
      <c r="K1781" s="1"/>
      <c r="L1781" s="1" t="s">
        <v>3460</v>
      </c>
      <c r="M1781" s="1" t="n">
        <v>3</v>
      </c>
      <c r="N1781" s="1"/>
      <c r="O1781" s="1"/>
      <c r="P1781" s="1"/>
      <c r="Q1781" s="1"/>
      <c r="R1781" s="1" t="s">
        <v>689</v>
      </c>
      <c r="S1781" s="1" t="s">
        <v>856</v>
      </c>
      <c r="T1781" s="1"/>
    </row>
    <row r="1782" customFormat="false" ht="15" hidden="false" customHeight="true" outlineLevel="0" collapsed="false">
      <c r="A1782" s="1" t="s">
        <v>3465</v>
      </c>
      <c r="B1782" s="1" t="n">
        <v>1940</v>
      </c>
      <c r="C1782" s="1" t="n">
        <v>2</v>
      </c>
      <c r="D1782" s="1" t="s">
        <v>29</v>
      </c>
      <c r="E1782" s="1" t="s">
        <v>2039</v>
      </c>
      <c r="F1782" s="1" t="n">
        <v>100</v>
      </c>
      <c r="G1782" s="1" t="n">
        <v>25</v>
      </c>
      <c r="H1782" s="2" t="n">
        <v>32000000</v>
      </c>
      <c r="I1782" s="2" t="n">
        <f aca="false">(((H1782 / 800) / IF(ISBLANK(R1782), 1000000, IF(ISNA(VLOOKUP(R1782, Mileages!$A$2:$C$34, 2, 0)), R1782, VLOOKUP(R1782, Mileages!$A$2:$C$34, 2, 0)))) + (F1782 * IF(ISBLANK(P1782), 1, P1782) * IF(ISBLANK(T1782), 0, IF(ISNA(VLOOKUP(T1782, 'Fuel Costs'!$A$2:$C$42, 2, 0)), T1782, VLOOKUP(T1782, 'Fuel Costs'!$A$2:$C$42, 2, 0))) / IF(ISBLANK(O1782), 1, O1782))) * 100</f>
        <v>22</v>
      </c>
      <c r="J1782" s="2" t="n">
        <f aca="false">((H1782 / 800) / (IF(ISBLANK(S1782), 100, IF(ISNA(VLOOKUP(S1782, Lives!$A$2:$C$35, 2, 0)), S1782, VLOOKUP(S1782, Lives!$A$2:$C$35, 2, 0))) * 12) + (IF(ISBLANK(Q1782), 0, IF(ISNA(VLOOKUP(Q1782, Wages!$A$2:$C$17, 2, 0)), Q1782, VLOOKUP(Q1782, Wages!$A$2:$C$17, 2, 0))) * IF(ISBLANK(N1782), 0, IF(ISNA(VLOOKUP(N1782, Crews!$A$2:$C$28, 2, 0)), N1782, VLOOKUP(N1782, Crews!$A$2:$C$28, 2, 0))))) * 400</f>
        <v>213333.3333</v>
      </c>
      <c r="K1782" s="3" t="s">
        <v>3466</v>
      </c>
      <c r="L1782" s="1" t="s">
        <v>3467</v>
      </c>
      <c r="M1782" s="1" t="n">
        <v>0</v>
      </c>
      <c r="N1782" s="1" t="s">
        <v>323</v>
      </c>
      <c r="O1782" s="1" t="n">
        <v>0.5</v>
      </c>
      <c r="P1782" s="1" t="n">
        <v>0.2</v>
      </c>
      <c r="Q1782" s="1" t="s">
        <v>34</v>
      </c>
      <c r="R1782" s="1" t="s">
        <v>574</v>
      </c>
      <c r="S1782" s="1" t="s">
        <v>574</v>
      </c>
      <c r="T1782" s="1" t="s">
        <v>2041</v>
      </c>
    </row>
    <row r="1783" customFormat="false" ht="15" hidden="false" customHeight="true" outlineLevel="0" collapsed="false">
      <c r="A1783" s="1" t="s">
        <v>3468</v>
      </c>
      <c r="B1783" s="1" t="n">
        <v>1940</v>
      </c>
      <c r="C1783" s="1" t="n">
        <v>2</v>
      </c>
      <c r="D1783" s="1" t="s">
        <v>38</v>
      </c>
      <c r="E1783" s="1" t="s">
        <v>1346</v>
      </c>
      <c r="F1783" s="1" t="n">
        <v>283</v>
      </c>
      <c r="G1783" s="1" t="n">
        <v>60</v>
      </c>
      <c r="H1783" s="2" t="n">
        <v>700000</v>
      </c>
      <c r="I1783" s="2" t="n">
        <f aca="false">(((H1783 / 800) / IF(ISBLANK(R1783), 1000000, IF(ISNA(VLOOKUP(R1783, Mileages!$A$2:$C$34, 2, 0)), R1783, VLOOKUP(R1783, Mileages!$A$2:$C$34, 2, 0)))) + (F1783 * IF(ISBLANK(P1783), 1, P1783) * IF(ISBLANK(T1783), 0, IF(ISNA(VLOOKUP(T1783, 'Fuel Costs'!$A$2:$C$42, 2, 0)), T1783, VLOOKUP(T1783, 'Fuel Costs'!$A$2:$C$42, 2, 0))) / IF(ISBLANK(O1783), 1, O1783))) * 100</f>
        <v>56.6875</v>
      </c>
      <c r="J1783" s="2" t="n">
        <f aca="false">((H1783 / 800) / (IF(ISBLANK(S1783), 100, IF(ISNA(VLOOKUP(S1783, Lives!$A$2:$C$35, 2, 0)), S1783, VLOOKUP(S1783, Lives!$A$2:$C$35, 2, 0))) * 12) + (IF(ISBLANK(Q1783), 0, IF(ISNA(VLOOKUP(Q1783, Wages!$A$2:$C$17, 2, 0)), Q1783, VLOOKUP(Q1783, Wages!$A$2:$C$17, 2, 0))) * IF(ISBLANK(N1783), 0, IF(ISNA(VLOOKUP(N1783, Crews!$A$2:$C$28, 2, 0)), N1783, VLOOKUP(N1783, Crews!$A$2:$C$28, 2, 0))))) * 400</f>
        <v>6583.333333</v>
      </c>
      <c r="K1783" s="1" t="s">
        <v>3469</v>
      </c>
      <c r="L1783" s="1" t="s">
        <v>3470</v>
      </c>
      <c r="M1783" s="1" t="n">
        <v>0</v>
      </c>
      <c r="N1783" s="1" t="s">
        <v>1512</v>
      </c>
      <c r="O1783" s="1" t="n">
        <v>1</v>
      </c>
      <c r="P1783" s="1"/>
      <c r="Q1783" s="1" t="str">
        <f aca="false">IF(ISBLANK('Pak128 Britain In'!$N1783),,'Pak128 Britain In'!$N1783)</f>
        <v>ElectricMultipleUnit</v>
      </c>
      <c r="R1783" s="1" t="s">
        <v>1349</v>
      </c>
      <c r="S1783" s="1" t="s">
        <v>1350</v>
      </c>
      <c r="T1783" s="1" t="s">
        <v>3471</v>
      </c>
    </row>
    <row r="1784" customFormat="false" ht="15" hidden="false" customHeight="true" outlineLevel="0" collapsed="false">
      <c r="A1784" s="1" t="s">
        <v>3472</v>
      </c>
      <c r="B1784" s="1" t="n">
        <v>1940</v>
      </c>
      <c r="C1784" s="1" t="n">
        <v>2</v>
      </c>
      <c r="D1784" s="1" t="s">
        <v>38</v>
      </c>
      <c r="E1784" s="1" t="s">
        <v>1346</v>
      </c>
      <c r="F1784" s="1"/>
      <c r="G1784" s="1" t="n">
        <v>60</v>
      </c>
      <c r="H1784" s="2" t="n">
        <v>300000</v>
      </c>
      <c r="I1784" s="2" t="n">
        <f aca="false">(((H1784 / 800) / IF(ISBLANK(R1784), 1000000, IF(ISNA(VLOOKUP(R1784, Mileages!$A$2:$C$34, 2, 0)), R1784, VLOOKUP(R1784, Mileages!$A$2:$C$34, 2, 0)))) + (F1784 * IF(ISBLANK(P1784), 1, P1784) * IF(ISBLANK(T1784), 0, IF(ISNA(VLOOKUP(T1784, 'Fuel Costs'!$A$2:$C$42, 2, 0)), T1784, VLOOKUP(T1784, 'Fuel Costs'!$A$2:$C$42, 2, 0))) / IF(ISBLANK(O1784), 1, O1784))) * 100</f>
        <v>0.03125</v>
      </c>
      <c r="J1784" s="2" t="n">
        <f aca="false">((H1784 / 800) / (IF(ISBLANK(S1784), 100, IF(ISNA(VLOOKUP(S1784, Lives!$A$2:$C$35, 2, 0)), S1784, VLOOKUP(S1784, Lives!$A$2:$C$35, 2, 0))) * 12) + (IF(ISBLANK(Q1784), 0, IF(ISNA(VLOOKUP(Q1784, Wages!$A$2:$C$17, 2, 0)), Q1784, VLOOKUP(Q1784, Wages!$A$2:$C$17, 2, 0))) * IF(ISBLANK(N1784), 0, IF(ISNA(VLOOKUP(N1784, Crews!$A$2:$C$28, 2, 0)), N1784, VLOOKUP(N1784, Crews!$A$2:$C$28, 2, 0))))) * 400</f>
        <v>357.1428571</v>
      </c>
      <c r="K1784" s="1"/>
      <c r="L1784" s="1" t="s">
        <v>3470</v>
      </c>
      <c r="M1784" s="1" t="n">
        <v>1</v>
      </c>
      <c r="N1784" s="1"/>
      <c r="O1784" s="1"/>
      <c r="P1784" s="1"/>
      <c r="Q1784" s="1"/>
      <c r="R1784" s="1" t="s">
        <v>689</v>
      </c>
      <c r="S1784" s="1" t="s">
        <v>856</v>
      </c>
      <c r="T1784" s="1"/>
    </row>
    <row r="1785" customFormat="false" ht="15" hidden="false" customHeight="true" outlineLevel="0" collapsed="false">
      <c r="A1785" s="1" t="s">
        <v>3473</v>
      </c>
      <c r="B1785" s="1" t="n">
        <v>1940</v>
      </c>
      <c r="C1785" s="1" t="n">
        <v>2</v>
      </c>
      <c r="D1785" s="1" t="s">
        <v>38</v>
      </c>
      <c r="E1785" s="1" t="s">
        <v>1346</v>
      </c>
      <c r="F1785" s="1" t="n">
        <v>283</v>
      </c>
      <c r="G1785" s="1" t="n">
        <v>60</v>
      </c>
      <c r="H1785" s="2" t="n">
        <v>700000</v>
      </c>
      <c r="I1785" s="2" t="n">
        <f aca="false">(((H1785 / 800) / IF(ISBLANK(R1785), 1000000, IF(ISNA(VLOOKUP(R1785, Mileages!$A$2:$C$34, 2, 0)), R1785, VLOOKUP(R1785, Mileages!$A$2:$C$34, 2, 0)))) + (F1785 * IF(ISBLANK(P1785), 1, P1785) * IF(ISBLANK(T1785), 0, IF(ISNA(VLOOKUP(T1785, 'Fuel Costs'!$A$2:$C$42, 2, 0)), T1785, VLOOKUP(T1785, 'Fuel Costs'!$A$2:$C$42, 2, 0))) / IF(ISBLANK(O1785), 1, O1785))) * 100</f>
        <v>56.6875</v>
      </c>
      <c r="J1785" s="2" t="n">
        <f aca="false">((H1785 / 800) / (IF(ISBLANK(S1785), 100, IF(ISNA(VLOOKUP(S1785, Lives!$A$2:$C$35, 2, 0)), S1785, VLOOKUP(S1785, Lives!$A$2:$C$35, 2, 0))) * 12) + (IF(ISBLANK(Q1785), 0, IF(ISNA(VLOOKUP(Q1785, Wages!$A$2:$C$17, 2, 0)), Q1785, VLOOKUP(Q1785, Wages!$A$2:$C$17, 2, 0))) * IF(ISBLANK(N1785), 0, IF(ISNA(VLOOKUP(N1785, Crews!$A$2:$C$28, 2, 0)), N1785, VLOOKUP(N1785, Crews!$A$2:$C$28, 2, 0))))) * 400</f>
        <v>6583.333333</v>
      </c>
      <c r="K1785" s="1"/>
      <c r="L1785" s="1" t="s">
        <v>3470</v>
      </c>
      <c r="M1785" s="1" t="n">
        <v>2</v>
      </c>
      <c r="N1785" s="1" t="s">
        <v>1512</v>
      </c>
      <c r="O1785" s="1" t="n">
        <v>1</v>
      </c>
      <c r="P1785" s="1"/>
      <c r="Q1785" s="1" t="str">
        <f aca="false">IF(ISBLANK('Pak128 Britain In'!$N1785),,'Pak128 Britain In'!$N1785)</f>
        <v>ElectricMultipleUnit</v>
      </c>
      <c r="R1785" s="1" t="s">
        <v>1349</v>
      </c>
      <c r="S1785" s="1" t="s">
        <v>1350</v>
      </c>
      <c r="T1785" s="1" t="s">
        <v>3471</v>
      </c>
    </row>
    <row r="1786" customFormat="false" ht="15" hidden="false" customHeight="true" outlineLevel="0" collapsed="false">
      <c r="A1786" s="1" t="s">
        <v>3474</v>
      </c>
      <c r="B1786" s="1" t="n">
        <v>1940</v>
      </c>
      <c r="C1786" s="1" t="n">
        <v>6</v>
      </c>
      <c r="D1786" s="1" t="s">
        <v>29</v>
      </c>
      <c r="E1786" s="1" t="s">
        <v>274</v>
      </c>
      <c r="F1786" s="1" t="n">
        <v>8200</v>
      </c>
      <c r="G1786" s="1" t="n">
        <v>41</v>
      </c>
      <c r="H1786" s="2" t="n">
        <v>84500000</v>
      </c>
      <c r="I1786" s="2" t="n">
        <f aca="false">(((H1786 / 800) / IF(ISBLANK(R1786), 1000000, IF(ISNA(VLOOKUP(R1786, Mileages!$A$2:$C$34, 2, 0)), R1786, VLOOKUP(R1786, Mileages!$A$2:$C$34, 2, 0)))) + (F1786 * IF(ISBLANK(P1786), 1, P1786) * IF(ISBLANK(T1786), 0, IF(ISNA(VLOOKUP(T1786, 'Fuel Costs'!$A$2:$C$42, 2, 0)), T1786, VLOOKUP(T1786, 'Fuel Costs'!$A$2:$C$42, 2, 0))) / IF(ISBLANK(O1786), 1, O1786))) * 100</f>
        <v>415.28125</v>
      </c>
      <c r="J1786" s="2" t="n">
        <f aca="false">((H1786 / 800) / (IF(ISBLANK(S1786), 100, IF(ISNA(VLOOKUP(S1786, Lives!$A$2:$C$35, 2, 0)), S1786, VLOOKUP(S1786, Lives!$A$2:$C$35, 2, 0))) * 12) + (IF(ISBLANK(Q1786), 0, IF(ISNA(VLOOKUP(Q1786, Wages!$A$2:$C$17, 2, 0)), Q1786, VLOOKUP(Q1786, Wages!$A$2:$C$17, 2, 0))) * IF(ISBLANK(N1786), 0, IF(ISNA(VLOOKUP(N1786, Crews!$A$2:$C$28, 2, 0)), N1786, VLOOKUP(N1786, Crews!$A$2:$C$28, 2, 0))))) * 400</f>
        <v>235208.3333</v>
      </c>
      <c r="K1786" s="3" t="s">
        <v>3475</v>
      </c>
      <c r="L1786" s="1" t="s">
        <v>3476</v>
      </c>
      <c r="M1786" s="1" t="n">
        <v>0</v>
      </c>
      <c r="N1786" s="1" t="s">
        <v>323</v>
      </c>
      <c r="O1786" s="1" t="n">
        <v>2</v>
      </c>
      <c r="P1786" s="1" t="n">
        <v>0.2</v>
      </c>
      <c r="Q1786" s="1" t="s">
        <v>34</v>
      </c>
      <c r="R1786" s="1" t="s">
        <v>574</v>
      </c>
      <c r="S1786" s="1" t="s">
        <v>574</v>
      </c>
      <c r="T1786" s="1" t="s">
        <v>3477</v>
      </c>
    </row>
    <row r="1787" customFormat="false" ht="15" hidden="false" customHeight="true" outlineLevel="0" collapsed="false">
      <c r="A1787" s="1" t="s">
        <v>3478</v>
      </c>
      <c r="B1787" s="1" t="n">
        <v>1940</v>
      </c>
      <c r="C1787" s="1" t="n">
        <v>7</v>
      </c>
      <c r="D1787" s="1" t="s">
        <v>2225</v>
      </c>
      <c r="E1787" s="1" t="s">
        <v>1839</v>
      </c>
      <c r="F1787" s="1" t="n">
        <v>3280</v>
      </c>
      <c r="G1787" s="1" t="n">
        <v>346</v>
      </c>
      <c r="H1787" s="2" t="n">
        <v>7700000</v>
      </c>
      <c r="I1787" s="2" t="n">
        <f aca="false">(((H1787 / 800) / IF(ISBLANK(R1787), 1000000, IF(ISNA(VLOOKUP(R1787, Mileages!$A$2:$C$34, 2, 0)), R1787, VLOOKUP(R1787, Mileages!$A$2:$C$34, 2, 0)))) + (F1787 * IF(ISBLANK(P1787), 1, P1787) * IF(ISBLANK(T1787), 0, IF(ISNA(VLOOKUP(T1787, 'Fuel Costs'!$A$2:$C$42, 2, 0)), T1787, VLOOKUP(T1787, 'Fuel Costs'!$A$2:$C$42, 2, 0))) / IF(ISBLANK(O1787), 1, O1787))) * 100</f>
        <v>131.3925</v>
      </c>
      <c r="J1787" s="2" t="n">
        <f aca="false">((H1787 / 800) / (IF(ISBLANK(S1787), 100, IF(ISNA(VLOOKUP(S1787, Lives!$A$2:$C$35, 2, 0)), S1787, VLOOKUP(S1787, Lives!$A$2:$C$35, 2, 0))) * 12) + (IF(ISBLANK(Q1787), 0, IF(ISNA(VLOOKUP(Q1787, Wages!$A$2:$C$17, 2, 0)), Q1787, VLOOKUP(Q1787, Wages!$A$2:$C$17, 2, 0))) * IF(ISBLANK(N1787), 0, IF(ISNA(VLOOKUP(N1787, Crews!$A$2:$C$28, 2, 0)), N1787, VLOOKUP(N1787, Crews!$A$2:$C$28, 2, 0))))) * 400</f>
        <v>55347.22222</v>
      </c>
      <c r="K1787" s="3" t="s">
        <v>3479</v>
      </c>
      <c r="L1787" s="1" t="s">
        <v>3480</v>
      </c>
      <c r="M1787" s="1" t="n">
        <v>0</v>
      </c>
      <c r="N1787" s="1" t="s">
        <v>2342</v>
      </c>
      <c r="O1787" s="1"/>
      <c r="P1787" s="1" t="n">
        <v>0.1</v>
      </c>
      <c r="Q1787" s="1" t="s">
        <v>2229</v>
      </c>
      <c r="R1787" s="1" t="s">
        <v>2229</v>
      </c>
      <c r="S1787" s="1" t="s">
        <v>2229</v>
      </c>
      <c r="T1787" s="1" t="s">
        <v>3481</v>
      </c>
    </row>
    <row r="1788" customFormat="false" ht="15" hidden="false" customHeight="true" outlineLevel="0" collapsed="false">
      <c r="A1788" s="1" t="s">
        <v>3482</v>
      </c>
      <c r="B1788" s="1" t="n">
        <v>1940</v>
      </c>
      <c r="C1788" s="1" t="n">
        <v>8</v>
      </c>
      <c r="D1788" s="1" t="s">
        <v>38</v>
      </c>
      <c r="E1788" s="1" t="s">
        <v>1346</v>
      </c>
      <c r="F1788" s="1" t="n">
        <v>1400</v>
      </c>
      <c r="G1788" s="1" t="n">
        <v>105</v>
      </c>
      <c r="H1788" s="2" t="n">
        <v>5068000</v>
      </c>
      <c r="I1788" s="2" t="n">
        <f aca="false">(((H1788 / 800) / IF(ISBLANK(R1788), 1000000, IF(ISNA(VLOOKUP(R1788, Mileages!$A$2:$C$34, 2, 0)), R1788, VLOOKUP(R1788, Mileages!$A$2:$C$34, 2, 0)))) + (F1788 * IF(ISBLANK(P1788), 1, P1788) * IF(ISBLANK(T1788), 0, IF(ISNA(VLOOKUP(T1788, 'Fuel Costs'!$A$2:$C$42, 2, 0)), T1788, VLOOKUP(T1788, 'Fuel Costs'!$A$2:$C$42, 2, 0))) / IF(ISBLANK(O1788), 1, O1788))) * 100</f>
        <v>280.6335</v>
      </c>
      <c r="J1788" s="2" t="n">
        <f aca="false">((H1788 / 800) / (IF(ISBLANK(S1788), 100, IF(ISNA(VLOOKUP(S1788, Lives!$A$2:$C$35, 2, 0)), S1788, VLOOKUP(S1788, Lives!$A$2:$C$35, 2, 0))) * 12) + (IF(ISBLANK(Q1788), 0, IF(ISNA(VLOOKUP(Q1788, Wages!$A$2:$C$17, 2, 0)), Q1788, VLOOKUP(Q1788, Wages!$A$2:$C$17, 2, 0))) * IF(ISBLANK(N1788), 0, IF(ISNA(VLOOKUP(N1788, Crews!$A$2:$C$28, 2, 0)), N1788, VLOOKUP(N1788, Crews!$A$2:$C$28, 2, 0))))) * 400</f>
        <v>13519.44444</v>
      </c>
      <c r="K1788" s="1" t="s">
        <v>3483</v>
      </c>
      <c r="L1788" s="1" t="s">
        <v>3484</v>
      </c>
      <c r="M1788" s="1" t="n">
        <v>0</v>
      </c>
      <c r="N1788" s="1" t="s">
        <v>1488</v>
      </c>
      <c r="O1788" s="1" t="n">
        <v>1</v>
      </c>
      <c r="P1788" s="1"/>
      <c r="Q1788" s="1" t="str">
        <f aca="false">IF(ISBLANK('Pak128 Britain In'!$N1788),,'Pak128 Britain In'!$N1788)</f>
        <v>ElectricDriverRail</v>
      </c>
      <c r="R1788" s="1" t="s">
        <v>1349</v>
      </c>
      <c r="S1788" s="1" t="s">
        <v>1349</v>
      </c>
      <c r="T1788" s="1" t="s">
        <v>3471</v>
      </c>
    </row>
    <row r="1789" customFormat="false" ht="15" hidden="false" customHeight="true" outlineLevel="0" collapsed="false">
      <c r="A1789" s="1" t="s">
        <v>3485</v>
      </c>
      <c r="B1789" s="1" t="n">
        <v>1941</v>
      </c>
      <c r="C1789" s="1" t="n">
        <v>2</v>
      </c>
      <c r="D1789" s="1" t="s">
        <v>38</v>
      </c>
      <c r="E1789" s="1" t="s">
        <v>274</v>
      </c>
      <c r="F1789" s="1" t="n">
        <v>629</v>
      </c>
      <c r="G1789" s="1" t="n">
        <v>160</v>
      </c>
      <c r="H1789" s="2" t="n">
        <v>10298000</v>
      </c>
      <c r="I1789" s="2" t="n">
        <f aca="false">(((H1789 / 800) / IF(ISBLANK(R1789), 1000000, IF(ISNA(VLOOKUP(R1789, Mileages!$A$2:$C$34, 2, 0)), R1789, VLOOKUP(R1789, Mileages!$A$2:$C$34, 2, 0)))) + (F1789 * IF(ISBLANK(P1789), 1, P1789) * IF(ISBLANK(T1789), 0, IF(ISNA(VLOOKUP(T1789, 'Fuel Costs'!$A$2:$C$42, 2, 0)), T1789, VLOOKUP(T1789, 'Fuel Costs'!$A$2:$C$42, 2, 0))) / IF(ISBLANK(O1789), 1, O1789))) * 100</f>
        <v>451.431131</v>
      </c>
      <c r="J1789" s="2" t="n">
        <f aca="false">((H1789 / 800) / (IF(ISBLANK(S1789), 100, IF(ISNA(VLOOKUP(S1789, Lives!$A$2:$C$35, 2, 0)), S1789, VLOOKUP(S1789, Lives!$A$2:$C$35, 2, 0))) * 12) + (IF(ISBLANK(Q1789), 0, IF(ISNA(VLOOKUP(Q1789, Wages!$A$2:$C$17, 2, 0)), Q1789, VLOOKUP(Q1789, Wages!$A$2:$C$17, 2, 0))) * IF(ISBLANK(N1789), 0, IF(ISNA(VLOOKUP(N1789, Crews!$A$2:$C$28, 2, 0)), N1789, VLOOKUP(N1789, Crews!$A$2:$C$28, 2, 0))))) * 400</f>
        <v>61454.16667</v>
      </c>
      <c r="K1789" s="3" t="s">
        <v>3486</v>
      </c>
      <c r="L1789" s="1" t="s">
        <v>3487</v>
      </c>
      <c r="M1789" s="1" t="n">
        <v>0</v>
      </c>
      <c r="N1789" s="1" t="s">
        <v>1705</v>
      </c>
      <c r="O1789" s="1" t="n">
        <v>0.7</v>
      </c>
      <c r="P1789" s="1"/>
      <c r="Q1789" s="5" t="s">
        <v>284</v>
      </c>
      <c r="R1789" s="1" t="s">
        <v>2617</v>
      </c>
      <c r="S1789" s="1" t="s">
        <v>2617</v>
      </c>
      <c r="T1789" s="1" t="s">
        <v>3477</v>
      </c>
    </row>
    <row r="1790" customFormat="false" ht="15" hidden="false" customHeight="true" outlineLevel="0" collapsed="false">
      <c r="A1790" s="1" t="s">
        <v>3488</v>
      </c>
      <c r="B1790" s="1" t="n">
        <v>1941</v>
      </c>
      <c r="C1790" s="1" t="n">
        <v>2</v>
      </c>
      <c r="D1790" s="1" t="s">
        <v>38</v>
      </c>
      <c r="E1790" s="1"/>
      <c r="F1790" s="1" t="n">
        <v>0</v>
      </c>
      <c r="G1790" s="1" t="n">
        <v>160</v>
      </c>
      <c r="H1790" s="2" t="n">
        <v>0</v>
      </c>
      <c r="I1790" s="2" t="n">
        <f aca="false">(((H1790 / 800) / IF(ISBLANK(R1790), 1000000, IF(ISNA(VLOOKUP(R1790, Mileages!$A$2:$C$34, 2, 0)), R1790, VLOOKUP(R1790, Mileages!$A$2:$C$34, 2, 0)))) + (F1790 * IF(ISBLANK(P1790), 1, P1790) * IF(ISBLANK(T1790), 0, IF(ISNA(VLOOKUP(T1790, 'Fuel Costs'!$A$2:$C$42, 2, 0)), T1790, VLOOKUP(T1790, 'Fuel Costs'!$A$2:$C$42, 2, 0))) / IF(ISBLANK(O1790), 1, O1790))) * 100</f>
        <v>0</v>
      </c>
      <c r="J1790" s="2" t="n">
        <f aca="false">((H1790 / 800) / (IF(ISBLANK(S1790), 100, IF(ISNA(VLOOKUP(S1790, Lives!$A$2:$C$35, 2, 0)), S1790, VLOOKUP(S1790, Lives!$A$2:$C$35, 2, 0))) * 12) + (IF(ISBLANK(Q1790), 0, IF(ISNA(VLOOKUP(Q1790, Wages!$A$2:$C$17, 2, 0)), Q1790, VLOOKUP(Q1790, Wages!$A$2:$C$17, 2, 0))) * IF(ISBLANK(N1790), 0, IF(ISNA(VLOOKUP(N1790, Crews!$A$2:$C$28, 2, 0)), N1790, VLOOKUP(N1790, Crews!$A$2:$C$28, 2, 0))))) * 400</f>
        <v>0</v>
      </c>
      <c r="K1790" s="1"/>
      <c r="L1790" s="1" t="s">
        <v>3489</v>
      </c>
      <c r="M1790" s="1" t="n">
        <v>0</v>
      </c>
      <c r="N1790" s="1"/>
      <c r="O1790" s="1"/>
      <c r="P1790" s="1"/>
      <c r="Q1790" s="1"/>
      <c r="R1790" s="1"/>
      <c r="S1790" s="1"/>
      <c r="T1790" s="1"/>
    </row>
    <row r="1791" customFormat="false" ht="15" hidden="false" customHeight="true" outlineLevel="0" collapsed="false">
      <c r="A1791" s="1" t="s">
        <v>3490</v>
      </c>
      <c r="B1791" s="1" t="n">
        <v>1941</v>
      </c>
      <c r="C1791" s="1" t="n">
        <v>5</v>
      </c>
      <c r="D1791" s="1" t="s">
        <v>38</v>
      </c>
      <c r="E1791" s="1" t="s">
        <v>1346</v>
      </c>
      <c r="F1791" s="1" t="n">
        <v>412</v>
      </c>
      <c r="G1791" s="1" t="n">
        <v>120</v>
      </c>
      <c r="H1791" s="2" t="n">
        <v>1850000</v>
      </c>
      <c r="I1791" s="2" t="n">
        <f aca="false">(((H1791 / 800) / IF(ISBLANK(R1791), 1000000, IF(ISNA(VLOOKUP(R1791, Mileages!$A$2:$C$34, 2, 0)), R1791, VLOOKUP(R1791, Mileages!$A$2:$C$34, 2, 0)))) + (F1791 * IF(ISBLANK(P1791), 1, P1791) * IF(ISBLANK(T1791), 0, IF(ISNA(VLOOKUP(T1791, 'Fuel Costs'!$A$2:$C$42, 2, 0)), T1791, VLOOKUP(T1791, 'Fuel Costs'!$A$2:$C$42, 2, 0))) / IF(ISBLANK(O1791), 1, O1791))) * 100</f>
        <v>82.63125</v>
      </c>
      <c r="J1791" s="2" t="n">
        <f aca="false">((H1791 / 800) / (IF(ISBLANK(S1791), 100, IF(ISNA(VLOOKUP(S1791, Lives!$A$2:$C$35, 2, 0)), S1791, VLOOKUP(S1791, Lives!$A$2:$C$35, 2, 0))) * 12) + (IF(ISBLANK(Q1791), 0, IF(ISNA(VLOOKUP(Q1791, Wages!$A$2:$C$17, 2, 0)), Q1791, VLOOKUP(Q1791, Wages!$A$2:$C$17, 2, 0))) * IF(ISBLANK(N1791), 0, IF(ISNA(VLOOKUP(N1791, Crews!$A$2:$C$28, 2, 0)), N1791, VLOOKUP(N1791, Crews!$A$2:$C$28, 2, 0))))) * 400</f>
        <v>7541.666667</v>
      </c>
      <c r="K1791" s="1" t="s">
        <v>3491</v>
      </c>
      <c r="L1791" s="1" t="s">
        <v>3492</v>
      </c>
      <c r="M1791" s="1" t="n">
        <v>0</v>
      </c>
      <c r="N1791" s="1" t="s">
        <v>1512</v>
      </c>
      <c r="O1791" s="1" t="n">
        <v>1</v>
      </c>
      <c r="P1791" s="1"/>
      <c r="Q1791" s="1" t="str">
        <f aca="false">IF(ISBLANK('Pak128 Britain In'!$N1791),,'Pak128 Britain In'!$N1791)</f>
        <v>ElectricMultipleUnit</v>
      </c>
      <c r="R1791" s="1" t="s">
        <v>1349</v>
      </c>
      <c r="S1791" s="1" t="s">
        <v>1350</v>
      </c>
      <c r="T1791" s="1" t="s">
        <v>3471</v>
      </c>
    </row>
    <row r="1792" customFormat="false" ht="15" hidden="false" customHeight="true" outlineLevel="0" collapsed="false">
      <c r="A1792" s="1" t="s">
        <v>3493</v>
      </c>
      <c r="B1792" s="1" t="n">
        <v>1941</v>
      </c>
      <c r="C1792" s="1" t="n">
        <v>5</v>
      </c>
      <c r="D1792" s="1" t="s">
        <v>38</v>
      </c>
      <c r="E1792" s="1" t="s">
        <v>1346</v>
      </c>
      <c r="F1792" s="1" t="n">
        <v>412</v>
      </c>
      <c r="G1792" s="1" t="n">
        <v>120</v>
      </c>
      <c r="H1792" s="2" t="n">
        <v>1850000</v>
      </c>
      <c r="I1792" s="2" t="n">
        <f aca="false">(((H1792 / 800) / IF(ISBLANK(R1792), 1000000, IF(ISNA(VLOOKUP(R1792, Mileages!$A$2:$C$34, 2, 0)), R1792, VLOOKUP(R1792, Mileages!$A$2:$C$34, 2, 0)))) + (F1792 * IF(ISBLANK(P1792), 1, P1792) * IF(ISBLANK(T1792), 0, IF(ISNA(VLOOKUP(T1792, 'Fuel Costs'!$A$2:$C$42, 2, 0)), T1792, VLOOKUP(T1792, 'Fuel Costs'!$A$2:$C$42, 2, 0))) / IF(ISBLANK(O1792), 1, O1792))) * 100</f>
        <v>82.63125</v>
      </c>
      <c r="J1792" s="2" t="n">
        <f aca="false">((H1792 / 800) / (IF(ISBLANK(S1792), 100, IF(ISNA(VLOOKUP(S1792, Lives!$A$2:$C$35, 2, 0)), S1792, VLOOKUP(S1792, Lives!$A$2:$C$35, 2, 0))) * 12) + (IF(ISBLANK(Q1792), 0, IF(ISNA(VLOOKUP(Q1792, Wages!$A$2:$C$17, 2, 0)), Q1792, VLOOKUP(Q1792, Wages!$A$2:$C$17, 2, 0))) * IF(ISBLANK(N1792), 0, IF(ISNA(VLOOKUP(N1792, Crews!$A$2:$C$28, 2, 0)), N1792, VLOOKUP(N1792, Crews!$A$2:$C$28, 2, 0))))) * 400</f>
        <v>7541.666667</v>
      </c>
      <c r="K1792" s="1"/>
      <c r="L1792" s="1" t="s">
        <v>3492</v>
      </c>
      <c r="M1792" s="1" t="n">
        <v>1</v>
      </c>
      <c r="N1792" s="1" t="s">
        <v>1512</v>
      </c>
      <c r="O1792" s="1" t="n">
        <v>1</v>
      </c>
      <c r="P1792" s="1"/>
      <c r="Q1792" s="1" t="str">
        <f aca="false">IF(ISBLANK('Pak128 Britain In'!$N1792),,'Pak128 Britain In'!$N1792)</f>
        <v>ElectricMultipleUnit</v>
      </c>
      <c r="R1792" s="1" t="s">
        <v>1349</v>
      </c>
      <c r="S1792" s="1" t="s">
        <v>1350</v>
      </c>
      <c r="T1792" s="1" t="s">
        <v>3471</v>
      </c>
    </row>
    <row r="1793" customFormat="false" ht="15" hidden="false" customHeight="true" outlineLevel="0" collapsed="false">
      <c r="A1793" s="1" t="s">
        <v>3494</v>
      </c>
      <c r="B1793" s="1" t="n">
        <v>1941</v>
      </c>
      <c r="C1793" s="1" t="n">
        <v>5</v>
      </c>
      <c r="D1793" s="1" t="s">
        <v>38</v>
      </c>
      <c r="E1793" s="1" t="s">
        <v>1346</v>
      </c>
      <c r="F1793" s="1" t="n">
        <v>0</v>
      </c>
      <c r="G1793" s="1" t="n">
        <v>120</v>
      </c>
      <c r="H1793" s="2" t="n">
        <v>872000</v>
      </c>
      <c r="I1793" s="2" t="n">
        <f aca="false">(((H1793 / 800) / IF(ISBLANK(R1793), 1000000, IF(ISNA(VLOOKUP(R1793, Mileages!$A$2:$C$34, 2, 0)), R1793, VLOOKUP(R1793, Mileages!$A$2:$C$34, 2, 0)))) + (F1793 * IF(ISBLANK(P1793), 1, P1793) * IF(ISBLANK(T1793), 0, IF(ISNA(VLOOKUP(T1793, 'Fuel Costs'!$A$2:$C$42, 2, 0)), T1793, VLOOKUP(T1793, 'Fuel Costs'!$A$2:$C$42, 2, 0))) / IF(ISBLANK(O1793), 1, O1793))) * 100</f>
        <v>0.09083333333</v>
      </c>
      <c r="J1793" s="2" t="n">
        <f aca="false">((H1793 / 800) / (IF(ISBLANK(S1793), 100, IF(ISNA(VLOOKUP(S1793, Lives!$A$2:$C$35, 2, 0)), S1793, VLOOKUP(S1793, Lives!$A$2:$C$35, 2, 0))) * 12) + (IF(ISBLANK(Q1793), 0, IF(ISNA(VLOOKUP(Q1793, Wages!$A$2:$C$17, 2, 0)), Q1793, VLOOKUP(Q1793, Wages!$A$2:$C$17, 2, 0))) * IF(ISBLANK(N1793), 0, IF(ISNA(VLOOKUP(N1793, Crews!$A$2:$C$28, 2, 0)), N1793, VLOOKUP(N1793, Crews!$A$2:$C$28, 2, 0))))) * 400</f>
        <v>1038.095238</v>
      </c>
      <c r="K1793" s="1"/>
      <c r="L1793" s="1" t="s">
        <v>3492</v>
      </c>
      <c r="M1793" s="1" t="n">
        <v>2</v>
      </c>
      <c r="N1793" s="1"/>
      <c r="O1793" s="1"/>
      <c r="P1793" s="1"/>
      <c r="Q1793" s="1"/>
      <c r="R1793" s="1" t="s">
        <v>689</v>
      </c>
      <c r="S1793" s="1" t="s">
        <v>856</v>
      </c>
      <c r="T1793" s="1"/>
    </row>
    <row r="1794" customFormat="false" ht="15" hidden="false" customHeight="true" outlineLevel="0" collapsed="false">
      <c r="A1794" s="1" t="s">
        <v>3495</v>
      </c>
      <c r="B1794" s="1" t="n">
        <v>1941</v>
      </c>
      <c r="C1794" s="1" t="n">
        <v>5</v>
      </c>
      <c r="D1794" s="1" t="s">
        <v>38</v>
      </c>
      <c r="E1794" s="1" t="s">
        <v>1346</v>
      </c>
      <c r="F1794" s="1" t="n">
        <v>0</v>
      </c>
      <c r="G1794" s="1" t="n">
        <v>120</v>
      </c>
      <c r="H1794" s="2" t="n">
        <v>872000</v>
      </c>
      <c r="I1794" s="2" t="n">
        <f aca="false">(((H1794 / 800) / IF(ISBLANK(R1794), 1000000, IF(ISNA(VLOOKUP(R1794, Mileages!$A$2:$C$34, 2, 0)), R1794, VLOOKUP(R1794, Mileages!$A$2:$C$34, 2, 0)))) + (F1794 * IF(ISBLANK(P1794), 1, P1794) * IF(ISBLANK(T1794), 0, IF(ISNA(VLOOKUP(T1794, 'Fuel Costs'!$A$2:$C$42, 2, 0)), T1794, VLOOKUP(T1794, 'Fuel Costs'!$A$2:$C$42, 2, 0))) / IF(ISBLANK(O1794), 1, O1794))) * 100</f>
        <v>0.09083333333</v>
      </c>
      <c r="J1794" s="2" t="n">
        <f aca="false">((H1794 / 800) / (IF(ISBLANK(S1794), 100, IF(ISNA(VLOOKUP(S1794, Lives!$A$2:$C$35, 2, 0)), S1794, VLOOKUP(S1794, Lives!$A$2:$C$35, 2, 0))) * 12) + (IF(ISBLANK(Q1794), 0, IF(ISNA(VLOOKUP(Q1794, Wages!$A$2:$C$17, 2, 0)), Q1794, VLOOKUP(Q1794, Wages!$A$2:$C$17, 2, 0))) * IF(ISBLANK(N1794), 0, IF(ISNA(VLOOKUP(N1794, Crews!$A$2:$C$28, 2, 0)), N1794, VLOOKUP(N1794, Crews!$A$2:$C$28, 2, 0))))) * 400</f>
        <v>1038.095238</v>
      </c>
      <c r="K1794" s="1"/>
      <c r="L1794" s="1" t="s">
        <v>3492</v>
      </c>
      <c r="M1794" s="1" t="n">
        <v>3</v>
      </c>
      <c r="N1794" s="1"/>
      <c r="O1794" s="1"/>
      <c r="P1794" s="1"/>
      <c r="Q1794" s="1"/>
      <c r="R1794" s="1" t="s">
        <v>689</v>
      </c>
      <c r="S1794" s="1" t="s">
        <v>856</v>
      </c>
      <c r="T1794" s="1"/>
    </row>
    <row r="1795" customFormat="false" ht="15" hidden="false" customHeight="true" outlineLevel="0" collapsed="false">
      <c r="A1795" s="1" t="s">
        <v>3496</v>
      </c>
      <c r="B1795" s="1" t="n">
        <v>1941</v>
      </c>
      <c r="C1795" s="1" t="n">
        <v>9</v>
      </c>
      <c r="D1795" s="1" t="s">
        <v>38</v>
      </c>
      <c r="E1795" s="1"/>
      <c r="F1795" s="1"/>
      <c r="G1795" s="1" t="n">
        <v>160</v>
      </c>
      <c r="H1795" s="2" t="n">
        <v>579000</v>
      </c>
      <c r="I1795" s="2" t="n">
        <f aca="false">(((H1795 / 800) / IF(ISBLANK(R1795), 1000000, IF(ISNA(VLOOKUP(R1795, Mileages!$A$2:$C$34, 2, 0)), R1795, VLOOKUP(R1795, Mileages!$A$2:$C$34, 2, 0)))) + (F1795 * IF(ISBLANK(P1795), 1, P1795) * IF(ISBLANK(T1795), 0, IF(ISNA(VLOOKUP(T1795, 'Fuel Costs'!$A$2:$C$42, 2, 0)), T1795, VLOOKUP(T1795, 'Fuel Costs'!$A$2:$C$42, 2, 0))) / IF(ISBLANK(O1795), 1, O1795))) * 100</f>
        <v>0.0603125</v>
      </c>
      <c r="J1795" s="2" t="n">
        <f aca="false">((H1795 / 800) / (IF(ISBLANK(S1795), 100, IF(ISNA(VLOOKUP(S1795, Lives!$A$2:$C$35, 2, 0)), S1795, VLOOKUP(S1795, Lives!$A$2:$C$35, 2, 0))) * 12) + (IF(ISBLANK(Q1795), 0, IF(ISNA(VLOOKUP(Q1795, Wages!$A$2:$C$17, 2, 0)), Q1795, VLOOKUP(Q1795, Wages!$A$2:$C$17, 2, 0))) * IF(ISBLANK(N1795), 0, IF(ISNA(VLOOKUP(N1795, Crews!$A$2:$C$28, 2, 0)), N1795, VLOOKUP(N1795, Crews!$A$2:$C$28, 2, 0))))) * 400</f>
        <v>689.2857143</v>
      </c>
      <c r="K1795" s="1" t="s">
        <v>3497</v>
      </c>
      <c r="L1795" s="1" t="s">
        <v>3498</v>
      </c>
      <c r="M1795" s="1" t="n">
        <v>0</v>
      </c>
      <c r="N1795" s="1"/>
      <c r="O1795" s="1"/>
      <c r="P1795" s="1"/>
      <c r="Q1795" s="1"/>
      <c r="R1795" s="1" t="s">
        <v>689</v>
      </c>
      <c r="S1795" s="1" t="s">
        <v>856</v>
      </c>
      <c r="T1795" s="1"/>
    </row>
    <row r="1796" customFormat="false" ht="15" hidden="false" customHeight="true" outlineLevel="0" collapsed="false">
      <c r="A1796" s="1" t="s">
        <v>3499</v>
      </c>
      <c r="B1796" s="1" t="n">
        <v>1941</v>
      </c>
      <c r="C1796" s="1" t="n">
        <v>9</v>
      </c>
      <c r="D1796" s="1" t="s">
        <v>38</v>
      </c>
      <c r="E1796" s="1"/>
      <c r="F1796" s="1"/>
      <c r="G1796" s="1" t="n">
        <v>160</v>
      </c>
      <c r="H1796" s="2" t="n">
        <v>579000</v>
      </c>
      <c r="I1796" s="2" t="n">
        <f aca="false">(((H1796 / 800) / IF(ISBLANK(R1796), 1000000, IF(ISNA(VLOOKUP(R1796, Mileages!$A$2:$C$34, 2, 0)), R1796, VLOOKUP(R1796, Mileages!$A$2:$C$34, 2, 0)))) + (F1796 * IF(ISBLANK(P1796), 1, P1796) * IF(ISBLANK(T1796), 0, IF(ISNA(VLOOKUP(T1796, 'Fuel Costs'!$A$2:$C$42, 2, 0)), T1796, VLOOKUP(T1796, 'Fuel Costs'!$A$2:$C$42, 2, 0))) / IF(ISBLANK(O1796), 1, O1796))) * 100</f>
        <v>0.0603125</v>
      </c>
      <c r="J1796" s="2" t="n">
        <f aca="false">((H1796 / 800) / (IF(ISBLANK(S1796), 100, IF(ISNA(VLOOKUP(S1796, Lives!$A$2:$C$35, 2, 0)), S1796, VLOOKUP(S1796, Lives!$A$2:$C$35, 2, 0))) * 12) + (IF(ISBLANK(Q1796), 0, IF(ISNA(VLOOKUP(Q1796, Wages!$A$2:$C$17, 2, 0)), Q1796, VLOOKUP(Q1796, Wages!$A$2:$C$17, 2, 0))) * IF(ISBLANK(N1796), 0, IF(ISNA(VLOOKUP(N1796, Crews!$A$2:$C$28, 2, 0)), N1796, VLOOKUP(N1796, Crews!$A$2:$C$28, 2, 0))))) * 400</f>
        <v>5489.285714</v>
      </c>
      <c r="K1796" s="1"/>
      <c r="L1796" s="1" t="s">
        <v>3498</v>
      </c>
      <c r="M1796" s="1" t="n">
        <v>1</v>
      </c>
      <c r="N1796" s="1" t="s">
        <v>25</v>
      </c>
      <c r="O1796" s="1"/>
      <c r="P1796" s="1"/>
      <c r="Q1796" s="1" t="s">
        <v>378</v>
      </c>
      <c r="R1796" s="1" t="s">
        <v>689</v>
      </c>
      <c r="S1796" s="1" t="s">
        <v>856</v>
      </c>
      <c r="T1796" s="1"/>
    </row>
    <row r="1797" customFormat="false" ht="15" hidden="false" customHeight="true" outlineLevel="0" collapsed="false">
      <c r="A1797" s="1" t="s">
        <v>3500</v>
      </c>
      <c r="B1797" s="1" t="n">
        <v>1941</v>
      </c>
      <c r="C1797" s="1" t="n">
        <v>9</v>
      </c>
      <c r="D1797" s="1" t="s">
        <v>38</v>
      </c>
      <c r="E1797" s="1"/>
      <c r="F1797" s="1"/>
      <c r="G1797" s="1" t="n">
        <v>160</v>
      </c>
      <c r="H1797" s="2" t="n">
        <v>579000</v>
      </c>
      <c r="I1797" s="2" t="n">
        <f aca="false">(((H1797 / 800) / IF(ISBLANK(R1797), 1000000, IF(ISNA(VLOOKUP(R1797, Mileages!$A$2:$C$34, 2, 0)), R1797, VLOOKUP(R1797, Mileages!$A$2:$C$34, 2, 0)))) + (F1797 * IF(ISBLANK(P1797), 1, P1797) * IF(ISBLANK(T1797), 0, IF(ISNA(VLOOKUP(T1797, 'Fuel Costs'!$A$2:$C$42, 2, 0)), T1797, VLOOKUP(T1797, 'Fuel Costs'!$A$2:$C$42, 2, 0))) / IF(ISBLANK(O1797), 1, O1797))) * 100</f>
        <v>0.0603125</v>
      </c>
      <c r="J1797" s="2" t="n">
        <f aca="false">((H1797 / 800) / (IF(ISBLANK(S1797), 100, IF(ISNA(VLOOKUP(S1797, Lives!$A$2:$C$35, 2, 0)), S1797, VLOOKUP(S1797, Lives!$A$2:$C$35, 2, 0))) * 12) + (IF(ISBLANK(Q1797), 0, IF(ISNA(VLOOKUP(Q1797, Wages!$A$2:$C$17, 2, 0)), Q1797, VLOOKUP(Q1797, Wages!$A$2:$C$17, 2, 0))) * IF(ISBLANK(N1797), 0, IF(ISNA(VLOOKUP(N1797, Crews!$A$2:$C$28, 2, 0)), N1797, VLOOKUP(N1797, Crews!$A$2:$C$28, 2, 0))))) * 400</f>
        <v>5489.285714</v>
      </c>
      <c r="K1797" s="1"/>
      <c r="L1797" s="1" t="s">
        <v>3498</v>
      </c>
      <c r="M1797" s="1" t="n">
        <v>2</v>
      </c>
      <c r="N1797" s="1" t="s">
        <v>25</v>
      </c>
      <c r="O1797" s="1"/>
      <c r="P1797" s="1"/>
      <c r="Q1797" s="1" t="s">
        <v>378</v>
      </c>
      <c r="R1797" s="1" t="s">
        <v>689</v>
      </c>
      <c r="S1797" s="1" t="s">
        <v>856</v>
      </c>
      <c r="T1797" s="1"/>
    </row>
    <row r="1798" customFormat="false" ht="15" hidden="false" customHeight="true" outlineLevel="0" collapsed="false">
      <c r="A1798" s="1" t="s">
        <v>3501</v>
      </c>
      <c r="B1798" s="1" t="n">
        <v>1941</v>
      </c>
      <c r="C1798" s="1" t="n">
        <v>9</v>
      </c>
      <c r="D1798" s="1" t="s">
        <v>38</v>
      </c>
      <c r="E1798" s="1"/>
      <c r="F1798" s="1"/>
      <c r="G1798" s="1" t="n">
        <v>160</v>
      </c>
      <c r="H1798" s="2" t="n">
        <v>677000</v>
      </c>
      <c r="I1798" s="2" t="n">
        <f aca="false">(((H1798 / 800) / IF(ISBLANK(R1798), 1000000, IF(ISNA(VLOOKUP(R1798, Mileages!$A$2:$C$34, 2, 0)), R1798, VLOOKUP(R1798, Mileages!$A$2:$C$34, 2, 0)))) + (F1798 * IF(ISBLANK(P1798), 1, P1798) * IF(ISBLANK(T1798), 0, IF(ISNA(VLOOKUP(T1798, 'Fuel Costs'!$A$2:$C$42, 2, 0)), T1798, VLOOKUP(T1798, 'Fuel Costs'!$A$2:$C$42, 2, 0))) / IF(ISBLANK(O1798), 1, O1798))) * 100</f>
        <v>0.07052083333</v>
      </c>
      <c r="J1798" s="2" t="n">
        <f aca="false">((H1798 / 800) / (IF(ISBLANK(S1798), 100, IF(ISNA(VLOOKUP(S1798, Lives!$A$2:$C$35, 2, 0)), S1798, VLOOKUP(S1798, Lives!$A$2:$C$35, 2, 0))) * 12) + (IF(ISBLANK(Q1798), 0, IF(ISNA(VLOOKUP(Q1798, Wages!$A$2:$C$17, 2, 0)), Q1798, VLOOKUP(Q1798, Wages!$A$2:$C$17, 2, 0))) * IF(ISBLANK(N1798), 0, IF(ISNA(VLOOKUP(N1798, Crews!$A$2:$C$28, 2, 0)), N1798, VLOOKUP(N1798, Crews!$A$2:$C$28, 2, 0))))) * 400</f>
        <v>18805.95238</v>
      </c>
      <c r="K1798" s="1"/>
      <c r="L1798" s="1" t="s">
        <v>3498</v>
      </c>
      <c r="M1798" s="1" t="n">
        <v>5</v>
      </c>
      <c r="N1798" s="1" t="s">
        <v>1481</v>
      </c>
      <c r="O1798" s="1"/>
      <c r="P1798" s="1"/>
      <c r="Q1798" s="1" t="s">
        <v>1481</v>
      </c>
      <c r="R1798" s="1" t="s">
        <v>689</v>
      </c>
      <c r="S1798" s="1" t="s">
        <v>856</v>
      </c>
      <c r="T1798" s="1"/>
    </row>
    <row r="1799" customFormat="false" ht="15" hidden="false" customHeight="true" outlineLevel="0" collapsed="false">
      <c r="A1799" s="1" t="s">
        <v>3502</v>
      </c>
      <c r="B1799" s="1" t="n">
        <v>1941</v>
      </c>
      <c r="C1799" s="1" t="n">
        <v>9</v>
      </c>
      <c r="D1799" s="1" t="s">
        <v>38</v>
      </c>
      <c r="E1799" s="1"/>
      <c r="F1799" s="1"/>
      <c r="G1799" s="1" t="n">
        <v>160</v>
      </c>
      <c r="H1799" s="2" t="n">
        <v>655000</v>
      </c>
      <c r="I1799" s="2" t="n">
        <f aca="false">(((H1799 / 800) / IF(ISBLANK(R1799), 1000000, IF(ISNA(VLOOKUP(R1799, Mileages!$A$2:$C$34, 2, 0)), R1799, VLOOKUP(R1799, Mileages!$A$2:$C$34, 2, 0)))) + (F1799 * IF(ISBLANK(P1799), 1, P1799) * IF(ISBLANK(T1799), 0, IF(ISNA(VLOOKUP(T1799, 'Fuel Costs'!$A$2:$C$42, 2, 0)), T1799, VLOOKUP(T1799, 'Fuel Costs'!$A$2:$C$42, 2, 0))) / IF(ISBLANK(O1799), 1, O1799))) * 100</f>
        <v>0.06822916667</v>
      </c>
      <c r="J1799" s="2" t="n">
        <f aca="false">((H1799 / 800) / (IF(ISBLANK(S1799), 100, IF(ISNA(VLOOKUP(S1799, Lives!$A$2:$C$35, 2, 0)), S1799, VLOOKUP(S1799, Lives!$A$2:$C$35, 2, 0))) * 12) + (IF(ISBLANK(Q1799), 0, IF(ISNA(VLOOKUP(Q1799, Wages!$A$2:$C$17, 2, 0)), Q1799, VLOOKUP(Q1799, Wages!$A$2:$C$17, 2, 0))) * IF(ISBLANK(N1799), 0, IF(ISNA(VLOOKUP(N1799, Crews!$A$2:$C$28, 2, 0)), N1799, VLOOKUP(N1799, Crews!$A$2:$C$28, 2, 0))))) * 400</f>
        <v>18779.7619</v>
      </c>
      <c r="K1799" s="1" t="s">
        <v>3503</v>
      </c>
      <c r="L1799" s="1" t="s">
        <v>3498</v>
      </c>
      <c r="M1799" s="1" t="n">
        <v>6</v>
      </c>
      <c r="N1799" s="1" t="s">
        <v>1481</v>
      </c>
      <c r="O1799" s="1"/>
      <c r="P1799" s="1"/>
      <c r="Q1799" s="1" t="s">
        <v>1481</v>
      </c>
      <c r="R1799" s="1" t="s">
        <v>689</v>
      </c>
      <c r="S1799" s="1" t="s">
        <v>856</v>
      </c>
      <c r="T1799" s="1"/>
    </row>
    <row r="1800" customFormat="false" ht="15" hidden="false" customHeight="true" outlineLevel="0" collapsed="false">
      <c r="A1800" s="1" t="s">
        <v>3504</v>
      </c>
      <c r="B1800" s="1" t="n">
        <v>1941</v>
      </c>
      <c r="C1800" s="1" t="n">
        <v>11</v>
      </c>
      <c r="D1800" s="1" t="s">
        <v>38</v>
      </c>
      <c r="E1800" s="1" t="s">
        <v>2039</v>
      </c>
      <c r="F1800" s="1" t="n">
        <v>160</v>
      </c>
      <c r="G1800" s="1" t="n">
        <v>110</v>
      </c>
      <c r="H1800" s="2" t="n">
        <v>2184000</v>
      </c>
      <c r="I1800" s="2" t="n">
        <f aca="false">(((H1800 / 800) / IF(ISBLANK(R1800), 1000000, IF(ISNA(VLOOKUP(R1800, Mileages!$A$2:$C$34, 2, 0)), R1800, VLOOKUP(R1800, Mileages!$A$2:$C$34, 2, 0)))) + (F1800 * IF(ISBLANK(P1800), 1, P1800) * IF(ISBLANK(T1800), 0, IF(ISNA(VLOOKUP(T1800, 'Fuel Costs'!$A$2:$C$42, 2, 0)), T1800, VLOOKUP(T1800, 'Fuel Costs'!$A$2:$C$42, 2, 0))) / IF(ISBLANK(O1800), 1, O1800))) * 100</f>
        <v>160.546</v>
      </c>
      <c r="J1800" s="2" t="n">
        <f aca="false">((H1800 / 800) / (IF(ISBLANK(S1800), 100, IF(ISNA(VLOOKUP(S1800, Lives!$A$2:$C$35, 2, 0)), S1800, VLOOKUP(S1800, Lives!$A$2:$C$35, 2, 0))) * 12) + (IF(ISBLANK(Q1800), 0, IF(ISNA(VLOOKUP(Q1800, Wages!$A$2:$C$17, 2, 0)), Q1800, VLOOKUP(Q1800, Wages!$A$2:$C$17, 2, 0))) * IF(ISBLANK(N1800), 0, IF(ISNA(VLOOKUP(N1800, Crews!$A$2:$C$28, 2, 0)), N1800, VLOOKUP(N1800, Crews!$A$2:$C$28, 2, 0))))) * 400</f>
        <v>8275</v>
      </c>
      <c r="K1800" s="1"/>
      <c r="L1800" s="1" t="s">
        <v>3505</v>
      </c>
      <c r="M1800" s="1" t="n">
        <v>0</v>
      </c>
      <c r="N1800" s="1" t="s">
        <v>1512</v>
      </c>
      <c r="O1800" s="1" t="n">
        <v>0.5</v>
      </c>
      <c r="P1800" s="1"/>
      <c r="Q1800" s="1" t="s">
        <v>1512</v>
      </c>
      <c r="R1800" s="1" t="s">
        <v>3179</v>
      </c>
      <c r="S1800" s="1" t="s">
        <v>3179</v>
      </c>
      <c r="T1800" s="1" t="s">
        <v>2041</v>
      </c>
    </row>
    <row r="1801" customFormat="false" ht="15" hidden="false" customHeight="true" outlineLevel="0" collapsed="false">
      <c r="A1801" s="1" t="s">
        <v>3506</v>
      </c>
      <c r="B1801" s="1" t="n">
        <v>1941</v>
      </c>
      <c r="C1801" s="1" t="n">
        <v>11</v>
      </c>
      <c r="D1801" s="1" t="s">
        <v>38</v>
      </c>
      <c r="E1801" s="1" t="s">
        <v>2039</v>
      </c>
      <c r="F1801" s="1" t="n">
        <v>160</v>
      </c>
      <c r="G1801" s="1" t="n">
        <v>110</v>
      </c>
      <c r="H1801" s="2" t="n">
        <v>2184000</v>
      </c>
      <c r="I1801" s="2" t="n">
        <f aca="false">(((H1801 / 800) / IF(ISBLANK(R1801), 1000000, IF(ISNA(VLOOKUP(R1801, Mileages!$A$2:$C$34, 2, 0)), R1801, VLOOKUP(R1801, Mileages!$A$2:$C$34, 2, 0)))) + (F1801 * IF(ISBLANK(P1801), 1, P1801) * IF(ISBLANK(T1801), 0, IF(ISNA(VLOOKUP(T1801, 'Fuel Costs'!$A$2:$C$42, 2, 0)), T1801, VLOOKUP(T1801, 'Fuel Costs'!$A$2:$C$42, 2, 0))) / IF(ISBLANK(O1801), 1, O1801))) * 100</f>
        <v>160.546</v>
      </c>
      <c r="J1801" s="2" t="n">
        <f aca="false">((H1801 / 800) / (IF(ISBLANK(S1801), 100, IF(ISNA(VLOOKUP(S1801, Lives!$A$2:$C$35, 2, 0)), S1801, VLOOKUP(S1801, Lives!$A$2:$C$35, 2, 0))) * 12) + (IF(ISBLANK(Q1801), 0, IF(ISNA(VLOOKUP(Q1801, Wages!$A$2:$C$17, 2, 0)), Q1801, VLOOKUP(Q1801, Wages!$A$2:$C$17, 2, 0))) * IF(ISBLANK(N1801), 0, IF(ISNA(VLOOKUP(N1801, Crews!$A$2:$C$28, 2, 0)), N1801, VLOOKUP(N1801, Crews!$A$2:$C$28, 2, 0))))) * 400</f>
        <v>8275</v>
      </c>
      <c r="K1801" s="1"/>
      <c r="L1801" s="1" t="s">
        <v>3507</v>
      </c>
      <c r="M1801" s="1" t="n">
        <v>0</v>
      </c>
      <c r="N1801" s="1" t="s">
        <v>1512</v>
      </c>
      <c r="O1801" s="1" t="n">
        <v>0.5</v>
      </c>
      <c r="P1801" s="1"/>
      <c r="Q1801" s="1" t="s">
        <v>1512</v>
      </c>
      <c r="R1801" s="1" t="s">
        <v>3179</v>
      </c>
      <c r="S1801" s="1" t="s">
        <v>3179</v>
      </c>
      <c r="T1801" s="1" t="s">
        <v>2041</v>
      </c>
    </row>
    <row r="1802" customFormat="false" ht="15" hidden="false" customHeight="true" outlineLevel="0" collapsed="false">
      <c r="A1802" s="1" t="s">
        <v>3508</v>
      </c>
      <c r="B1802" s="1" t="n">
        <v>1941</v>
      </c>
      <c r="C1802" s="1" t="n">
        <v>12</v>
      </c>
      <c r="D1802" s="1" t="s">
        <v>38</v>
      </c>
      <c r="E1802" s="1" t="s">
        <v>1346</v>
      </c>
      <c r="F1802" s="1" t="n">
        <v>1100</v>
      </c>
      <c r="G1802" s="1" t="n">
        <v>120</v>
      </c>
      <c r="H1802" s="2" t="n">
        <v>3459100</v>
      </c>
      <c r="I1802" s="2" t="n">
        <f aca="false">(((H1802 / 800) / IF(ISBLANK(R1802), 1000000, IF(ISNA(VLOOKUP(R1802, Mileages!$A$2:$C$34, 2, 0)), R1802, VLOOKUP(R1802, Mileages!$A$2:$C$34, 2, 0)))) + (F1802 * IF(ISBLANK(P1802), 1, P1802) * IF(ISBLANK(T1802), 0, IF(ISNA(VLOOKUP(T1802, 'Fuel Costs'!$A$2:$C$42, 2, 0)), T1802, VLOOKUP(T1802, 'Fuel Costs'!$A$2:$C$42, 2, 0))) / IF(ISBLANK(O1802), 1, O1802))) * 100</f>
        <v>220.4323875</v>
      </c>
      <c r="J1802" s="2" t="n">
        <f aca="false">((H1802 / 800) / (IF(ISBLANK(S1802), 100, IF(ISNA(VLOOKUP(S1802, Lives!$A$2:$C$35, 2, 0)), S1802, VLOOKUP(S1802, Lives!$A$2:$C$35, 2, 0))) * 12) + (IF(ISBLANK(Q1802), 0, IF(ISNA(VLOOKUP(Q1802, Wages!$A$2:$C$17, 2, 0)), Q1802, VLOOKUP(Q1802, Wages!$A$2:$C$17, 2, 0))) * IF(ISBLANK(N1802), 0, IF(ISNA(VLOOKUP(N1802, Crews!$A$2:$C$28, 2, 0)), N1802, VLOOKUP(N1802, Crews!$A$2:$C$28, 2, 0))))) * 400</f>
        <v>12402.15278</v>
      </c>
      <c r="K1802" s="1" t="s">
        <v>2048</v>
      </c>
      <c r="L1802" s="1" t="s">
        <v>3509</v>
      </c>
      <c r="M1802" s="1" t="n">
        <v>0</v>
      </c>
      <c r="N1802" s="1" t="s">
        <v>1488</v>
      </c>
      <c r="O1802" s="1" t="n">
        <v>1</v>
      </c>
      <c r="P1802" s="1"/>
      <c r="Q1802" s="1" t="str">
        <f aca="false">IF(ISBLANK('Pak128 Britain In'!$N1802),,'Pak128 Britain In'!$N1802)</f>
        <v>ElectricDriverRail</v>
      </c>
      <c r="R1802" s="1" t="s">
        <v>1349</v>
      </c>
      <c r="S1802" s="1" t="s">
        <v>1349</v>
      </c>
      <c r="T1802" s="1" t="s">
        <v>3471</v>
      </c>
    </row>
    <row r="1803" customFormat="false" ht="15" hidden="false" customHeight="true" outlineLevel="0" collapsed="false">
      <c r="A1803" s="1" t="s">
        <v>3510</v>
      </c>
      <c r="B1803" s="1" t="n">
        <v>1942</v>
      </c>
      <c r="C1803" s="1" t="n">
        <v>2</v>
      </c>
      <c r="D1803" s="1" t="s">
        <v>2225</v>
      </c>
      <c r="E1803" s="1" t="s">
        <v>1839</v>
      </c>
      <c r="F1803" s="1" t="n">
        <v>3760</v>
      </c>
      <c r="G1803" s="1" t="n">
        <v>365</v>
      </c>
      <c r="H1803" s="2" t="n">
        <v>10000000</v>
      </c>
      <c r="I1803" s="2" t="n">
        <f aca="false">(((H1803 / 800) / IF(ISBLANK(R1803), 1000000, IF(ISNA(VLOOKUP(R1803, Mileages!$A$2:$C$34, 2, 0)), R1803, VLOOKUP(R1803, Mileages!$A$2:$C$34, 2, 0)))) + (F1803 * IF(ISBLANK(P1803), 1, P1803) * IF(ISBLANK(T1803), 0, IF(ISNA(VLOOKUP(T1803, 'Fuel Costs'!$A$2:$C$42, 2, 0)), T1803, VLOOKUP(T1803, 'Fuel Costs'!$A$2:$C$42, 2, 0))) / IF(ISBLANK(O1803), 1, O1803))) * 100</f>
        <v>150.65</v>
      </c>
      <c r="J1803" s="2" t="n">
        <f aca="false">((H1803 / 800) / (IF(ISBLANK(S1803), 100, IF(ISNA(VLOOKUP(S1803, Lives!$A$2:$C$35, 2, 0)), S1803, VLOOKUP(S1803, Lives!$A$2:$C$35, 2, 0))) * 12) + (IF(ISBLANK(Q1803), 0, IF(ISNA(VLOOKUP(Q1803, Wages!$A$2:$C$17, 2, 0)), Q1803, VLOOKUP(Q1803, Wages!$A$2:$C$17, 2, 0))) * IF(ISBLANK(N1803), 0, IF(ISNA(VLOOKUP(N1803, Crews!$A$2:$C$28, 2, 0)), N1803, VLOOKUP(N1803, Crews!$A$2:$C$28, 2, 0))))) * 400</f>
        <v>56944.44444</v>
      </c>
      <c r="K1803" s="3" t="s">
        <v>3511</v>
      </c>
      <c r="L1803" s="1" t="s">
        <v>3512</v>
      </c>
      <c r="M1803" s="1" t="n">
        <v>0</v>
      </c>
      <c r="N1803" s="1" t="s">
        <v>2342</v>
      </c>
      <c r="O1803" s="1"/>
      <c r="P1803" s="1" t="n">
        <v>0.1</v>
      </c>
      <c r="Q1803" s="1" t="s">
        <v>2229</v>
      </c>
      <c r="R1803" s="1" t="s">
        <v>2229</v>
      </c>
      <c r="S1803" s="1" t="s">
        <v>2229</v>
      </c>
      <c r="T1803" s="1" t="s">
        <v>3481</v>
      </c>
    </row>
    <row r="1804" customFormat="false" ht="15" hidden="false" customHeight="true" outlineLevel="0" collapsed="false">
      <c r="A1804" s="1" t="s">
        <v>3513</v>
      </c>
      <c r="B1804" s="1" t="n">
        <v>1942</v>
      </c>
      <c r="C1804" s="1" t="n">
        <v>2</v>
      </c>
      <c r="D1804" s="1" t="s">
        <v>2225</v>
      </c>
      <c r="E1804" s="1" t="s">
        <v>1839</v>
      </c>
      <c r="F1804" s="1" t="n">
        <v>3760</v>
      </c>
      <c r="G1804" s="1" t="n">
        <v>365</v>
      </c>
      <c r="H1804" s="2" t="n">
        <v>8000000</v>
      </c>
      <c r="I1804" s="2" t="n">
        <f aca="false">(((H1804 / 800) / IF(ISBLANK(R1804), 1000000, IF(ISNA(VLOOKUP(R1804, Mileages!$A$2:$C$34, 2, 0)), R1804, VLOOKUP(R1804, Mileages!$A$2:$C$34, 2, 0)))) + (F1804 * IF(ISBLANK(P1804), 1, P1804) * IF(ISBLANK(T1804), 0, IF(ISNA(VLOOKUP(T1804, 'Fuel Costs'!$A$2:$C$42, 2, 0)), T1804, VLOOKUP(T1804, 'Fuel Costs'!$A$2:$C$42, 2, 0))) / IF(ISBLANK(O1804), 1, O1804))) * 100</f>
        <v>150.6</v>
      </c>
      <c r="J1804" s="2" t="n">
        <f aca="false">((H1804 / 800) / (IF(ISBLANK(S1804), 100, IF(ISNA(VLOOKUP(S1804, Lives!$A$2:$C$35, 2, 0)), S1804, VLOOKUP(S1804, Lives!$A$2:$C$35, 2, 0))) * 12) + (IF(ISBLANK(Q1804), 0, IF(ISNA(VLOOKUP(Q1804, Wages!$A$2:$C$17, 2, 0)), Q1804, VLOOKUP(Q1804, Wages!$A$2:$C$17, 2, 0))) * IF(ISBLANK(N1804), 0, IF(ISNA(VLOOKUP(N1804, Crews!$A$2:$C$28, 2, 0)), N1804, VLOOKUP(N1804, Crews!$A$2:$C$28, 2, 0))))) * 400</f>
        <v>15555.55556</v>
      </c>
      <c r="K1804" s="3" t="s">
        <v>3514</v>
      </c>
      <c r="L1804" s="1" t="s">
        <v>3515</v>
      </c>
      <c r="M1804" s="1" t="n">
        <v>0</v>
      </c>
      <c r="N1804" s="1" t="s">
        <v>25</v>
      </c>
      <c r="O1804" s="1"/>
      <c r="P1804" s="1" t="n">
        <v>0.1</v>
      </c>
      <c r="Q1804" s="1" t="s">
        <v>2229</v>
      </c>
      <c r="R1804" s="1" t="s">
        <v>2229</v>
      </c>
      <c r="S1804" s="1" t="s">
        <v>2229</v>
      </c>
      <c r="T1804" s="1" t="s">
        <v>3481</v>
      </c>
    </row>
    <row r="1805" customFormat="false" ht="15" hidden="false" customHeight="true" outlineLevel="0" collapsed="false">
      <c r="A1805" s="1" t="s">
        <v>3516</v>
      </c>
      <c r="B1805" s="1" t="n">
        <v>1942</v>
      </c>
      <c r="C1805" s="1" t="n">
        <v>2</v>
      </c>
      <c r="D1805" s="1" t="s">
        <v>2225</v>
      </c>
      <c r="E1805" s="1" t="s">
        <v>1839</v>
      </c>
      <c r="F1805" s="1" t="n">
        <v>3760</v>
      </c>
      <c r="G1805" s="1" t="n">
        <v>365</v>
      </c>
      <c r="H1805" s="2" t="n">
        <v>8000000</v>
      </c>
      <c r="I1805" s="2" t="n">
        <f aca="false">(((H1805 / 800) / IF(ISBLANK(R1805), 1000000, IF(ISNA(VLOOKUP(R1805, Mileages!$A$2:$C$34, 2, 0)), R1805, VLOOKUP(R1805, Mileages!$A$2:$C$34, 2, 0)))) + (F1805 * IF(ISBLANK(P1805), 1, P1805) * IF(ISBLANK(T1805), 0, IF(ISNA(VLOOKUP(T1805, 'Fuel Costs'!$A$2:$C$42, 2, 0)), T1805, VLOOKUP(T1805, 'Fuel Costs'!$A$2:$C$42, 2, 0))) / IF(ISBLANK(O1805), 1, O1805))) * 100</f>
        <v>150.6</v>
      </c>
      <c r="J1805" s="2" t="n">
        <f aca="false">((H1805 / 800) / (IF(ISBLANK(S1805), 100, IF(ISNA(VLOOKUP(S1805, Lives!$A$2:$C$35, 2, 0)), S1805, VLOOKUP(S1805, Lives!$A$2:$C$35, 2, 0))) * 12) + (IF(ISBLANK(Q1805), 0, IF(ISNA(VLOOKUP(Q1805, Wages!$A$2:$C$17, 2, 0)), Q1805, VLOOKUP(Q1805, Wages!$A$2:$C$17, 2, 0))) * IF(ISBLANK(N1805), 0, IF(ISNA(VLOOKUP(N1805, Crews!$A$2:$C$28, 2, 0)), N1805, VLOOKUP(N1805, Crews!$A$2:$C$28, 2, 0))))) * 400</f>
        <v>15555.55556</v>
      </c>
      <c r="K1805" s="3" t="s">
        <v>3517</v>
      </c>
      <c r="L1805" s="1" t="s">
        <v>3518</v>
      </c>
      <c r="M1805" s="1" t="n">
        <v>0</v>
      </c>
      <c r="N1805" s="1" t="s">
        <v>25</v>
      </c>
      <c r="O1805" s="1"/>
      <c r="P1805" s="1" t="n">
        <v>0.1</v>
      </c>
      <c r="Q1805" s="1" t="s">
        <v>2229</v>
      </c>
      <c r="R1805" s="1" t="s">
        <v>2229</v>
      </c>
      <c r="S1805" s="1" t="s">
        <v>2229</v>
      </c>
      <c r="T1805" s="1" t="s">
        <v>3481</v>
      </c>
    </row>
    <row r="1806" customFormat="false" ht="15" hidden="false" customHeight="true" outlineLevel="0" collapsed="false">
      <c r="A1806" s="1" t="s">
        <v>3519</v>
      </c>
      <c r="B1806" s="1" t="n">
        <v>1942</v>
      </c>
      <c r="C1806" s="1" t="n">
        <v>2</v>
      </c>
      <c r="D1806" s="1" t="s">
        <v>2225</v>
      </c>
      <c r="E1806" s="1" t="s">
        <v>1839</v>
      </c>
      <c r="F1806" s="1" t="n">
        <v>3760</v>
      </c>
      <c r="G1806" s="1" t="n">
        <v>365</v>
      </c>
      <c r="H1806" s="2" t="n">
        <v>8000000</v>
      </c>
      <c r="I1806" s="2" t="n">
        <f aca="false">(((H1806 / 800) / IF(ISBLANK(R1806), 1000000, IF(ISNA(VLOOKUP(R1806, Mileages!$A$2:$C$34, 2, 0)), R1806, VLOOKUP(R1806, Mileages!$A$2:$C$34, 2, 0)))) + (F1806 * IF(ISBLANK(P1806), 1, P1806) * IF(ISBLANK(T1806), 0, IF(ISNA(VLOOKUP(T1806, 'Fuel Costs'!$A$2:$C$42, 2, 0)), T1806, VLOOKUP(T1806, 'Fuel Costs'!$A$2:$C$42, 2, 0))) / IF(ISBLANK(O1806), 1, O1806))) * 100</f>
        <v>150.6</v>
      </c>
      <c r="J1806" s="2" t="n">
        <f aca="false">((H1806 / 800) / (IF(ISBLANK(S1806), 100, IF(ISNA(VLOOKUP(S1806, Lives!$A$2:$C$35, 2, 0)), S1806, VLOOKUP(S1806, Lives!$A$2:$C$35, 2, 0))) * 12) + (IF(ISBLANK(Q1806), 0, IF(ISNA(VLOOKUP(Q1806, Wages!$A$2:$C$17, 2, 0)), Q1806, VLOOKUP(Q1806, Wages!$A$2:$C$17, 2, 0))) * IF(ISBLANK(N1806), 0, IF(ISNA(VLOOKUP(N1806, Crews!$A$2:$C$28, 2, 0)), N1806, VLOOKUP(N1806, Crews!$A$2:$C$28, 2, 0))))) * 400</f>
        <v>15555.55556</v>
      </c>
      <c r="K1806" s="3" t="s">
        <v>3517</v>
      </c>
      <c r="L1806" s="1" t="s">
        <v>3518</v>
      </c>
      <c r="M1806" s="1" t="n">
        <v>1</v>
      </c>
      <c r="N1806" s="1" t="s">
        <v>25</v>
      </c>
      <c r="O1806" s="1"/>
      <c r="P1806" s="1" t="n">
        <v>0.1</v>
      </c>
      <c r="Q1806" s="1" t="s">
        <v>2229</v>
      </c>
      <c r="R1806" s="1" t="s">
        <v>2229</v>
      </c>
      <c r="S1806" s="1" t="s">
        <v>2229</v>
      </c>
      <c r="T1806" s="1" t="s">
        <v>3481</v>
      </c>
    </row>
    <row r="1807" customFormat="false" ht="15" hidden="false" customHeight="true" outlineLevel="0" collapsed="false">
      <c r="A1807" s="1" t="s">
        <v>3520</v>
      </c>
      <c r="B1807" s="1" t="n">
        <v>1942</v>
      </c>
      <c r="C1807" s="1" t="n">
        <v>7</v>
      </c>
      <c r="D1807" s="1" t="s">
        <v>38</v>
      </c>
      <c r="E1807" s="1"/>
      <c r="F1807" s="1" t="n">
        <v>0</v>
      </c>
      <c r="G1807" s="1" t="n">
        <v>120</v>
      </c>
      <c r="H1807" s="2" t="n">
        <v>0</v>
      </c>
      <c r="I1807" s="2" t="n">
        <f aca="false">(((H1807 / 800) / IF(ISBLANK(R1807), 1000000, IF(ISNA(VLOOKUP(R1807, Mileages!$A$2:$C$34, 2, 0)), R1807, VLOOKUP(R1807, Mileages!$A$2:$C$34, 2, 0)))) + (F1807 * IF(ISBLANK(P1807), 1, P1807) * IF(ISBLANK(T1807), 0, IF(ISNA(VLOOKUP(T1807, 'Fuel Costs'!$A$2:$C$42, 2, 0)), T1807, VLOOKUP(T1807, 'Fuel Costs'!$A$2:$C$42, 2, 0))) / IF(ISBLANK(O1807), 1, O1807))) * 100</f>
        <v>0</v>
      </c>
      <c r="J1807" s="2" t="n">
        <f aca="false">((H1807 / 800) / (IF(ISBLANK(S1807), 100, IF(ISNA(VLOOKUP(S1807, Lives!$A$2:$C$35, 2, 0)), S1807, VLOOKUP(S1807, Lives!$A$2:$C$35, 2, 0))) * 12) + (IF(ISBLANK(Q1807), 0, IF(ISNA(VLOOKUP(Q1807, Wages!$A$2:$C$17, 2, 0)), Q1807, VLOOKUP(Q1807, Wages!$A$2:$C$17, 2, 0))) * IF(ISBLANK(N1807), 0, IF(ISNA(VLOOKUP(N1807, Crews!$A$2:$C$28, 2, 0)), N1807, VLOOKUP(N1807, Crews!$A$2:$C$28, 2, 0))))) * 400</f>
        <v>0</v>
      </c>
      <c r="K1807" s="1"/>
      <c r="L1807" s="1" t="s">
        <v>3521</v>
      </c>
      <c r="M1807" s="1" t="n">
        <v>0</v>
      </c>
      <c r="N1807" s="1"/>
      <c r="O1807" s="1"/>
      <c r="P1807" s="1"/>
      <c r="Q1807" s="1"/>
      <c r="R1807" s="1"/>
      <c r="S1807" s="1"/>
      <c r="T1807" s="1"/>
    </row>
    <row r="1808" customFormat="false" ht="15" hidden="false" customHeight="true" outlineLevel="0" collapsed="false">
      <c r="A1808" s="1" t="s">
        <v>3522</v>
      </c>
      <c r="B1808" s="1" t="n">
        <v>1942</v>
      </c>
      <c r="C1808" s="1" t="n">
        <v>7</v>
      </c>
      <c r="D1808" s="1" t="s">
        <v>38</v>
      </c>
      <c r="E1808" s="1" t="s">
        <v>274</v>
      </c>
      <c r="F1808" s="1" t="n">
        <v>327</v>
      </c>
      <c r="G1808" s="1" t="n">
        <v>96</v>
      </c>
      <c r="H1808" s="2" t="n">
        <v>4980000</v>
      </c>
      <c r="I1808" s="2" t="n">
        <f aca="false">(((H1808 / 800) / IF(ISBLANK(R1808), 1000000, IF(ISNA(VLOOKUP(R1808, Mileages!$A$2:$C$34, 2, 0)), R1808, VLOOKUP(R1808, Mileages!$A$2:$C$34, 2, 0)))) + (F1808 * IF(ISBLANK(P1808), 1, P1808) * IF(ISBLANK(T1808), 0, IF(ISNA(VLOOKUP(T1808, 'Fuel Costs'!$A$2:$C$42, 2, 0)), T1808, VLOOKUP(T1808, 'Fuel Costs'!$A$2:$C$42, 2, 0))) / IF(ISBLANK(O1808), 1, O1808))) * 100</f>
        <v>234.1939286</v>
      </c>
      <c r="J1808" s="2" t="n">
        <f aca="false">((H1808 / 800) / (IF(ISBLANK(S1808), 100, IF(ISNA(VLOOKUP(S1808, Lives!$A$2:$C$35, 2, 0)), S1808, VLOOKUP(S1808, Lives!$A$2:$C$35, 2, 0))) * 12) + (IF(ISBLANK(Q1808), 0, IF(ISNA(VLOOKUP(Q1808, Wages!$A$2:$C$17, 2, 0)), Q1808, VLOOKUP(Q1808, Wages!$A$2:$C$17, 2, 0))) * IF(ISBLANK(N1808), 0, IF(ISNA(VLOOKUP(N1808, Crews!$A$2:$C$28, 2, 0)), N1808, VLOOKUP(N1808, Crews!$A$2:$C$28, 2, 0))))) * 400</f>
        <v>28150</v>
      </c>
      <c r="K1808" s="1" t="s">
        <v>1692</v>
      </c>
      <c r="L1808" s="1" t="s">
        <v>3523</v>
      </c>
      <c r="M1808" s="1" t="n">
        <v>0</v>
      </c>
      <c r="N1808" s="1" t="s">
        <v>590</v>
      </c>
      <c r="O1808" s="1" t="n">
        <v>0.7</v>
      </c>
      <c r="P1808" s="1"/>
      <c r="Q1808" s="5" t="s">
        <v>284</v>
      </c>
      <c r="R1808" s="1" t="s">
        <v>677</v>
      </c>
      <c r="S1808" s="1" t="s">
        <v>677</v>
      </c>
      <c r="T1808" s="1" t="s">
        <v>3477</v>
      </c>
    </row>
    <row r="1809" customFormat="false" ht="15" hidden="false" customHeight="true" outlineLevel="0" collapsed="false">
      <c r="A1809" s="1" t="s">
        <v>3524</v>
      </c>
      <c r="B1809" s="1" t="n">
        <v>1942</v>
      </c>
      <c r="C1809" s="1" t="n">
        <v>8</v>
      </c>
      <c r="D1809" s="1" t="s">
        <v>21</v>
      </c>
      <c r="E1809" s="1" t="s">
        <v>2039</v>
      </c>
      <c r="F1809" s="1" t="n">
        <v>63</v>
      </c>
      <c r="G1809" s="1" t="n">
        <v>55</v>
      </c>
      <c r="H1809" s="2" t="n">
        <v>580000</v>
      </c>
      <c r="I1809" s="2" t="n">
        <f aca="false">(((H1809 / 800) / IF(ISBLANK(R1809), 1000000, IF(ISNA(VLOOKUP(R1809, Mileages!$A$2:$C$34, 2, 0)), R1809, VLOOKUP(R1809, Mileages!$A$2:$C$34, 2, 0)))) + (F1809 * IF(ISBLANK(P1809), 1, P1809) * IF(ISBLANK(T1809), 0, IF(ISNA(VLOOKUP(T1809, 'Fuel Costs'!$A$2:$C$42, 2, 0)), T1809, VLOOKUP(T1809, 'Fuel Costs'!$A$2:$C$42, 2, 0))) / IF(ISBLANK(O1809), 1, O1809))) * 100</f>
        <v>63.0725</v>
      </c>
      <c r="J1809" s="2" t="n">
        <f aca="false">((H1809 / 800) / (IF(ISBLANK(S1809), 100, IF(ISNA(VLOOKUP(S1809, Lives!$A$2:$C$35, 2, 0)), S1809, VLOOKUP(S1809, Lives!$A$2:$C$35, 2, 0))) * 12) + (IF(ISBLANK(Q1809), 0, IF(ISNA(VLOOKUP(Q1809, Wages!$A$2:$C$17, 2, 0)), Q1809, VLOOKUP(Q1809, Wages!$A$2:$C$17, 2, 0))) * IF(ISBLANK(N1809), 0, IF(ISNA(VLOOKUP(N1809, Crews!$A$2:$C$28, 2, 0)), N1809, VLOOKUP(N1809, Crews!$A$2:$C$28, 2, 0))))) * 400</f>
        <v>8302.083333</v>
      </c>
      <c r="K1809" s="3" t="s">
        <v>3525</v>
      </c>
      <c r="L1809" s="1" t="s">
        <v>3526</v>
      </c>
      <c r="M1809" s="1" t="n">
        <v>0</v>
      </c>
      <c r="N1809" s="1" t="s">
        <v>1815</v>
      </c>
      <c r="O1809" s="1" t="n">
        <v>0.5</v>
      </c>
      <c r="P1809" s="1"/>
      <c r="Q1809" s="1" t="s">
        <v>1815</v>
      </c>
      <c r="R1809" s="1" t="s">
        <v>1843</v>
      </c>
      <c r="S1809" s="1" t="s">
        <v>1843</v>
      </c>
      <c r="T1809" s="1" t="s">
        <v>2041</v>
      </c>
    </row>
    <row r="1810" customFormat="false" ht="15" hidden="false" customHeight="true" outlineLevel="0" collapsed="false">
      <c r="A1810" s="1" t="s">
        <v>3527</v>
      </c>
      <c r="B1810" s="1" t="n">
        <v>1943</v>
      </c>
      <c r="C1810" s="1" t="n">
        <v>1</v>
      </c>
      <c r="D1810" s="1" t="s">
        <v>2225</v>
      </c>
      <c r="E1810" s="1" t="s">
        <v>1839</v>
      </c>
      <c r="F1810" s="1" t="n">
        <v>6560</v>
      </c>
      <c r="G1810" s="1" t="n">
        <v>503</v>
      </c>
      <c r="H1810" s="2" t="n">
        <v>10900000</v>
      </c>
      <c r="I1810" s="2" t="n">
        <f aca="false">(((H1810 / 800) / IF(ISBLANK(R1810), 1000000, IF(ISNA(VLOOKUP(R1810, Mileages!$A$2:$C$34, 2, 0)), R1810, VLOOKUP(R1810, Mileages!$A$2:$C$34, 2, 0)))) + (F1810 * IF(ISBLANK(P1810), 1, P1810) * IF(ISBLANK(T1810), 0, IF(ISNA(VLOOKUP(T1810, 'Fuel Costs'!$A$2:$C$42, 2, 0)), T1810, VLOOKUP(T1810, 'Fuel Costs'!$A$2:$C$42, 2, 0))) / IF(ISBLANK(O1810), 1, O1810))) * 100</f>
        <v>262.6725</v>
      </c>
      <c r="J1810" s="2" t="n">
        <f aca="false">((H1810 / 800) / (IF(ISBLANK(S1810), 100, IF(ISNA(VLOOKUP(S1810, Lives!$A$2:$C$35, 2, 0)), S1810, VLOOKUP(S1810, Lives!$A$2:$C$35, 2, 0))) * 12) + (IF(ISBLANK(Q1810), 0, IF(ISNA(VLOOKUP(Q1810, Wages!$A$2:$C$17, 2, 0)), Q1810, VLOOKUP(Q1810, Wages!$A$2:$C$17, 2, 0))) * IF(ISBLANK(N1810), 0, IF(ISNA(VLOOKUP(N1810, Crews!$A$2:$C$28, 2, 0)), N1810, VLOOKUP(N1810, Crews!$A$2:$C$28, 2, 0))))) * 400</f>
        <v>57569.44444</v>
      </c>
      <c r="K1810" s="3" t="s">
        <v>3528</v>
      </c>
      <c r="L1810" s="1" t="s">
        <v>3529</v>
      </c>
      <c r="M1810" s="1" t="n">
        <v>0</v>
      </c>
      <c r="N1810" s="1" t="s">
        <v>2342</v>
      </c>
      <c r="O1810" s="1"/>
      <c r="P1810" s="1" t="n">
        <v>0.1</v>
      </c>
      <c r="Q1810" s="1" t="s">
        <v>2229</v>
      </c>
      <c r="R1810" s="1" t="s">
        <v>2229</v>
      </c>
      <c r="S1810" s="1" t="s">
        <v>2229</v>
      </c>
      <c r="T1810" s="1" t="s">
        <v>3481</v>
      </c>
    </row>
    <row r="1811" customFormat="false" ht="15" hidden="false" customHeight="true" outlineLevel="0" collapsed="false">
      <c r="A1811" s="1" t="s">
        <v>3530</v>
      </c>
      <c r="B1811" s="1" t="n">
        <v>1943</v>
      </c>
      <c r="C1811" s="1" t="n">
        <v>1</v>
      </c>
      <c r="D1811" s="1" t="s">
        <v>2225</v>
      </c>
      <c r="E1811" s="1" t="s">
        <v>1839</v>
      </c>
      <c r="F1811" s="1" t="n">
        <v>6560</v>
      </c>
      <c r="G1811" s="1" t="n">
        <v>503</v>
      </c>
      <c r="H1811" s="2" t="n">
        <v>10900000</v>
      </c>
      <c r="I1811" s="2" t="n">
        <f aca="false">(((H1811 / 800) / IF(ISBLANK(R1811), 1000000, IF(ISNA(VLOOKUP(R1811, Mileages!$A$2:$C$34, 2, 0)), R1811, VLOOKUP(R1811, Mileages!$A$2:$C$34, 2, 0)))) + (F1811 * IF(ISBLANK(P1811), 1, P1811) * IF(ISBLANK(T1811), 0, IF(ISNA(VLOOKUP(T1811, 'Fuel Costs'!$A$2:$C$42, 2, 0)), T1811, VLOOKUP(T1811, 'Fuel Costs'!$A$2:$C$42, 2, 0))) / IF(ISBLANK(O1811), 1, O1811))) * 100</f>
        <v>262.6725</v>
      </c>
      <c r="J1811" s="2" t="n">
        <f aca="false">((H1811 / 800) / (IF(ISBLANK(S1811), 100, IF(ISNA(VLOOKUP(S1811, Lives!$A$2:$C$35, 2, 0)), S1811, VLOOKUP(S1811, Lives!$A$2:$C$35, 2, 0))) * 12) + (IF(ISBLANK(Q1811), 0, IF(ISNA(VLOOKUP(Q1811, Wages!$A$2:$C$17, 2, 0)), Q1811, VLOOKUP(Q1811, Wages!$A$2:$C$17, 2, 0))) * IF(ISBLANK(N1811), 0, IF(ISNA(VLOOKUP(N1811, Crews!$A$2:$C$28, 2, 0)), N1811, VLOOKUP(N1811, Crews!$A$2:$C$28, 2, 0))))) * 400</f>
        <v>57569.44444</v>
      </c>
      <c r="K1811" s="3" t="s">
        <v>3531</v>
      </c>
      <c r="L1811" s="1" t="s">
        <v>3529</v>
      </c>
      <c r="M1811" s="1" t="n">
        <v>1</v>
      </c>
      <c r="N1811" s="1" t="s">
        <v>2342</v>
      </c>
      <c r="O1811" s="1"/>
      <c r="P1811" s="1" t="n">
        <v>0.1</v>
      </c>
      <c r="Q1811" s="1" t="s">
        <v>2229</v>
      </c>
      <c r="R1811" s="1" t="s">
        <v>2229</v>
      </c>
      <c r="S1811" s="1" t="s">
        <v>2229</v>
      </c>
      <c r="T1811" s="1" t="s">
        <v>3481</v>
      </c>
    </row>
    <row r="1812" customFormat="false" ht="15" hidden="false" customHeight="true" outlineLevel="0" collapsed="false">
      <c r="A1812" s="1" t="s">
        <v>3532</v>
      </c>
      <c r="B1812" s="1" t="n">
        <v>1943</v>
      </c>
      <c r="C1812" s="1" t="n">
        <v>2</v>
      </c>
      <c r="D1812" s="1" t="s">
        <v>38</v>
      </c>
      <c r="E1812" s="1" t="s">
        <v>274</v>
      </c>
      <c r="F1812" s="1" t="n">
        <v>421</v>
      </c>
      <c r="G1812" s="1" t="n">
        <v>155</v>
      </c>
      <c r="H1812" s="2" t="n">
        <v>7000000</v>
      </c>
      <c r="I1812" s="2" t="n">
        <f aca="false">(((H1812 / 800) / IF(ISBLANK(R1812), 1000000, IF(ISNA(VLOOKUP(R1812, Mileages!$A$2:$C$34, 2, 0)), R1812, VLOOKUP(R1812, Mileages!$A$2:$C$34, 2, 0)))) + (F1812 * IF(ISBLANK(P1812), 1, P1812) * IF(ISBLANK(T1812), 0, IF(ISNA(VLOOKUP(T1812, 'Fuel Costs'!$A$2:$C$42, 2, 0)), T1812, VLOOKUP(T1812, 'Fuel Costs'!$A$2:$C$42, 2, 0))) / IF(ISBLANK(O1812), 1, O1812))) * 100</f>
        <v>301.5892857</v>
      </c>
      <c r="J1812" s="2" t="n">
        <f aca="false">((H1812 / 800) / (IF(ISBLANK(S1812), 100, IF(ISNA(VLOOKUP(S1812, Lives!$A$2:$C$35, 2, 0)), S1812, VLOOKUP(S1812, Lives!$A$2:$C$35, 2, 0))) * 12) + (IF(ISBLANK(Q1812), 0, IF(ISNA(VLOOKUP(Q1812, Wages!$A$2:$C$17, 2, 0)), Q1812, VLOOKUP(Q1812, Wages!$A$2:$C$17, 2, 0))) * IF(ISBLANK(N1812), 0, IF(ISNA(VLOOKUP(N1812, Crews!$A$2:$C$28, 2, 0)), N1812, VLOOKUP(N1812, Crews!$A$2:$C$28, 2, 0))))) * 400</f>
        <v>29833.33333</v>
      </c>
      <c r="K1812" s="3" t="s">
        <v>3533</v>
      </c>
      <c r="L1812" s="1" t="s">
        <v>3534</v>
      </c>
      <c r="M1812" s="1" t="n">
        <v>0</v>
      </c>
      <c r="N1812" s="1" t="s">
        <v>590</v>
      </c>
      <c r="O1812" s="1" t="n">
        <v>0.7</v>
      </c>
      <c r="P1812" s="1"/>
      <c r="Q1812" s="5" t="s">
        <v>284</v>
      </c>
      <c r="R1812" s="1" t="s">
        <v>677</v>
      </c>
      <c r="S1812" s="1" t="s">
        <v>677</v>
      </c>
      <c r="T1812" s="1" t="s">
        <v>3477</v>
      </c>
    </row>
    <row r="1813" customFormat="false" ht="15" hidden="false" customHeight="true" outlineLevel="0" collapsed="false">
      <c r="A1813" s="1" t="s">
        <v>3535</v>
      </c>
      <c r="B1813" s="1" t="n">
        <v>1943</v>
      </c>
      <c r="C1813" s="1" t="n">
        <v>2</v>
      </c>
      <c r="D1813" s="1" t="s">
        <v>38</v>
      </c>
      <c r="E1813" s="1"/>
      <c r="F1813" s="1" t="n">
        <v>0</v>
      </c>
      <c r="G1813" s="1" t="n">
        <v>155</v>
      </c>
      <c r="H1813" s="2" t="n">
        <v>0</v>
      </c>
      <c r="I1813" s="2" t="n">
        <f aca="false">(((H1813 / 800) / IF(ISBLANK(R1813), 1000000, IF(ISNA(VLOOKUP(R1813, Mileages!$A$2:$C$34, 2, 0)), R1813, VLOOKUP(R1813, Mileages!$A$2:$C$34, 2, 0)))) + (F1813 * IF(ISBLANK(P1813), 1, P1813) * IF(ISBLANK(T1813), 0, IF(ISNA(VLOOKUP(T1813, 'Fuel Costs'!$A$2:$C$42, 2, 0)), T1813, VLOOKUP(T1813, 'Fuel Costs'!$A$2:$C$42, 2, 0))) / IF(ISBLANK(O1813), 1, O1813))) * 100</f>
        <v>0</v>
      </c>
      <c r="J1813" s="2" t="n">
        <f aca="false">((H1813 / 800) / (IF(ISBLANK(S1813), 100, IF(ISNA(VLOOKUP(S1813, Lives!$A$2:$C$35, 2, 0)), S1813, VLOOKUP(S1813, Lives!$A$2:$C$35, 2, 0))) * 12) + (IF(ISBLANK(Q1813), 0, IF(ISNA(VLOOKUP(Q1813, Wages!$A$2:$C$17, 2, 0)), Q1813, VLOOKUP(Q1813, Wages!$A$2:$C$17, 2, 0))) * IF(ISBLANK(N1813), 0, IF(ISNA(VLOOKUP(N1813, Crews!$A$2:$C$28, 2, 0)), N1813, VLOOKUP(N1813, Crews!$A$2:$C$28, 2, 0))))) * 400</f>
        <v>0</v>
      </c>
      <c r="K1813" s="1"/>
      <c r="L1813" s="1" t="s">
        <v>3534</v>
      </c>
      <c r="M1813" s="1" t="n">
        <v>1</v>
      </c>
      <c r="N1813" s="1"/>
      <c r="O1813" s="1"/>
      <c r="P1813" s="1"/>
      <c r="Q1813" s="1"/>
      <c r="R1813" s="1"/>
      <c r="S1813" s="1"/>
      <c r="T1813" s="1"/>
    </row>
    <row r="1814" customFormat="false" ht="15" hidden="false" customHeight="true" outlineLevel="0" collapsed="false">
      <c r="A1814" s="1" t="s">
        <v>3536</v>
      </c>
      <c r="B1814" s="1" t="n">
        <v>1943</v>
      </c>
      <c r="C1814" s="1" t="n">
        <v>3</v>
      </c>
      <c r="D1814" s="1" t="s">
        <v>38</v>
      </c>
      <c r="E1814" s="1" t="s">
        <v>274</v>
      </c>
      <c r="F1814" s="1" t="n">
        <v>272</v>
      </c>
      <c r="G1814" s="1" t="n">
        <v>80</v>
      </c>
      <c r="H1814" s="2" t="n">
        <v>3168000</v>
      </c>
      <c r="I1814" s="2" t="n">
        <f aca="false">(((H1814 / 800) / IF(ISBLANK(R1814), 1000000, IF(ISNA(VLOOKUP(R1814, Mileages!$A$2:$C$34, 2, 0)), R1814, VLOOKUP(R1814, Mileages!$A$2:$C$34, 2, 0)))) + (F1814 * IF(ISBLANK(P1814), 1, P1814) * IF(ISBLANK(T1814), 0, IF(ISNA(VLOOKUP(T1814, 'Fuel Costs'!$A$2:$C$42, 2, 0)), T1814, VLOOKUP(T1814, 'Fuel Costs'!$A$2:$C$42, 2, 0))) / IF(ISBLANK(O1814), 1, O1814))) * 100</f>
        <v>194.6817143</v>
      </c>
      <c r="J1814" s="2" t="n">
        <f aca="false">((H1814 / 800) / (IF(ISBLANK(S1814), 100, IF(ISNA(VLOOKUP(S1814, Lives!$A$2:$C$35, 2, 0)), S1814, VLOOKUP(S1814, Lives!$A$2:$C$35, 2, 0))) * 12) + (IF(ISBLANK(Q1814), 0, IF(ISNA(VLOOKUP(Q1814, Wages!$A$2:$C$17, 2, 0)), Q1814, VLOOKUP(Q1814, Wages!$A$2:$C$17, 2, 0))) * IF(ISBLANK(N1814), 0, IF(ISNA(VLOOKUP(N1814, Crews!$A$2:$C$28, 2, 0)), N1814, VLOOKUP(N1814, Crews!$A$2:$C$28, 2, 0))))) * 400</f>
        <v>26640</v>
      </c>
      <c r="K1814" s="1" t="s">
        <v>1692</v>
      </c>
      <c r="L1814" s="1" t="s">
        <v>3537</v>
      </c>
      <c r="M1814" s="1" t="n">
        <v>0</v>
      </c>
      <c r="N1814" s="1" t="s">
        <v>590</v>
      </c>
      <c r="O1814" s="1" t="n">
        <v>0.7</v>
      </c>
      <c r="P1814" s="1"/>
      <c r="Q1814" s="5" t="s">
        <v>284</v>
      </c>
      <c r="R1814" s="1" t="s">
        <v>677</v>
      </c>
      <c r="S1814" s="1" t="s">
        <v>677</v>
      </c>
      <c r="T1814" s="1" t="s">
        <v>3477</v>
      </c>
    </row>
    <row r="1815" customFormat="false" ht="15" hidden="false" customHeight="true" outlineLevel="0" collapsed="false">
      <c r="A1815" s="1" t="s">
        <v>3538</v>
      </c>
      <c r="B1815" s="1" t="n">
        <v>1943</v>
      </c>
      <c r="C1815" s="1" t="n">
        <v>5</v>
      </c>
      <c r="D1815" s="1" t="s">
        <v>38</v>
      </c>
      <c r="E1815" s="1"/>
      <c r="F1815" s="1"/>
      <c r="G1815" s="1" t="n">
        <v>56</v>
      </c>
      <c r="H1815" s="2" t="n">
        <v>160000</v>
      </c>
      <c r="I1815" s="2" t="n">
        <f aca="false">(((H1815 / 800) / IF(ISBLANK(R1815), 1000000, IF(ISNA(VLOOKUP(R1815, Mileages!$A$2:$C$34, 2, 0)), R1815, VLOOKUP(R1815, Mileages!$A$2:$C$34, 2, 0)))) + (F1815 * IF(ISBLANK(P1815), 1, P1815) * IF(ISBLANK(T1815), 0, IF(ISNA(VLOOKUP(T1815, 'Fuel Costs'!$A$2:$C$42, 2, 0)), T1815, VLOOKUP(T1815, 'Fuel Costs'!$A$2:$C$42, 2, 0))) / IF(ISBLANK(O1815), 1, O1815))) * 100</f>
        <v>0.01666666667</v>
      </c>
      <c r="J1815" s="2" t="n">
        <f aca="false">((H1815 / 800) / (IF(ISBLANK(S1815), 100, IF(ISNA(VLOOKUP(S1815, Lives!$A$2:$C$35, 2, 0)), S1815, VLOOKUP(S1815, Lives!$A$2:$C$35, 2, 0))) * 12) + (IF(ISBLANK(Q1815), 0, IF(ISNA(VLOOKUP(Q1815, Wages!$A$2:$C$17, 2, 0)), Q1815, VLOOKUP(Q1815, Wages!$A$2:$C$17, 2, 0))) * IF(ISBLANK(N1815), 0, IF(ISNA(VLOOKUP(N1815, Crews!$A$2:$C$28, 2, 0)), N1815, VLOOKUP(N1815, Crews!$A$2:$C$28, 2, 0))))) * 400</f>
        <v>133.3333333</v>
      </c>
      <c r="K1815" s="1"/>
      <c r="L1815" s="1" t="s">
        <v>3539</v>
      </c>
      <c r="M1815" s="1" t="n">
        <v>0</v>
      </c>
      <c r="N1815" s="1"/>
      <c r="O1815" s="1"/>
      <c r="P1815" s="1"/>
      <c r="Q1815" s="1"/>
      <c r="R1815" s="1" t="s">
        <v>689</v>
      </c>
      <c r="S1815" s="1" t="s">
        <v>785</v>
      </c>
      <c r="T1815" s="1"/>
    </row>
    <row r="1816" customFormat="false" ht="15" hidden="false" customHeight="true" outlineLevel="0" collapsed="false">
      <c r="A1816" s="1" t="s">
        <v>3540</v>
      </c>
      <c r="B1816" s="1" t="n">
        <v>1943</v>
      </c>
      <c r="C1816" s="1" t="n">
        <v>10</v>
      </c>
      <c r="D1816" s="1" t="s">
        <v>38</v>
      </c>
      <c r="E1816" s="1" t="s">
        <v>274</v>
      </c>
      <c r="F1816" s="1" t="n">
        <v>366</v>
      </c>
      <c r="G1816" s="1" t="n">
        <v>90</v>
      </c>
      <c r="H1816" s="2" t="n">
        <v>5060000</v>
      </c>
      <c r="I1816" s="2" t="n">
        <f aca="false">(((H1816 / 800) / IF(ISBLANK(R1816), 1000000, IF(ISNA(VLOOKUP(R1816, Mileages!$A$2:$C$34, 2, 0)), R1816, VLOOKUP(R1816, Mileages!$A$2:$C$34, 2, 0)))) + (F1816 * IF(ISBLANK(P1816), 1, P1816) * IF(ISBLANK(T1816), 0, IF(ISNA(VLOOKUP(T1816, 'Fuel Costs'!$A$2:$C$42, 2, 0)), T1816, VLOOKUP(T1816, 'Fuel Costs'!$A$2:$C$42, 2, 0))) / IF(ISBLANK(O1816), 1, O1816))) * 100</f>
        <v>262.0610714</v>
      </c>
      <c r="J1816" s="2" t="n">
        <f aca="false">((H1816 / 800) / (IF(ISBLANK(S1816), 100, IF(ISNA(VLOOKUP(S1816, Lives!$A$2:$C$35, 2, 0)), S1816, VLOOKUP(S1816, Lives!$A$2:$C$35, 2, 0))) * 12) + (IF(ISBLANK(Q1816), 0, IF(ISNA(VLOOKUP(Q1816, Wages!$A$2:$C$17, 2, 0)), Q1816, VLOOKUP(Q1816, Wages!$A$2:$C$17, 2, 0))) * IF(ISBLANK(N1816), 0, IF(ISNA(VLOOKUP(N1816, Crews!$A$2:$C$28, 2, 0)), N1816, VLOOKUP(N1816, Crews!$A$2:$C$28, 2, 0))))) * 400</f>
        <v>28216.66667</v>
      </c>
      <c r="K1816" s="3" t="s">
        <v>3541</v>
      </c>
      <c r="L1816" s="1" t="s">
        <v>3542</v>
      </c>
      <c r="M1816" s="1" t="n">
        <v>0</v>
      </c>
      <c r="N1816" s="1" t="s">
        <v>590</v>
      </c>
      <c r="O1816" s="1" t="n">
        <v>0.7</v>
      </c>
      <c r="P1816" s="1"/>
      <c r="Q1816" s="5" t="s">
        <v>284</v>
      </c>
      <c r="R1816" s="1" t="s">
        <v>677</v>
      </c>
      <c r="S1816" s="1" t="s">
        <v>677</v>
      </c>
      <c r="T1816" s="1" t="s">
        <v>3477</v>
      </c>
    </row>
    <row r="1817" customFormat="false" ht="15" hidden="false" customHeight="true" outlineLevel="0" collapsed="false">
      <c r="A1817" s="1" t="s">
        <v>3543</v>
      </c>
      <c r="B1817" s="1" t="n">
        <v>1943</v>
      </c>
      <c r="C1817" s="1" t="n">
        <v>10</v>
      </c>
      <c r="D1817" s="1" t="s">
        <v>38</v>
      </c>
      <c r="E1817" s="1"/>
      <c r="F1817" s="1" t="n">
        <v>0</v>
      </c>
      <c r="G1817" s="1" t="n">
        <v>90</v>
      </c>
      <c r="H1817" s="2" t="n">
        <v>0</v>
      </c>
      <c r="I1817" s="2" t="n">
        <f aca="false">(((H1817 / 800) / IF(ISBLANK(R1817), 1000000, IF(ISNA(VLOOKUP(R1817, Mileages!$A$2:$C$34, 2, 0)), R1817, VLOOKUP(R1817, Mileages!$A$2:$C$34, 2, 0)))) + (F1817 * IF(ISBLANK(P1817), 1, P1817) * IF(ISBLANK(T1817), 0, IF(ISNA(VLOOKUP(T1817, 'Fuel Costs'!$A$2:$C$42, 2, 0)), T1817, VLOOKUP(T1817, 'Fuel Costs'!$A$2:$C$42, 2, 0))) / IF(ISBLANK(O1817), 1, O1817))) * 100</f>
        <v>0</v>
      </c>
      <c r="J1817" s="2" t="n">
        <f aca="false">((H1817 / 800) / (IF(ISBLANK(S1817), 100, IF(ISNA(VLOOKUP(S1817, Lives!$A$2:$C$35, 2, 0)), S1817, VLOOKUP(S1817, Lives!$A$2:$C$35, 2, 0))) * 12) + (IF(ISBLANK(Q1817), 0, IF(ISNA(VLOOKUP(Q1817, Wages!$A$2:$C$17, 2, 0)), Q1817, VLOOKUP(Q1817, Wages!$A$2:$C$17, 2, 0))) * IF(ISBLANK(N1817), 0, IF(ISNA(VLOOKUP(N1817, Crews!$A$2:$C$28, 2, 0)), N1817, VLOOKUP(N1817, Crews!$A$2:$C$28, 2, 0))))) * 400</f>
        <v>0</v>
      </c>
      <c r="K1817" s="1"/>
      <c r="L1817" s="1" t="s">
        <v>3542</v>
      </c>
      <c r="M1817" s="1" t="n">
        <v>1</v>
      </c>
      <c r="N1817" s="1"/>
      <c r="O1817" s="1"/>
      <c r="P1817" s="1"/>
      <c r="Q1817" s="1"/>
      <c r="R1817" s="1"/>
      <c r="S1817" s="1"/>
      <c r="T1817" s="1"/>
    </row>
    <row r="1818" customFormat="false" ht="15" hidden="false" customHeight="true" outlineLevel="0" collapsed="false">
      <c r="A1818" s="1" t="s">
        <v>3544</v>
      </c>
      <c r="B1818" s="1" t="n">
        <v>1944</v>
      </c>
      <c r="C1818" s="1" t="n">
        <v>1</v>
      </c>
      <c r="D1818" s="1" t="s">
        <v>38</v>
      </c>
      <c r="E1818" s="1" t="s">
        <v>274</v>
      </c>
      <c r="F1818" s="1" t="n">
        <v>375</v>
      </c>
      <c r="G1818" s="1" t="n">
        <v>137</v>
      </c>
      <c r="H1818" s="2" t="n">
        <v>9895000</v>
      </c>
      <c r="I1818" s="2" t="n">
        <f aca="false">(((H1818 / 800) / IF(ISBLANK(R1818), 1000000, IF(ISNA(VLOOKUP(R1818, Mileages!$A$2:$C$34, 2, 0)), R1818, VLOOKUP(R1818, Mileages!$A$2:$C$34, 2, 0)))) + (F1818 * IF(ISBLANK(P1818), 1, P1818) * IF(ISBLANK(T1818), 0, IF(ISNA(VLOOKUP(T1818, 'Fuel Costs'!$A$2:$C$42, 2, 0)), T1818, VLOOKUP(T1818, 'Fuel Costs'!$A$2:$C$42, 2, 0))) / IF(ISBLANK(O1818), 1, O1818))) * 100</f>
        <v>269.0940179</v>
      </c>
      <c r="J1818" s="2" t="n">
        <f aca="false">((H1818 / 800) / (IF(ISBLANK(S1818), 100, IF(ISNA(VLOOKUP(S1818, Lives!$A$2:$C$35, 2, 0)), S1818, VLOOKUP(S1818, Lives!$A$2:$C$35, 2, 0))) * 12) + (IF(ISBLANK(Q1818), 0, IF(ISNA(VLOOKUP(Q1818, Wages!$A$2:$C$17, 2, 0)), Q1818, VLOOKUP(Q1818, Wages!$A$2:$C$17, 2, 0))) * IF(ISBLANK(N1818), 0, IF(ISNA(VLOOKUP(N1818, Crews!$A$2:$C$28, 2, 0)), N1818, VLOOKUP(N1818, Crews!$A$2:$C$28, 2, 0))))) * 400</f>
        <v>32245.83333</v>
      </c>
      <c r="K1818" s="1" t="s">
        <v>1692</v>
      </c>
      <c r="L1818" s="1" t="s">
        <v>3545</v>
      </c>
      <c r="M1818" s="1" t="n">
        <v>0</v>
      </c>
      <c r="N1818" s="1" t="s">
        <v>590</v>
      </c>
      <c r="O1818" s="1" t="n">
        <v>0.7</v>
      </c>
      <c r="P1818" s="1"/>
      <c r="Q1818" s="5" t="s">
        <v>284</v>
      </c>
      <c r="R1818" s="1" t="s">
        <v>677</v>
      </c>
      <c r="S1818" s="1" t="s">
        <v>677</v>
      </c>
      <c r="T1818" s="1" t="s">
        <v>3477</v>
      </c>
    </row>
    <row r="1819" customFormat="false" ht="15" hidden="false" customHeight="true" outlineLevel="0" collapsed="false">
      <c r="A1819" s="1" t="s">
        <v>3546</v>
      </c>
      <c r="B1819" s="1" t="n">
        <v>1944</v>
      </c>
      <c r="C1819" s="1" t="n">
        <v>1</v>
      </c>
      <c r="D1819" s="1" t="s">
        <v>38</v>
      </c>
      <c r="E1819" s="1"/>
      <c r="F1819" s="1" t="n">
        <v>0</v>
      </c>
      <c r="G1819" s="1" t="n">
        <v>137</v>
      </c>
      <c r="H1819" s="2" t="n">
        <v>0</v>
      </c>
      <c r="I1819" s="2" t="n">
        <f aca="false">(((H1819 / 800) / IF(ISBLANK(R1819), 1000000, IF(ISNA(VLOOKUP(R1819, Mileages!$A$2:$C$34, 2, 0)), R1819, VLOOKUP(R1819, Mileages!$A$2:$C$34, 2, 0)))) + (F1819 * IF(ISBLANK(P1819), 1, P1819) * IF(ISBLANK(T1819), 0, IF(ISNA(VLOOKUP(T1819, 'Fuel Costs'!$A$2:$C$42, 2, 0)), T1819, VLOOKUP(T1819, 'Fuel Costs'!$A$2:$C$42, 2, 0))) / IF(ISBLANK(O1819), 1, O1819))) * 100</f>
        <v>0</v>
      </c>
      <c r="J1819" s="2" t="n">
        <f aca="false">((H1819 / 800) / (IF(ISBLANK(S1819), 100, IF(ISNA(VLOOKUP(S1819, Lives!$A$2:$C$35, 2, 0)), S1819, VLOOKUP(S1819, Lives!$A$2:$C$35, 2, 0))) * 12) + (IF(ISBLANK(Q1819), 0, IF(ISNA(VLOOKUP(Q1819, Wages!$A$2:$C$17, 2, 0)), Q1819, VLOOKUP(Q1819, Wages!$A$2:$C$17, 2, 0))) * IF(ISBLANK(N1819), 0, IF(ISNA(VLOOKUP(N1819, Crews!$A$2:$C$28, 2, 0)), N1819, VLOOKUP(N1819, Crews!$A$2:$C$28, 2, 0))))) * 400</f>
        <v>0</v>
      </c>
      <c r="K1819" s="1"/>
      <c r="L1819" s="1" t="s">
        <v>3545</v>
      </c>
      <c r="M1819" s="1" t="n">
        <v>1</v>
      </c>
      <c r="N1819" s="1"/>
      <c r="O1819" s="1"/>
      <c r="P1819" s="1"/>
      <c r="Q1819" s="1"/>
      <c r="R1819" s="1"/>
      <c r="S1819" s="1"/>
      <c r="T1819" s="1"/>
    </row>
    <row r="1820" customFormat="false" ht="15" hidden="false" customHeight="true" outlineLevel="0" collapsed="false">
      <c r="A1820" s="1" t="s">
        <v>3547</v>
      </c>
      <c r="B1820" s="1" t="n">
        <v>1945</v>
      </c>
      <c r="C1820" s="1" t="n">
        <v>5</v>
      </c>
      <c r="D1820" s="1" t="s">
        <v>38</v>
      </c>
      <c r="E1820" s="1" t="s">
        <v>274</v>
      </c>
      <c r="F1820" s="1" t="n">
        <v>471</v>
      </c>
      <c r="G1820" s="1" t="n">
        <v>155</v>
      </c>
      <c r="H1820" s="2" t="n">
        <v>9216500</v>
      </c>
      <c r="I1820" s="2" t="n">
        <f aca="false">(((H1820 / 800) / IF(ISBLANK(R1820), 1000000, IF(ISNA(VLOOKUP(R1820, Mileages!$A$2:$C$34, 2, 0)), R1820, VLOOKUP(R1820, Mileages!$A$2:$C$34, 2, 0)))) + (F1820 * IF(ISBLANK(P1820), 1, P1820) * IF(ISBLANK(T1820), 0, IF(ISNA(VLOOKUP(T1820, 'Fuel Costs'!$A$2:$C$42, 2, 0)), T1820, VLOOKUP(T1820, 'Fuel Costs'!$A$2:$C$42, 2, 0))) / IF(ISBLANK(O1820), 1, O1820))) * 100</f>
        <v>337.5806339</v>
      </c>
      <c r="J1820" s="2" t="n">
        <f aca="false">((H1820 / 800) / (IF(ISBLANK(S1820), 100, IF(ISNA(VLOOKUP(S1820, Lives!$A$2:$C$35, 2, 0)), S1820, VLOOKUP(S1820, Lives!$A$2:$C$35, 2, 0))) * 12) + (IF(ISBLANK(Q1820), 0, IF(ISNA(VLOOKUP(Q1820, Wages!$A$2:$C$17, 2, 0)), Q1820, VLOOKUP(Q1820, Wages!$A$2:$C$17, 2, 0))) * IF(ISBLANK(N1820), 0, IF(ISNA(VLOOKUP(N1820, Crews!$A$2:$C$28, 2, 0)), N1820, VLOOKUP(N1820, Crews!$A$2:$C$28, 2, 0))))) * 400</f>
        <v>31680.41667</v>
      </c>
      <c r="K1820" s="3" t="s">
        <v>3548</v>
      </c>
      <c r="L1820" s="1" t="s">
        <v>3549</v>
      </c>
      <c r="M1820" s="1" t="n">
        <v>0</v>
      </c>
      <c r="N1820" s="1" t="s">
        <v>590</v>
      </c>
      <c r="O1820" s="1" t="n">
        <v>0.7</v>
      </c>
      <c r="P1820" s="1"/>
      <c r="Q1820" s="5" t="s">
        <v>284</v>
      </c>
      <c r="R1820" s="1" t="s">
        <v>677</v>
      </c>
      <c r="S1820" s="1" t="s">
        <v>677</v>
      </c>
      <c r="T1820" s="1" t="s">
        <v>3477</v>
      </c>
    </row>
    <row r="1821" customFormat="false" ht="15" hidden="false" customHeight="true" outlineLevel="0" collapsed="false">
      <c r="A1821" s="1" t="s">
        <v>3550</v>
      </c>
      <c r="B1821" s="1" t="n">
        <v>1945</v>
      </c>
      <c r="C1821" s="1" t="n">
        <v>8</v>
      </c>
      <c r="D1821" s="1" t="s">
        <v>38</v>
      </c>
      <c r="E1821" s="1" t="s">
        <v>274</v>
      </c>
      <c r="F1821" s="1" t="n">
        <v>402</v>
      </c>
      <c r="G1821" s="1" t="n">
        <v>148</v>
      </c>
      <c r="H1821" s="2" t="n">
        <v>9994500</v>
      </c>
      <c r="I1821" s="2" t="n">
        <f aca="false">(((H1821 / 800) / IF(ISBLANK(R1821), 1000000, IF(ISNA(VLOOKUP(R1821, Mileages!$A$2:$C$34, 2, 0)), R1821, VLOOKUP(R1821, Mileages!$A$2:$C$34, 2, 0)))) + (F1821 * IF(ISBLANK(P1821), 1, P1821) * IF(ISBLANK(T1821), 0, IF(ISNA(VLOOKUP(T1821, 'Fuel Costs'!$A$2:$C$42, 2, 0)), T1821, VLOOKUP(T1821, 'Fuel Costs'!$A$2:$C$42, 2, 0))) / IF(ISBLANK(O1821), 1, O1821))) * 100</f>
        <v>345.8207411</v>
      </c>
      <c r="J1821" s="2" t="n">
        <f aca="false">((H1821 / 800) / (IF(ISBLANK(S1821), 100, IF(ISNA(VLOOKUP(S1821, Lives!$A$2:$C$35, 2, 0)), S1821, VLOOKUP(S1821, Lives!$A$2:$C$35, 2, 0))) * 12) + (IF(ISBLANK(Q1821), 0, IF(ISNA(VLOOKUP(Q1821, Wages!$A$2:$C$17, 2, 0)), Q1821, VLOOKUP(Q1821, Wages!$A$2:$C$17, 2, 0))) * IF(ISBLANK(N1821), 0, IF(ISNA(VLOOKUP(N1821, Crews!$A$2:$C$28, 2, 0)), N1821, VLOOKUP(N1821, Crews!$A$2:$C$28, 2, 0))))) * 400</f>
        <v>32328.75</v>
      </c>
      <c r="K1821" s="3" t="s">
        <v>3551</v>
      </c>
      <c r="L1821" s="1" t="s">
        <v>3552</v>
      </c>
      <c r="M1821" s="1" t="n">
        <v>0</v>
      </c>
      <c r="N1821" s="1" t="s">
        <v>590</v>
      </c>
      <c r="O1821" s="1" t="n">
        <v>0.7</v>
      </c>
      <c r="P1821" s="1"/>
      <c r="Q1821" s="5" t="s">
        <v>284</v>
      </c>
      <c r="R1821" s="1" t="s">
        <v>677</v>
      </c>
      <c r="S1821" s="1" t="s">
        <v>677</v>
      </c>
      <c r="T1821" s="1" t="s">
        <v>3553</v>
      </c>
    </row>
    <row r="1822" customFormat="false" ht="15" hidden="false" customHeight="true" outlineLevel="0" collapsed="false">
      <c r="A1822" s="1" t="s">
        <v>3554</v>
      </c>
      <c r="B1822" s="1" t="n">
        <v>1945</v>
      </c>
      <c r="C1822" s="1" t="n">
        <v>8</v>
      </c>
      <c r="D1822" s="1" t="s">
        <v>38</v>
      </c>
      <c r="E1822" s="1"/>
      <c r="F1822" s="1" t="n">
        <v>0</v>
      </c>
      <c r="G1822" s="1" t="n">
        <v>148</v>
      </c>
      <c r="H1822" s="2" t="n">
        <v>0</v>
      </c>
      <c r="I1822" s="2" t="n">
        <f aca="false">(((H1822 / 800) / IF(ISBLANK(R1822), 1000000, IF(ISNA(VLOOKUP(R1822, Mileages!$A$2:$C$34, 2, 0)), R1822, VLOOKUP(R1822, Mileages!$A$2:$C$34, 2, 0)))) + (F1822 * IF(ISBLANK(P1822), 1, P1822) * IF(ISBLANK(T1822), 0, IF(ISNA(VLOOKUP(T1822, 'Fuel Costs'!$A$2:$C$42, 2, 0)), T1822, VLOOKUP(T1822, 'Fuel Costs'!$A$2:$C$42, 2, 0))) / IF(ISBLANK(O1822), 1, O1822))) * 100</f>
        <v>0</v>
      </c>
      <c r="J1822" s="2" t="n">
        <f aca="false">((H1822 / 800) / (IF(ISBLANK(S1822), 100, IF(ISNA(VLOOKUP(S1822, Lives!$A$2:$C$35, 2, 0)), S1822, VLOOKUP(S1822, Lives!$A$2:$C$35, 2, 0))) * 12) + (IF(ISBLANK(Q1822), 0, IF(ISNA(VLOOKUP(Q1822, Wages!$A$2:$C$17, 2, 0)), Q1822, VLOOKUP(Q1822, Wages!$A$2:$C$17, 2, 0))) * IF(ISBLANK(N1822), 0, IF(ISNA(VLOOKUP(N1822, Crews!$A$2:$C$28, 2, 0)), N1822, VLOOKUP(N1822, Crews!$A$2:$C$28, 2, 0))))) * 400</f>
        <v>0</v>
      </c>
      <c r="K1822" s="1"/>
      <c r="L1822" s="1" t="s">
        <v>3552</v>
      </c>
      <c r="M1822" s="1" t="n">
        <v>1</v>
      </c>
      <c r="N1822" s="1"/>
      <c r="O1822" s="1"/>
      <c r="P1822" s="1"/>
      <c r="Q1822" s="1"/>
      <c r="R1822" s="1"/>
      <c r="S1822" s="1"/>
      <c r="T1822" s="1"/>
    </row>
    <row r="1823" customFormat="false" ht="15" hidden="false" customHeight="true" outlineLevel="0" collapsed="false">
      <c r="A1823" s="1" t="s">
        <v>3555</v>
      </c>
      <c r="B1823" s="1" t="n">
        <v>1945</v>
      </c>
      <c r="C1823" s="1" t="n">
        <v>10</v>
      </c>
      <c r="D1823" s="1" t="s">
        <v>38</v>
      </c>
      <c r="E1823" s="1" t="s">
        <v>274</v>
      </c>
      <c r="F1823" s="1" t="n">
        <v>339</v>
      </c>
      <c r="G1823" s="1" t="n">
        <v>126</v>
      </c>
      <c r="H1823" s="2" t="n">
        <v>3925000</v>
      </c>
      <c r="I1823" s="2" t="n">
        <f aca="false">(((H1823 / 800) / IF(ISBLANK(R1823), 1000000, IF(ISNA(VLOOKUP(R1823, Mileages!$A$2:$C$34, 2, 0)), R1823, VLOOKUP(R1823, Mileages!$A$2:$C$34, 2, 0)))) + (F1823 * IF(ISBLANK(P1823), 1, P1823) * IF(ISBLANK(T1823), 0, IF(ISNA(VLOOKUP(T1823, 'Fuel Costs'!$A$2:$C$42, 2, 0)), T1823, VLOOKUP(T1823, 'Fuel Costs'!$A$2:$C$42, 2, 0))) / IF(ISBLANK(O1823), 1, O1823))) * 100</f>
        <v>254.740625</v>
      </c>
      <c r="J1823" s="2" t="n">
        <f aca="false">((H1823 / 800) / (IF(ISBLANK(S1823), 100, IF(ISNA(VLOOKUP(S1823, Lives!$A$2:$C$35, 2, 0)), S1823, VLOOKUP(S1823, Lives!$A$2:$C$35, 2, 0))) * 12) + (IF(ISBLANK(Q1823), 0, IF(ISNA(VLOOKUP(Q1823, Wages!$A$2:$C$17, 2, 0)), Q1823, VLOOKUP(Q1823, Wages!$A$2:$C$17, 2, 0))) * IF(ISBLANK(N1823), 0, IF(ISNA(VLOOKUP(N1823, Crews!$A$2:$C$28, 2, 0)), N1823, VLOOKUP(N1823, Crews!$A$2:$C$28, 2, 0))))) * 400</f>
        <v>27270.83333</v>
      </c>
      <c r="K1823" s="1" t="s">
        <v>1692</v>
      </c>
      <c r="L1823" s="1" t="s">
        <v>2856</v>
      </c>
      <c r="M1823" s="1" t="n">
        <v>3</v>
      </c>
      <c r="N1823" s="1" t="s">
        <v>590</v>
      </c>
      <c r="O1823" s="1" t="n">
        <v>0.8</v>
      </c>
      <c r="P1823" s="1"/>
      <c r="Q1823" s="5" t="s">
        <v>284</v>
      </c>
      <c r="R1823" s="1" t="s">
        <v>677</v>
      </c>
      <c r="S1823" s="1" t="s">
        <v>677</v>
      </c>
      <c r="T1823" s="1" t="s">
        <v>3553</v>
      </c>
    </row>
    <row r="1824" customFormat="false" ht="15" hidden="false" customHeight="true" outlineLevel="0" collapsed="false">
      <c r="A1824" s="1" t="s">
        <v>3556</v>
      </c>
      <c r="B1824" s="1" t="n">
        <v>1946</v>
      </c>
      <c r="C1824" s="1" t="n">
        <v>1</v>
      </c>
      <c r="D1824" s="1" t="s">
        <v>38</v>
      </c>
      <c r="E1824" s="1" t="s">
        <v>274</v>
      </c>
      <c r="F1824" s="1" t="n">
        <v>227</v>
      </c>
      <c r="G1824" s="1" t="n">
        <v>100</v>
      </c>
      <c r="H1824" s="2" t="n">
        <v>3201213</v>
      </c>
      <c r="I1824" s="2" t="n">
        <f aca="false">(((H1824 / 800) / IF(ISBLANK(R1824), 1000000, IF(ISNA(VLOOKUP(R1824, Mileages!$A$2:$C$34, 2, 0)), R1824, VLOOKUP(R1824, Mileages!$A$2:$C$34, 2, 0)))) + (F1824 * IF(ISBLANK(P1824), 1, P1824) * IF(ISBLANK(T1824), 0, IF(ISNA(VLOOKUP(T1824, 'Fuel Costs'!$A$2:$C$42, 2, 0)), T1824, VLOOKUP(T1824, 'Fuel Costs'!$A$2:$C$42, 2, 0))) / IF(ISBLANK(O1824), 1, O1824))) * 100</f>
        <v>194.9715802</v>
      </c>
      <c r="J1824" s="2" t="n">
        <f aca="false">((H1824 / 800) / (IF(ISBLANK(S1824), 100, IF(ISNA(VLOOKUP(S1824, Lives!$A$2:$C$35, 2, 0)), S1824, VLOOKUP(S1824, Lives!$A$2:$C$35, 2, 0))) * 12) + (IF(ISBLANK(Q1824), 0, IF(ISNA(VLOOKUP(Q1824, Wages!$A$2:$C$17, 2, 0)), Q1824, VLOOKUP(Q1824, Wages!$A$2:$C$17, 2, 0))) * IF(ISBLANK(N1824), 0, IF(ISNA(VLOOKUP(N1824, Crews!$A$2:$C$28, 2, 0)), N1824, VLOOKUP(N1824, Crews!$A$2:$C$28, 2, 0))))) * 400</f>
        <v>26667.6775</v>
      </c>
      <c r="K1824" s="1" t="s">
        <v>1692</v>
      </c>
      <c r="L1824" s="1" t="s">
        <v>3557</v>
      </c>
      <c r="M1824" s="1" t="n">
        <v>0</v>
      </c>
      <c r="N1824" s="1" t="s">
        <v>590</v>
      </c>
      <c r="O1824" s="1" t="n">
        <v>0.7</v>
      </c>
      <c r="P1824" s="1"/>
      <c r="Q1824" s="5" t="s">
        <v>284</v>
      </c>
      <c r="R1824" s="1" t="s">
        <v>677</v>
      </c>
      <c r="S1824" s="1" t="s">
        <v>677</v>
      </c>
      <c r="T1824" s="1" t="s">
        <v>3553</v>
      </c>
    </row>
    <row r="1825" customFormat="false" ht="15" hidden="false" customHeight="true" outlineLevel="0" collapsed="false">
      <c r="A1825" s="1" t="s">
        <v>3558</v>
      </c>
      <c r="B1825" s="1" t="n">
        <v>1946</v>
      </c>
      <c r="C1825" s="1" t="n">
        <v>1</v>
      </c>
      <c r="D1825" s="1" t="s">
        <v>38</v>
      </c>
      <c r="E1825" s="1" t="s">
        <v>274</v>
      </c>
      <c r="F1825" s="1" t="n">
        <v>229</v>
      </c>
      <c r="G1825" s="1" t="n">
        <v>110</v>
      </c>
      <c r="H1825" s="2" t="n">
        <v>3296213</v>
      </c>
      <c r="I1825" s="2" t="n">
        <f aca="false">(((H1825 / 800) / IF(ISBLANK(R1825), 1000000, IF(ISNA(VLOOKUP(R1825, Mileages!$A$2:$C$34, 2, 0)), R1825, VLOOKUP(R1825, Mileages!$A$2:$C$34, 2, 0)))) + (F1825 * IF(ISBLANK(P1825), 1, P1825) * IF(ISBLANK(T1825), 0, IF(ISNA(VLOOKUP(T1825, 'Fuel Costs'!$A$2:$C$42, 2, 0)), T1825, VLOOKUP(T1825, 'Fuel Costs'!$A$2:$C$42, 2, 0))) / IF(ISBLANK(O1825), 1, O1825))) * 100</f>
        <v>196.6977409</v>
      </c>
      <c r="J1825" s="2" t="n">
        <f aca="false">((H1825 / 800) / (IF(ISBLANK(S1825), 100, IF(ISNA(VLOOKUP(S1825, Lives!$A$2:$C$35, 2, 0)), S1825, VLOOKUP(S1825, Lives!$A$2:$C$35, 2, 0))) * 12) + (IF(ISBLANK(Q1825), 0, IF(ISNA(VLOOKUP(Q1825, Wages!$A$2:$C$17, 2, 0)), Q1825, VLOOKUP(Q1825, Wages!$A$2:$C$17, 2, 0))) * IF(ISBLANK(N1825), 0, IF(ISNA(VLOOKUP(N1825, Crews!$A$2:$C$28, 2, 0)), N1825, VLOOKUP(N1825, Crews!$A$2:$C$28, 2, 0))))) * 400</f>
        <v>26746.84417</v>
      </c>
      <c r="K1825" s="1" t="s">
        <v>1692</v>
      </c>
      <c r="L1825" s="1" t="s">
        <v>3557</v>
      </c>
      <c r="M1825" s="1" t="n">
        <v>1</v>
      </c>
      <c r="N1825" s="1" t="s">
        <v>590</v>
      </c>
      <c r="O1825" s="1" t="n">
        <v>0.7</v>
      </c>
      <c r="P1825" s="1"/>
      <c r="Q1825" s="5" t="s">
        <v>284</v>
      </c>
      <c r="R1825" s="1" t="s">
        <v>677</v>
      </c>
      <c r="S1825" s="1" t="s">
        <v>677</v>
      </c>
      <c r="T1825" s="1" t="s">
        <v>3553</v>
      </c>
    </row>
    <row r="1826" customFormat="false" ht="15" hidden="false" customHeight="true" outlineLevel="0" collapsed="false">
      <c r="A1826" s="1" t="s">
        <v>3559</v>
      </c>
      <c r="B1826" s="1" t="n">
        <v>1946</v>
      </c>
      <c r="C1826" s="1" t="n">
        <v>2</v>
      </c>
      <c r="D1826" s="1" t="s">
        <v>38</v>
      </c>
      <c r="E1826" s="1" t="s">
        <v>274</v>
      </c>
      <c r="F1826" s="1" t="n">
        <v>803</v>
      </c>
      <c r="G1826" s="1" t="n">
        <v>160</v>
      </c>
      <c r="H1826" s="2" t="n">
        <v>10020000</v>
      </c>
      <c r="I1826" s="2" t="n">
        <f aca="false">(((H1826 / 800) / IF(ISBLANK(R1826), 1000000, IF(ISNA(VLOOKUP(R1826, Mileages!$A$2:$C$34, 2, 0)), R1826, VLOOKUP(R1826, Mileages!$A$2:$C$34, 2, 0)))) + (F1826 * IF(ISBLANK(P1826), 1, P1826) * IF(ISBLANK(T1826), 0, IF(ISNA(VLOOKUP(T1826, 'Fuel Costs'!$A$2:$C$42, 2, 0)), T1826, VLOOKUP(T1826, 'Fuel Costs'!$A$2:$C$42, 2, 0))) / IF(ISBLANK(O1826), 1, O1826))) * 100</f>
        <v>604.3375</v>
      </c>
      <c r="J1826" s="2" t="n">
        <f aca="false">((H1826 / 800) / (IF(ISBLANK(S1826), 100, IF(ISNA(VLOOKUP(S1826, Lives!$A$2:$C$35, 2, 0)), S1826, VLOOKUP(S1826, Lives!$A$2:$C$35, 2, 0))) * 12) + (IF(ISBLANK(Q1826), 0, IF(ISNA(VLOOKUP(Q1826, Wages!$A$2:$C$17, 2, 0)), Q1826, VLOOKUP(Q1826, Wages!$A$2:$C$17, 2, 0))) * IF(ISBLANK(N1826), 0, IF(ISNA(VLOOKUP(N1826, Crews!$A$2:$C$28, 2, 0)), N1826, VLOOKUP(N1826, Crews!$A$2:$C$28, 2, 0))))) * 400</f>
        <v>60875</v>
      </c>
      <c r="K1826" s="3" t="s">
        <v>3560</v>
      </c>
      <c r="L1826" s="1" t="s">
        <v>3400</v>
      </c>
      <c r="M1826" s="1" t="n">
        <v>1</v>
      </c>
      <c r="N1826" s="1" t="s">
        <v>1705</v>
      </c>
      <c r="O1826" s="1" t="n">
        <v>0.8</v>
      </c>
      <c r="P1826" s="1"/>
      <c r="Q1826" s="5" t="s">
        <v>284</v>
      </c>
      <c r="R1826" s="1" t="s">
        <v>2617</v>
      </c>
      <c r="S1826" s="1" t="s">
        <v>2617</v>
      </c>
      <c r="T1826" s="1" t="s">
        <v>3553</v>
      </c>
    </row>
    <row r="1827" customFormat="false" ht="15" hidden="false" customHeight="true" outlineLevel="0" collapsed="false">
      <c r="A1827" s="1" t="s">
        <v>3561</v>
      </c>
      <c r="B1827" s="1" t="n">
        <v>1946</v>
      </c>
      <c r="C1827" s="1" t="n">
        <v>2</v>
      </c>
      <c r="D1827" s="1" t="s">
        <v>38</v>
      </c>
      <c r="E1827" s="1"/>
      <c r="F1827" s="1"/>
      <c r="G1827" s="1" t="n">
        <v>160</v>
      </c>
      <c r="H1827" s="2" t="n">
        <v>579000</v>
      </c>
      <c r="I1827" s="2" t="n">
        <f aca="false">(((H1827 / 800) / IF(ISBLANK(R1827), 1000000, IF(ISNA(VLOOKUP(R1827, Mileages!$A$2:$C$34, 2, 0)), R1827, VLOOKUP(R1827, Mileages!$A$2:$C$34, 2, 0)))) + (F1827 * IF(ISBLANK(P1827), 1, P1827) * IF(ISBLANK(T1827), 0, IF(ISNA(VLOOKUP(T1827, 'Fuel Costs'!$A$2:$C$42, 2, 0)), T1827, VLOOKUP(T1827, 'Fuel Costs'!$A$2:$C$42, 2, 0))) / IF(ISBLANK(O1827), 1, O1827))) * 100</f>
        <v>0.0603125</v>
      </c>
      <c r="J1827" s="2" t="n">
        <f aca="false">((H1827 / 800) / (IF(ISBLANK(S1827), 100, IF(ISNA(VLOOKUP(S1827, Lives!$A$2:$C$35, 2, 0)), S1827, VLOOKUP(S1827, Lives!$A$2:$C$35, 2, 0))) * 12) + (IF(ISBLANK(Q1827), 0, IF(ISNA(VLOOKUP(Q1827, Wages!$A$2:$C$17, 2, 0)), Q1827, VLOOKUP(Q1827, Wages!$A$2:$C$17, 2, 0))) * IF(ISBLANK(N1827), 0, IF(ISNA(VLOOKUP(N1827, Crews!$A$2:$C$28, 2, 0)), N1827, VLOOKUP(N1827, Crews!$A$2:$C$28, 2, 0))))) * 400</f>
        <v>689.2857143</v>
      </c>
      <c r="K1827" s="1" t="s">
        <v>3562</v>
      </c>
      <c r="L1827" s="1" t="s">
        <v>3498</v>
      </c>
      <c r="M1827" s="1" t="n">
        <v>3</v>
      </c>
      <c r="N1827" s="1"/>
      <c r="O1827" s="1"/>
      <c r="P1827" s="1"/>
      <c r="Q1827" s="1"/>
      <c r="R1827" s="1" t="s">
        <v>689</v>
      </c>
      <c r="S1827" s="1" t="s">
        <v>856</v>
      </c>
      <c r="T1827" s="1"/>
    </row>
    <row r="1828" customFormat="false" ht="15" hidden="false" customHeight="true" outlineLevel="0" collapsed="false">
      <c r="A1828" s="1" t="s">
        <v>3563</v>
      </c>
      <c r="B1828" s="1" t="n">
        <v>1946</v>
      </c>
      <c r="C1828" s="1" t="n">
        <v>2</v>
      </c>
      <c r="D1828" s="1" t="s">
        <v>38</v>
      </c>
      <c r="E1828" s="1"/>
      <c r="F1828" s="1"/>
      <c r="G1828" s="1" t="n">
        <v>160</v>
      </c>
      <c r="H1828" s="2" t="n">
        <v>570000</v>
      </c>
      <c r="I1828" s="2" t="n">
        <f aca="false">(((H1828 / 800) / IF(ISBLANK(R1828), 1000000, IF(ISNA(VLOOKUP(R1828, Mileages!$A$2:$C$34, 2, 0)), R1828, VLOOKUP(R1828, Mileages!$A$2:$C$34, 2, 0)))) + (F1828 * IF(ISBLANK(P1828), 1, P1828) * IF(ISBLANK(T1828), 0, IF(ISNA(VLOOKUP(T1828, 'Fuel Costs'!$A$2:$C$42, 2, 0)), T1828, VLOOKUP(T1828, 'Fuel Costs'!$A$2:$C$42, 2, 0))) / IF(ISBLANK(O1828), 1, O1828))) * 100</f>
        <v>0.059375</v>
      </c>
      <c r="J1828" s="2" t="n">
        <f aca="false">((H1828 / 800) / (IF(ISBLANK(S1828), 100, IF(ISNA(VLOOKUP(S1828, Lives!$A$2:$C$35, 2, 0)), S1828, VLOOKUP(S1828, Lives!$A$2:$C$35, 2, 0))) * 12) + (IF(ISBLANK(Q1828), 0, IF(ISNA(VLOOKUP(Q1828, Wages!$A$2:$C$17, 2, 0)), Q1828, VLOOKUP(Q1828, Wages!$A$2:$C$17, 2, 0))) * IF(ISBLANK(N1828), 0, IF(ISNA(VLOOKUP(N1828, Crews!$A$2:$C$28, 2, 0)), N1828, VLOOKUP(N1828, Crews!$A$2:$C$28, 2, 0))))) * 400</f>
        <v>6678.571429</v>
      </c>
      <c r="K1828" s="1" t="s">
        <v>3564</v>
      </c>
      <c r="L1828" s="1" t="s">
        <v>3498</v>
      </c>
      <c r="M1828" s="1" t="n">
        <v>4</v>
      </c>
      <c r="N1828" s="1" t="s">
        <v>2131</v>
      </c>
      <c r="O1828" s="1"/>
      <c r="P1828" s="1"/>
      <c r="Q1828" s="1" t="s">
        <v>1481</v>
      </c>
      <c r="R1828" s="1" t="s">
        <v>689</v>
      </c>
      <c r="S1828" s="1" t="s">
        <v>856</v>
      </c>
      <c r="T1828" s="1"/>
    </row>
    <row r="1829" customFormat="false" ht="15" hidden="false" customHeight="true" outlineLevel="0" collapsed="false">
      <c r="A1829" s="1" t="s">
        <v>3565</v>
      </c>
      <c r="B1829" s="1" t="n">
        <v>1946</v>
      </c>
      <c r="C1829" s="1" t="n">
        <v>2</v>
      </c>
      <c r="D1829" s="1" t="s">
        <v>38</v>
      </c>
      <c r="E1829" s="1"/>
      <c r="F1829" s="1"/>
      <c r="G1829" s="1" t="n">
        <v>160</v>
      </c>
      <c r="H1829" s="2" t="n">
        <v>434000</v>
      </c>
      <c r="I1829" s="2" t="n">
        <f aca="false">(((H1829 / 800) / IF(ISBLANK(R1829), 1000000, IF(ISNA(VLOOKUP(R1829, Mileages!$A$2:$C$34, 2, 0)), R1829, VLOOKUP(R1829, Mileages!$A$2:$C$34, 2, 0)))) + (F1829 * IF(ISBLANK(P1829), 1, P1829) * IF(ISBLANK(T1829), 0, IF(ISNA(VLOOKUP(T1829, 'Fuel Costs'!$A$2:$C$42, 2, 0)), T1829, VLOOKUP(T1829, 'Fuel Costs'!$A$2:$C$42, 2, 0))) / IF(ISBLANK(O1829), 1, O1829))) * 100</f>
        <v>0.04520833333</v>
      </c>
      <c r="J1829" s="2" t="n">
        <f aca="false">((H1829 / 800) / (IF(ISBLANK(S1829), 100, IF(ISNA(VLOOKUP(S1829, Lives!$A$2:$C$35, 2, 0)), S1829, VLOOKUP(S1829, Lives!$A$2:$C$35, 2, 0))) * 12) + (IF(ISBLANK(Q1829), 0, IF(ISNA(VLOOKUP(Q1829, Wages!$A$2:$C$17, 2, 0)), Q1829, VLOOKUP(Q1829, Wages!$A$2:$C$17, 2, 0))) * IF(ISBLANK(N1829), 0, IF(ISNA(VLOOKUP(N1829, Crews!$A$2:$C$28, 2, 0)), N1829, VLOOKUP(N1829, Crews!$A$2:$C$28, 2, 0))))) * 400</f>
        <v>5316.666667</v>
      </c>
      <c r="K1829" s="1"/>
      <c r="L1829" s="1" t="s">
        <v>3498</v>
      </c>
      <c r="M1829" s="1" t="n">
        <v>7</v>
      </c>
      <c r="N1829" s="1" t="s">
        <v>25</v>
      </c>
      <c r="O1829" s="1"/>
      <c r="P1829" s="1"/>
      <c r="Q1829" s="1" t="s">
        <v>378</v>
      </c>
      <c r="R1829" s="1" t="s">
        <v>689</v>
      </c>
      <c r="S1829" s="1" t="s">
        <v>856</v>
      </c>
      <c r="T1829" s="1"/>
    </row>
    <row r="1830" customFormat="false" ht="15" hidden="false" customHeight="true" outlineLevel="0" collapsed="false">
      <c r="A1830" s="1" t="s">
        <v>3566</v>
      </c>
      <c r="B1830" s="1" t="n">
        <v>1946</v>
      </c>
      <c r="C1830" s="1" t="n">
        <v>2</v>
      </c>
      <c r="D1830" s="1" t="s">
        <v>38</v>
      </c>
      <c r="E1830" s="1"/>
      <c r="F1830" s="1"/>
      <c r="G1830" s="1" t="n">
        <v>160</v>
      </c>
      <c r="H1830" s="2" t="n">
        <v>434000</v>
      </c>
      <c r="I1830" s="2" t="n">
        <f aca="false">(((H1830 / 800) / IF(ISBLANK(R1830), 1000000, IF(ISNA(VLOOKUP(R1830, Mileages!$A$2:$C$34, 2, 0)), R1830, VLOOKUP(R1830, Mileages!$A$2:$C$34, 2, 0)))) + (F1830 * IF(ISBLANK(P1830), 1, P1830) * IF(ISBLANK(T1830), 0, IF(ISNA(VLOOKUP(T1830, 'Fuel Costs'!$A$2:$C$42, 2, 0)), T1830, VLOOKUP(T1830, 'Fuel Costs'!$A$2:$C$42, 2, 0))) / IF(ISBLANK(O1830), 1, O1830))) * 100</f>
        <v>0.04520833333</v>
      </c>
      <c r="J1830" s="2" t="n">
        <f aca="false">((H1830 / 800) / (IF(ISBLANK(S1830), 100, IF(ISNA(VLOOKUP(S1830, Lives!$A$2:$C$35, 2, 0)), S1830, VLOOKUP(S1830, Lives!$A$2:$C$35, 2, 0))) * 12) + (IF(ISBLANK(Q1830), 0, IF(ISNA(VLOOKUP(Q1830, Wages!$A$2:$C$17, 2, 0)), Q1830, VLOOKUP(Q1830, Wages!$A$2:$C$17, 2, 0))) * IF(ISBLANK(N1830), 0, IF(ISNA(VLOOKUP(N1830, Crews!$A$2:$C$28, 2, 0)), N1830, VLOOKUP(N1830, Crews!$A$2:$C$28, 2, 0))))) * 400</f>
        <v>5316.666667</v>
      </c>
      <c r="K1830" s="1"/>
      <c r="L1830" s="1" t="s">
        <v>3498</v>
      </c>
      <c r="M1830" s="1" t="n">
        <v>8</v>
      </c>
      <c r="N1830" s="1" t="s">
        <v>25</v>
      </c>
      <c r="O1830" s="1"/>
      <c r="P1830" s="1"/>
      <c r="Q1830" s="1" t="s">
        <v>378</v>
      </c>
      <c r="R1830" s="1" t="s">
        <v>689</v>
      </c>
      <c r="S1830" s="1" t="s">
        <v>856</v>
      </c>
      <c r="T1830" s="1"/>
    </row>
    <row r="1831" customFormat="false" ht="15" hidden="false" customHeight="true" outlineLevel="0" collapsed="false">
      <c r="A1831" s="1" t="s">
        <v>3567</v>
      </c>
      <c r="B1831" s="1" t="n">
        <v>1946</v>
      </c>
      <c r="C1831" s="1" t="n">
        <v>4</v>
      </c>
      <c r="D1831" s="1" t="s">
        <v>2225</v>
      </c>
      <c r="E1831" s="1" t="s">
        <v>1839</v>
      </c>
      <c r="F1831" s="1" t="n">
        <v>2659</v>
      </c>
      <c r="G1831" s="1" t="n">
        <v>254</v>
      </c>
      <c r="H1831" s="2" t="n">
        <v>3600000</v>
      </c>
      <c r="I1831" s="2" t="n">
        <f aca="false">(((H1831 / 800) / IF(ISBLANK(R1831), 1000000, IF(ISNA(VLOOKUP(R1831, Mileages!$A$2:$C$34, 2, 0)), R1831, VLOOKUP(R1831, Mileages!$A$2:$C$34, 2, 0)))) + (F1831 * IF(ISBLANK(P1831), 1, P1831) * IF(ISBLANK(T1831), 0, IF(ISNA(VLOOKUP(T1831, 'Fuel Costs'!$A$2:$C$42, 2, 0)), T1831, VLOOKUP(T1831, 'Fuel Costs'!$A$2:$C$42, 2, 0))) / IF(ISBLANK(O1831), 1, O1831))) * 100</f>
        <v>106.45</v>
      </c>
      <c r="J1831" s="2" t="n">
        <f aca="false">((H1831 / 800) / (IF(ISBLANK(S1831), 100, IF(ISNA(VLOOKUP(S1831, Lives!$A$2:$C$35, 2, 0)), S1831, VLOOKUP(S1831, Lives!$A$2:$C$35, 2, 0))) * 12) + (IF(ISBLANK(Q1831), 0, IF(ISNA(VLOOKUP(Q1831, Wages!$A$2:$C$17, 2, 0)), Q1831, VLOOKUP(Q1831, Wages!$A$2:$C$17, 2, 0))) * IF(ISBLANK(N1831), 0, IF(ISNA(VLOOKUP(N1831, Crews!$A$2:$C$28, 2, 0)), N1831, VLOOKUP(N1831, Crews!$A$2:$C$28, 2, 0))))) * 400</f>
        <v>22500</v>
      </c>
      <c r="K1831" s="3" t="s">
        <v>3568</v>
      </c>
      <c r="L1831" s="1" t="s">
        <v>3569</v>
      </c>
      <c r="M1831" s="1" t="n">
        <v>0</v>
      </c>
      <c r="N1831" s="1" t="s">
        <v>3570</v>
      </c>
      <c r="O1831" s="1"/>
      <c r="P1831" s="1" t="n">
        <v>0.1</v>
      </c>
      <c r="Q1831" s="1" t="s">
        <v>2229</v>
      </c>
      <c r="R1831" s="1" t="s">
        <v>2229</v>
      </c>
      <c r="S1831" s="1" t="s">
        <v>2229</v>
      </c>
      <c r="T1831" s="1" t="s">
        <v>3481</v>
      </c>
    </row>
    <row r="1832" customFormat="false" ht="15" hidden="false" customHeight="true" outlineLevel="0" collapsed="false">
      <c r="A1832" s="1" t="s">
        <v>3571</v>
      </c>
      <c r="B1832" s="1" t="n">
        <v>1946</v>
      </c>
      <c r="C1832" s="1" t="n">
        <v>4</v>
      </c>
      <c r="D1832" s="1" t="s">
        <v>2225</v>
      </c>
      <c r="E1832" s="1" t="s">
        <v>1839</v>
      </c>
      <c r="F1832" s="1" t="n">
        <v>2659</v>
      </c>
      <c r="G1832" s="1" t="n">
        <v>254</v>
      </c>
      <c r="H1832" s="2" t="n">
        <v>3600000</v>
      </c>
      <c r="I1832" s="2" t="n">
        <f aca="false">(((H1832 / 800) / IF(ISBLANK(R1832), 1000000, IF(ISNA(VLOOKUP(R1832, Mileages!$A$2:$C$34, 2, 0)), R1832, VLOOKUP(R1832, Mileages!$A$2:$C$34, 2, 0)))) + (F1832 * IF(ISBLANK(P1832), 1, P1832) * IF(ISBLANK(T1832), 0, IF(ISNA(VLOOKUP(T1832, 'Fuel Costs'!$A$2:$C$42, 2, 0)), T1832, VLOOKUP(T1832, 'Fuel Costs'!$A$2:$C$42, 2, 0))) / IF(ISBLANK(O1832), 1, O1832))) * 100</f>
        <v>106.45</v>
      </c>
      <c r="J1832" s="2" t="n">
        <f aca="false">((H1832 / 800) / (IF(ISBLANK(S1832), 100, IF(ISNA(VLOOKUP(S1832, Lives!$A$2:$C$35, 2, 0)), S1832, VLOOKUP(S1832, Lives!$A$2:$C$35, 2, 0))) * 12) + (IF(ISBLANK(Q1832), 0, IF(ISNA(VLOOKUP(Q1832, Wages!$A$2:$C$17, 2, 0)), Q1832, VLOOKUP(Q1832, Wages!$A$2:$C$17, 2, 0))) * IF(ISBLANK(N1832), 0, IF(ISNA(VLOOKUP(N1832, Crews!$A$2:$C$28, 2, 0)), N1832, VLOOKUP(N1832, Crews!$A$2:$C$28, 2, 0))))) * 400</f>
        <v>12500</v>
      </c>
      <c r="K1832" s="3" t="s">
        <v>3572</v>
      </c>
      <c r="L1832" s="1" t="s">
        <v>3569</v>
      </c>
      <c r="M1832" s="1" t="n">
        <v>1</v>
      </c>
      <c r="N1832" s="1" t="s">
        <v>25</v>
      </c>
      <c r="O1832" s="1"/>
      <c r="P1832" s="1" t="n">
        <v>0.1</v>
      </c>
      <c r="Q1832" s="1" t="s">
        <v>2229</v>
      </c>
      <c r="R1832" s="1" t="s">
        <v>2229</v>
      </c>
      <c r="S1832" s="1" t="s">
        <v>2229</v>
      </c>
      <c r="T1832" s="1" t="s">
        <v>3481</v>
      </c>
    </row>
    <row r="1833" customFormat="false" ht="15" hidden="false" customHeight="true" outlineLevel="0" collapsed="false">
      <c r="A1833" s="1" t="s">
        <v>3573</v>
      </c>
      <c r="B1833" s="1" t="n">
        <v>1946</v>
      </c>
      <c r="C1833" s="1" t="n">
        <v>4</v>
      </c>
      <c r="D1833" s="1" t="s">
        <v>2225</v>
      </c>
      <c r="E1833" s="1" t="s">
        <v>1839</v>
      </c>
      <c r="F1833" s="1" t="n">
        <v>2659</v>
      </c>
      <c r="G1833" s="1" t="n">
        <v>254</v>
      </c>
      <c r="H1833" s="2" t="n">
        <v>3600000</v>
      </c>
      <c r="I1833" s="2" t="n">
        <f aca="false">(((H1833 / 800) / IF(ISBLANK(R1833), 1000000, IF(ISNA(VLOOKUP(R1833, Mileages!$A$2:$C$34, 2, 0)), R1833, VLOOKUP(R1833, Mileages!$A$2:$C$34, 2, 0)))) + (F1833 * IF(ISBLANK(P1833), 1, P1833) * IF(ISBLANK(T1833), 0, IF(ISNA(VLOOKUP(T1833, 'Fuel Costs'!$A$2:$C$42, 2, 0)), T1833, VLOOKUP(T1833, 'Fuel Costs'!$A$2:$C$42, 2, 0))) / IF(ISBLANK(O1833), 1, O1833))) * 100</f>
        <v>106.45</v>
      </c>
      <c r="J1833" s="2" t="n">
        <f aca="false">((H1833 / 800) / (IF(ISBLANK(S1833), 100, IF(ISNA(VLOOKUP(S1833, Lives!$A$2:$C$35, 2, 0)), S1833, VLOOKUP(S1833, Lives!$A$2:$C$35, 2, 0))) * 12) + (IF(ISBLANK(Q1833), 0, IF(ISNA(VLOOKUP(Q1833, Wages!$A$2:$C$17, 2, 0)), Q1833, VLOOKUP(Q1833, Wages!$A$2:$C$17, 2, 0))) * IF(ISBLANK(N1833), 0, IF(ISNA(VLOOKUP(N1833, Crews!$A$2:$C$28, 2, 0)), N1833, VLOOKUP(N1833, Crews!$A$2:$C$28, 2, 0))))) * 400</f>
        <v>12500</v>
      </c>
      <c r="K1833" s="3" t="s">
        <v>3572</v>
      </c>
      <c r="L1833" s="1" t="s">
        <v>3569</v>
      </c>
      <c r="M1833" s="1" t="n">
        <v>2</v>
      </c>
      <c r="N1833" s="1" t="s">
        <v>25</v>
      </c>
      <c r="O1833" s="1"/>
      <c r="P1833" s="1" t="n">
        <v>0.1</v>
      </c>
      <c r="Q1833" s="1" t="s">
        <v>2229</v>
      </c>
      <c r="R1833" s="1" t="s">
        <v>2229</v>
      </c>
      <c r="S1833" s="1" t="s">
        <v>2229</v>
      </c>
      <c r="T1833" s="1" t="s">
        <v>3481</v>
      </c>
    </row>
    <row r="1834" customFormat="false" ht="15" hidden="false" customHeight="true" outlineLevel="0" collapsed="false">
      <c r="A1834" s="1" t="s">
        <v>3574</v>
      </c>
      <c r="B1834" s="1" t="n">
        <v>1946</v>
      </c>
      <c r="C1834" s="1" t="n">
        <v>4</v>
      </c>
      <c r="D1834" s="1" t="s">
        <v>2225</v>
      </c>
      <c r="E1834" s="1" t="s">
        <v>1839</v>
      </c>
      <c r="F1834" s="1" t="n">
        <v>2659</v>
      </c>
      <c r="G1834" s="1" t="n">
        <v>254</v>
      </c>
      <c r="H1834" s="2" t="n">
        <v>3600000</v>
      </c>
      <c r="I1834" s="2" t="n">
        <f aca="false">(((H1834 / 800) / IF(ISBLANK(R1834), 1000000, IF(ISNA(VLOOKUP(R1834, Mileages!$A$2:$C$34, 2, 0)), R1834, VLOOKUP(R1834, Mileages!$A$2:$C$34, 2, 0)))) + (F1834 * IF(ISBLANK(P1834), 1, P1834) * IF(ISBLANK(T1834), 0, IF(ISNA(VLOOKUP(T1834, 'Fuel Costs'!$A$2:$C$42, 2, 0)), T1834, VLOOKUP(T1834, 'Fuel Costs'!$A$2:$C$42, 2, 0))) / IF(ISBLANK(O1834), 1, O1834))) * 100</f>
        <v>106.45</v>
      </c>
      <c r="J1834" s="2" t="n">
        <f aca="false">((H1834 / 800) / (IF(ISBLANK(S1834), 100, IF(ISNA(VLOOKUP(S1834, Lives!$A$2:$C$35, 2, 0)), S1834, VLOOKUP(S1834, Lives!$A$2:$C$35, 2, 0))) * 12) + (IF(ISBLANK(Q1834), 0, IF(ISNA(VLOOKUP(Q1834, Wages!$A$2:$C$17, 2, 0)), Q1834, VLOOKUP(Q1834, Wages!$A$2:$C$17, 2, 0))) * IF(ISBLANK(N1834), 0, IF(ISNA(VLOOKUP(N1834, Crews!$A$2:$C$28, 2, 0)), N1834, VLOOKUP(N1834, Crews!$A$2:$C$28, 2, 0))))) * 400</f>
        <v>12500</v>
      </c>
      <c r="K1834" s="3" t="s">
        <v>3572</v>
      </c>
      <c r="L1834" s="1" t="s">
        <v>3575</v>
      </c>
      <c r="M1834" s="1" t="n">
        <v>0</v>
      </c>
      <c r="N1834" s="1" t="s">
        <v>25</v>
      </c>
      <c r="O1834" s="1"/>
      <c r="P1834" s="1" t="n">
        <v>0.1</v>
      </c>
      <c r="Q1834" s="1" t="s">
        <v>2229</v>
      </c>
      <c r="R1834" s="1" t="s">
        <v>2229</v>
      </c>
      <c r="S1834" s="1" t="s">
        <v>2229</v>
      </c>
      <c r="T1834" s="1" t="s">
        <v>3481</v>
      </c>
    </row>
    <row r="1835" customFormat="false" ht="15" hidden="false" customHeight="true" outlineLevel="0" collapsed="false">
      <c r="A1835" s="1" t="s">
        <v>3576</v>
      </c>
      <c r="B1835" s="1" t="n">
        <v>1946</v>
      </c>
      <c r="C1835" s="1" t="n">
        <v>4</v>
      </c>
      <c r="D1835" s="1" t="s">
        <v>2225</v>
      </c>
      <c r="E1835" s="1" t="s">
        <v>1839</v>
      </c>
      <c r="F1835" s="1" t="n">
        <v>2659</v>
      </c>
      <c r="G1835" s="1" t="n">
        <v>254</v>
      </c>
      <c r="H1835" s="2" t="n">
        <v>3800000</v>
      </c>
      <c r="I1835" s="2" t="n">
        <f aca="false">(((H1835 / 800) / IF(ISBLANK(R1835), 1000000, IF(ISNA(VLOOKUP(R1835, Mileages!$A$2:$C$34, 2, 0)), R1835, VLOOKUP(R1835, Mileages!$A$2:$C$34, 2, 0)))) + (F1835 * IF(ISBLANK(P1835), 1, P1835) * IF(ISBLANK(T1835), 0, IF(ISNA(VLOOKUP(T1835, 'Fuel Costs'!$A$2:$C$42, 2, 0)), T1835, VLOOKUP(T1835, 'Fuel Costs'!$A$2:$C$42, 2, 0))) / IF(ISBLANK(O1835), 1, O1835))) * 100</f>
        <v>106.455</v>
      </c>
      <c r="J1835" s="2" t="n">
        <f aca="false">((H1835 / 800) / (IF(ISBLANK(S1835), 100, IF(ISNA(VLOOKUP(S1835, Lives!$A$2:$C$35, 2, 0)), S1835, VLOOKUP(S1835, Lives!$A$2:$C$35, 2, 0))) * 12) + (IF(ISBLANK(Q1835), 0, IF(ISNA(VLOOKUP(Q1835, Wages!$A$2:$C$17, 2, 0)), Q1835, VLOOKUP(Q1835, Wages!$A$2:$C$17, 2, 0))) * IF(ISBLANK(N1835), 0, IF(ISNA(VLOOKUP(N1835, Crews!$A$2:$C$28, 2, 0)), N1835, VLOOKUP(N1835, Crews!$A$2:$C$28, 2, 0))))) * 400</f>
        <v>52638.88889</v>
      </c>
      <c r="K1835" s="3" t="s">
        <v>3572</v>
      </c>
      <c r="L1835" s="1" t="s">
        <v>3577</v>
      </c>
      <c r="M1835" s="1" t="n">
        <v>0</v>
      </c>
      <c r="N1835" s="1" t="s">
        <v>2342</v>
      </c>
      <c r="O1835" s="1"/>
      <c r="P1835" s="1" t="n">
        <v>0.1</v>
      </c>
      <c r="Q1835" s="1" t="s">
        <v>2229</v>
      </c>
      <c r="R1835" s="1" t="s">
        <v>2229</v>
      </c>
      <c r="S1835" s="1" t="s">
        <v>2229</v>
      </c>
      <c r="T1835" s="1" t="s">
        <v>3481</v>
      </c>
    </row>
    <row r="1836" customFormat="false" ht="15" hidden="false" customHeight="true" outlineLevel="0" collapsed="false">
      <c r="A1836" s="1" t="s">
        <v>3578</v>
      </c>
      <c r="B1836" s="1" t="n">
        <v>1946</v>
      </c>
      <c r="C1836" s="1" t="n">
        <v>9</v>
      </c>
      <c r="D1836" s="1" t="s">
        <v>2225</v>
      </c>
      <c r="E1836" s="1" t="s">
        <v>1839</v>
      </c>
      <c r="F1836" s="1" t="n">
        <v>2269</v>
      </c>
      <c r="G1836" s="1" t="n">
        <v>338</v>
      </c>
      <c r="H1836" s="2" t="n">
        <v>3000000</v>
      </c>
      <c r="I1836" s="2" t="n">
        <f aca="false">(((H1836 / 800) / IF(ISBLANK(R1836), 1000000, IF(ISNA(VLOOKUP(R1836, Mileages!$A$2:$C$34, 2, 0)), R1836, VLOOKUP(R1836, Mileages!$A$2:$C$34, 2, 0)))) + (F1836 * IF(ISBLANK(P1836), 1, P1836) * IF(ISBLANK(T1836), 0, IF(ISNA(VLOOKUP(T1836, 'Fuel Costs'!$A$2:$C$42, 2, 0)), T1836, VLOOKUP(T1836, 'Fuel Costs'!$A$2:$C$42, 2, 0))) / IF(ISBLANK(O1836), 1, O1836))) * 100</f>
        <v>90.835</v>
      </c>
      <c r="J1836" s="2" t="n">
        <f aca="false">((H1836 / 800) / (IF(ISBLANK(S1836), 100, IF(ISNA(VLOOKUP(S1836, Lives!$A$2:$C$35, 2, 0)), S1836, VLOOKUP(S1836, Lives!$A$2:$C$35, 2, 0))) * 12) + (IF(ISBLANK(Q1836), 0, IF(ISNA(VLOOKUP(Q1836, Wages!$A$2:$C$17, 2, 0)), Q1836, VLOOKUP(Q1836, Wages!$A$2:$C$17, 2, 0))) * IF(ISBLANK(N1836), 0, IF(ISNA(VLOOKUP(N1836, Crews!$A$2:$C$28, 2, 0)), N1836, VLOOKUP(N1836, Crews!$A$2:$C$28, 2, 0))))) * 400</f>
        <v>52083.33333</v>
      </c>
      <c r="K1836" s="3" t="s">
        <v>3579</v>
      </c>
      <c r="L1836" s="1" t="s">
        <v>3580</v>
      </c>
      <c r="M1836" s="1" t="n">
        <v>0</v>
      </c>
      <c r="N1836" s="1" t="s">
        <v>2342</v>
      </c>
      <c r="O1836" s="1"/>
      <c r="P1836" s="1" t="n">
        <v>0.1</v>
      </c>
      <c r="Q1836" s="1" t="s">
        <v>2229</v>
      </c>
      <c r="R1836" s="1" t="s">
        <v>2229</v>
      </c>
      <c r="S1836" s="1" t="s">
        <v>2229</v>
      </c>
      <c r="T1836" s="1" t="s">
        <v>3481</v>
      </c>
    </row>
    <row r="1837" customFormat="false" ht="15" hidden="false" customHeight="true" outlineLevel="0" collapsed="false">
      <c r="A1837" s="1" t="s">
        <v>3581</v>
      </c>
      <c r="B1837" s="1" t="n">
        <v>1946</v>
      </c>
      <c r="C1837" s="1" t="n">
        <v>11</v>
      </c>
      <c r="D1837" s="1" t="s">
        <v>2225</v>
      </c>
      <c r="E1837" s="1" t="s">
        <v>1839</v>
      </c>
      <c r="F1837" s="1" t="n">
        <v>6445</v>
      </c>
      <c r="G1837" s="1" t="n">
        <v>501</v>
      </c>
      <c r="H1837" s="2" t="n">
        <v>9500000</v>
      </c>
      <c r="I1837" s="2" t="n">
        <f aca="false">(((H1837 / 800) / IF(ISBLANK(R1837), 1000000, IF(ISNA(VLOOKUP(R1837, Mileages!$A$2:$C$34, 2, 0)), R1837, VLOOKUP(R1837, Mileages!$A$2:$C$34, 2, 0)))) + (F1837 * IF(ISBLANK(P1837), 1, P1837) * IF(ISBLANK(T1837), 0, IF(ISNA(VLOOKUP(T1837, 'Fuel Costs'!$A$2:$C$42, 2, 0)), T1837, VLOOKUP(T1837, 'Fuel Costs'!$A$2:$C$42, 2, 0))) / IF(ISBLANK(O1837), 1, O1837))) * 100</f>
        <v>258.0375</v>
      </c>
      <c r="J1837" s="2" t="n">
        <f aca="false">((H1837 / 800) / (IF(ISBLANK(S1837), 100, IF(ISNA(VLOOKUP(S1837, Lives!$A$2:$C$35, 2, 0)), S1837, VLOOKUP(S1837, Lives!$A$2:$C$35, 2, 0))) * 12) + (IF(ISBLANK(Q1837), 0, IF(ISNA(VLOOKUP(Q1837, Wages!$A$2:$C$17, 2, 0)), Q1837, VLOOKUP(Q1837, Wages!$A$2:$C$17, 2, 0))) * IF(ISBLANK(N1837), 0, IF(ISNA(VLOOKUP(N1837, Crews!$A$2:$C$28, 2, 0)), N1837, VLOOKUP(N1837, Crews!$A$2:$C$28, 2, 0))))) * 400</f>
        <v>56597.22222</v>
      </c>
      <c r="K1837" s="3" t="s">
        <v>3582</v>
      </c>
      <c r="L1837" s="1" t="s">
        <v>3583</v>
      </c>
      <c r="M1837" s="1" t="n">
        <v>0</v>
      </c>
      <c r="N1837" s="1" t="s">
        <v>2342</v>
      </c>
      <c r="O1837" s="1"/>
      <c r="P1837" s="1" t="n">
        <v>0.1</v>
      </c>
      <c r="Q1837" s="1" t="s">
        <v>2229</v>
      </c>
      <c r="R1837" s="1" t="s">
        <v>2229</v>
      </c>
      <c r="S1837" s="1" t="s">
        <v>2229</v>
      </c>
      <c r="T1837" s="1" t="s">
        <v>3481</v>
      </c>
    </row>
    <row r="1838" customFormat="false" ht="15" hidden="false" customHeight="true" outlineLevel="0" collapsed="false">
      <c r="A1838" s="1" t="s">
        <v>3584</v>
      </c>
      <c r="B1838" s="1" t="n">
        <v>1946</v>
      </c>
      <c r="C1838" s="1" t="n">
        <v>11</v>
      </c>
      <c r="D1838" s="1" t="s">
        <v>2225</v>
      </c>
      <c r="E1838" s="1" t="s">
        <v>1839</v>
      </c>
      <c r="F1838" s="1" t="n">
        <v>6445</v>
      </c>
      <c r="G1838" s="1" t="n">
        <v>501</v>
      </c>
      <c r="H1838" s="2" t="n">
        <v>9500000</v>
      </c>
      <c r="I1838" s="2" t="n">
        <f aca="false">(((H1838 / 800) / IF(ISBLANK(R1838), 1000000, IF(ISNA(VLOOKUP(R1838, Mileages!$A$2:$C$34, 2, 0)), R1838, VLOOKUP(R1838, Mileages!$A$2:$C$34, 2, 0)))) + (F1838 * IF(ISBLANK(P1838), 1, P1838) * IF(ISBLANK(T1838), 0, IF(ISNA(VLOOKUP(T1838, 'Fuel Costs'!$A$2:$C$42, 2, 0)), T1838, VLOOKUP(T1838, 'Fuel Costs'!$A$2:$C$42, 2, 0))) / IF(ISBLANK(O1838), 1, O1838))) * 100</f>
        <v>258.0375</v>
      </c>
      <c r="J1838" s="2" t="n">
        <f aca="false">((H1838 / 800) / (IF(ISBLANK(S1838), 100, IF(ISNA(VLOOKUP(S1838, Lives!$A$2:$C$35, 2, 0)), S1838, VLOOKUP(S1838, Lives!$A$2:$C$35, 2, 0))) * 12) + (IF(ISBLANK(Q1838), 0, IF(ISNA(VLOOKUP(Q1838, Wages!$A$2:$C$17, 2, 0)), Q1838, VLOOKUP(Q1838, Wages!$A$2:$C$17, 2, 0))) * IF(ISBLANK(N1838), 0, IF(ISNA(VLOOKUP(N1838, Crews!$A$2:$C$28, 2, 0)), N1838, VLOOKUP(N1838, Crews!$A$2:$C$28, 2, 0))))) * 400</f>
        <v>56597.22222</v>
      </c>
      <c r="K1838" s="3" t="s">
        <v>3582</v>
      </c>
      <c r="L1838" s="1" t="s">
        <v>3583</v>
      </c>
      <c r="M1838" s="1" t="n">
        <v>1</v>
      </c>
      <c r="N1838" s="1" t="s">
        <v>2342</v>
      </c>
      <c r="O1838" s="1"/>
      <c r="P1838" s="1" t="n">
        <v>0.1</v>
      </c>
      <c r="Q1838" s="1" t="s">
        <v>2229</v>
      </c>
      <c r="R1838" s="1" t="s">
        <v>2229</v>
      </c>
      <c r="S1838" s="1" t="s">
        <v>2229</v>
      </c>
      <c r="T1838" s="1" t="s">
        <v>3481</v>
      </c>
    </row>
    <row r="1839" customFormat="false" ht="15" hidden="false" customHeight="true" outlineLevel="0" collapsed="false">
      <c r="A1839" s="1" t="s">
        <v>3585</v>
      </c>
      <c r="B1839" s="1" t="n">
        <v>1947</v>
      </c>
      <c r="C1839" s="1" t="n">
        <v>2</v>
      </c>
      <c r="D1839" s="1" t="s">
        <v>38</v>
      </c>
      <c r="E1839" s="1" t="s">
        <v>274</v>
      </c>
      <c r="F1839" s="1" t="n">
        <v>316</v>
      </c>
      <c r="G1839" s="1" t="n">
        <v>115</v>
      </c>
      <c r="H1839" s="2" t="n">
        <v>4500000</v>
      </c>
      <c r="I1839" s="2" t="n">
        <f aca="false">(((H1839 / 800) / IF(ISBLANK(R1839), 1000000, IF(ISNA(VLOOKUP(R1839, Mileages!$A$2:$C$34, 2, 0)), R1839, VLOOKUP(R1839, Mileages!$A$2:$C$34, 2, 0)))) + (F1839 * IF(ISBLANK(P1839), 1, P1839) * IF(ISBLANK(T1839), 0, IF(ISNA(VLOOKUP(T1839, 'Fuel Costs'!$A$2:$C$42, 2, 0)), T1839, VLOOKUP(T1839, 'Fuel Costs'!$A$2:$C$42, 2, 0))) / IF(ISBLANK(O1839), 1, O1839))) * 100</f>
        <v>271.4196429</v>
      </c>
      <c r="J1839" s="2" t="n">
        <f aca="false">((H1839 / 800) / (IF(ISBLANK(S1839), 100, IF(ISNA(VLOOKUP(S1839, Lives!$A$2:$C$35, 2, 0)), S1839, VLOOKUP(S1839, Lives!$A$2:$C$35, 2, 0))) * 12) + (IF(ISBLANK(Q1839), 0, IF(ISNA(VLOOKUP(Q1839, Wages!$A$2:$C$17, 2, 0)), Q1839, VLOOKUP(Q1839, Wages!$A$2:$C$17, 2, 0))) * IF(ISBLANK(N1839), 0, IF(ISNA(VLOOKUP(N1839, Crews!$A$2:$C$28, 2, 0)), N1839, VLOOKUP(N1839, Crews!$A$2:$C$28, 2, 0))))) * 400</f>
        <v>27750</v>
      </c>
      <c r="K1839" s="3" t="s">
        <v>3586</v>
      </c>
      <c r="L1839" s="1" t="s">
        <v>3587</v>
      </c>
      <c r="M1839" s="1" t="n">
        <v>0</v>
      </c>
      <c r="N1839" s="1" t="s">
        <v>590</v>
      </c>
      <c r="O1839" s="1" t="n">
        <v>0.7</v>
      </c>
      <c r="P1839" s="1"/>
      <c r="Q1839" s="5" t="s">
        <v>284</v>
      </c>
      <c r="R1839" s="1" t="s">
        <v>677</v>
      </c>
      <c r="S1839" s="1" t="s">
        <v>677</v>
      </c>
      <c r="T1839" s="1" t="s">
        <v>3553</v>
      </c>
    </row>
    <row r="1840" customFormat="false" ht="15" hidden="false" customHeight="true" outlineLevel="0" collapsed="false">
      <c r="A1840" s="1" t="s">
        <v>3588</v>
      </c>
      <c r="B1840" s="1" t="n">
        <v>1947</v>
      </c>
      <c r="C1840" s="1" t="n">
        <v>2</v>
      </c>
      <c r="D1840" s="1" t="s">
        <v>38</v>
      </c>
      <c r="E1840" s="1"/>
      <c r="F1840" s="1" t="n">
        <v>0</v>
      </c>
      <c r="G1840" s="1" t="n">
        <v>115</v>
      </c>
      <c r="H1840" s="2" t="n">
        <v>0</v>
      </c>
      <c r="I1840" s="2" t="n">
        <f aca="false">(((H1840 / 800) / IF(ISBLANK(R1840), 1000000, IF(ISNA(VLOOKUP(R1840, Mileages!$A$2:$C$34, 2, 0)), R1840, VLOOKUP(R1840, Mileages!$A$2:$C$34, 2, 0)))) + (F1840 * IF(ISBLANK(P1840), 1, P1840) * IF(ISBLANK(T1840), 0, IF(ISNA(VLOOKUP(T1840, 'Fuel Costs'!$A$2:$C$42, 2, 0)), T1840, VLOOKUP(T1840, 'Fuel Costs'!$A$2:$C$42, 2, 0))) / IF(ISBLANK(O1840), 1, O1840))) * 100</f>
        <v>0</v>
      </c>
      <c r="J1840" s="2" t="n">
        <f aca="false">((H1840 / 800) / (IF(ISBLANK(S1840), 100, IF(ISNA(VLOOKUP(S1840, Lives!$A$2:$C$35, 2, 0)), S1840, VLOOKUP(S1840, Lives!$A$2:$C$35, 2, 0))) * 12) + (IF(ISBLANK(Q1840), 0, IF(ISNA(VLOOKUP(Q1840, Wages!$A$2:$C$17, 2, 0)), Q1840, VLOOKUP(Q1840, Wages!$A$2:$C$17, 2, 0))) * IF(ISBLANK(N1840), 0, IF(ISNA(VLOOKUP(N1840, Crews!$A$2:$C$28, 2, 0)), N1840, VLOOKUP(N1840, Crews!$A$2:$C$28, 2, 0))))) * 400</f>
        <v>0</v>
      </c>
      <c r="K1840" s="1"/>
      <c r="L1840" s="1" t="s">
        <v>3587</v>
      </c>
      <c r="M1840" s="1" t="n">
        <v>1</v>
      </c>
      <c r="N1840" s="1"/>
      <c r="O1840" s="1"/>
      <c r="P1840" s="1"/>
      <c r="Q1840" s="1"/>
      <c r="R1840" s="1"/>
      <c r="S1840" s="1"/>
      <c r="T1840" s="1"/>
    </row>
    <row r="1841" customFormat="false" ht="15" hidden="false" customHeight="true" outlineLevel="0" collapsed="false">
      <c r="A1841" s="1" t="s">
        <v>3589</v>
      </c>
      <c r="B1841" s="1" t="n">
        <v>1947</v>
      </c>
      <c r="C1841" s="1" t="n">
        <v>4</v>
      </c>
      <c r="D1841" s="1" t="s">
        <v>21</v>
      </c>
      <c r="E1841" s="1" t="s">
        <v>2039</v>
      </c>
      <c r="F1841" s="1" t="n">
        <v>89</v>
      </c>
      <c r="G1841" s="1" t="n">
        <v>50</v>
      </c>
      <c r="H1841" s="2" t="n">
        <v>1042000</v>
      </c>
      <c r="I1841" s="2" t="n">
        <f aca="false">(((H1841 / 800) / IF(ISBLANK(R1841), 1000000, IF(ISNA(VLOOKUP(R1841, Mileages!$A$2:$C$34, 2, 0)), R1841, VLOOKUP(R1841, Mileages!$A$2:$C$34, 2, 0)))) + (F1841 * IF(ISBLANK(P1841), 1, P1841) * IF(ISBLANK(T1841), 0, IF(ISNA(VLOOKUP(T1841, 'Fuel Costs'!$A$2:$C$42, 2, 0)), T1841, VLOOKUP(T1841, 'Fuel Costs'!$A$2:$C$42, 2, 0))) / IF(ISBLANK(O1841), 1, O1841))) * 100</f>
        <v>89.13025</v>
      </c>
      <c r="J1841" s="2" t="n">
        <f aca="false">((H1841 / 800) / (IF(ISBLANK(S1841), 100, IF(ISNA(VLOOKUP(S1841, Lives!$A$2:$C$35, 2, 0)), S1841, VLOOKUP(S1841, Lives!$A$2:$C$35, 2, 0))) * 12) + (IF(ISBLANK(Q1841), 0, IF(ISNA(VLOOKUP(Q1841, Wages!$A$2:$C$17, 2, 0)), Q1841, VLOOKUP(Q1841, Wages!$A$2:$C$17, 2, 0))) * IF(ISBLANK(N1841), 0, IF(ISNA(VLOOKUP(N1841, Crews!$A$2:$C$28, 2, 0)), N1841, VLOOKUP(N1841, Crews!$A$2:$C$28, 2, 0))))) * 400</f>
        <v>8542.708333</v>
      </c>
      <c r="K1841" s="3" t="s">
        <v>3590</v>
      </c>
      <c r="L1841" s="1" t="s">
        <v>3591</v>
      </c>
      <c r="M1841" s="1" t="n">
        <v>0</v>
      </c>
      <c r="N1841" s="1" t="s">
        <v>1815</v>
      </c>
      <c r="O1841" s="1" t="n">
        <v>0.5</v>
      </c>
      <c r="P1841" s="1"/>
      <c r="Q1841" s="1" t="s">
        <v>1815</v>
      </c>
      <c r="R1841" s="1" t="s">
        <v>1843</v>
      </c>
      <c r="S1841" s="1" t="s">
        <v>1843</v>
      </c>
      <c r="T1841" s="1" t="s">
        <v>2041</v>
      </c>
    </row>
    <row r="1842" customFormat="false" ht="15" hidden="false" customHeight="true" outlineLevel="0" collapsed="false">
      <c r="A1842" s="1" t="s">
        <v>3592</v>
      </c>
      <c r="B1842" s="1" t="n">
        <v>1947</v>
      </c>
      <c r="C1842" s="1" t="n">
        <v>4</v>
      </c>
      <c r="D1842" s="1" t="s">
        <v>21</v>
      </c>
      <c r="E1842" s="1" t="s">
        <v>2039</v>
      </c>
      <c r="F1842" s="1" t="n">
        <v>56</v>
      </c>
      <c r="G1842" s="1" t="n">
        <v>61</v>
      </c>
      <c r="H1842" s="2" t="n">
        <v>168000</v>
      </c>
      <c r="I1842" s="2" t="n">
        <f aca="false">(((H1842 / 800) / IF(ISBLANK(R1842), 1000000, IF(ISNA(VLOOKUP(R1842, Mileages!$A$2:$C$34, 2, 0)), R1842, VLOOKUP(R1842, Mileages!$A$2:$C$34, 2, 0)))) + (F1842 * IF(ISBLANK(P1842), 1, P1842) * IF(ISBLANK(T1842), 0, IF(ISNA(VLOOKUP(T1842, 'Fuel Costs'!$A$2:$C$42, 2, 0)), T1842, VLOOKUP(T1842, 'Fuel Costs'!$A$2:$C$42, 2, 0))) / IF(ISBLANK(O1842), 1, O1842))) * 100</f>
        <v>56.021</v>
      </c>
      <c r="J1842" s="2" t="n">
        <f aca="false">((H1842 / 800) / (IF(ISBLANK(S1842), 100, IF(ISNA(VLOOKUP(S1842, Lives!$A$2:$C$35, 2, 0)), S1842, VLOOKUP(S1842, Lives!$A$2:$C$35, 2, 0))) * 12) + (IF(ISBLANK(Q1842), 0, IF(ISNA(VLOOKUP(Q1842, Wages!$A$2:$C$17, 2, 0)), Q1842, VLOOKUP(Q1842, Wages!$A$2:$C$17, 2, 0))) * IF(ISBLANK(N1842), 0, IF(ISNA(VLOOKUP(N1842, Crews!$A$2:$C$28, 2, 0)), N1842, VLOOKUP(N1842, Crews!$A$2:$C$28, 2, 0))))) * 400</f>
        <v>8087.5</v>
      </c>
      <c r="K1842" s="3" t="s">
        <v>3593</v>
      </c>
      <c r="L1842" s="1" t="s">
        <v>3594</v>
      </c>
      <c r="M1842" s="1" t="n">
        <v>0</v>
      </c>
      <c r="N1842" s="1" t="s">
        <v>1815</v>
      </c>
      <c r="O1842" s="1" t="n">
        <v>0.5</v>
      </c>
      <c r="P1842" s="1"/>
      <c r="Q1842" s="1" t="s">
        <v>1815</v>
      </c>
      <c r="R1842" s="1" t="s">
        <v>1843</v>
      </c>
      <c r="S1842" s="1" t="s">
        <v>1843</v>
      </c>
      <c r="T1842" s="1" t="s">
        <v>2041</v>
      </c>
    </row>
    <row r="1843" customFormat="false" ht="15" hidden="false" customHeight="true" outlineLevel="0" collapsed="false">
      <c r="A1843" s="1" t="s">
        <v>3595</v>
      </c>
      <c r="B1843" s="1" t="n">
        <v>1947</v>
      </c>
      <c r="C1843" s="1" t="n">
        <v>4</v>
      </c>
      <c r="D1843" s="1" t="s">
        <v>21</v>
      </c>
      <c r="E1843" s="1" t="s">
        <v>2039</v>
      </c>
      <c r="F1843" s="1" t="n">
        <v>56</v>
      </c>
      <c r="G1843" s="1" t="n">
        <v>61</v>
      </c>
      <c r="H1843" s="2" t="n">
        <v>168000</v>
      </c>
      <c r="I1843" s="2" t="n">
        <f aca="false">(((H1843 / 800) / IF(ISBLANK(R1843), 1000000, IF(ISNA(VLOOKUP(R1843, Mileages!$A$2:$C$34, 2, 0)), R1843, VLOOKUP(R1843, Mileages!$A$2:$C$34, 2, 0)))) + (F1843 * IF(ISBLANK(P1843), 1, P1843) * IF(ISBLANK(T1843), 0, IF(ISNA(VLOOKUP(T1843, 'Fuel Costs'!$A$2:$C$42, 2, 0)), T1843, VLOOKUP(T1843, 'Fuel Costs'!$A$2:$C$42, 2, 0))) / IF(ISBLANK(O1843), 1, O1843))) * 100</f>
        <v>56.021</v>
      </c>
      <c r="J1843" s="2" t="n">
        <f aca="false">((H1843 / 800) / (IF(ISBLANK(S1843), 100, IF(ISNA(VLOOKUP(S1843, Lives!$A$2:$C$35, 2, 0)), S1843, VLOOKUP(S1843, Lives!$A$2:$C$35, 2, 0))) * 12) + (IF(ISBLANK(Q1843), 0, IF(ISNA(VLOOKUP(Q1843, Wages!$A$2:$C$17, 2, 0)), Q1843, VLOOKUP(Q1843, Wages!$A$2:$C$17, 2, 0))) * IF(ISBLANK(N1843), 0, IF(ISNA(VLOOKUP(N1843, Crews!$A$2:$C$28, 2, 0)), N1843, VLOOKUP(N1843, Crews!$A$2:$C$28, 2, 0))))) * 400</f>
        <v>8087.5</v>
      </c>
      <c r="K1843" s="1"/>
      <c r="L1843" s="1" t="s">
        <v>3594</v>
      </c>
      <c r="M1843" s="1" t="n">
        <v>1</v>
      </c>
      <c r="N1843" s="1" t="s">
        <v>1815</v>
      </c>
      <c r="O1843" s="1" t="n">
        <v>0.5</v>
      </c>
      <c r="P1843" s="1"/>
      <c r="Q1843" s="1" t="s">
        <v>1815</v>
      </c>
      <c r="R1843" s="1" t="s">
        <v>1843</v>
      </c>
      <c r="S1843" s="1" t="s">
        <v>1843</v>
      </c>
      <c r="T1843" s="1" t="s">
        <v>2041</v>
      </c>
    </row>
    <row r="1844" customFormat="false" ht="15" hidden="false" customHeight="true" outlineLevel="0" collapsed="false">
      <c r="A1844" s="1" t="s">
        <v>3596</v>
      </c>
      <c r="B1844" s="1" t="n">
        <v>1947</v>
      </c>
      <c r="C1844" s="1" t="n">
        <v>4</v>
      </c>
      <c r="D1844" s="1" t="s">
        <v>21</v>
      </c>
      <c r="E1844" s="1" t="s">
        <v>2039</v>
      </c>
      <c r="F1844" s="1" t="n">
        <v>56</v>
      </c>
      <c r="G1844" s="1" t="n">
        <v>61</v>
      </c>
      <c r="H1844" s="2" t="n">
        <v>168000</v>
      </c>
      <c r="I1844" s="2" t="n">
        <f aca="false">(((H1844 / 800) / IF(ISBLANK(R1844), 1000000, IF(ISNA(VLOOKUP(R1844, Mileages!$A$2:$C$34, 2, 0)), R1844, VLOOKUP(R1844, Mileages!$A$2:$C$34, 2, 0)))) + (F1844 * IF(ISBLANK(P1844), 1, P1844) * IF(ISBLANK(T1844), 0, IF(ISNA(VLOOKUP(T1844, 'Fuel Costs'!$A$2:$C$42, 2, 0)), T1844, VLOOKUP(T1844, 'Fuel Costs'!$A$2:$C$42, 2, 0))) / IF(ISBLANK(O1844), 1, O1844))) * 100</f>
        <v>56.021</v>
      </c>
      <c r="J1844" s="2" t="n">
        <f aca="false">((H1844 / 800) / (IF(ISBLANK(S1844), 100, IF(ISNA(VLOOKUP(S1844, Lives!$A$2:$C$35, 2, 0)), S1844, VLOOKUP(S1844, Lives!$A$2:$C$35, 2, 0))) * 12) + (IF(ISBLANK(Q1844), 0, IF(ISNA(VLOOKUP(Q1844, Wages!$A$2:$C$17, 2, 0)), Q1844, VLOOKUP(Q1844, Wages!$A$2:$C$17, 2, 0))) * IF(ISBLANK(N1844), 0, IF(ISNA(VLOOKUP(N1844, Crews!$A$2:$C$28, 2, 0)), N1844, VLOOKUP(N1844, Crews!$A$2:$C$28, 2, 0))))) * 400</f>
        <v>8087.5</v>
      </c>
      <c r="K1844" s="1"/>
      <c r="L1844" s="1" t="s">
        <v>3594</v>
      </c>
      <c r="M1844" s="1" t="n">
        <v>2</v>
      </c>
      <c r="N1844" s="1" t="s">
        <v>1815</v>
      </c>
      <c r="O1844" s="1" t="n">
        <v>0.5</v>
      </c>
      <c r="P1844" s="1"/>
      <c r="Q1844" s="1" t="s">
        <v>1815</v>
      </c>
      <c r="R1844" s="1" t="s">
        <v>1843</v>
      </c>
      <c r="S1844" s="1" t="s">
        <v>1843</v>
      </c>
      <c r="T1844" s="1" t="s">
        <v>2041</v>
      </c>
    </row>
    <row r="1845" customFormat="false" ht="15" hidden="false" customHeight="true" outlineLevel="0" collapsed="false">
      <c r="A1845" s="1" t="s">
        <v>3597</v>
      </c>
      <c r="B1845" s="1" t="n">
        <v>1947</v>
      </c>
      <c r="C1845" s="1" t="n">
        <v>4</v>
      </c>
      <c r="D1845" s="1" t="s">
        <v>21</v>
      </c>
      <c r="E1845" s="1" t="s">
        <v>2039</v>
      </c>
      <c r="F1845" s="1" t="n">
        <v>56</v>
      </c>
      <c r="G1845" s="1" t="n">
        <v>61</v>
      </c>
      <c r="H1845" s="2" t="n">
        <v>168000</v>
      </c>
      <c r="I1845" s="2" t="n">
        <f aca="false">(((H1845 / 800) / IF(ISBLANK(R1845), 1000000, IF(ISNA(VLOOKUP(R1845, Mileages!$A$2:$C$34, 2, 0)), R1845, VLOOKUP(R1845, Mileages!$A$2:$C$34, 2, 0)))) + (F1845 * IF(ISBLANK(P1845), 1, P1845) * IF(ISBLANK(T1845), 0, IF(ISNA(VLOOKUP(T1845, 'Fuel Costs'!$A$2:$C$42, 2, 0)), T1845, VLOOKUP(T1845, 'Fuel Costs'!$A$2:$C$42, 2, 0))) / IF(ISBLANK(O1845), 1, O1845))) * 100</f>
        <v>56.021</v>
      </c>
      <c r="J1845" s="2" t="n">
        <f aca="false">((H1845 / 800) / (IF(ISBLANK(S1845), 100, IF(ISNA(VLOOKUP(S1845, Lives!$A$2:$C$35, 2, 0)), S1845, VLOOKUP(S1845, Lives!$A$2:$C$35, 2, 0))) * 12) + (IF(ISBLANK(Q1845), 0, IF(ISNA(VLOOKUP(Q1845, Wages!$A$2:$C$17, 2, 0)), Q1845, VLOOKUP(Q1845, Wages!$A$2:$C$17, 2, 0))) * IF(ISBLANK(N1845), 0, IF(ISNA(VLOOKUP(N1845, Crews!$A$2:$C$28, 2, 0)), N1845, VLOOKUP(N1845, Crews!$A$2:$C$28, 2, 0))))) * 400</f>
        <v>8087.5</v>
      </c>
      <c r="K1845" s="1"/>
      <c r="L1845" s="1" t="s">
        <v>3594</v>
      </c>
      <c r="M1845" s="1" t="n">
        <v>3</v>
      </c>
      <c r="N1845" s="1" t="s">
        <v>1815</v>
      </c>
      <c r="O1845" s="1" t="n">
        <v>0.5</v>
      </c>
      <c r="P1845" s="1"/>
      <c r="Q1845" s="1" t="s">
        <v>1815</v>
      </c>
      <c r="R1845" s="1" t="s">
        <v>1843</v>
      </c>
      <c r="S1845" s="1" t="s">
        <v>1843</v>
      </c>
      <c r="T1845" s="1" t="s">
        <v>2041</v>
      </c>
    </row>
    <row r="1846" customFormat="false" ht="15" hidden="false" customHeight="true" outlineLevel="0" collapsed="false">
      <c r="A1846" s="1" t="s">
        <v>3598</v>
      </c>
      <c r="B1846" s="1" t="n">
        <v>1947</v>
      </c>
      <c r="C1846" s="1" t="n">
        <v>4</v>
      </c>
      <c r="D1846" s="1" t="s">
        <v>21</v>
      </c>
      <c r="E1846" s="1" t="s">
        <v>2039</v>
      </c>
      <c r="F1846" s="1" t="n">
        <v>56</v>
      </c>
      <c r="G1846" s="1" t="n">
        <v>61</v>
      </c>
      <c r="H1846" s="2" t="n">
        <v>168000</v>
      </c>
      <c r="I1846" s="2" t="n">
        <f aca="false">(((H1846 / 800) / IF(ISBLANK(R1846), 1000000, IF(ISNA(VLOOKUP(R1846, Mileages!$A$2:$C$34, 2, 0)), R1846, VLOOKUP(R1846, Mileages!$A$2:$C$34, 2, 0)))) + (F1846 * IF(ISBLANK(P1846), 1, P1846) * IF(ISBLANK(T1846), 0, IF(ISNA(VLOOKUP(T1846, 'Fuel Costs'!$A$2:$C$42, 2, 0)), T1846, VLOOKUP(T1846, 'Fuel Costs'!$A$2:$C$42, 2, 0))) / IF(ISBLANK(O1846), 1, O1846))) * 100</f>
        <v>56.021</v>
      </c>
      <c r="J1846" s="2" t="n">
        <f aca="false">((H1846 / 800) / (IF(ISBLANK(S1846), 100, IF(ISNA(VLOOKUP(S1846, Lives!$A$2:$C$35, 2, 0)), S1846, VLOOKUP(S1846, Lives!$A$2:$C$35, 2, 0))) * 12) + (IF(ISBLANK(Q1846), 0, IF(ISNA(VLOOKUP(Q1846, Wages!$A$2:$C$17, 2, 0)), Q1846, VLOOKUP(Q1846, Wages!$A$2:$C$17, 2, 0))) * IF(ISBLANK(N1846), 0, IF(ISNA(VLOOKUP(N1846, Crews!$A$2:$C$28, 2, 0)), N1846, VLOOKUP(N1846, Crews!$A$2:$C$28, 2, 0))))) * 400</f>
        <v>8087.5</v>
      </c>
      <c r="K1846" s="1"/>
      <c r="L1846" s="1" t="s">
        <v>3594</v>
      </c>
      <c r="M1846" s="1" t="n">
        <v>4</v>
      </c>
      <c r="N1846" s="1" t="s">
        <v>1815</v>
      </c>
      <c r="O1846" s="1" t="n">
        <v>0.5</v>
      </c>
      <c r="P1846" s="1"/>
      <c r="Q1846" s="1" t="s">
        <v>1815</v>
      </c>
      <c r="R1846" s="1" t="s">
        <v>1843</v>
      </c>
      <c r="S1846" s="1" t="s">
        <v>1843</v>
      </c>
      <c r="T1846" s="1" t="s">
        <v>2041</v>
      </c>
    </row>
    <row r="1847" customFormat="false" ht="15" hidden="false" customHeight="true" outlineLevel="0" collapsed="false">
      <c r="A1847" s="1" t="s">
        <v>3599</v>
      </c>
      <c r="B1847" s="1" t="n">
        <v>1947</v>
      </c>
      <c r="C1847" s="1" t="n">
        <v>4</v>
      </c>
      <c r="D1847" s="1" t="s">
        <v>21</v>
      </c>
      <c r="E1847" s="1" t="s">
        <v>2039</v>
      </c>
      <c r="F1847" s="1" t="n">
        <v>56</v>
      </c>
      <c r="G1847" s="1" t="n">
        <v>61</v>
      </c>
      <c r="H1847" s="2" t="n">
        <v>168000</v>
      </c>
      <c r="I1847" s="2" t="n">
        <f aca="false">(((H1847 / 800) / IF(ISBLANK(R1847), 1000000, IF(ISNA(VLOOKUP(R1847, Mileages!$A$2:$C$34, 2, 0)), R1847, VLOOKUP(R1847, Mileages!$A$2:$C$34, 2, 0)))) + (F1847 * IF(ISBLANK(P1847), 1, P1847) * IF(ISBLANK(T1847), 0, IF(ISNA(VLOOKUP(T1847, 'Fuel Costs'!$A$2:$C$42, 2, 0)), T1847, VLOOKUP(T1847, 'Fuel Costs'!$A$2:$C$42, 2, 0))) / IF(ISBLANK(O1847), 1, O1847))) * 100</f>
        <v>56.021</v>
      </c>
      <c r="J1847" s="2" t="n">
        <f aca="false">((H1847 / 800) / (IF(ISBLANK(S1847), 100, IF(ISNA(VLOOKUP(S1847, Lives!$A$2:$C$35, 2, 0)), S1847, VLOOKUP(S1847, Lives!$A$2:$C$35, 2, 0))) * 12) + (IF(ISBLANK(Q1847), 0, IF(ISNA(VLOOKUP(Q1847, Wages!$A$2:$C$17, 2, 0)), Q1847, VLOOKUP(Q1847, Wages!$A$2:$C$17, 2, 0))) * IF(ISBLANK(N1847), 0, IF(ISNA(VLOOKUP(N1847, Crews!$A$2:$C$28, 2, 0)), N1847, VLOOKUP(N1847, Crews!$A$2:$C$28, 2, 0))))) * 400</f>
        <v>8087.5</v>
      </c>
      <c r="K1847" s="1"/>
      <c r="L1847" s="1" t="s">
        <v>3594</v>
      </c>
      <c r="M1847" s="1" t="n">
        <v>5</v>
      </c>
      <c r="N1847" s="1" t="s">
        <v>1815</v>
      </c>
      <c r="O1847" s="1" t="n">
        <v>0.5</v>
      </c>
      <c r="P1847" s="1"/>
      <c r="Q1847" s="1" t="s">
        <v>1815</v>
      </c>
      <c r="R1847" s="1" t="s">
        <v>1843</v>
      </c>
      <c r="S1847" s="1" t="s">
        <v>1843</v>
      </c>
      <c r="T1847" s="1" t="s">
        <v>2041</v>
      </c>
    </row>
    <row r="1848" customFormat="false" ht="15" hidden="false" customHeight="true" outlineLevel="0" collapsed="false">
      <c r="A1848" s="1" t="s">
        <v>3600</v>
      </c>
      <c r="B1848" s="1" t="n">
        <v>1947</v>
      </c>
      <c r="C1848" s="1" t="n">
        <v>4</v>
      </c>
      <c r="D1848" s="1" t="s">
        <v>21</v>
      </c>
      <c r="E1848" s="1" t="s">
        <v>2039</v>
      </c>
      <c r="F1848" s="1" t="n">
        <v>56</v>
      </c>
      <c r="G1848" s="1" t="n">
        <v>61</v>
      </c>
      <c r="H1848" s="2" t="n">
        <v>168000</v>
      </c>
      <c r="I1848" s="2" t="n">
        <f aca="false">(((H1848 / 800) / IF(ISBLANK(R1848), 1000000, IF(ISNA(VLOOKUP(R1848, Mileages!$A$2:$C$34, 2, 0)), R1848, VLOOKUP(R1848, Mileages!$A$2:$C$34, 2, 0)))) + (F1848 * IF(ISBLANK(P1848), 1, P1848) * IF(ISBLANK(T1848), 0, IF(ISNA(VLOOKUP(T1848, 'Fuel Costs'!$A$2:$C$42, 2, 0)), T1848, VLOOKUP(T1848, 'Fuel Costs'!$A$2:$C$42, 2, 0))) / IF(ISBLANK(O1848), 1, O1848))) * 100</f>
        <v>56.021</v>
      </c>
      <c r="J1848" s="2" t="n">
        <f aca="false">((H1848 / 800) / (IF(ISBLANK(S1848), 100, IF(ISNA(VLOOKUP(S1848, Lives!$A$2:$C$35, 2, 0)), S1848, VLOOKUP(S1848, Lives!$A$2:$C$35, 2, 0))) * 12) + (IF(ISBLANK(Q1848), 0, IF(ISNA(VLOOKUP(Q1848, Wages!$A$2:$C$17, 2, 0)), Q1848, VLOOKUP(Q1848, Wages!$A$2:$C$17, 2, 0))) * IF(ISBLANK(N1848), 0, IF(ISNA(VLOOKUP(N1848, Crews!$A$2:$C$28, 2, 0)), N1848, VLOOKUP(N1848, Crews!$A$2:$C$28, 2, 0))))) * 400</f>
        <v>8087.5</v>
      </c>
      <c r="K1848" s="1"/>
      <c r="L1848" s="1" t="s">
        <v>3594</v>
      </c>
      <c r="M1848" s="1" t="n">
        <v>6</v>
      </c>
      <c r="N1848" s="1" t="s">
        <v>1815</v>
      </c>
      <c r="O1848" s="1" t="n">
        <v>0.5</v>
      </c>
      <c r="P1848" s="1"/>
      <c r="Q1848" s="1" t="s">
        <v>1815</v>
      </c>
      <c r="R1848" s="1" t="s">
        <v>1843</v>
      </c>
      <c r="S1848" s="1" t="s">
        <v>1843</v>
      </c>
      <c r="T1848" s="1" t="s">
        <v>2041</v>
      </c>
    </row>
    <row r="1849" customFormat="false" ht="15" hidden="false" customHeight="true" outlineLevel="0" collapsed="false">
      <c r="A1849" s="1" t="s">
        <v>3601</v>
      </c>
      <c r="B1849" s="1" t="n">
        <v>1947</v>
      </c>
      <c r="C1849" s="1" t="n">
        <v>10</v>
      </c>
      <c r="D1849" s="1" t="s">
        <v>38</v>
      </c>
      <c r="E1849" s="1" t="s">
        <v>2039</v>
      </c>
      <c r="F1849" s="1" t="n">
        <v>1200</v>
      </c>
      <c r="G1849" s="1" t="n">
        <v>150</v>
      </c>
      <c r="H1849" s="2" t="n">
        <v>11491200</v>
      </c>
      <c r="I1849" s="2" t="n">
        <f aca="false">(((H1849 / 800) / IF(ISBLANK(R1849), 1000000, IF(ISNA(VLOOKUP(R1849, Mileages!$A$2:$C$34, 2, 0)), R1849, VLOOKUP(R1849, Mileages!$A$2:$C$34, 2, 0)))) + (F1849 * IF(ISBLANK(P1849), 1, P1849) * IF(ISBLANK(T1849), 0, IF(ISNA(VLOOKUP(T1849, 'Fuel Costs'!$A$2:$C$42, 2, 0)), T1849, VLOOKUP(T1849, 'Fuel Costs'!$A$2:$C$42, 2, 0))) / IF(ISBLANK(O1849), 1, O1849))) * 100</f>
        <v>1202.8728</v>
      </c>
      <c r="J1849" s="2" t="n">
        <f aca="false">((H1849 / 800) / (IF(ISBLANK(S1849), 100, IF(ISNA(VLOOKUP(S1849, Lives!$A$2:$C$35, 2, 0)), S1849, VLOOKUP(S1849, Lives!$A$2:$C$35, 2, 0))) * 12) + (IF(ISBLANK(Q1849), 0, IF(ISNA(VLOOKUP(Q1849, Wages!$A$2:$C$17, 2, 0)), Q1849, VLOOKUP(Q1849, Wages!$A$2:$C$17, 2, 0))) * IF(ISBLANK(N1849), 0, IF(ISNA(VLOOKUP(N1849, Crews!$A$2:$C$28, 2, 0)), N1849, VLOOKUP(N1849, Crews!$A$2:$C$28, 2, 0))))) * 400</f>
        <v>21970</v>
      </c>
      <c r="K1849" s="3" t="s">
        <v>3602</v>
      </c>
      <c r="L1849" s="1" t="s">
        <v>3603</v>
      </c>
      <c r="M1849" s="1" t="n">
        <v>0</v>
      </c>
      <c r="N1849" s="1" t="s">
        <v>1488</v>
      </c>
      <c r="O1849" s="1" t="n">
        <v>0.5</v>
      </c>
      <c r="P1849" s="1"/>
      <c r="Q1849" s="1" t="s">
        <v>1488</v>
      </c>
      <c r="R1849" s="1" t="s">
        <v>3179</v>
      </c>
      <c r="S1849" s="1" t="s">
        <v>3179</v>
      </c>
      <c r="T1849" s="1" t="s">
        <v>2041</v>
      </c>
    </row>
    <row r="1850" customFormat="false" ht="15" hidden="false" customHeight="true" outlineLevel="0" collapsed="false">
      <c r="A1850" s="1" t="s">
        <v>3604</v>
      </c>
      <c r="B1850" s="1" t="n">
        <v>1948</v>
      </c>
      <c r="C1850" s="1" t="n">
        <v>1</v>
      </c>
      <c r="D1850" s="1" t="s">
        <v>21</v>
      </c>
      <c r="E1850" s="1" t="s">
        <v>1346</v>
      </c>
      <c r="F1850" s="1" t="n">
        <v>89</v>
      </c>
      <c r="G1850" s="1" t="n">
        <v>50</v>
      </c>
      <c r="H1850" s="2" t="n">
        <v>42000</v>
      </c>
      <c r="I1850" s="2" t="n">
        <f aca="false">(((H1850 / 800) / IF(ISBLANK(R1850), 1000000, IF(ISNA(VLOOKUP(R1850, Mileages!$A$2:$C$34, 2, 0)), R1850, VLOOKUP(R1850, Mileages!$A$2:$C$34, 2, 0)))) + (F1850 * IF(ISBLANK(P1850), 1, P1850) * IF(ISBLANK(T1850), 0, IF(ISNA(VLOOKUP(T1850, 'Fuel Costs'!$A$2:$C$42, 2, 0)), T1850, VLOOKUP(T1850, 'Fuel Costs'!$A$2:$C$42, 2, 0))) / IF(ISBLANK(O1850), 1, O1850))) * 100</f>
        <v>17.807</v>
      </c>
      <c r="J1850" s="2" t="n">
        <f aca="false">((H1850 / 800) / (IF(ISBLANK(S1850), 100, IF(ISNA(VLOOKUP(S1850, Lives!$A$2:$C$35, 2, 0)), S1850, VLOOKUP(S1850, Lives!$A$2:$C$35, 2, 0))) * 12) + (IF(ISBLANK(Q1850), 0, IF(ISNA(VLOOKUP(Q1850, Wages!$A$2:$C$17, 2, 0)), Q1850, VLOOKUP(Q1850, Wages!$A$2:$C$17, 2, 0))) * IF(ISBLANK(N1850), 0, IF(ISNA(VLOOKUP(N1850, Crews!$A$2:$C$28, 2, 0)), N1850, VLOOKUP(N1850, Crews!$A$2:$C$28, 2, 0))))) * 400</f>
        <v>12043.75</v>
      </c>
      <c r="K1850" s="3" t="s">
        <v>3605</v>
      </c>
      <c r="L1850" s="1" t="s">
        <v>3606</v>
      </c>
      <c r="M1850" s="1" t="n">
        <v>0</v>
      </c>
      <c r="N1850" s="1" t="s">
        <v>3063</v>
      </c>
      <c r="O1850" s="1"/>
      <c r="P1850" s="1"/>
      <c r="Q1850" s="1" t="s">
        <v>3064</v>
      </c>
      <c r="R1850" s="1" t="s">
        <v>3064</v>
      </c>
      <c r="S1850" s="1" t="s">
        <v>3064</v>
      </c>
      <c r="T1850" s="1" t="s">
        <v>3471</v>
      </c>
    </row>
    <row r="1851" customFormat="false" ht="15" hidden="false" customHeight="true" outlineLevel="0" collapsed="false">
      <c r="A1851" s="1" t="s">
        <v>3607</v>
      </c>
      <c r="B1851" s="1" t="n">
        <v>1948</v>
      </c>
      <c r="C1851" s="1" t="n">
        <v>4</v>
      </c>
      <c r="D1851" s="1" t="s">
        <v>21</v>
      </c>
      <c r="E1851" s="1" t="s">
        <v>2039</v>
      </c>
      <c r="F1851" s="1" t="n">
        <v>89</v>
      </c>
      <c r="G1851" s="1" t="n">
        <v>50</v>
      </c>
      <c r="H1851" s="2" t="n">
        <v>452500</v>
      </c>
      <c r="I1851" s="2" t="n">
        <f aca="false">(((H1851 / 800) / IF(ISBLANK(R1851), 1000000, IF(ISNA(VLOOKUP(R1851, Mileages!$A$2:$C$34, 2, 0)), R1851, VLOOKUP(R1851, Mileages!$A$2:$C$34, 2, 0)))) + (F1851 * IF(ISBLANK(P1851), 1, P1851) * IF(ISBLANK(T1851), 0, IF(ISNA(VLOOKUP(T1851, 'Fuel Costs'!$A$2:$C$42, 2, 0)), T1851, VLOOKUP(T1851, 'Fuel Costs'!$A$2:$C$42, 2, 0))) / IF(ISBLANK(O1851), 1, O1851))) * 100</f>
        <v>89.0565625</v>
      </c>
      <c r="J1851" s="2" t="n">
        <f aca="false">((H1851 / 800) / (IF(ISBLANK(S1851), 100, IF(ISNA(VLOOKUP(S1851, Lives!$A$2:$C$35, 2, 0)), S1851, VLOOKUP(S1851, Lives!$A$2:$C$35, 2, 0))) * 12) + (IF(ISBLANK(Q1851), 0, IF(ISNA(VLOOKUP(Q1851, Wages!$A$2:$C$17, 2, 0)), Q1851, VLOOKUP(Q1851, Wages!$A$2:$C$17, 2, 0))) * IF(ISBLANK(N1851), 0, IF(ISNA(VLOOKUP(N1851, Crews!$A$2:$C$28, 2, 0)), N1851, VLOOKUP(N1851, Crews!$A$2:$C$28, 2, 0))))) * 400</f>
        <v>8235.677083</v>
      </c>
      <c r="K1851" s="3" t="s">
        <v>3608</v>
      </c>
      <c r="L1851" s="1" t="s">
        <v>3609</v>
      </c>
      <c r="M1851" s="1" t="n">
        <v>0</v>
      </c>
      <c r="N1851" s="1" t="s">
        <v>1815</v>
      </c>
      <c r="O1851" s="1" t="n">
        <v>0.5</v>
      </c>
      <c r="P1851" s="1"/>
      <c r="Q1851" s="1" t="s">
        <v>1815</v>
      </c>
      <c r="R1851" s="1" t="s">
        <v>1843</v>
      </c>
      <c r="S1851" s="1" t="s">
        <v>1843</v>
      </c>
      <c r="T1851" s="1" t="s">
        <v>2041</v>
      </c>
    </row>
    <row r="1852" customFormat="false" ht="15" hidden="false" customHeight="true" outlineLevel="0" collapsed="false">
      <c r="A1852" s="1" t="s">
        <v>3610</v>
      </c>
      <c r="B1852" s="1" t="n">
        <v>1948</v>
      </c>
      <c r="C1852" s="1" t="n">
        <v>6</v>
      </c>
      <c r="D1852" s="1" t="s">
        <v>29</v>
      </c>
      <c r="E1852" s="1" t="s">
        <v>2039</v>
      </c>
      <c r="F1852" s="1" t="n">
        <v>100</v>
      </c>
      <c r="G1852" s="1" t="n">
        <v>8</v>
      </c>
      <c r="H1852" s="2" t="n">
        <v>270000</v>
      </c>
      <c r="I1852" s="2" t="n">
        <f aca="false">(((H1852 / 800) / IF(ISBLANK(R1852), 1000000, IF(ISNA(VLOOKUP(R1852, Mileages!$A$2:$C$34, 2, 0)), R1852, VLOOKUP(R1852, Mileages!$A$2:$C$34, 2, 0)))) + (F1852 * IF(ISBLANK(P1852), 1, P1852) * IF(ISBLANK(T1852), 0, IF(ISNA(VLOOKUP(T1852, 'Fuel Costs'!$A$2:$C$42, 2, 0)), T1852, VLOOKUP(T1852, 'Fuel Costs'!$A$2:$C$42, 2, 0))) / IF(ISBLANK(O1852), 1, O1852))) * 100</f>
        <v>20.016875</v>
      </c>
      <c r="J1852" s="2" t="n">
        <f aca="false">((H1852 / 800) / (IF(ISBLANK(S1852), 100, IF(ISNA(VLOOKUP(S1852, Lives!$A$2:$C$35, 2, 0)), S1852, VLOOKUP(S1852, Lives!$A$2:$C$35, 2, 0))) * 12) + (IF(ISBLANK(Q1852), 0, IF(ISNA(VLOOKUP(Q1852, Wages!$A$2:$C$17, 2, 0)), Q1852, VLOOKUP(Q1852, Wages!$A$2:$C$17, 2, 0))) * IF(ISBLANK(N1852), 0, IF(ISNA(VLOOKUP(N1852, Crews!$A$2:$C$28, 2, 0)), N1852, VLOOKUP(N1852, Crews!$A$2:$C$28, 2, 0))))) * 400</f>
        <v>8112.5</v>
      </c>
      <c r="K1852" s="1" t="s">
        <v>63</v>
      </c>
      <c r="L1852" s="1" t="s">
        <v>3611</v>
      </c>
      <c r="M1852" s="1" t="n">
        <v>0</v>
      </c>
      <c r="N1852" s="7" t="s">
        <v>25</v>
      </c>
      <c r="O1852" s="1" t="n">
        <v>0.5</v>
      </c>
      <c r="P1852" s="1" t="n">
        <v>0.2</v>
      </c>
      <c r="Q1852" s="7" t="s">
        <v>1815</v>
      </c>
      <c r="R1852" s="1" t="s">
        <v>574</v>
      </c>
      <c r="S1852" s="1" t="s">
        <v>574</v>
      </c>
      <c r="T1852" s="1" t="s">
        <v>2041</v>
      </c>
    </row>
    <row r="1853" customFormat="false" ht="15" hidden="false" customHeight="true" outlineLevel="0" collapsed="false">
      <c r="A1853" s="1" t="s">
        <v>3612</v>
      </c>
      <c r="B1853" s="1" t="n">
        <v>1948</v>
      </c>
      <c r="C1853" s="1" t="n">
        <v>7</v>
      </c>
      <c r="D1853" s="1" t="s">
        <v>876</v>
      </c>
      <c r="E1853" s="1" t="s">
        <v>1346</v>
      </c>
      <c r="F1853" s="1" t="n">
        <v>107</v>
      </c>
      <c r="G1853" s="1" t="n">
        <v>67</v>
      </c>
      <c r="H1853" s="2" t="n">
        <v>510000</v>
      </c>
      <c r="I1853" s="2" t="n">
        <f aca="false">(((H1853 / 800) / IF(ISBLANK(R1853), 1000000, IF(ISNA(VLOOKUP(R1853, Mileages!$A$2:$C$34, 2, 0)), R1853, VLOOKUP(R1853, Mileages!$A$2:$C$34, 2, 0)))) + (F1853 * IF(ISBLANK(P1853), 1, P1853) * IF(ISBLANK(T1853), 0, IF(ISNA(VLOOKUP(T1853, 'Fuel Costs'!$A$2:$C$42, 2, 0)), T1853, VLOOKUP(T1853, 'Fuel Costs'!$A$2:$C$42, 2, 0))) / IF(ISBLANK(O1853), 1, O1853))) * 100</f>
        <v>21.46375</v>
      </c>
      <c r="J1853" s="2" t="n">
        <f aca="false">((H1853 / 800) / (IF(ISBLANK(S1853), 100, IF(ISNA(VLOOKUP(S1853, Lives!$A$2:$C$35, 2, 0)), S1853, VLOOKUP(S1853, Lives!$A$2:$C$35, 2, 0))) * 12) + (IF(ISBLANK(Q1853), 0, IF(ISNA(VLOOKUP(Q1853, Wages!$A$2:$C$17, 2, 0)), Q1853, VLOOKUP(Q1853, Wages!$A$2:$C$17, 2, 0))) * IF(ISBLANK(N1853), 0, IF(ISNA(VLOOKUP(N1853, Crews!$A$2:$C$28, 2, 0)), N1853, VLOOKUP(N1853, Crews!$A$2:$C$28, 2, 0))))) * 400</f>
        <v>6425</v>
      </c>
      <c r="K1853" s="3" t="s">
        <v>3613</v>
      </c>
      <c r="L1853" s="1" t="s">
        <v>3614</v>
      </c>
      <c r="M1853" s="1" t="n">
        <v>0</v>
      </c>
      <c r="N1853" s="1" t="s">
        <v>895</v>
      </c>
      <c r="O1853" s="1"/>
      <c r="P1853" s="1"/>
      <c r="Q1853" s="1" t="s">
        <v>895</v>
      </c>
      <c r="R1853" s="1" t="s">
        <v>1349</v>
      </c>
      <c r="S1853" s="1" t="s">
        <v>1350</v>
      </c>
      <c r="T1853" s="1" t="s">
        <v>3471</v>
      </c>
    </row>
    <row r="1854" customFormat="false" ht="15" hidden="false" customHeight="true" outlineLevel="0" collapsed="false">
      <c r="A1854" s="1" t="s">
        <v>3615</v>
      </c>
      <c r="B1854" s="1" t="n">
        <v>1948</v>
      </c>
      <c r="C1854" s="1" t="n">
        <v>7</v>
      </c>
      <c r="D1854" s="1" t="s">
        <v>21</v>
      </c>
      <c r="E1854" s="1" t="s">
        <v>1839</v>
      </c>
      <c r="F1854" s="1" t="n">
        <v>34</v>
      </c>
      <c r="G1854" s="1" t="n">
        <v>50</v>
      </c>
      <c r="H1854" s="2" t="n">
        <v>125000</v>
      </c>
      <c r="I1854" s="2" t="n">
        <f aca="false">(((H1854 / 800) / IF(ISBLANK(R1854), 1000000, IF(ISNA(VLOOKUP(R1854, Mileages!$A$2:$C$34, 2, 0)), R1854, VLOOKUP(R1854, Mileages!$A$2:$C$34, 2, 0)))) + (F1854 * IF(ISBLANK(P1854), 1, P1854) * IF(ISBLANK(T1854), 0, IF(ISNA(VLOOKUP(T1854, 'Fuel Costs'!$A$2:$C$42, 2, 0)), T1854, VLOOKUP(T1854, 'Fuel Costs'!$A$2:$C$42, 2, 0))) / IF(ISBLANK(O1854), 1, O1854))) * 100</f>
        <v>27.65625</v>
      </c>
      <c r="J1854" s="2" t="n">
        <f aca="false">((H1854 / 800) / (IF(ISBLANK(S1854), 100, IF(ISNA(VLOOKUP(S1854, Lives!$A$2:$C$35, 2, 0)), S1854, VLOOKUP(S1854, Lives!$A$2:$C$35, 2, 0))) * 12) + (IF(ISBLANK(Q1854), 0, IF(ISNA(VLOOKUP(Q1854, Wages!$A$2:$C$17, 2, 0)), Q1854, VLOOKUP(Q1854, Wages!$A$2:$C$17, 2, 0))) * IF(ISBLANK(N1854), 0, IF(ISNA(VLOOKUP(N1854, Crews!$A$2:$C$28, 2, 0)), N1854, VLOOKUP(N1854, Crews!$A$2:$C$28, 2, 0))))) * 400</f>
        <v>8065.104167</v>
      </c>
      <c r="K1854" s="3" t="s">
        <v>3616</v>
      </c>
      <c r="L1854" s="1" t="s">
        <v>3182</v>
      </c>
      <c r="M1854" s="1" t="n">
        <v>0</v>
      </c>
      <c r="N1854" s="1" t="s">
        <v>25</v>
      </c>
      <c r="O1854" s="1" t="n">
        <v>0.8</v>
      </c>
      <c r="P1854" s="1"/>
      <c r="Q1854" s="1" t="s">
        <v>1815</v>
      </c>
      <c r="R1854" s="1" t="s">
        <v>1842</v>
      </c>
      <c r="S1854" s="1" t="s">
        <v>1843</v>
      </c>
      <c r="T1854" s="1" t="s">
        <v>3617</v>
      </c>
    </row>
    <row r="1855" customFormat="false" ht="15" hidden="false" customHeight="true" outlineLevel="0" collapsed="false">
      <c r="A1855" s="1" t="s">
        <v>3618</v>
      </c>
      <c r="B1855" s="1" t="n">
        <v>1948</v>
      </c>
      <c r="C1855" s="1" t="n">
        <v>10</v>
      </c>
      <c r="D1855" s="1" t="s">
        <v>21</v>
      </c>
      <c r="E1855" s="1" t="s">
        <v>1839</v>
      </c>
      <c r="F1855" s="1" t="n">
        <v>26</v>
      </c>
      <c r="G1855" s="1" t="n">
        <v>115</v>
      </c>
      <c r="H1855" s="2" t="n">
        <v>97500</v>
      </c>
      <c r="I1855" s="2" t="n">
        <f aca="false">(((H1855 / 800) / IF(ISBLANK(R1855), 1000000, IF(ISNA(VLOOKUP(R1855, Mileages!$A$2:$C$34, 2, 0)), R1855, VLOOKUP(R1855, Mileages!$A$2:$C$34, 2, 0)))) + (F1855 * IF(ISBLANK(P1855), 1, P1855) * IF(ISBLANK(T1855), 0, IF(ISNA(VLOOKUP(T1855, 'Fuel Costs'!$A$2:$C$42, 2, 0)), T1855, VLOOKUP(T1855, 'Fuel Costs'!$A$2:$C$42, 2, 0))) / IF(ISBLANK(O1855), 1, O1855))) * 100</f>
        <v>21.149375</v>
      </c>
      <c r="J1855" s="2" t="n">
        <f aca="false">((H1855 / 800) / (IF(ISBLANK(S1855), 100, IF(ISNA(VLOOKUP(S1855, Lives!$A$2:$C$35, 2, 0)), S1855, VLOOKUP(S1855, Lives!$A$2:$C$35, 2, 0))) * 12) + (IF(ISBLANK(Q1855), 0, IF(ISNA(VLOOKUP(Q1855, Wages!$A$2:$C$17, 2, 0)), Q1855, VLOOKUP(Q1855, Wages!$A$2:$C$17, 2, 0))) * IF(ISBLANK(N1855), 0, IF(ISNA(VLOOKUP(N1855, Crews!$A$2:$C$28, 2, 0)), N1855, VLOOKUP(N1855, Crews!$A$2:$C$28, 2, 0))))) * 400</f>
        <v>8050.78125</v>
      </c>
      <c r="K1855" s="1"/>
      <c r="L1855" s="1" t="s">
        <v>3619</v>
      </c>
      <c r="M1855" s="1" t="n">
        <v>0</v>
      </c>
      <c r="N1855" s="1" t="s">
        <v>25</v>
      </c>
      <c r="O1855" s="1" t="n">
        <v>0.8</v>
      </c>
      <c r="P1855" s="1"/>
      <c r="Q1855" s="1" t="s">
        <v>1815</v>
      </c>
      <c r="R1855" s="1" t="s">
        <v>1842</v>
      </c>
      <c r="S1855" s="1" t="s">
        <v>1843</v>
      </c>
      <c r="T1855" s="1" t="s">
        <v>3617</v>
      </c>
    </row>
    <row r="1856" customFormat="false" ht="15" hidden="false" customHeight="true" outlineLevel="0" collapsed="false">
      <c r="A1856" s="1" t="s">
        <v>3620</v>
      </c>
      <c r="B1856" s="1" t="n">
        <v>1948</v>
      </c>
      <c r="C1856" s="1" t="n">
        <v>10</v>
      </c>
      <c r="D1856" s="1" t="s">
        <v>21</v>
      </c>
      <c r="E1856" s="1" t="s">
        <v>1839</v>
      </c>
      <c r="F1856" s="1" t="n">
        <v>26</v>
      </c>
      <c r="G1856" s="1" t="n">
        <v>115</v>
      </c>
      <c r="H1856" s="2" t="n">
        <v>97500</v>
      </c>
      <c r="I1856" s="2" t="n">
        <f aca="false">(((H1856 / 800) / IF(ISBLANK(R1856), 1000000, IF(ISNA(VLOOKUP(R1856, Mileages!$A$2:$C$34, 2, 0)), R1856, VLOOKUP(R1856, Mileages!$A$2:$C$34, 2, 0)))) + (F1856 * IF(ISBLANK(P1856), 1, P1856) * IF(ISBLANK(T1856), 0, IF(ISNA(VLOOKUP(T1856, 'Fuel Costs'!$A$2:$C$42, 2, 0)), T1856, VLOOKUP(T1856, 'Fuel Costs'!$A$2:$C$42, 2, 0))) / IF(ISBLANK(O1856), 1, O1856))) * 100</f>
        <v>21.149375</v>
      </c>
      <c r="J1856" s="2" t="n">
        <f aca="false">((H1856 / 800) / (IF(ISBLANK(S1856), 100, IF(ISNA(VLOOKUP(S1856, Lives!$A$2:$C$35, 2, 0)), S1856, VLOOKUP(S1856, Lives!$A$2:$C$35, 2, 0))) * 12) + (IF(ISBLANK(Q1856), 0, IF(ISNA(VLOOKUP(Q1856, Wages!$A$2:$C$17, 2, 0)), Q1856, VLOOKUP(Q1856, Wages!$A$2:$C$17, 2, 0))) * IF(ISBLANK(N1856), 0, IF(ISNA(VLOOKUP(N1856, Crews!$A$2:$C$28, 2, 0)), N1856, VLOOKUP(N1856, Crews!$A$2:$C$28, 2, 0))))) * 400</f>
        <v>8050.78125</v>
      </c>
      <c r="K1856" s="1"/>
      <c r="L1856" s="1" t="s">
        <v>3619</v>
      </c>
      <c r="M1856" s="1" t="n">
        <v>1</v>
      </c>
      <c r="N1856" s="1" t="s">
        <v>25</v>
      </c>
      <c r="O1856" s="1" t="n">
        <v>0.8</v>
      </c>
      <c r="P1856" s="1"/>
      <c r="Q1856" s="1" t="s">
        <v>1815</v>
      </c>
      <c r="R1856" s="1" t="s">
        <v>1842</v>
      </c>
      <c r="S1856" s="1" t="s">
        <v>1843</v>
      </c>
      <c r="T1856" s="1" t="s">
        <v>3617</v>
      </c>
    </row>
    <row r="1857" customFormat="false" ht="15" hidden="false" customHeight="true" outlineLevel="0" collapsed="false">
      <c r="A1857" s="1" t="s">
        <v>3621</v>
      </c>
      <c r="B1857" s="1" t="n">
        <v>1948</v>
      </c>
      <c r="C1857" s="1" t="n">
        <v>10</v>
      </c>
      <c r="D1857" s="1" t="s">
        <v>21</v>
      </c>
      <c r="E1857" s="1" t="s">
        <v>1839</v>
      </c>
      <c r="F1857" s="1" t="n">
        <v>26</v>
      </c>
      <c r="G1857" s="1" t="n">
        <v>115</v>
      </c>
      <c r="H1857" s="2" t="n">
        <v>97500</v>
      </c>
      <c r="I1857" s="2" t="n">
        <f aca="false">(((H1857 / 800) / IF(ISBLANK(R1857), 1000000, IF(ISNA(VLOOKUP(R1857, Mileages!$A$2:$C$34, 2, 0)), R1857, VLOOKUP(R1857, Mileages!$A$2:$C$34, 2, 0)))) + (F1857 * IF(ISBLANK(P1857), 1, P1857) * IF(ISBLANK(T1857), 0, IF(ISNA(VLOOKUP(T1857, 'Fuel Costs'!$A$2:$C$42, 2, 0)), T1857, VLOOKUP(T1857, 'Fuel Costs'!$A$2:$C$42, 2, 0))) / IF(ISBLANK(O1857), 1, O1857))) * 100</f>
        <v>21.149375</v>
      </c>
      <c r="J1857" s="2" t="n">
        <f aca="false">((H1857 / 800) / (IF(ISBLANK(S1857), 100, IF(ISNA(VLOOKUP(S1857, Lives!$A$2:$C$35, 2, 0)), S1857, VLOOKUP(S1857, Lives!$A$2:$C$35, 2, 0))) * 12) + (IF(ISBLANK(Q1857), 0, IF(ISNA(VLOOKUP(Q1857, Wages!$A$2:$C$17, 2, 0)), Q1857, VLOOKUP(Q1857, Wages!$A$2:$C$17, 2, 0))) * IF(ISBLANK(N1857), 0, IF(ISNA(VLOOKUP(N1857, Crews!$A$2:$C$28, 2, 0)), N1857, VLOOKUP(N1857, Crews!$A$2:$C$28, 2, 0))))) * 400</f>
        <v>8050.78125</v>
      </c>
      <c r="K1857" s="1"/>
      <c r="L1857" s="1" t="s">
        <v>3619</v>
      </c>
      <c r="M1857" s="1" t="n">
        <v>2</v>
      </c>
      <c r="N1857" s="1" t="s">
        <v>25</v>
      </c>
      <c r="O1857" s="1" t="n">
        <v>0.8</v>
      </c>
      <c r="P1857" s="1"/>
      <c r="Q1857" s="1" t="s">
        <v>1815</v>
      </c>
      <c r="R1857" s="1" t="s">
        <v>1842</v>
      </c>
      <c r="S1857" s="1" t="s">
        <v>1843</v>
      </c>
      <c r="T1857" s="1" t="s">
        <v>3617</v>
      </c>
    </row>
    <row r="1858" customFormat="false" ht="15" hidden="false" customHeight="true" outlineLevel="0" collapsed="false">
      <c r="A1858" s="1" t="s">
        <v>3622</v>
      </c>
      <c r="B1858" s="1" t="n">
        <v>1949</v>
      </c>
      <c r="C1858" s="1" t="n">
        <v>2</v>
      </c>
      <c r="D1858" s="1" t="s">
        <v>38</v>
      </c>
      <c r="E1858" s="1" t="s">
        <v>274</v>
      </c>
      <c r="F1858" s="1" t="n">
        <v>512</v>
      </c>
      <c r="G1858" s="1" t="n">
        <v>140</v>
      </c>
      <c r="H1858" s="2" t="n">
        <v>10298000</v>
      </c>
      <c r="I1858" s="2" t="n">
        <f aca="false">(((H1858 / 800) / IF(ISBLANK(R1858), 1000000, IF(ISNA(VLOOKUP(R1858, Mileages!$A$2:$C$34, 2, 0)), R1858, VLOOKUP(R1858, Mileages!$A$2:$C$34, 2, 0)))) + (F1858 * IF(ISBLANK(P1858), 1, P1858) * IF(ISBLANK(T1858), 0, IF(ISNA(VLOOKUP(T1858, 'Fuel Costs'!$A$2:$C$42, 2, 0)), T1858, VLOOKUP(T1858, 'Fuel Costs'!$A$2:$C$42, 2, 0))) / IF(ISBLANK(O1858), 1, O1858))) * 100</f>
        <v>440.1443929</v>
      </c>
      <c r="J1858" s="2" t="n">
        <f aca="false">((H1858 / 800) / (IF(ISBLANK(S1858), 100, IF(ISNA(VLOOKUP(S1858, Lives!$A$2:$C$35, 2, 0)), S1858, VLOOKUP(S1858, Lives!$A$2:$C$35, 2, 0))) * 12) + (IF(ISBLANK(Q1858), 0, IF(ISNA(VLOOKUP(Q1858, Wages!$A$2:$C$17, 2, 0)), Q1858, VLOOKUP(Q1858, Wages!$A$2:$C$17, 2, 0))) * IF(ISBLANK(N1858), 0, IF(ISNA(VLOOKUP(N1858, Crews!$A$2:$C$28, 2, 0)), N1858, VLOOKUP(N1858, Crews!$A$2:$C$28, 2, 0))))) * 400</f>
        <v>48581.66667</v>
      </c>
      <c r="K1858" s="1" t="s">
        <v>1692</v>
      </c>
      <c r="L1858" s="1" t="s">
        <v>3623</v>
      </c>
      <c r="M1858" s="1" t="n">
        <v>0</v>
      </c>
      <c r="N1858" s="1" t="s">
        <v>1705</v>
      </c>
      <c r="O1858" s="1" t="n">
        <v>0.7</v>
      </c>
      <c r="P1858" s="1"/>
      <c r="Q1858" s="5" t="s">
        <v>284</v>
      </c>
      <c r="R1858" s="1" t="s">
        <v>677</v>
      </c>
      <c r="S1858" s="1" t="s">
        <v>677</v>
      </c>
      <c r="T1858" s="1" t="s">
        <v>3553</v>
      </c>
    </row>
    <row r="1859" customFormat="false" ht="15" hidden="false" customHeight="true" outlineLevel="0" collapsed="false">
      <c r="A1859" s="1" t="s">
        <v>3624</v>
      </c>
      <c r="B1859" s="1" t="n">
        <v>1949</v>
      </c>
      <c r="C1859" s="1" t="n">
        <v>3</v>
      </c>
      <c r="D1859" s="1" t="s">
        <v>29</v>
      </c>
      <c r="E1859" s="1" t="s">
        <v>2039</v>
      </c>
      <c r="F1859" s="1" t="n">
        <v>700</v>
      </c>
      <c r="G1859" s="1" t="n">
        <v>35</v>
      </c>
      <c r="H1859" s="2" t="n">
        <v>80000000</v>
      </c>
      <c r="I1859" s="2" t="n">
        <f aca="false">(((H1859 / 800) / IF(ISBLANK(R1859), 1000000, IF(ISNA(VLOOKUP(R1859, Mileages!$A$2:$C$34, 2, 0)), R1859, VLOOKUP(R1859, Mileages!$A$2:$C$34, 2, 0)))) + (F1859 * IF(ISBLANK(P1859), 1, P1859) * IF(ISBLANK(T1859), 0, IF(ISNA(VLOOKUP(T1859, 'Fuel Costs'!$A$2:$C$42, 2, 0)), T1859, VLOOKUP(T1859, 'Fuel Costs'!$A$2:$C$42, 2, 0))) / IF(ISBLANK(O1859), 1, O1859))) * 100</f>
        <v>145</v>
      </c>
      <c r="J1859" s="2" t="n">
        <f aca="false">((H1859 / 800) / (IF(ISBLANK(S1859), 100, IF(ISNA(VLOOKUP(S1859, Lives!$A$2:$C$35, 2, 0)), S1859, VLOOKUP(S1859, Lives!$A$2:$C$35, 2, 0))) * 12) + (IF(ISBLANK(Q1859), 0, IF(ISNA(VLOOKUP(Q1859, Wages!$A$2:$C$17, 2, 0)), Q1859, VLOOKUP(Q1859, Wages!$A$2:$C$17, 2, 0))) * IF(ISBLANK(N1859), 0, IF(ISNA(VLOOKUP(N1859, Crews!$A$2:$C$28, 2, 0)), N1859, VLOOKUP(N1859, Crews!$A$2:$C$28, 2, 0))))) * 400</f>
        <v>233333.3333</v>
      </c>
      <c r="K1859" s="1" t="s">
        <v>145</v>
      </c>
      <c r="L1859" s="1" t="s">
        <v>3625</v>
      </c>
      <c r="M1859" s="1" t="n">
        <v>0</v>
      </c>
      <c r="N1859" s="1" t="s">
        <v>323</v>
      </c>
      <c r="O1859" s="1" t="n">
        <v>0.5</v>
      </c>
      <c r="P1859" s="1" t="n">
        <v>0.2</v>
      </c>
      <c r="Q1859" s="1" t="s">
        <v>34</v>
      </c>
      <c r="R1859" s="1" t="s">
        <v>574</v>
      </c>
      <c r="S1859" s="1" t="s">
        <v>574</v>
      </c>
      <c r="T1859" s="1" t="s">
        <v>2041</v>
      </c>
    </row>
    <row r="1860" customFormat="false" ht="15" hidden="false" customHeight="true" outlineLevel="0" collapsed="false">
      <c r="A1860" s="1" t="s">
        <v>3626</v>
      </c>
      <c r="B1860" s="1" t="n">
        <v>1949</v>
      </c>
      <c r="C1860" s="1" t="n">
        <v>3</v>
      </c>
      <c r="D1860" s="1" t="s">
        <v>29</v>
      </c>
      <c r="E1860" s="1" t="s">
        <v>2039</v>
      </c>
      <c r="F1860" s="1" t="n">
        <v>50</v>
      </c>
      <c r="G1860" s="1" t="n">
        <v>8</v>
      </c>
      <c r="H1860" s="2" t="n">
        <v>265000</v>
      </c>
      <c r="I1860" s="2" t="n">
        <f aca="false">(((H1860 / 800) / IF(ISBLANK(R1860), 1000000, IF(ISNA(VLOOKUP(R1860, Mileages!$A$2:$C$34, 2, 0)), R1860, VLOOKUP(R1860, Mileages!$A$2:$C$34, 2, 0)))) + (F1860 * IF(ISBLANK(P1860), 1, P1860) * IF(ISBLANK(T1860), 0, IF(ISNA(VLOOKUP(T1860, 'Fuel Costs'!$A$2:$C$42, 2, 0)), T1860, VLOOKUP(T1860, 'Fuel Costs'!$A$2:$C$42, 2, 0))) / IF(ISBLANK(O1860), 1, O1860))) * 100</f>
        <v>10.0165625</v>
      </c>
      <c r="J1860" s="2" t="n">
        <f aca="false">((H1860 / 800) / (IF(ISBLANK(S1860), 100, IF(ISNA(VLOOKUP(S1860, Lives!$A$2:$C$35, 2, 0)), S1860, VLOOKUP(S1860, Lives!$A$2:$C$35, 2, 0))) * 12) + (IF(ISBLANK(Q1860), 0, IF(ISNA(VLOOKUP(Q1860, Wages!$A$2:$C$17, 2, 0)), Q1860, VLOOKUP(Q1860, Wages!$A$2:$C$17, 2, 0))) * IF(ISBLANK(N1860), 0, IF(ISNA(VLOOKUP(N1860, Crews!$A$2:$C$28, 2, 0)), N1860, VLOOKUP(N1860, Crews!$A$2:$C$28, 2, 0))))) * 400</f>
        <v>16110.41667</v>
      </c>
      <c r="K1860" s="3" t="s">
        <v>1439</v>
      </c>
      <c r="L1860" s="1" t="s">
        <v>3627</v>
      </c>
      <c r="M1860" s="1" t="n">
        <v>0</v>
      </c>
      <c r="N1860" s="1" t="s">
        <v>33</v>
      </c>
      <c r="O1860" s="1" t="n">
        <v>0.5</v>
      </c>
      <c r="P1860" s="1" t="n">
        <v>0.2</v>
      </c>
      <c r="Q1860" s="1" t="s">
        <v>34</v>
      </c>
      <c r="R1860" s="1" t="s">
        <v>574</v>
      </c>
      <c r="S1860" s="1" t="s">
        <v>574</v>
      </c>
      <c r="T1860" s="1" t="s">
        <v>2041</v>
      </c>
    </row>
    <row r="1861" customFormat="false" ht="15" hidden="false" customHeight="true" outlineLevel="0" collapsed="false">
      <c r="A1861" s="1" t="s">
        <v>3628</v>
      </c>
      <c r="B1861" s="1" t="n">
        <v>1949</v>
      </c>
      <c r="C1861" s="1" t="n">
        <v>3</v>
      </c>
      <c r="D1861" s="1" t="s">
        <v>29</v>
      </c>
      <c r="E1861" s="1" t="s">
        <v>2039</v>
      </c>
      <c r="F1861" s="1" t="n">
        <v>50</v>
      </c>
      <c r="G1861" s="1" t="n">
        <v>8</v>
      </c>
      <c r="H1861" s="2" t="n">
        <v>265000</v>
      </c>
      <c r="I1861" s="2" t="n">
        <f aca="false">(((H1861 / 800) / IF(ISBLANK(R1861), 1000000, IF(ISNA(VLOOKUP(R1861, Mileages!$A$2:$C$34, 2, 0)), R1861, VLOOKUP(R1861, Mileages!$A$2:$C$34, 2, 0)))) + (F1861 * IF(ISBLANK(P1861), 1, P1861) * IF(ISBLANK(T1861), 0, IF(ISNA(VLOOKUP(T1861, 'Fuel Costs'!$A$2:$C$42, 2, 0)), T1861, VLOOKUP(T1861, 'Fuel Costs'!$A$2:$C$42, 2, 0))) / IF(ISBLANK(O1861), 1, O1861))) * 100</f>
        <v>10.0165625</v>
      </c>
      <c r="J1861" s="2" t="n">
        <f aca="false">((H1861 / 800) / (IF(ISBLANK(S1861), 100, IF(ISNA(VLOOKUP(S1861, Lives!$A$2:$C$35, 2, 0)), S1861, VLOOKUP(S1861, Lives!$A$2:$C$35, 2, 0))) * 12) + (IF(ISBLANK(Q1861), 0, IF(ISNA(VLOOKUP(Q1861, Wages!$A$2:$C$17, 2, 0)), Q1861, VLOOKUP(Q1861, Wages!$A$2:$C$17, 2, 0))) * IF(ISBLANK(N1861), 0, IF(ISNA(VLOOKUP(N1861, Crews!$A$2:$C$28, 2, 0)), N1861, VLOOKUP(N1861, Crews!$A$2:$C$28, 2, 0))))) * 400</f>
        <v>16110.41667</v>
      </c>
      <c r="K1861" s="3" t="s">
        <v>1439</v>
      </c>
      <c r="L1861" s="1" t="s">
        <v>3627</v>
      </c>
      <c r="M1861" s="1" t="n">
        <v>1</v>
      </c>
      <c r="N1861" s="1" t="s">
        <v>33</v>
      </c>
      <c r="O1861" s="1" t="n">
        <v>0.5</v>
      </c>
      <c r="P1861" s="1" t="n">
        <v>0.2</v>
      </c>
      <c r="Q1861" s="1" t="s">
        <v>34</v>
      </c>
      <c r="R1861" s="1" t="s">
        <v>574</v>
      </c>
      <c r="S1861" s="1" t="s">
        <v>574</v>
      </c>
      <c r="T1861" s="1" t="s">
        <v>2041</v>
      </c>
    </row>
    <row r="1862" customFormat="false" ht="15" hidden="false" customHeight="true" outlineLevel="0" collapsed="false">
      <c r="A1862" s="1" t="s">
        <v>3629</v>
      </c>
      <c r="B1862" s="1" t="n">
        <v>1949</v>
      </c>
      <c r="C1862" s="1" t="n">
        <v>3</v>
      </c>
      <c r="D1862" s="1" t="s">
        <v>29</v>
      </c>
      <c r="E1862" s="1" t="s">
        <v>2039</v>
      </c>
      <c r="F1862" s="1" t="n">
        <v>50</v>
      </c>
      <c r="G1862" s="1" t="n">
        <v>8</v>
      </c>
      <c r="H1862" s="2" t="n">
        <v>265000</v>
      </c>
      <c r="I1862" s="2" t="n">
        <f aca="false">(((H1862 / 800) / IF(ISBLANK(R1862), 1000000, IF(ISNA(VLOOKUP(R1862, Mileages!$A$2:$C$34, 2, 0)), R1862, VLOOKUP(R1862, Mileages!$A$2:$C$34, 2, 0)))) + (F1862 * IF(ISBLANK(P1862), 1, P1862) * IF(ISBLANK(T1862), 0, IF(ISNA(VLOOKUP(T1862, 'Fuel Costs'!$A$2:$C$42, 2, 0)), T1862, VLOOKUP(T1862, 'Fuel Costs'!$A$2:$C$42, 2, 0))) / IF(ISBLANK(O1862), 1, O1862))) * 100</f>
        <v>10.0165625</v>
      </c>
      <c r="J1862" s="2" t="n">
        <f aca="false">((H1862 / 800) / (IF(ISBLANK(S1862), 100, IF(ISNA(VLOOKUP(S1862, Lives!$A$2:$C$35, 2, 0)), S1862, VLOOKUP(S1862, Lives!$A$2:$C$35, 2, 0))) * 12) + (IF(ISBLANK(Q1862), 0, IF(ISNA(VLOOKUP(Q1862, Wages!$A$2:$C$17, 2, 0)), Q1862, VLOOKUP(Q1862, Wages!$A$2:$C$17, 2, 0))) * IF(ISBLANK(N1862), 0, IF(ISNA(VLOOKUP(N1862, Crews!$A$2:$C$28, 2, 0)), N1862, VLOOKUP(N1862, Crews!$A$2:$C$28, 2, 0))))) * 400</f>
        <v>16110.41667</v>
      </c>
      <c r="K1862" s="3" t="s">
        <v>1439</v>
      </c>
      <c r="L1862" s="1" t="s">
        <v>3627</v>
      </c>
      <c r="M1862" s="1" t="n">
        <v>2</v>
      </c>
      <c r="N1862" s="1" t="s">
        <v>33</v>
      </c>
      <c r="O1862" s="1" t="n">
        <v>0.5</v>
      </c>
      <c r="P1862" s="1" t="n">
        <v>0.2</v>
      </c>
      <c r="Q1862" s="1" t="s">
        <v>34</v>
      </c>
      <c r="R1862" s="1" t="s">
        <v>574</v>
      </c>
      <c r="S1862" s="1" t="s">
        <v>574</v>
      </c>
      <c r="T1862" s="1" t="s">
        <v>2041</v>
      </c>
    </row>
    <row r="1863" customFormat="false" ht="15" hidden="false" customHeight="true" outlineLevel="0" collapsed="false">
      <c r="A1863" s="1" t="s">
        <v>3630</v>
      </c>
      <c r="B1863" s="1" t="n">
        <v>1949</v>
      </c>
      <c r="C1863" s="1" t="n">
        <v>3</v>
      </c>
      <c r="D1863" s="1" t="s">
        <v>29</v>
      </c>
      <c r="E1863" s="1" t="s">
        <v>2039</v>
      </c>
      <c r="F1863" s="1" t="n">
        <v>50</v>
      </c>
      <c r="G1863" s="1" t="n">
        <v>8</v>
      </c>
      <c r="H1863" s="2" t="n">
        <v>265000</v>
      </c>
      <c r="I1863" s="2" t="n">
        <f aca="false">(((H1863 / 800) / IF(ISBLANK(R1863), 1000000, IF(ISNA(VLOOKUP(R1863, Mileages!$A$2:$C$34, 2, 0)), R1863, VLOOKUP(R1863, Mileages!$A$2:$C$34, 2, 0)))) + (F1863 * IF(ISBLANK(P1863), 1, P1863) * IF(ISBLANK(T1863), 0, IF(ISNA(VLOOKUP(T1863, 'Fuel Costs'!$A$2:$C$42, 2, 0)), T1863, VLOOKUP(T1863, 'Fuel Costs'!$A$2:$C$42, 2, 0))) / IF(ISBLANK(O1863), 1, O1863))) * 100</f>
        <v>10.0165625</v>
      </c>
      <c r="J1863" s="2" t="n">
        <f aca="false">((H1863 / 800) / (IF(ISBLANK(S1863), 100, IF(ISNA(VLOOKUP(S1863, Lives!$A$2:$C$35, 2, 0)), S1863, VLOOKUP(S1863, Lives!$A$2:$C$35, 2, 0))) * 12) + (IF(ISBLANK(Q1863), 0, IF(ISNA(VLOOKUP(Q1863, Wages!$A$2:$C$17, 2, 0)), Q1863, VLOOKUP(Q1863, Wages!$A$2:$C$17, 2, 0))) * IF(ISBLANK(N1863), 0, IF(ISNA(VLOOKUP(N1863, Crews!$A$2:$C$28, 2, 0)), N1863, VLOOKUP(N1863, Crews!$A$2:$C$28, 2, 0))))) * 400</f>
        <v>16110.41667</v>
      </c>
      <c r="K1863" s="3" t="s">
        <v>1439</v>
      </c>
      <c r="L1863" s="1" t="s">
        <v>3627</v>
      </c>
      <c r="M1863" s="1" t="n">
        <v>3</v>
      </c>
      <c r="N1863" s="1" t="s">
        <v>33</v>
      </c>
      <c r="O1863" s="1" t="n">
        <v>0.5</v>
      </c>
      <c r="P1863" s="1" t="n">
        <v>0.2</v>
      </c>
      <c r="Q1863" s="1" t="s">
        <v>34</v>
      </c>
      <c r="R1863" s="1" t="s">
        <v>574</v>
      </c>
      <c r="S1863" s="1" t="s">
        <v>574</v>
      </c>
      <c r="T1863" s="1" t="s">
        <v>2041</v>
      </c>
    </row>
    <row r="1864" customFormat="false" ht="15" hidden="false" customHeight="true" outlineLevel="0" collapsed="false">
      <c r="A1864" s="1" t="s">
        <v>3631</v>
      </c>
      <c r="B1864" s="1" t="n">
        <v>1949</v>
      </c>
      <c r="C1864" s="1" t="n">
        <v>3</v>
      </c>
      <c r="D1864" s="1" t="s">
        <v>29</v>
      </c>
      <c r="E1864" s="1" t="s">
        <v>274</v>
      </c>
      <c r="F1864" s="1" t="n">
        <v>50</v>
      </c>
      <c r="G1864" s="1" t="n">
        <v>8</v>
      </c>
      <c r="H1864" s="2" t="n">
        <v>265000</v>
      </c>
      <c r="I1864" s="2" t="n">
        <f aca="false">(((H1864 / 800) / IF(ISBLANK(R1864), 1000000, IF(ISNA(VLOOKUP(R1864, Mileages!$A$2:$C$34, 2, 0)), R1864, VLOOKUP(R1864, Mileages!$A$2:$C$34, 2, 0)))) + (F1864 * IF(ISBLANK(P1864), 1, P1864) * IF(ISBLANK(T1864), 0, IF(ISNA(VLOOKUP(T1864, 'Fuel Costs'!$A$2:$C$42, 2, 0)), T1864, VLOOKUP(T1864, 'Fuel Costs'!$A$2:$C$42, 2, 0))) / IF(ISBLANK(O1864), 1, O1864))) * 100</f>
        <v>4.183229167</v>
      </c>
      <c r="J1864" s="2" t="n">
        <f aca="false">((H1864 / 800) / (IF(ISBLANK(S1864), 100, IF(ISNA(VLOOKUP(S1864, Lives!$A$2:$C$35, 2, 0)), S1864, VLOOKUP(S1864, Lives!$A$2:$C$35, 2, 0))) * 12) + (IF(ISBLANK(Q1864), 0, IF(ISNA(VLOOKUP(Q1864, Wages!$A$2:$C$17, 2, 0)), Q1864, VLOOKUP(Q1864, Wages!$A$2:$C$17, 2, 0))) * IF(ISBLANK(N1864), 0, IF(ISNA(VLOOKUP(N1864, Crews!$A$2:$C$28, 2, 0)), N1864, VLOOKUP(N1864, Crews!$A$2:$C$28, 2, 0))))) * 400</f>
        <v>16110.41667</v>
      </c>
      <c r="K1864" s="3" t="s">
        <v>1439</v>
      </c>
      <c r="L1864" s="1" t="s">
        <v>3627</v>
      </c>
      <c r="M1864" s="1" t="n">
        <v>4</v>
      </c>
      <c r="N1864" s="1" t="s">
        <v>33</v>
      </c>
      <c r="O1864" s="1" t="n">
        <v>0.6</v>
      </c>
      <c r="P1864" s="1" t="n">
        <v>0.1</v>
      </c>
      <c r="Q1864" s="1" t="s">
        <v>34</v>
      </c>
      <c r="R1864" s="1" t="s">
        <v>574</v>
      </c>
      <c r="S1864" s="1" t="s">
        <v>574</v>
      </c>
      <c r="T1864" s="1" t="s">
        <v>2041</v>
      </c>
    </row>
    <row r="1865" customFormat="false" ht="15" hidden="false" customHeight="true" outlineLevel="0" collapsed="false">
      <c r="A1865" s="1" t="s">
        <v>3632</v>
      </c>
      <c r="B1865" s="1" t="n">
        <v>1949</v>
      </c>
      <c r="C1865" s="1" t="n">
        <v>3</v>
      </c>
      <c r="D1865" s="1" t="s">
        <v>29</v>
      </c>
      <c r="E1865" s="1" t="s">
        <v>2039</v>
      </c>
      <c r="F1865" s="1" t="n">
        <v>50</v>
      </c>
      <c r="G1865" s="1" t="n">
        <v>8</v>
      </c>
      <c r="H1865" s="2" t="n">
        <v>265000</v>
      </c>
      <c r="I1865" s="2" t="n">
        <f aca="false">(((H1865 / 800) / IF(ISBLANK(R1865), 1000000, IF(ISNA(VLOOKUP(R1865, Mileages!$A$2:$C$34, 2, 0)), R1865, VLOOKUP(R1865, Mileages!$A$2:$C$34, 2, 0)))) + (F1865 * IF(ISBLANK(P1865), 1, P1865) * IF(ISBLANK(T1865), 0, IF(ISNA(VLOOKUP(T1865, 'Fuel Costs'!$A$2:$C$42, 2, 0)), T1865, VLOOKUP(T1865, 'Fuel Costs'!$A$2:$C$42, 2, 0))) / IF(ISBLANK(O1865), 1, O1865))) * 100</f>
        <v>10.0165625</v>
      </c>
      <c r="J1865" s="2" t="n">
        <f aca="false">((H1865 / 800) / (IF(ISBLANK(S1865), 100, IF(ISNA(VLOOKUP(S1865, Lives!$A$2:$C$35, 2, 0)), S1865, VLOOKUP(S1865, Lives!$A$2:$C$35, 2, 0))) * 12) + (IF(ISBLANK(Q1865), 0, IF(ISNA(VLOOKUP(Q1865, Wages!$A$2:$C$17, 2, 0)), Q1865, VLOOKUP(Q1865, Wages!$A$2:$C$17, 2, 0))) * IF(ISBLANK(N1865), 0, IF(ISNA(VLOOKUP(N1865, Crews!$A$2:$C$28, 2, 0)), N1865, VLOOKUP(N1865, Crews!$A$2:$C$28, 2, 0))))) * 400</f>
        <v>16110.41667</v>
      </c>
      <c r="K1865" s="3" t="s">
        <v>1439</v>
      </c>
      <c r="L1865" s="1" t="s">
        <v>3627</v>
      </c>
      <c r="M1865" s="1" t="n">
        <v>5</v>
      </c>
      <c r="N1865" s="1" t="s">
        <v>33</v>
      </c>
      <c r="O1865" s="1" t="n">
        <v>0.5</v>
      </c>
      <c r="P1865" s="1" t="n">
        <v>0.2</v>
      </c>
      <c r="Q1865" s="1" t="s">
        <v>34</v>
      </c>
      <c r="R1865" s="1" t="s">
        <v>574</v>
      </c>
      <c r="S1865" s="1" t="s">
        <v>574</v>
      </c>
      <c r="T1865" s="1" t="s">
        <v>2041</v>
      </c>
    </row>
    <row r="1866" customFormat="false" ht="15" hidden="false" customHeight="true" outlineLevel="0" collapsed="false">
      <c r="A1866" s="1" t="s">
        <v>3633</v>
      </c>
      <c r="B1866" s="1" t="n">
        <v>1949</v>
      </c>
      <c r="C1866" s="1" t="n">
        <v>4</v>
      </c>
      <c r="D1866" s="1" t="s">
        <v>2225</v>
      </c>
      <c r="E1866" s="1" t="s">
        <v>1839</v>
      </c>
      <c r="F1866" s="1" t="n">
        <v>10440</v>
      </c>
      <c r="G1866" s="1" t="n">
        <v>483</v>
      </c>
      <c r="H1866" s="2" t="n">
        <v>14500000</v>
      </c>
      <c r="I1866" s="2" t="n">
        <f aca="false">(((H1866 / 800) / IF(ISBLANK(R1866), 1000000, IF(ISNA(VLOOKUP(R1866, Mileages!$A$2:$C$34, 2, 0)), R1866, VLOOKUP(R1866, Mileages!$A$2:$C$34, 2, 0)))) + (F1866 * IF(ISBLANK(P1866), 1, P1866) * IF(ISBLANK(T1866), 0, IF(ISNA(VLOOKUP(T1866, 'Fuel Costs'!$A$2:$C$42, 2, 0)), T1866, VLOOKUP(T1866, 'Fuel Costs'!$A$2:$C$42, 2, 0))) / IF(ISBLANK(O1866), 1, O1866))) * 100</f>
        <v>417.9625</v>
      </c>
      <c r="J1866" s="2" t="n">
        <f aca="false">((H1866 / 800) / (IF(ISBLANK(S1866), 100, IF(ISNA(VLOOKUP(S1866, Lives!$A$2:$C$35, 2, 0)), S1866, VLOOKUP(S1866, Lives!$A$2:$C$35, 2, 0))) * 12) + (IF(ISBLANK(Q1866), 0, IF(ISNA(VLOOKUP(Q1866, Wages!$A$2:$C$17, 2, 0)), Q1866, VLOOKUP(Q1866, Wages!$A$2:$C$17, 2, 0))) * IF(ISBLANK(N1866), 0, IF(ISNA(VLOOKUP(N1866, Crews!$A$2:$C$28, 2, 0)), N1866, VLOOKUP(N1866, Crews!$A$2:$C$28, 2, 0))))) * 400</f>
        <v>60069.44444</v>
      </c>
      <c r="K1866" s="3" t="s">
        <v>3634</v>
      </c>
      <c r="L1866" s="1" t="s">
        <v>3635</v>
      </c>
      <c r="M1866" s="1" t="n">
        <v>0</v>
      </c>
      <c r="N1866" s="1" t="s">
        <v>2342</v>
      </c>
      <c r="O1866" s="1"/>
      <c r="P1866" s="1" t="n">
        <v>0.1</v>
      </c>
      <c r="Q1866" s="1" t="s">
        <v>2229</v>
      </c>
      <c r="R1866" s="1" t="s">
        <v>2229</v>
      </c>
      <c r="S1866" s="1" t="s">
        <v>2229</v>
      </c>
      <c r="T1866" s="1" t="s">
        <v>3481</v>
      </c>
    </row>
    <row r="1867" customFormat="false" ht="15" hidden="false" customHeight="true" outlineLevel="0" collapsed="false">
      <c r="A1867" s="1" t="s">
        <v>3636</v>
      </c>
      <c r="B1867" s="1" t="n">
        <v>1949</v>
      </c>
      <c r="C1867" s="1" t="n">
        <v>5</v>
      </c>
      <c r="D1867" s="1" t="s">
        <v>21</v>
      </c>
      <c r="E1867" s="1" t="s">
        <v>2039</v>
      </c>
      <c r="F1867" s="1" t="n">
        <v>88</v>
      </c>
      <c r="G1867" s="1" t="n">
        <v>50</v>
      </c>
      <c r="H1867" s="2" t="n">
        <v>1014000</v>
      </c>
      <c r="I1867" s="2" t="n">
        <f aca="false">(((H1867 / 800) / IF(ISBLANK(R1867), 1000000, IF(ISNA(VLOOKUP(R1867, Mileages!$A$2:$C$34, 2, 0)), R1867, VLOOKUP(R1867, Mileages!$A$2:$C$34, 2, 0)))) + (F1867 * IF(ISBLANK(P1867), 1, P1867) * IF(ISBLANK(T1867), 0, IF(ISNA(VLOOKUP(T1867, 'Fuel Costs'!$A$2:$C$42, 2, 0)), T1867, VLOOKUP(T1867, 'Fuel Costs'!$A$2:$C$42, 2, 0))) / IF(ISBLANK(O1867), 1, O1867))) * 100</f>
        <v>88.12675</v>
      </c>
      <c r="J1867" s="2" t="n">
        <f aca="false">((H1867 / 800) / (IF(ISBLANK(S1867), 100, IF(ISNA(VLOOKUP(S1867, Lives!$A$2:$C$35, 2, 0)), S1867, VLOOKUP(S1867, Lives!$A$2:$C$35, 2, 0))) * 12) + (IF(ISBLANK(Q1867), 0, IF(ISNA(VLOOKUP(Q1867, Wages!$A$2:$C$17, 2, 0)), Q1867, VLOOKUP(Q1867, Wages!$A$2:$C$17, 2, 0))) * IF(ISBLANK(N1867), 0, IF(ISNA(VLOOKUP(N1867, Crews!$A$2:$C$28, 2, 0)), N1867, VLOOKUP(N1867, Crews!$A$2:$C$28, 2, 0))))) * 400</f>
        <v>8528.125</v>
      </c>
      <c r="K1867" s="3" t="s">
        <v>3637</v>
      </c>
      <c r="L1867" s="1" t="s">
        <v>3638</v>
      </c>
      <c r="M1867" s="1" t="n">
        <v>0</v>
      </c>
      <c r="N1867" s="1" t="s">
        <v>1815</v>
      </c>
      <c r="O1867" s="1" t="n">
        <v>0.5</v>
      </c>
      <c r="P1867" s="1"/>
      <c r="Q1867" s="1" t="s">
        <v>1815</v>
      </c>
      <c r="R1867" s="1" t="s">
        <v>1843</v>
      </c>
      <c r="S1867" s="1" t="s">
        <v>1843</v>
      </c>
      <c r="T1867" s="1" t="s">
        <v>2041</v>
      </c>
    </row>
    <row r="1868" customFormat="false" ht="15" hidden="false" customHeight="true" outlineLevel="0" collapsed="false">
      <c r="A1868" s="1" t="s">
        <v>3639</v>
      </c>
      <c r="B1868" s="1" t="n">
        <v>1949</v>
      </c>
      <c r="C1868" s="1" t="n">
        <v>11</v>
      </c>
      <c r="D1868" s="1" t="s">
        <v>38</v>
      </c>
      <c r="E1868" s="1" t="s">
        <v>1346</v>
      </c>
      <c r="F1868" s="1" t="n">
        <v>373</v>
      </c>
      <c r="G1868" s="1" t="n">
        <v>120</v>
      </c>
      <c r="H1868" s="2" t="n">
        <v>1850000</v>
      </c>
      <c r="I1868" s="2" t="n">
        <f aca="false">(((H1868 / 800) / IF(ISBLANK(R1868), 1000000, IF(ISNA(VLOOKUP(R1868, Mileages!$A$2:$C$34, 2, 0)), R1868, VLOOKUP(R1868, Mileages!$A$2:$C$34, 2, 0)))) + (F1868 * IF(ISBLANK(P1868), 1, P1868) * IF(ISBLANK(T1868), 0, IF(ISNA(VLOOKUP(T1868, 'Fuel Costs'!$A$2:$C$42, 2, 0)), T1868, VLOOKUP(T1868, 'Fuel Costs'!$A$2:$C$42, 2, 0))) / IF(ISBLANK(O1868), 1, O1868))) * 100</f>
        <v>74.83125</v>
      </c>
      <c r="J1868" s="2" t="n">
        <f aca="false">((H1868 / 800) / (IF(ISBLANK(S1868), 100, IF(ISNA(VLOOKUP(S1868, Lives!$A$2:$C$35, 2, 0)), S1868, VLOOKUP(S1868, Lives!$A$2:$C$35, 2, 0))) * 12) + (IF(ISBLANK(Q1868), 0, IF(ISNA(VLOOKUP(Q1868, Wages!$A$2:$C$17, 2, 0)), Q1868, VLOOKUP(Q1868, Wages!$A$2:$C$17, 2, 0))) * IF(ISBLANK(N1868), 0, IF(ISNA(VLOOKUP(N1868, Crews!$A$2:$C$28, 2, 0)), N1868, VLOOKUP(N1868, Crews!$A$2:$C$28, 2, 0))))) * 400</f>
        <v>7541.666667</v>
      </c>
      <c r="K1868" s="1" t="s">
        <v>3640</v>
      </c>
      <c r="L1868" s="1" t="s">
        <v>3641</v>
      </c>
      <c r="M1868" s="1" t="n">
        <v>0</v>
      </c>
      <c r="N1868" s="1" t="s">
        <v>1512</v>
      </c>
      <c r="O1868" s="1" t="n">
        <v>1</v>
      </c>
      <c r="P1868" s="1"/>
      <c r="Q1868" s="1" t="str">
        <f aca="false">IF(ISBLANK('Pak128 Britain In'!$N1868),,'Pak128 Britain In'!$N1868)</f>
        <v>ElectricMultipleUnit</v>
      </c>
      <c r="R1868" s="1" t="s">
        <v>1349</v>
      </c>
      <c r="S1868" s="1" t="s">
        <v>1350</v>
      </c>
      <c r="T1868" s="1" t="s">
        <v>3471</v>
      </c>
    </row>
    <row r="1869" customFormat="false" ht="15" hidden="false" customHeight="true" outlineLevel="0" collapsed="false">
      <c r="A1869" s="1" t="s">
        <v>3642</v>
      </c>
      <c r="B1869" s="1" t="n">
        <v>1949</v>
      </c>
      <c r="C1869" s="1" t="n">
        <v>11</v>
      </c>
      <c r="D1869" s="1" t="s">
        <v>38</v>
      </c>
      <c r="E1869" s="1" t="s">
        <v>1346</v>
      </c>
      <c r="F1869" s="1" t="n">
        <v>373</v>
      </c>
      <c r="G1869" s="1" t="n">
        <v>120</v>
      </c>
      <c r="H1869" s="2" t="n">
        <v>1850000</v>
      </c>
      <c r="I1869" s="2" t="n">
        <f aca="false">(((H1869 / 800) / IF(ISBLANK(R1869), 1000000, IF(ISNA(VLOOKUP(R1869, Mileages!$A$2:$C$34, 2, 0)), R1869, VLOOKUP(R1869, Mileages!$A$2:$C$34, 2, 0)))) + (F1869 * IF(ISBLANK(P1869), 1, P1869) * IF(ISBLANK(T1869), 0, IF(ISNA(VLOOKUP(T1869, 'Fuel Costs'!$A$2:$C$42, 2, 0)), T1869, VLOOKUP(T1869, 'Fuel Costs'!$A$2:$C$42, 2, 0))) / IF(ISBLANK(O1869), 1, O1869))) * 100</f>
        <v>74.83125</v>
      </c>
      <c r="J1869" s="2" t="n">
        <f aca="false">((H1869 / 800) / (IF(ISBLANK(S1869), 100, IF(ISNA(VLOOKUP(S1869, Lives!$A$2:$C$35, 2, 0)), S1869, VLOOKUP(S1869, Lives!$A$2:$C$35, 2, 0))) * 12) + (IF(ISBLANK(Q1869), 0, IF(ISNA(VLOOKUP(Q1869, Wages!$A$2:$C$17, 2, 0)), Q1869, VLOOKUP(Q1869, Wages!$A$2:$C$17, 2, 0))) * IF(ISBLANK(N1869), 0, IF(ISNA(VLOOKUP(N1869, Crews!$A$2:$C$28, 2, 0)), N1869, VLOOKUP(N1869, Crews!$A$2:$C$28, 2, 0))))) * 400</f>
        <v>7541.666667</v>
      </c>
      <c r="K1869" s="1"/>
      <c r="L1869" s="1" t="s">
        <v>3641</v>
      </c>
      <c r="M1869" s="1" t="n">
        <v>1</v>
      </c>
      <c r="N1869" s="1" t="s">
        <v>1512</v>
      </c>
      <c r="O1869" s="1" t="n">
        <v>1</v>
      </c>
      <c r="P1869" s="1"/>
      <c r="Q1869" s="1" t="str">
        <f aca="false">IF(ISBLANK('Pak128 Britain In'!$N1869),,'Pak128 Britain In'!$N1869)</f>
        <v>ElectricMultipleUnit</v>
      </c>
      <c r="R1869" s="1" t="s">
        <v>1349</v>
      </c>
      <c r="S1869" s="1" t="s">
        <v>1350</v>
      </c>
      <c r="T1869" s="1" t="s">
        <v>3471</v>
      </c>
    </row>
    <row r="1870" customFormat="false" ht="15" hidden="false" customHeight="true" outlineLevel="0" collapsed="false">
      <c r="A1870" s="1" t="s">
        <v>3643</v>
      </c>
      <c r="B1870" s="1" t="n">
        <v>1949</v>
      </c>
      <c r="C1870" s="1" t="n">
        <v>11</v>
      </c>
      <c r="D1870" s="1" t="s">
        <v>38</v>
      </c>
      <c r="E1870" s="1" t="s">
        <v>1346</v>
      </c>
      <c r="F1870" s="1" t="n">
        <v>0</v>
      </c>
      <c r="G1870" s="1" t="n">
        <v>120</v>
      </c>
      <c r="H1870" s="2" t="n">
        <v>872000</v>
      </c>
      <c r="I1870" s="2" t="n">
        <f aca="false">(((H1870 / 800) / IF(ISBLANK(R1870), 1000000, IF(ISNA(VLOOKUP(R1870, Mileages!$A$2:$C$34, 2, 0)), R1870, VLOOKUP(R1870, Mileages!$A$2:$C$34, 2, 0)))) + (F1870 * IF(ISBLANK(P1870), 1, P1870) * IF(ISBLANK(T1870), 0, IF(ISNA(VLOOKUP(T1870, 'Fuel Costs'!$A$2:$C$42, 2, 0)), T1870, VLOOKUP(T1870, 'Fuel Costs'!$A$2:$C$42, 2, 0))) / IF(ISBLANK(O1870), 1, O1870))) * 100</f>
        <v>0.09083333333</v>
      </c>
      <c r="J1870" s="2" t="n">
        <f aca="false">((H1870 / 800) / (IF(ISBLANK(S1870), 100, IF(ISNA(VLOOKUP(S1870, Lives!$A$2:$C$35, 2, 0)), S1870, VLOOKUP(S1870, Lives!$A$2:$C$35, 2, 0))) * 12) + (IF(ISBLANK(Q1870), 0, IF(ISNA(VLOOKUP(Q1870, Wages!$A$2:$C$17, 2, 0)), Q1870, VLOOKUP(Q1870, Wages!$A$2:$C$17, 2, 0))) * IF(ISBLANK(N1870), 0, IF(ISNA(VLOOKUP(N1870, Crews!$A$2:$C$28, 2, 0)), N1870, VLOOKUP(N1870, Crews!$A$2:$C$28, 2, 0))))) * 400</f>
        <v>1038.095238</v>
      </c>
      <c r="K1870" s="1"/>
      <c r="L1870" s="1" t="s">
        <v>3641</v>
      </c>
      <c r="M1870" s="1" t="n">
        <v>2</v>
      </c>
      <c r="N1870" s="1"/>
      <c r="O1870" s="1"/>
      <c r="P1870" s="1"/>
      <c r="Q1870" s="1"/>
      <c r="R1870" s="1" t="s">
        <v>689</v>
      </c>
      <c r="S1870" s="1" t="s">
        <v>856</v>
      </c>
      <c r="T1870" s="1"/>
    </row>
    <row r="1871" customFormat="false" ht="15" hidden="false" customHeight="true" outlineLevel="0" collapsed="false">
      <c r="A1871" s="1" t="s">
        <v>3644</v>
      </c>
      <c r="B1871" s="1" t="n">
        <v>1949</v>
      </c>
      <c r="C1871" s="1" t="n">
        <v>11</v>
      </c>
      <c r="D1871" s="1" t="s">
        <v>38</v>
      </c>
      <c r="E1871" s="1" t="s">
        <v>1346</v>
      </c>
      <c r="F1871" s="1" t="n">
        <v>0</v>
      </c>
      <c r="G1871" s="1" t="n">
        <v>120</v>
      </c>
      <c r="H1871" s="2" t="n">
        <v>872000</v>
      </c>
      <c r="I1871" s="2" t="n">
        <f aca="false">(((H1871 / 800) / IF(ISBLANK(R1871), 1000000, IF(ISNA(VLOOKUP(R1871, Mileages!$A$2:$C$34, 2, 0)), R1871, VLOOKUP(R1871, Mileages!$A$2:$C$34, 2, 0)))) + (F1871 * IF(ISBLANK(P1871), 1, P1871) * IF(ISBLANK(T1871), 0, IF(ISNA(VLOOKUP(T1871, 'Fuel Costs'!$A$2:$C$42, 2, 0)), T1871, VLOOKUP(T1871, 'Fuel Costs'!$A$2:$C$42, 2, 0))) / IF(ISBLANK(O1871), 1, O1871))) * 100</f>
        <v>0.09083333333</v>
      </c>
      <c r="J1871" s="2" t="n">
        <f aca="false">((H1871 / 800) / (IF(ISBLANK(S1871), 100, IF(ISNA(VLOOKUP(S1871, Lives!$A$2:$C$35, 2, 0)), S1871, VLOOKUP(S1871, Lives!$A$2:$C$35, 2, 0))) * 12) + (IF(ISBLANK(Q1871), 0, IF(ISNA(VLOOKUP(Q1871, Wages!$A$2:$C$17, 2, 0)), Q1871, VLOOKUP(Q1871, Wages!$A$2:$C$17, 2, 0))) * IF(ISBLANK(N1871), 0, IF(ISNA(VLOOKUP(N1871, Crews!$A$2:$C$28, 2, 0)), N1871, VLOOKUP(N1871, Crews!$A$2:$C$28, 2, 0))))) * 400</f>
        <v>1038.095238</v>
      </c>
      <c r="K1871" s="1"/>
      <c r="L1871" s="1" t="s">
        <v>3641</v>
      </c>
      <c r="M1871" s="1" t="n">
        <v>3</v>
      </c>
      <c r="N1871" s="1"/>
      <c r="O1871" s="1"/>
      <c r="P1871" s="1"/>
      <c r="Q1871" s="1"/>
      <c r="R1871" s="1" t="s">
        <v>689</v>
      </c>
      <c r="S1871" s="1" t="s">
        <v>856</v>
      </c>
      <c r="T1871" s="1"/>
    </row>
    <row r="1872" customFormat="false" ht="15" hidden="false" customHeight="true" outlineLevel="0" collapsed="false">
      <c r="A1872" s="1" t="s">
        <v>3645</v>
      </c>
      <c r="B1872" s="1" t="n">
        <v>1949</v>
      </c>
      <c r="C1872" s="1" t="n">
        <v>11</v>
      </c>
      <c r="D1872" s="1" t="s">
        <v>38</v>
      </c>
      <c r="E1872" s="1" t="s">
        <v>1346</v>
      </c>
      <c r="F1872" s="1" t="n">
        <v>220</v>
      </c>
      <c r="G1872" s="1" t="n">
        <v>72</v>
      </c>
      <c r="H1872" s="2" t="n">
        <v>1750000</v>
      </c>
      <c r="I1872" s="2" t="n">
        <f aca="false">(((H1872 / 800) / IF(ISBLANK(R1872), 1000000, IF(ISNA(VLOOKUP(R1872, Mileages!$A$2:$C$34, 2, 0)), R1872, VLOOKUP(R1872, Mileages!$A$2:$C$34, 2, 0)))) + (F1872 * IF(ISBLANK(P1872), 1, P1872) * IF(ISBLANK(T1872), 0, IF(ISNA(VLOOKUP(T1872, 'Fuel Costs'!$A$2:$C$42, 2, 0)), T1872, VLOOKUP(T1872, 'Fuel Costs'!$A$2:$C$42, 2, 0))) / IF(ISBLANK(O1872), 1, O1872))) * 100</f>
        <v>44.21875</v>
      </c>
      <c r="J1872" s="2" t="n">
        <f aca="false">((H1872 / 800) / (IF(ISBLANK(S1872), 100, IF(ISNA(VLOOKUP(S1872, Lives!$A$2:$C$35, 2, 0)), S1872, VLOOKUP(S1872, Lives!$A$2:$C$35, 2, 0))) * 12) + (IF(ISBLANK(Q1872), 0, IF(ISNA(VLOOKUP(Q1872, Wages!$A$2:$C$17, 2, 0)), Q1872, VLOOKUP(Q1872, Wages!$A$2:$C$17, 2, 0))) * IF(ISBLANK(N1872), 0, IF(ISNA(VLOOKUP(N1872, Crews!$A$2:$C$28, 2, 0)), N1872, VLOOKUP(N1872, Crews!$A$2:$C$28, 2, 0))))) * 400</f>
        <v>7458.333333</v>
      </c>
      <c r="K1872" s="3" t="s">
        <v>3646</v>
      </c>
      <c r="L1872" s="1" t="s">
        <v>3647</v>
      </c>
      <c r="M1872" s="1" t="n">
        <v>0</v>
      </c>
      <c r="N1872" s="1" t="s">
        <v>1512</v>
      </c>
      <c r="O1872" s="1" t="n">
        <v>1</v>
      </c>
      <c r="P1872" s="1"/>
      <c r="Q1872" s="1" t="str">
        <f aca="false">IF(ISBLANK('Pak128 Britain In'!$N1872),,'Pak128 Britain In'!$N1872)</f>
        <v>ElectricMultipleUnit</v>
      </c>
      <c r="R1872" s="1" t="s">
        <v>1349</v>
      </c>
      <c r="S1872" s="1" t="s">
        <v>1350</v>
      </c>
      <c r="T1872" s="1" t="s">
        <v>3471</v>
      </c>
    </row>
    <row r="1873" customFormat="false" ht="15" hidden="false" customHeight="true" outlineLevel="0" collapsed="false">
      <c r="A1873" s="1" t="s">
        <v>3648</v>
      </c>
      <c r="B1873" s="1" t="n">
        <v>1949</v>
      </c>
      <c r="C1873" s="1" t="n">
        <v>11</v>
      </c>
      <c r="D1873" s="1" t="s">
        <v>38</v>
      </c>
      <c r="E1873" s="1" t="s">
        <v>1346</v>
      </c>
      <c r="F1873" s="1" t="n">
        <v>220</v>
      </c>
      <c r="G1873" s="1" t="n">
        <v>72</v>
      </c>
      <c r="H1873" s="2" t="n">
        <v>700000</v>
      </c>
      <c r="I1873" s="2" t="n">
        <f aca="false">(((H1873 / 800) / IF(ISBLANK(R1873), 1000000, IF(ISNA(VLOOKUP(R1873, Mileages!$A$2:$C$34, 2, 0)), R1873, VLOOKUP(R1873, Mileages!$A$2:$C$34, 2, 0)))) + (F1873 * IF(ISBLANK(P1873), 1, P1873) * IF(ISBLANK(T1873), 0, IF(ISNA(VLOOKUP(T1873, 'Fuel Costs'!$A$2:$C$42, 2, 0)), T1873, VLOOKUP(T1873, 'Fuel Costs'!$A$2:$C$42, 2, 0))) / IF(ISBLANK(O1873), 1, O1873))) * 100</f>
        <v>44.0875</v>
      </c>
      <c r="J1873" s="2" t="n">
        <f aca="false">((H1873 / 800) / (IF(ISBLANK(S1873), 100, IF(ISNA(VLOOKUP(S1873, Lives!$A$2:$C$35, 2, 0)), S1873, VLOOKUP(S1873, Lives!$A$2:$C$35, 2, 0))) * 12) + (IF(ISBLANK(Q1873), 0, IF(ISNA(VLOOKUP(Q1873, Wages!$A$2:$C$17, 2, 0)), Q1873, VLOOKUP(Q1873, Wages!$A$2:$C$17, 2, 0))) * IF(ISBLANK(N1873), 0, IF(ISNA(VLOOKUP(N1873, Crews!$A$2:$C$28, 2, 0)), N1873, VLOOKUP(N1873, Crews!$A$2:$C$28, 2, 0))))) * 400</f>
        <v>583.3333333</v>
      </c>
      <c r="K1873" s="1"/>
      <c r="L1873" s="1" t="s">
        <v>3647</v>
      </c>
      <c r="M1873" s="1" t="n">
        <v>1</v>
      </c>
      <c r="N1873" s="1"/>
      <c r="O1873" s="1" t="n">
        <v>1</v>
      </c>
      <c r="P1873" s="1"/>
      <c r="Q1873" s="1"/>
      <c r="R1873" s="1" t="s">
        <v>1349</v>
      </c>
      <c r="S1873" s="1" t="s">
        <v>1350</v>
      </c>
      <c r="T1873" s="1" t="s">
        <v>3471</v>
      </c>
    </row>
    <row r="1874" customFormat="false" ht="15" hidden="false" customHeight="true" outlineLevel="0" collapsed="false">
      <c r="A1874" s="1" t="s">
        <v>3649</v>
      </c>
      <c r="B1874" s="1" t="n">
        <v>1949</v>
      </c>
      <c r="C1874" s="1" t="n">
        <v>11</v>
      </c>
      <c r="D1874" s="1" t="s">
        <v>38</v>
      </c>
      <c r="E1874" s="1" t="s">
        <v>1346</v>
      </c>
      <c r="F1874" s="1" t="n">
        <v>220</v>
      </c>
      <c r="G1874" s="1" t="n">
        <v>72</v>
      </c>
      <c r="H1874" s="2" t="n">
        <v>700000</v>
      </c>
      <c r="I1874" s="2" t="n">
        <f aca="false">(((H1874 / 800) / IF(ISBLANK(R1874), 1000000, IF(ISNA(VLOOKUP(R1874, Mileages!$A$2:$C$34, 2, 0)), R1874, VLOOKUP(R1874, Mileages!$A$2:$C$34, 2, 0)))) + (F1874 * IF(ISBLANK(P1874), 1, P1874) * IF(ISBLANK(T1874), 0, IF(ISNA(VLOOKUP(T1874, 'Fuel Costs'!$A$2:$C$42, 2, 0)), T1874, VLOOKUP(T1874, 'Fuel Costs'!$A$2:$C$42, 2, 0))) / IF(ISBLANK(O1874), 1, O1874))) * 100</f>
        <v>44.0875</v>
      </c>
      <c r="J1874" s="2" t="n">
        <f aca="false">((H1874 / 800) / (IF(ISBLANK(S1874), 100, IF(ISNA(VLOOKUP(S1874, Lives!$A$2:$C$35, 2, 0)), S1874, VLOOKUP(S1874, Lives!$A$2:$C$35, 2, 0))) * 12) + (IF(ISBLANK(Q1874), 0, IF(ISNA(VLOOKUP(Q1874, Wages!$A$2:$C$17, 2, 0)), Q1874, VLOOKUP(Q1874, Wages!$A$2:$C$17, 2, 0))) * IF(ISBLANK(N1874), 0, IF(ISNA(VLOOKUP(N1874, Crews!$A$2:$C$28, 2, 0)), N1874, VLOOKUP(N1874, Crews!$A$2:$C$28, 2, 0))))) * 400</f>
        <v>6583.333333</v>
      </c>
      <c r="K1874" s="1"/>
      <c r="L1874" s="1" t="s">
        <v>3647</v>
      </c>
      <c r="M1874" s="1" t="n">
        <v>2</v>
      </c>
      <c r="N1874" s="1" t="s">
        <v>1512</v>
      </c>
      <c r="O1874" s="1" t="n">
        <v>1</v>
      </c>
      <c r="P1874" s="1"/>
      <c r="Q1874" s="1" t="str">
        <f aca="false">IF(ISBLANK('Pak128 Britain In'!$N1874),,'Pak128 Britain In'!$N1874)</f>
        <v>ElectricMultipleUnit</v>
      </c>
      <c r="R1874" s="1" t="s">
        <v>1349</v>
      </c>
      <c r="S1874" s="1" t="s">
        <v>1350</v>
      </c>
      <c r="T1874" s="1" t="s">
        <v>3471</v>
      </c>
    </row>
    <row r="1875" customFormat="false" ht="15" hidden="false" customHeight="true" outlineLevel="0" collapsed="false">
      <c r="A1875" s="1" t="s">
        <v>3650</v>
      </c>
      <c r="B1875" s="1" t="n">
        <v>1950</v>
      </c>
      <c r="C1875" s="1" t="n">
        <v>1</v>
      </c>
      <c r="D1875" s="1" t="s">
        <v>876</v>
      </c>
      <c r="E1875" s="1" t="s">
        <v>1346</v>
      </c>
      <c r="F1875" s="1" t="n">
        <v>97</v>
      </c>
      <c r="G1875" s="1" t="n">
        <v>65</v>
      </c>
      <c r="H1875" s="2" t="n">
        <v>635000</v>
      </c>
      <c r="I1875" s="2" t="n">
        <f aca="false">(((H1875 / 800) / IF(ISBLANK(R1875), 1000000, IF(ISNA(VLOOKUP(R1875, Mileages!$A$2:$C$34, 2, 0)), R1875, VLOOKUP(R1875, Mileages!$A$2:$C$34, 2, 0)))) + (F1875 * IF(ISBLANK(P1875), 1, P1875) * IF(ISBLANK(T1875), 0, IF(ISNA(VLOOKUP(T1875, 'Fuel Costs'!$A$2:$C$42, 2, 0)), T1875, VLOOKUP(T1875, 'Fuel Costs'!$A$2:$C$42, 2, 0))) / IF(ISBLANK(O1875), 1, O1875))) * 100</f>
        <v>19.479375</v>
      </c>
      <c r="J1875" s="2" t="n">
        <f aca="false">((H1875 / 800) / (IF(ISBLANK(S1875), 100, IF(ISNA(VLOOKUP(S1875, Lives!$A$2:$C$35, 2, 0)), S1875, VLOOKUP(S1875, Lives!$A$2:$C$35, 2, 0))) * 12) + (IF(ISBLANK(Q1875), 0, IF(ISNA(VLOOKUP(Q1875, Wages!$A$2:$C$17, 2, 0)), Q1875, VLOOKUP(Q1875, Wages!$A$2:$C$17, 2, 0))) * IF(ISBLANK(N1875), 0, IF(ISNA(VLOOKUP(N1875, Crews!$A$2:$C$28, 2, 0)), N1875, VLOOKUP(N1875, Crews!$A$2:$C$28, 2, 0))))) * 400</f>
        <v>6529.166667</v>
      </c>
      <c r="K1875" s="3" t="s">
        <v>3651</v>
      </c>
      <c r="L1875" s="1" t="s">
        <v>3652</v>
      </c>
      <c r="M1875" s="1" t="n">
        <v>0</v>
      </c>
      <c r="N1875" s="1" t="s">
        <v>895</v>
      </c>
      <c r="O1875" s="1"/>
      <c r="P1875" s="1"/>
      <c r="Q1875" s="1" t="s">
        <v>895</v>
      </c>
      <c r="R1875" s="1" t="s">
        <v>1349</v>
      </c>
      <c r="S1875" s="1" t="s">
        <v>1350</v>
      </c>
      <c r="T1875" s="1" t="s">
        <v>3471</v>
      </c>
    </row>
    <row r="1876" customFormat="false" ht="15" hidden="false" customHeight="true" outlineLevel="0" collapsed="false">
      <c r="A1876" s="1" t="s">
        <v>3653</v>
      </c>
      <c r="B1876" s="1" t="n">
        <v>1950</v>
      </c>
      <c r="C1876" s="1" t="n">
        <v>2</v>
      </c>
      <c r="D1876" s="1" t="s">
        <v>38</v>
      </c>
      <c r="E1876" s="1" t="s">
        <v>2039</v>
      </c>
      <c r="F1876" s="1" t="n">
        <v>1300</v>
      </c>
      <c r="G1876" s="1" t="n">
        <v>140</v>
      </c>
      <c r="H1876" s="2" t="n">
        <v>11500000</v>
      </c>
      <c r="I1876" s="2" t="n">
        <f aca="false">(((H1876 / 800) / IF(ISBLANK(R1876), 1000000, IF(ISNA(VLOOKUP(R1876, Mileages!$A$2:$C$34, 2, 0)), R1876, VLOOKUP(R1876, Mileages!$A$2:$C$34, 2, 0)))) + (F1876 * IF(ISBLANK(P1876), 1, P1876) * IF(ISBLANK(T1876), 0, IF(ISNA(VLOOKUP(T1876, 'Fuel Costs'!$A$2:$C$42, 2, 0)), T1876, VLOOKUP(T1876, 'Fuel Costs'!$A$2:$C$42, 2, 0))) / IF(ISBLANK(O1876), 1, O1876))) * 100</f>
        <v>1302.875</v>
      </c>
      <c r="J1876" s="2" t="n">
        <f aca="false">((H1876 / 800) / (IF(ISBLANK(S1876), 100, IF(ISNA(VLOOKUP(S1876, Lives!$A$2:$C$35, 2, 0)), S1876, VLOOKUP(S1876, Lives!$A$2:$C$35, 2, 0))) * 12) + (IF(ISBLANK(Q1876), 0, IF(ISNA(VLOOKUP(Q1876, Wages!$A$2:$C$17, 2, 0)), Q1876, VLOOKUP(Q1876, Wages!$A$2:$C$17, 2, 0))) * IF(ISBLANK(N1876), 0, IF(ISNA(VLOOKUP(N1876, Crews!$A$2:$C$28, 2, 0)), N1876, VLOOKUP(N1876, Crews!$A$2:$C$28, 2, 0))))) * 400</f>
        <v>21979.16667</v>
      </c>
      <c r="K1876" s="1" t="s">
        <v>3654</v>
      </c>
      <c r="L1876" s="1" t="s">
        <v>3655</v>
      </c>
      <c r="M1876" s="1" t="n">
        <v>0</v>
      </c>
      <c r="N1876" s="1" t="s">
        <v>1488</v>
      </c>
      <c r="O1876" s="1" t="n">
        <v>0.5</v>
      </c>
      <c r="P1876" s="1"/>
      <c r="Q1876" s="1" t="s">
        <v>1488</v>
      </c>
      <c r="R1876" s="1" t="s">
        <v>3179</v>
      </c>
      <c r="S1876" s="1" t="s">
        <v>3179</v>
      </c>
      <c r="T1876" s="1" t="s">
        <v>2041</v>
      </c>
    </row>
    <row r="1877" customFormat="false" ht="15" hidden="false" customHeight="true" outlineLevel="0" collapsed="false">
      <c r="A1877" s="1" t="s">
        <v>3656</v>
      </c>
      <c r="B1877" s="1" t="n">
        <v>1950</v>
      </c>
      <c r="C1877" s="1" t="n">
        <v>2</v>
      </c>
      <c r="D1877" s="1" t="s">
        <v>38</v>
      </c>
      <c r="E1877" s="1" t="s">
        <v>2039</v>
      </c>
      <c r="F1877" s="1" t="n">
        <v>617</v>
      </c>
      <c r="G1877" s="1" t="n">
        <v>110</v>
      </c>
      <c r="H1877" s="2" t="n">
        <v>3935000</v>
      </c>
      <c r="I1877" s="2" t="n">
        <f aca="false">(((H1877 / 800) / IF(ISBLANK(R1877), 1000000, IF(ISNA(VLOOKUP(R1877, Mileages!$A$2:$C$34, 2, 0)), R1877, VLOOKUP(R1877, Mileages!$A$2:$C$34, 2, 0)))) + (F1877 * IF(ISBLANK(P1877), 1, P1877) * IF(ISBLANK(T1877), 0, IF(ISNA(VLOOKUP(T1877, 'Fuel Costs'!$A$2:$C$42, 2, 0)), T1877, VLOOKUP(T1877, 'Fuel Costs'!$A$2:$C$42, 2, 0))) / IF(ISBLANK(O1877), 1, O1877))) * 100</f>
        <v>617.98375</v>
      </c>
      <c r="J1877" s="2" t="n">
        <f aca="false">((H1877 / 800) / (IF(ISBLANK(S1877), 100, IF(ISNA(VLOOKUP(S1877, Lives!$A$2:$C$35, 2, 0)), S1877, VLOOKUP(S1877, Lives!$A$2:$C$35, 2, 0))) * 12) + (IF(ISBLANK(Q1877), 0, IF(ISNA(VLOOKUP(Q1877, Wages!$A$2:$C$17, 2, 0)), Q1877, VLOOKUP(Q1877, Wages!$A$2:$C$17, 2, 0))) * IF(ISBLANK(N1877), 0, IF(ISNA(VLOOKUP(N1877, Crews!$A$2:$C$28, 2, 0)), N1877, VLOOKUP(N1877, Crews!$A$2:$C$28, 2, 0))))) * 400</f>
        <v>14098.95833</v>
      </c>
      <c r="K1877" s="3" t="s">
        <v>3657</v>
      </c>
      <c r="L1877" s="1" t="s">
        <v>3658</v>
      </c>
      <c r="M1877" s="1" t="n">
        <v>0</v>
      </c>
      <c r="N1877" s="1" t="s">
        <v>1488</v>
      </c>
      <c r="O1877" s="1" t="n">
        <v>0.5</v>
      </c>
      <c r="P1877" s="1"/>
      <c r="Q1877" s="1" t="s">
        <v>1488</v>
      </c>
      <c r="R1877" s="1" t="s">
        <v>3179</v>
      </c>
      <c r="S1877" s="1" t="s">
        <v>3179</v>
      </c>
      <c r="T1877" s="1" t="s">
        <v>2041</v>
      </c>
    </row>
    <row r="1878" customFormat="false" ht="15" hidden="false" customHeight="true" outlineLevel="0" collapsed="false">
      <c r="A1878" s="1" t="s">
        <v>3659</v>
      </c>
      <c r="B1878" s="1" t="n">
        <v>1950</v>
      </c>
      <c r="C1878" s="1" t="n">
        <v>4</v>
      </c>
      <c r="D1878" s="1" t="s">
        <v>2225</v>
      </c>
      <c r="E1878" s="1" t="s">
        <v>3660</v>
      </c>
      <c r="F1878" s="1" t="n">
        <v>4180</v>
      </c>
      <c r="G1878" s="1" t="n">
        <v>509</v>
      </c>
      <c r="H1878" s="2" t="n">
        <v>10000000</v>
      </c>
      <c r="I1878" s="2" t="n">
        <f aca="false">(((H1878 / 800) / IF(ISBLANK(R1878), 1000000, IF(ISNA(VLOOKUP(R1878, Mileages!$A$2:$C$34, 2, 0)), R1878, VLOOKUP(R1878, Mileages!$A$2:$C$34, 2, 0)))) + (F1878 * IF(ISBLANK(P1878), 1, P1878) * IF(ISBLANK(T1878), 0, IF(ISNA(VLOOKUP(T1878, 'Fuel Costs'!$A$2:$C$42, 2, 0)), T1878, VLOOKUP(T1878, 'Fuel Costs'!$A$2:$C$42, 2, 0))) / IF(ISBLANK(O1878), 1, O1878))) * 100</f>
        <v>33.69</v>
      </c>
      <c r="J1878" s="2" t="n">
        <f aca="false">((H1878 / 800) / (IF(ISBLANK(S1878), 100, IF(ISNA(VLOOKUP(S1878, Lives!$A$2:$C$35, 2, 0)), S1878, VLOOKUP(S1878, Lives!$A$2:$C$35, 2, 0))) * 12) + (IF(ISBLANK(Q1878), 0, IF(ISNA(VLOOKUP(Q1878, Wages!$A$2:$C$17, 2, 0)), Q1878, VLOOKUP(Q1878, Wages!$A$2:$C$17, 2, 0))) * IF(ISBLANK(N1878), 0, IF(ISNA(VLOOKUP(N1878, Crews!$A$2:$C$28, 2, 0)), N1878, VLOOKUP(N1878, Crews!$A$2:$C$28, 2, 0))))) * 400</f>
        <v>56944.44444</v>
      </c>
      <c r="K1878" s="3" t="s">
        <v>3661</v>
      </c>
      <c r="L1878" s="1" t="s">
        <v>3662</v>
      </c>
      <c r="M1878" s="1" t="n">
        <v>0</v>
      </c>
      <c r="N1878" s="1" t="s">
        <v>2342</v>
      </c>
      <c r="O1878" s="1"/>
      <c r="P1878" s="1" t="n">
        <v>0.02</v>
      </c>
      <c r="Q1878" s="1" t="s">
        <v>2229</v>
      </c>
      <c r="R1878" s="1" t="s">
        <v>2229</v>
      </c>
      <c r="S1878" s="1" t="s">
        <v>2229</v>
      </c>
      <c r="T1878" s="1" t="s">
        <v>3481</v>
      </c>
    </row>
    <row r="1879" customFormat="false" ht="15" hidden="false" customHeight="true" outlineLevel="0" collapsed="false">
      <c r="A1879" s="1" t="s">
        <v>3663</v>
      </c>
      <c r="B1879" s="1" t="n">
        <v>1950</v>
      </c>
      <c r="C1879" s="1" t="n">
        <v>4</v>
      </c>
      <c r="D1879" s="1" t="s">
        <v>38</v>
      </c>
      <c r="E1879" s="1"/>
      <c r="F1879" s="1"/>
      <c r="G1879" s="1" t="n">
        <v>120</v>
      </c>
      <c r="H1879" s="2" t="n">
        <v>0</v>
      </c>
      <c r="I1879" s="2" t="n">
        <f aca="false">(((H1879 / 800) / IF(ISBLANK(R1879), 1000000, IF(ISNA(VLOOKUP(R1879, Mileages!$A$2:$C$34, 2, 0)), R1879, VLOOKUP(R1879, Mileages!$A$2:$C$34, 2, 0)))) + (F1879 * IF(ISBLANK(P1879), 1, P1879) * IF(ISBLANK(T1879), 0, IF(ISNA(VLOOKUP(T1879, 'Fuel Costs'!$A$2:$C$42, 2, 0)), T1879, VLOOKUP(T1879, 'Fuel Costs'!$A$2:$C$42, 2, 0))) / IF(ISBLANK(O1879), 1, O1879))) * 100</f>
        <v>0</v>
      </c>
      <c r="J1879" s="2" t="n">
        <f aca="false">((H1879 / 800) / (IF(ISBLANK(S1879), 100, IF(ISNA(VLOOKUP(S1879, Lives!$A$2:$C$35, 2, 0)), S1879, VLOOKUP(S1879, Lives!$A$2:$C$35, 2, 0))) * 12) + (IF(ISBLANK(Q1879), 0, IF(ISNA(VLOOKUP(Q1879, Wages!$A$2:$C$17, 2, 0)), Q1879, VLOOKUP(Q1879, Wages!$A$2:$C$17, 2, 0))) * IF(ISBLANK(N1879), 0, IF(ISNA(VLOOKUP(N1879, Crews!$A$2:$C$28, 2, 0)), N1879, VLOOKUP(N1879, Crews!$A$2:$C$28, 2, 0))))) * 400</f>
        <v>0</v>
      </c>
      <c r="K1879" s="3" t="s">
        <v>1766</v>
      </c>
      <c r="L1879" s="1" t="s">
        <v>3664</v>
      </c>
      <c r="M1879" s="1" t="n">
        <v>0</v>
      </c>
      <c r="N1879" s="1"/>
      <c r="O1879" s="1"/>
      <c r="P1879" s="1"/>
      <c r="Q1879" s="1"/>
      <c r="R1879" s="1"/>
      <c r="S1879" s="1"/>
      <c r="T1879" s="1"/>
    </row>
    <row r="1880" customFormat="false" ht="15" hidden="false" customHeight="true" outlineLevel="0" collapsed="false">
      <c r="A1880" s="1" t="s">
        <v>3665</v>
      </c>
      <c r="B1880" s="1" t="n">
        <v>1950</v>
      </c>
      <c r="C1880" s="1" t="n">
        <v>4</v>
      </c>
      <c r="D1880" s="1" t="s">
        <v>29</v>
      </c>
      <c r="E1880" s="1" t="s">
        <v>2039</v>
      </c>
      <c r="F1880" s="1" t="n">
        <v>80</v>
      </c>
      <c r="G1880" s="1" t="n">
        <v>14</v>
      </c>
      <c r="H1880" s="2" t="n">
        <v>652500</v>
      </c>
      <c r="I1880" s="2" t="n">
        <f aca="false">(((H1880 / 800) / IF(ISBLANK(R1880), 1000000, IF(ISNA(VLOOKUP(R1880, Mileages!$A$2:$C$34, 2, 0)), R1880, VLOOKUP(R1880, Mileages!$A$2:$C$34, 2, 0)))) + (F1880 * IF(ISBLANK(P1880), 1, P1880) * IF(ISBLANK(T1880), 0, IF(ISNA(VLOOKUP(T1880, 'Fuel Costs'!$A$2:$C$42, 2, 0)), T1880, VLOOKUP(T1880, 'Fuel Costs'!$A$2:$C$42, 2, 0))) / IF(ISBLANK(O1880), 1, O1880))) * 100</f>
        <v>16.04078125</v>
      </c>
      <c r="J1880" s="2" t="n">
        <f aca="false">((H1880 / 800) / (IF(ISBLANK(S1880), 100, IF(ISNA(VLOOKUP(S1880, Lives!$A$2:$C$35, 2, 0)), S1880, VLOOKUP(S1880, Lives!$A$2:$C$35, 2, 0))) * 12) + (IF(ISBLANK(Q1880), 0, IF(ISNA(VLOOKUP(Q1880, Wages!$A$2:$C$17, 2, 0)), Q1880, VLOOKUP(Q1880, Wages!$A$2:$C$17, 2, 0))) * IF(ISBLANK(N1880), 0, IF(ISNA(VLOOKUP(N1880, Crews!$A$2:$C$28, 2, 0)), N1880, VLOOKUP(N1880, Crews!$A$2:$C$28, 2, 0))))) * 400</f>
        <v>16271.875</v>
      </c>
      <c r="K1880" s="1" t="s">
        <v>63</v>
      </c>
      <c r="L1880" s="1" t="s">
        <v>3666</v>
      </c>
      <c r="M1880" s="1" t="n">
        <v>0</v>
      </c>
      <c r="N1880" s="1" t="s">
        <v>33</v>
      </c>
      <c r="O1880" s="1" t="n">
        <v>0.5</v>
      </c>
      <c r="P1880" s="1" t="n">
        <v>0.2</v>
      </c>
      <c r="Q1880" s="1" t="s">
        <v>34</v>
      </c>
      <c r="R1880" s="1" t="s">
        <v>574</v>
      </c>
      <c r="S1880" s="1" t="s">
        <v>574</v>
      </c>
      <c r="T1880" s="1" t="s">
        <v>2041</v>
      </c>
    </row>
    <row r="1881" customFormat="false" ht="15" hidden="false" customHeight="true" outlineLevel="0" collapsed="false">
      <c r="A1881" s="1" t="s">
        <v>3667</v>
      </c>
      <c r="B1881" s="1" t="n">
        <v>1950</v>
      </c>
      <c r="C1881" s="1" t="n">
        <v>4</v>
      </c>
      <c r="D1881" s="1" t="s">
        <v>38</v>
      </c>
      <c r="E1881" s="1"/>
      <c r="F1881" s="1"/>
      <c r="G1881" s="1" t="n">
        <v>80</v>
      </c>
      <c r="H1881" s="2" t="n">
        <v>500000</v>
      </c>
      <c r="I1881" s="2" t="n">
        <f aca="false">(((H1881 / 800) / IF(ISBLANK(R1881), 1000000, IF(ISNA(VLOOKUP(R1881, Mileages!$A$2:$C$34, 2, 0)), R1881, VLOOKUP(R1881, Mileages!$A$2:$C$34, 2, 0)))) + (F1881 * IF(ISBLANK(P1881), 1, P1881) * IF(ISBLANK(T1881), 0, IF(ISNA(VLOOKUP(T1881, 'Fuel Costs'!$A$2:$C$42, 2, 0)), T1881, VLOOKUP(T1881, 'Fuel Costs'!$A$2:$C$42, 2, 0))) / IF(ISBLANK(O1881), 1, O1881))) * 100</f>
        <v>0.05208333333</v>
      </c>
      <c r="J1881" s="2" t="n">
        <f aca="false">((H1881 / 800) / (IF(ISBLANK(S1881), 100, IF(ISNA(VLOOKUP(S1881, Lives!$A$2:$C$35, 2, 0)), S1881, VLOOKUP(S1881, Lives!$A$2:$C$35, 2, 0))) * 12) + (IF(ISBLANK(Q1881), 0, IF(ISNA(VLOOKUP(Q1881, Wages!$A$2:$C$17, 2, 0)), Q1881, VLOOKUP(Q1881, Wages!$A$2:$C$17, 2, 0))) * IF(ISBLANK(N1881), 0, IF(ISNA(VLOOKUP(N1881, Crews!$A$2:$C$28, 2, 0)), N1881, VLOOKUP(N1881, Crews!$A$2:$C$28, 2, 0))))) * 400</f>
        <v>208.3333333</v>
      </c>
      <c r="K1881" s="1"/>
      <c r="L1881" s="1" t="s">
        <v>3668</v>
      </c>
      <c r="M1881" s="1" t="n">
        <v>0</v>
      </c>
      <c r="N1881" s="1"/>
      <c r="O1881" s="1"/>
      <c r="P1881" s="1"/>
      <c r="Q1881" s="1"/>
      <c r="R1881" s="1" t="s">
        <v>689</v>
      </c>
      <c r="S1881" s="1" t="s">
        <v>389</v>
      </c>
      <c r="T1881" s="1"/>
    </row>
    <row r="1882" customFormat="false" ht="15" hidden="false" customHeight="true" outlineLevel="0" collapsed="false">
      <c r="A1882" s="1" t="s">
        <v>3669</v>
      </c>
      <c r="B1882" s="1" t="n">
        <v>1950</v>
      </c>
      <c r="C1882" s="1" t="n">
        <v>12</v>
      </c>
      <c r="D1882" s="1" t="s">
        <v>38</v>
      </c>
      <c r="E1882" s="1" t="s">
        <v>1346</v>
      </c>
      <c r="F1882" s="1" t="n">
        <v>552</v>
      </c>
      <c r="G1882" s="1" t="n">
        <v>120</v>
      </c>
      <c r="H1882" s="2" t="n">
        <v>1843000</v>
      </c>
      <c r="I1882" s="2" t="n">
        <f aca="false">(((H1882 / 800) / IF(ISBLANK(R1882), 1000000, IF(ISNA(VLOOKUP(R1882, Mileages!$A$2:$C$34, 2, 0)), R1882, VLOOKUP(R1882, Mileages!$A$2:$C$34, 2, 0)))) + (F1882 * IF(ISBLANK(P1882), 1, P1882) * IF(ISBLANK(T1882), 0, IF(ISNA(VLOOKUP(T1882, 'Fuel Costs'!$A$2:$C$42, 2, 0)), T1882, VLOOKUP(T1882, 'Fuel Costs'!$A$2:$C$42, 2, 0))) / IF(ISBLANK(O1882), 1, O1882))) * 100</f>
        <v>110.630375</v>
      </c>
      <c r="J1882" s="2" t="n">
        <f aca="false">((H1882 / 800) / (IF(ISBLANK(S1882), 100, IF(ISNA(VLOOKUP(S1882, Lives!$A$2:$C$35, 2, 0)), S1882, VLOOKUP(S1882, Lives!$A$2:$C$35, 2, 0))) * 12) + (IF(ISBLANK(Q1882), 0, IF(ISNA(VLOOKUP(Q1882, Wages!$A$2:$C$17, 2, 0)), Q1882, VLOOKUP(Q1882, Wages!$A$2:$C$17, 2, 0))) * IF(ISBLANK(N1882), 0, IF(ISNA(VLOOKUP(N1882, Crews!$A$2:$C$28, 2, 0)), N1882, VLOOKUP(N1882, Crews!$A$2:$C$28, 2, 0))))) * 400</f>
        <v>11279.86111</v>
      </c>
      <c r="K1882" s="1" t="s">
        <v>3670</v>
      </c>
      <c r="L1882" s="1" t="s">
        <v>3671</v>
      </c>
      <c r="M1882" s="1" t="n">
        <v>0</v>
      </c>
      <c r="N1882" s="1" t="s">
        <v>1488</v>
      </c>
      <c r="O1882" s="1" t="n">
        <v>1</v>
      </c>
      <c r="P1882" s="1"/>
      <c r="Q1882" s="1" t="str">
        <f aca="false">IF(ISBLANK('Pak128 Britain In'!$N1882),,'Pak128 Britain In'!$N1882)</f>
        <v>ElectricDriverRail</v>
      </c>
      <c r="R1882" s="1" t="s">
        <v>1349</v>
      </c>
      <c r="S1882" s="1" t="s">
        <v>1349</v>
      </c>
      <c r="T1882" s="1" t="s">
        <v>3471</v>
      </c>
    </row>
    <row r="1883" customFormat="false" ht="15" hidden="false" customHeight="true" outlineLevel="0" collapsed="false">
      <c r="A1883" s="1" t="s">
        <v>3672</v>
      </c>
      <c r="B1883" s="1" t="n">
        <v>1950</v>
      </c>
      <c r="C1883" s="1" t="n">
        <v>12</v>
      </c>
      <c r="D1883" s="1" t="s">
        <v>38</v>
      </c>
      <c r="E1883" s="1" t="s">
        <v>1346</v>
      </c>
      <c r="F1883" s="1" t="n">
        <v>0</v>
      </c>
      <c r="G1883" s="1" t="n">
        <v>120</v>
      </c>
      <c r="H1883" s="2" t="n">
        <v>1843000</v>
      </c>
      <c r="I1883" s="2" t="n">
        <f aca="false">(((H1883 / 800) / IF(ISBLANK(R1883), 1000000, IF(ISNA(VLOOKUP(R1883, Mileages!$A$2:$C$34, 2, 0)), R1883, VLOOKUP(R1883, Mileages!$A$2:$C$34, 2, 0)))) + (F1883 * IF(ISBLANK(P1883), 1, P1883) * IF(ISBLANK(T1883), 0, IF(ISNA(VLOOKUP(T1883, 'Fuel Costs'!$A$2:$C$42, 2, 0)), T1883, VLOOKUP(T1883, 'Fuel Costs'!$A$2:$C$42, 2, 0))) / IF(ISBLANK(O1883), 1, O1883))) * 100</f>
        <v>0.1919791667</v>
      </c>
      <c r="J1883" s="2" t="n">
        <f aca="false">((H1883 / 800) / (IF(ISBLANK(S1883), 100, IF(ISNA(VLOOKUP(S1883, Lives!$A$2:$C$35, 2, 0)), S1883, VLOOKUP(S1883, Lives!$A$2:$C$35, 2, 0))) * 12) + (IF(ISBLANK(Q1883), 0, IF(ISNA(VLOOKUP(Q1883, Wages!$A$2:$C$17, 2, 0)), Q1883, VLOOKUP(Q1883, Wages!$A$2:$C$17, 2, 0))) * IF(ISBLANK(N1883), 0, IF(ISNA(VLOOKUP(N1883, Crews!$A$2:$C$28, 2, 0)), N1883, VLOOKUP(N1883, Crews!$A$2:$C$28, 2, 0))))) * 400</f>
        <v>2194.047619</v>
      </c>
      <c r="K1883" s="1"/>
      <c r="L1883" s="1" t="s">
        <v>3671</v>
      </c>
      <c r="M1883" s="1" t="n">
        <v>1</v>
      </c>
      <c r="N1883" s="1"/>
      <c r="O1883" s="1"/>
      <c r="P1883" s="1"/>
      <c r="Q1883" s="1"/>
      <c r="R1883" s="1" t="s">
        <v>689</v>
      </c>
      <c r="S1883" s="1" t="s">
        <v>856</v>
      </c>
      <c r="T1883" s="1"/>
    </row>
    <row r="1884" customFormat="false" ht="15" hidden="false" customHeight="true" outlineLevel="0" collapsed="false">
      <c r="A1884" s="1" t="s">
        <v>3673</v>
      </c>
      <c r="B1884" s="1" t="n">
        <v>1950</v>
      </c>
      <c r="C1884" s="1" t="n">
        <v>12</v>
      </c>
      <c r="D1884" s="1" t="s">
        <v>38</v>
      </c>
      <c r="E1884" s="1" t="s">
        <v>1346</v>
      </c>
      <c r="F1884" s="1" t="n">
        <v>0</v>
      </c>
      <c r="G1884" s="1" t="n">
        <v>120</v>
      </c>
      <c r="H1884" s="2" t="n">
        <v>1843000</v>
      </c>
      <c r="I1884" s="2" t="n">
        <f aca="false">(((H1884 / 800) / IF(ISBLANK(R1884), 1000000, IF(ISNA(VLOOKUP(R1884, Mileages!$A$2:$C$34, 2, 0)), R1884, VLOOKUP(R1884, Mileages!$A$2:$C$34, 2, 0)))) + (F1884 * IF(ISBLANK(P1884), 1, P1884) * IF(ISBLANK(T1884), 0, IF(ISNA(VLOOKUP(T1884, 'Fuel Costs'!$A$2:$C$42, 2, 0)), T1884, VLOOKUP(T1884, 'Fuel Costs'!$A$2:$C$42, 2, 0))) / IF(ISBLANK(O1884), 1, O1884))) * 100</f>
        <v>0.1919791667</v>
      </c>
      <c r="J1884" s="2" t="n">
        <f aca="false">((H1884 / 800) / (IF(ISBLANK(S1884), 100, IF(ISNA(VLOOKUP(S1884, Lives!$A$2:$C$35, 2, 0)), S1884, VLOOKUP(S1884, Lives!$A$2:$C$35, 2, 0))) * 12) + (IF(ISBLANK(Q1884), 0, IF(ISNA(VLOOKUP(Q1884, Wages!$A$2:$C$17, 2, 0)), Q1884, VLOOKUP(Q1884, Wages!$A$2:$C$17, 2, 0))) * IF(ISBLANK(N1884), 0, IF(ISNA(VLOOKUP(N1884, Crews!$A$2:$C$28, 2, 0)), N1884, VLOOKUP(N1884, Crews!$A$2:$C$28, 2, 0))))) * 400</f>
        <v>2194.047619</v>
      </c>
      <c r="K1884" s="1"/>
      <c r="L1884" s="1" t="s">
        <v>3671</v>
      </c>
      <c r="M1884" s="1" t="n">
        <v>2</v>
      </c>
      <c r="N1884" s="1"/>
      <c r="O1884" s="1"/>
      <c r="P1884" s="1"/>
      <c r="Q1884" s="1"/>
      <c r="R1884" s="1" t="s">
        <v>689</v>
      </c>
      <c r="S1884" s="1" t="s">
        <v>856</v>
      </c>
      <c r="T1884" s="1"/>
    </row>
    <row r="1885" customFormat="false" ht="15" hidden="false" customHeight="true" outlineLevel="0" collapsed="false">
      <c r="A1885" s="1" t="s">
        <v>3674</v>
      </c>
      <c r="B1885" s="1" t="n">
        <v>1951</v>
      </c>
      <c r="C1885" s="1" t="n">
        <v>1</v>
      </c>
      <c r="D1885" s="1" t="s">
        <v>38</v>
      </c>
      <c r="E1885" s="1"/>
      <c r="F1885" s="1" t="n">
        <v>0</v>
      </c>
      <c r="G1885" s="1" t="n">
        <v>160</v>
      </c>
      <c r="H1885" s="2" t="n">
        <v>0</v>
      </c>
      <c r="I1885" s="2" t="n">
        <f aca="false">(((H1885 / 800) / IF(ISBLANK(R1885), 1000000, IF(ISNA(VLOOKUP(R1885, Mileages!$A$2:$C$34, 2, 0)), R1885, VLOOKUP(R1885, Mileages!$A$2:$C$34, 2, 0)))) + (F1885 * IF(ISBLANK(P1885), 1, P1885) * IF(ISBLANK(T1885), 0, IF(ISNA(VLOOKUP(T1885, 'Fuel Costs'!$A$2:$C$42, 2, 0)), T1885, VLOOKUP(T1885, 'Fuel Costs'!$A$2:$C$42, 2, 0))) / IF(ISBLANK(O1885), 1, O1885))) * 100</f>
        <v>0</v>
      </c>
      <c r="J1885" s="2" t="n">
        <f aca="false">((H1885 / 800) / (IF(ISBLANK(S1885), 100, IF(ISNA(VLOOKUP(S1885, Lives!$A$2:$C$35, 2, 0)), S1885, VLOOKUP(S1885, Lives!$A$2:$C$35, 2, 0))) * 12) + (IF(ISBLANK(Q1885), 0, IF(ISNA(VLOOKUP(Q1885, Wages!$A$2:$C$17, 2, 0)), Q1885, VLOOKUP(Q1885, Wages!$A$2:$C$17, 2, 0))) * IF(ISBLANK(N1885), 0, IF(ISNA(VLOOKUP(N1885, Crews!$A$2:$C$28, 2, 0)), N1885, VLOOKUP(N1885, Crews!$A$2:$C$28, 2, 0))))) * 400</f>
        <v>0</v>
      </c>
      <c r="K1885" s="1"/>
      <c r="L1885" s="1" t="s">
        <v>3675</v>
      </c>
      <c r="M1885" s="1" t="n">
        <v>0</v>
      </c>
      <c r="N1885" s="1"/>
      <c r="O1885" s="1"/>
      <c r="P1885" s="1"/>
      <c r="Q1885" s="1"/>
      <c r="R1885" s="1"/>
      <c r="S1885" s="1"/>
      <c r="T1885" s="1"/>
    </row>
    <row r="1886" customFormat="false" ht="15" hidden="false" customHeight="true" outlineLevel="0" collapsed="false">
      <c r="A1886" s="1" t="s">
        <v>3676</v>
      </c>
      <c r="B1886" s="1" t="n">
        <v>1951</v>
      </c>
      <c r="C1886" s="1" t="n">
        <v>1</v>
      </c>
      <c r="D1886" s="1" t="s">
        <v>38</v>
      </c>
      <c r="E1886" s="1" t="s">
        <v>274</v>
      </c>
      <c r="F1886" s="1" t="n">
        <v>601</v>
      </c>
      <c r="G1886" s="1" t="n">
        <v>160</v>
      </c>
      <c r="H1886" s="2" t="n">
        <v>9849000</v>
      </c>
      <c r="I1886" s="2" t="n">
        <f aca="false">(((H1886 / 800) / IF(ISBLANK(R1886), 1000000, IF(ISNA(VLOOKUP(R1886, Mileages!$A$2:$C$34, 2, 0)), R1886, VLOOKUP(R1886, Mileages!$A$2:$C$34, 2, 0)))) + (F1886 * IF(ISBLANK(P1886), 1, P1886) * IF(ISBLANK(T1886), 0, IF(ISNA(VLOOKUP(T1886, 'Fuel Costs'!$A$2:$C$42, 2, 0)), T1886, VLOOKUP(T1886, 'Fuel Costs'!$A$2:$C$42, 2, 0))) / IF(ISBLANK(O1886), 1, O1886))) * 100</f>
        <v>516.3739821</v>
      </c>
      <c r="J1886" s="2" t="n">
        <f aca="false">((H1886 / 800) / (IF(ISBLANK(S1886), 100, IF(ISNA(VLOOKUP(S1886, Lives!$A$2:$C$35, 2, 0)), S1886, VLOOKUP(S1886, Lives!$A$2:$C$35, 2, 0))) * 12) + (IF(ISBLANK(Q1886), 0, IF(ISNA(VLOOKUP(Q1886, Wages!$A$2:$C$17, 2, 0)), Q1886, VLOOKUP(Q1886, Wages!$A$2:$C$17, 2, 0))) * IF(ISBLANK(N1886), 0, IF(ISNA(VLOOKUP(N1886, Crews!$A$2:$C$28, 2, 0)), N1886, VLOOKUP(N1886, Crews!$A$2:$C$28, 2, 0))))) * 400</f>
        <v>48207.5</v>
      </c>
      <c r="K1886" s="3" t="s">
        <v>3677</v>
      </c>
      <c r="L1886" s="1" t="s">
        <v>3678</v>
      </c>
      <c r="M1886" s="1" t="n">
        <v>0</v>
      </c>
      <c r="N1886" s="1" t="s">
        <v>1705</v>
      </c>
      <c r="O1886" s="1" t="n">
        <v>0.7</v>
      </c>
      <c r="P1886" s="1"/>
      <c r="Q1886" s="5" t="s">
        <v>284</v>
      </c>
      <c r="R1886" s="1" t="s">
        <v>677</v>
      </c>
      <c r="S1886" s="1" t="s">
        <v>677</v>
      </c>
      <c r="T1886" s="1" t="s">
        <v>3553</v>
      </c>
    </row>
    <row r="1887" customFormat="false" ht="15" hidden="false" customHeight="true" outlineLevel="0" collapsed="false">
      <c r="A1887" s="1" t="s">
        <v>3679</v>
      </c>
      <c r="B1887" s="1" t="n">
        <v>1951</v>
      </c>
      <c r="C1887" s="1" t="n">
        <v>2</v>
      </c>
      <c r="D1887" s="1" t="s">
        <v>38</v>
      </c>
      <c r="E1887" s="1"/>
      <c r="F1887" s="1"/>
      <c r="G1887" s="1" t="n">
        <v>160</v>
      </c>
      <c r="H1887" s="2" t="n">
        <v>595000</v>
      </c>
      <c r="I1887" s="2" t="n">
        <f aca="false">(((H1887 / 800) / IF(ISBLANK(R1887), 1000000, IF(ISNA(VLOOKUP(R1887, Mileages!$A$2:$C$34, 2, 0)), R1887, VLOOKUP(R1887, Mileages!$A$2:$C$34, 2, 0)))) + (F1887 * IF(ISBLANK(P1887), 1, P1887) * IF(ISBLANK(T1887), 0, IF(ISNA(VLOOKUP(T1887, 'Fuel Costs'!$A$2:$C$42, 2, 0)), T1887, VLOOKUP(T1887, 'Fuel Costs'!$A$2:$C$42, 2, 0))) / IF(ISBLANK(O1887), 1, O1887))) * 100</f>
        <v>0.06197916667</v>
      </c>
      <c r="J1887" s="2" t="n">
        <f aca="false">((H1887 / 800) / (IF(ISBLANK(S1887), 100, IF(ISNA(VLOOKUP(S1887, Lives!$A$2:$C$35, 2, 0)), S1887, VLOOKUP(S1887, Lives!$A$2:$C$35, 2, 0))) * 12) + (IF(ISBLANK(Q1887), 0, IF(ISNA(VLOOKUP(Q1887, Wages!$A$2:$C$17, 2, 0)), Q1887, VLOOKUP(Q1887, Wages!$A$2:$C$17, 2, 0))) * IF(ISBLANK(N1887), 0, IF(ISNA(VLOOKUP(N1887, Crews!$A$2:$C$28, 2, 0)), N1887, VLOOKUP(N1887, Crews!$A$2:$C$28, 2, 0))))) * 400</f>
        <v>708.3333333</v>
      </c>
      <c r="K1887" s="1"/>
      <c r="L1887" s="1" t="s">
        <v>3680</v>
      </c>
      <c r="M1887" s="1" t="n">
        <v>0</v>
      </c>
      <c r="N1887" s="1"/>
      <c r="O1887" s="1"/>
      <c r="P1887" s="1"/>
      <c r="Q1887" s="1"/>
      <c r="R1887" s="1" t="s">
        <v>689</v>
      </c>
      <c r="S1887" s="1" t="s">
        <v>856</v>
      </c>
      <c r="T1887" s="1"/>
    </row>
    <row r="1888" customFormat="false" ht="15" hidden="false" customHeight="true" outlineLevel="0" collapsed="false">
      <c r="A1888" s="1" t="s">
        <v>3681</v>
      </c>
      <c r="B1888" s="1" t="n">
        <v>1951</v>
      </c>
      <c r="C1888" s="1" t="n">
        <v>2</v>
      </c>
      <c r="D1888" s="1" t="s">
        <v>38</v>
      </c>
      <c r="E1888" s="1"/>
      <c r="F1888" s="1"/>
      <c r="G1888" s="1" t="n">
        <v>160</v>
      </c>
      <c r="H1888" s="2" t="n">
        <v>595000</v>
      </c>
      <c r="I1888" s="2" t="n">
        <f aca="false">(((H1888 / 800) / IF(ISBLANK(R1888), 1000000, IF(ISNA(VLOOKUP(R1888, Mileages!$A$2:$C$34, 2, 0)), R1888, VLOOKUP(R1888, Mileages!$A$2:$C$34, 2, 0)))) + (F1888 * IF(ISBLANK(P1888), 1, P1888) * IF(ISBLANK(T1888), 0, IF(ISNA(VLOOKUP(T1888, 'Fuel Costs'!$A$2:$C$42, 2, 0)), T1888, VLOOKUP(T1888, 'Fuel Costs'!$A$2:$C$42, 2, 0))) / IF(ISBLANK(O1888), 1, O1888))) * 100</f>
        <v>0.06197916667</v>
      </c>
      <c r="J1888" s="2" t="n">
        <f aca="false">((H1888 / 800) / (IF(ISBLANK(S1888), 100, IF(ISNA(VLOOKUP(S1888, Lives!$A$2:$C$35, 2, 0)), S1888, VLOOKUP(S1888, Lives!$A$2:$C$35, 2, 0))) * 12) + (IF(ISBLANK(Q1888), 0, IF(ISNA(VLOOKUP(Q1888, Wages!$A$2:$C$17, 2, 0)), Q1888, VLOOKUP(Q1888, Wages!$A$2:$C$17, 2, 0))) * IF(ISBLANK(N1888), 0, IF(ISNA(VLOOKUP(N1888, Crews!$A$2:$C$28, 2, 0)), N1888, VLOOKUP(N1888, Crews!$A$2:$C$28, 2, 0))))) * 400</f>
        <v>708.3333333</v>
      </c>
      <c r="K1888" s="1"/>
      <c r="L1888" s="1" t="s">
        <v>3680</v>
      </c>
      <c r="M1888" s="1" t="n">
        <v>1</v>
      </c>
      <c r="N1888" s="1"/>
      <c r="O1888" s="1"/>
      <c r="P1888" s="1"/>
      <c r="Q1888" s="1"/>
      <c r="R1888" s="1" t="s">
        <v>689</v>
      </c>
      <c r="S1888" s="1" t="s">
        <v>856</v>
      </c>
      <c r="T1888" s="1"/>
    </row>
    <row r="1889" customFormat="false" ht="15" hidden="false" customHeight="true" outlineLevel="0" collapsed="false">
      <c r="A1889" s="1" t="s">
        <v>3682</v>
      </c>
      <c r="B1889" s="1" t="n">
        <v>1951</v>
      </c>
      <c r="C1889" s="1" t="n">
        <v>2</v>
      </c>
      <c r="D1889" s="1" t="s">
        <v>38</v>
      </c>
      <c r="E1889" s="1"/>
      <c r="F1889" s="1"/>
      <c r="G1889" s="1" t="n">
        <v>160</v>
      </c>
      <c r="H1889" s="2" t="n">
        <v>595000</v>
      </c>
      <c r="I1889" s="2" t="n">
        <f aca="false">(((H1889 / 800) / IF(ISBLANK(R1889), 1000000, IF(ISNA(VLOOKUP(R1889, Mileages!$A$2:$C$34, 2, 0)), R1889, VLOOKUP(R1889, Mileages!$A$2:$C$34, 2, 0)))) + (F1889 * IF(ISBLANK(P1889), 1, P1889) * IF(ISBLANK(T1889), 0, IF(ISNA(VLOOKUP(T1889, 'Fuel Costs'!$A$2:$C$42, 2, 0)), T1889, VLOOKUP(T1889, 'Fuel Costs'!$A$2:$C$42, 2, 0))) / IF(ISBLANK(O1889), 1, O1889))) * 100</f>
        <v>0.06197916667</v>
      </c>
      <c r="J1889" s="2" t="n">
        <f aca="false">((H1889 / 800) / (IF(ISBLANK(S1889), 100, IF(ISNA(VLOOKUP(S1889, Lives!$A$2:$C$35, 2, 0)), S1889, VLOOKUP(S1889, Lives!$A$2:$C$35, 2, 0))) * 12) + (IF(ISBLANK(Q1889), 0, IF(ISNA(VLOOKUP(Q1889, Wages!$A$2:$C$17, 2, 0)), Q1889, VLOOKUP(Q1889, Wages!$A$2:$C$17, 2, 0))) * IF(ISBLANK(N1889), 0, IF(ISNA(VLOOKUP(N1889, Crews!$A$2:$C$28, 2, 0)), N1889, VLOOKUP(N1889, Crews!$A$2:$C$28, 2, 0))))) * 400</f>
        <v>708.3333333</v>
      </c>
      <c r="K1889" s="1" t="s">
        <v>3683</v>
      </c>
      <c r="L1889" s="1" t="s">
        <v>3684</v>
      </c>
      <c r="M1889" s="1" t="n">
        <v>0</v>
      </c>
      <c r="N1889" s="1"/>
      <c r="O1889" s="1"/>
      <c r="P1889" s="1"/>
      <c r="Q1889" s="1"/>
      <c r="R1889" s="1" t="s">
        <v>689</v>
      </c>
      <c r="S1889" s="1" t="s">
        <v>856</v>
      </c>
      <c r="T1889" s="1"/>
    </row>
    <row r="1890" customFormat="false" ht="15" hidden="false" customHeight="true" outlineLevel="0" collapsed="false">
      <c r="A1890" s="1" t="s">
        <v>3685</v>
      </c>
      <c r="B1890" s="1" t="n">
        <v>1951</v>
      </c>
      <c r="C1890" s="1" t="n">
        <v>2</v>
      </c>
      <c r="D1890" s="1" t="s">
        <v>38</v>
      </c>
      <c r="E1890" s="1"/>
      <c r="F1890" s="1"/>
      <c r="G1890" s="1" t="n">
        <v>175</v>
      </c>
      <c r="H1890" s="2" t="n">
        <v>790000</v>
      </c>
      <c r="I1890" s="2" t="n">
        <f aca="false">(((H1890 / 800) / IF(ISBLANK(R1890), 1000000, IF(ISNA(VLOOKUP(R1890, Mileages!$A$2:$C$34, 2, 0)), R1890, VLOOKUP(R1890, Mileages!$A$2:$C$34, 2, 0)))) + (F1890 * IF(ISBLANK(P1890), 1, P1890) * IF(ISBLANK(T1890), 0, IF(ISNA(VLOOKUP(T1890, 'Fuel Costs'!$A$2:$C$42, 2, 0)), T1890, VLOOKUP(T1890, 'Fuel Costs'!$A$2:$C$42, 2, 0))) / IF(ISBLANK(O1890), 1, O1890))) * 100</f>
        <v>0.08229166667</v>
      </c>
      <c r="J1890" s="2" t="n">
        <f aca="false">((H1890 / 800) / (IF(ISBLANK(S1890), 100, IF(ISNA(VLOOKUP(S1890, Lives!$A$2:$C$35, 2, 0)), S1890, VLOOKUP(S1890, Lives!$A$2:$C$35, 2, 0))) * 12) + (IF(ISBLANK(Q1890), 0, IF(ISNA(VLOOKUP(Q1890, Wages!$A$2:$C$17, 2, 0)), Q1890, VLOOKUP(Q1890, Wages!$A$2:$C$17, 2, 0))) * IF(ISBLANK(N1890), 0, IF(ISNA(VLOOKUP(N1890, Crews!$A$2:$C$28, 2, 0)), N1890, VLOOKUP(N1890, Crews!$A$2:$C$28, 2, 0))))) * 400</f>
        <v>940.4761905</v>
      </c>
      <c r="K1890" s="1"/>
      <c r="L1890" s="1" t="s">
        <v>3686</v>
      </c>
      <c r="M1890" s="1" t="n">
        <v>0</v>
      </c>
      <c r="N1890" s="1"/>
      <c r="O1890" s="1"/>
      <c r="P1890" s="1"/>
      <c r="Q1890" s="1"/>
      <c r="R1890" s="1" t="s">
        <v>689</v>
      </c>
      <c r="S1890" s="1" t="s">
        <v>856</v>
      </c>
      <c r="T1890" s="1"/>
    </row>
    <row r="1891" customFormat="false" ht="15" hidden="false" customHeight="true" outlineLevel="0" collapsed="false">
      <c r="A1891" s="1" t="s">
        <v>3687</v>
      </c>
      <c r="B1891" s="1" t="n">
        <v>1951</v>
      </c>
      <c r="C1891" s="1" t="n">
        <v>2</v>
      </c>
      <c r="D1891" s="1" t="s">
        <v>38</v>
      </c>
      <c r="E1891" s="1"/>
      <c r="F1891" s="1"/>
      <c r="G1891" s="1" t="n">
        <v>160</v>
      </c>
      <c r="H1891" s="2" t="n">
        <v>595000</v>
      </c>
      <c r="I1891" s="2" t="n">
        <f aca="false">(((H1891 / 800) / IF(ISBLANK(R1891), 1000000, IF(ISNA(VLOOKUP(R1891, Mileages!$A$2:$C$34, 2, 0)), R1891, VLOOKUP(R1891, Mileages!$A$2:$C$34, 2, 0)))) + (F1891 * IF(ISBLANK(P1891), 1, P1891) * IF(ISBLANK(T1891), 0, IF(ISNA(VLOOKUP(T1891, 'Fuel Costs'!$A$2:$C$42, 2, 0)), T1891, VLOOKUP(T1891, 'Fuel Costs'!$A$2:$C$42, 2, 0))) / IF(ISBLANK(O1891), 1, O1891))) * 100</f>
        <v>0.06197916667</v>
      </c>
      <c r="J1891" s="2" t="n">
        <f aca="false">((H1891 / 800) / (IF(ISBLANK(S1891), 100, IF(ISNA(VLOOKUP(S1891, Lives!$A$2:$C$35, 2, 0)), S1891, VLOOKUP(S1891, Lives!$A$2:$C$35, 2, 0))) * 12) + (IF(ISBLANK(Q1891), 0, IF(ISNA(VLOOKUP(Q1891, Wages!$A$2:$C$17, 2, 0)), Q1891, VLOOKUP(Q1891, Wages!$A$2:$C$17, 2, 0))) * IF(ISBLANK(N1891), 0, IF(ISNA(VLOOKUP(N1891, Crews!$A$2:$C$28, 2, 0)), N1891, VLOOKUP(N1891, Crews!$A$2:$C$28, 2, 0))))) * 400</f>
        <v>708.3333333</v>
      </c>
      <c r="K1891" s="1" t="s">
        <v>3683</v>
      </c>
      <c r="L1891" s="1" t="s">
        <v>3688</v>
      </c>
      <c r="M1891" s="1" t="n">
        <v>0</v>
      </c>
      <c r="N1891" s="1"/>
      <c r="O1891" s="1"/>
      <c r="P1891" s="1"/>
      <c r="Q1891" s="1"/>
      <c r="R1891" s="1" t="s">
        <v>689</v>
      </c>
      <c r="S1891" s="1" t="s">
        <v>856</v>
      </c>
      <c r="T1891" s="1"/>
    </row>
    <row r="1892" customFormat="false" ht="15" hidden="false" customHeight="true" outlineLevel="0" collapsed="false">
      <c r="A1892" s="1" t="s">
        <v>3689</v>
      </c>
      <c r="B1892" s="1" t="n">
        <v>1951</v>
      </c>
      <c r="C1892" s="1" t="n">
        <v>2</v>
      </c>
      <c r="D1892" s="1" t="s">
        <v>2225</v>
      </c>
      <c r="E1892" s="1" t="s">
        <v>1839</v>
      </c>
      <c r="F1892" s="1" t="n">
        <v>3916</v>
      </c>
      <c r="G1892" s="1" t="n">
        <v>418</v>
      </c>
      <c r="H1892" s="2" t="n">
        <v>8900000</v>
      </c>
      <c r="I1892" s="2" t="n">
        <f aca="false">(((H1892 / 800) / IF(ISBLANK(R1892), 1000000, IF(ISNA(VLOOKUP(R1892, Mileages!$A$2:$C$34, 2, 0)), R1892, VLOOKUP(R1892, Mileages!$A$2:$C$34, 2, 0)))) + (F1892 * IF(ISBLANK(P1892), 1, P1892) * IF(ISBLANK(T1892), 0, IF(ISNA(VLOOKUP(T1892, 'Fuel Costs'!$A$2:$C$42, 2, 0)), T1892, VLOOKUP(T1892, 'Fuel Costs'!$A$2:$C$42, 2, 0))) / IF(ISBLANK(O1892), 1, O1892))) * 100</f>
        <v>156.8625</v>
      </c>
      <c r="J1892" s="2" t="n">
        <f aca="false">((H1892 / 800) / (IF(ISBLANK(S1892), 100, IF(ISNA(VLOOKUP(S1892, Lives!$A$2:$C$35, 2, 0)), S1892, VLOOKUP(S1892, Lives!$A$2:$C$35, 2, 0))) * 12) + (IF(ISBLANK(Q1892), 0, IF(ISNA(VLOOKUP(Q1892, Wages!$A$2:$C$17, 2, 0)), Q1892, VLOOKUP(Q1892, Wages!$A$2:$C$17, 2, 0))) * IF(ISBLANK(N1892), 0, IF(ISNA(VLOOKUP(N1892, Crews!$A$2:$C$28, 2, 0)), N1892, VLOOKUP(N1892, Crews!$A$2:$C$28, 2, 0))))) * 400</f>
        <v>56180.55556</v>
      </c>
      <c r="K1892" s="3" t="s">
        <v>3690</v>
      </c>
      <c r="L1892" s="1" t="s">
        <v>3691</v>
      </c>
      <c r="M1892" s="1" t="n">
        <v>0</v>
      </c>
      <c r="N1892" s="1" t="s">
        <v>2342</v>
      </c>
      <c r="O1892" s="1"/>
      <c r="P1892" s="1" t="n">
        <v>0.1</v>
      </c>
      <c r="Q1892" s="1" t="s">
        <v>2229</v>
      </c>
      <c r="R1892" s="1" t="s">
        <v>2229</v>
      </c>
      <c r="S1892" s="1" t="s">
        <v>2229</v>
      </c>
      <c r="T1892" s="1" t="s">
        <v>3481</v>
      </c>
    </row>
    <row r="1893" customFormat="false" ht="15" hidden="false" customHeight="true" outlineLevel="0" collapsed="false">
      <c r="A1893" s="1" t="s">
        <v>3692</v>
      </c>
      <c r="B1893" s="1" t="n">
        <v>1951</v>
      </c>
      <c r="C1893" s="1" t="n">
        <v>2</v>
      </c>
      <c r="D1893" s="1" t="s">
        <v>38</v>
      </c>
      <c r="E1893" s="1"/>
      <c r="F1893" s="1"/>
      <c r="G1893" s="1" t="n">
        <v>160</v>
      </c>
      <c r="H1893" s="2" t="n">
        <v>595000</v>
      </c>
      <c r="I1893" s="2" t="n">
        <f aca="false">(((H1893 / 800) / IF(ISBLANK(R1893), 1000000, IF(ISNA(VLOOKUP(R1893, Mileages!$A$2:$C$34, 2, 0)), R1893, VLOOKUP(R1893, Mileages!$A$2:$C$34, 2, 0)))) + (F1893 * IF(ISBLANK(P1893), 1, P1893) * IF(ISBLANK(T1893), 0, IF(ISNA(VLOOKUP(T1893, 'Fuel Costs'!$A$2:$C$42, 2, 0)), T1893, VLOOKUP(T1893, 'Fuel Costs'!$A$2:$C$42, 2, 0))) / IF(ISBLANK(O1893), 1, O1893))) * 100</f>
        <v>0.06197916667</v>
      </c>
      <c r="J1893" s="2" t="n">
        <f aca="false">((H1893 / 800) / (IF(ISBLANK(S1893), 100, IF(ISNA(VLOOKUP(S1893, Lives!$A$2:$C$35, 2, 0)), S1893, VLOOKUP(S1893, Lives!$A$2:$C$35, 2, 0))) * 12) + (IF(ISBLANK(Q1893), 0, IF(ISNA(VLOOKUP(Q1893, Wages!$A$2:$C$17, 2, 0)), Q1893, VLOOKUP(Q1893, Wages!$A$2:$C$17, 2, 0))) * IF(ISBLANK(N1893), 0, IF(ISNA(VLOOKUP(N1893, Crews!$A$2:$C$28, 2, 0)), N1893, VLOOKUP(N1893, Crews!$A$2:$C$28, 2, 0))))) * 400</f>
        <v>708.3333333</v>
      </c>
      <c r="K1893" s="3" t="s">
        <v>3693</v>
      </c>
      <c r="L1893" s="1" t="s">
        <v>3694</v>
      </c>
      <c r="M1893" s="1" t="n">
        <v>0</v>
      </c>
      <c r="N1893" s="1"/>
      <c r="O1893" s="1"/>
      <c r="P1893" s="1"/>
      <c r="Q1893" s="1"/>
      <c r="R1893" s="1" t="s">
        <v>689</v>
      </c>
      <c r="S1893" s="1" t="s">
        <v>856</v>
      </c>
      <c r="T1893" s="1"/>
    </row>
    <row r="1894" customFormat="false" ht="15" hidden="false" customHeight="true" outlineLevel="0" collapsed="false">
      <c r="A1894" s="1" t="s">
        <v>3695</v>
      </c>
      <c r="B1894" s="1" t="n">
        <v>1951</v>
      </c>
      <c r="C1894" s="1" t="n">
        <v>2</v>
      </c>
      <c r="D1894" s="1" t="s">
        <v>38</v>
      </c>
      <c r="E1894" s="1"/>
      <c r="F1894" s="1"/>
      <c r="G1894" s="1" t="n">
        <v>160</v>
      </c>
      <c r="H1894" s="2" t="n">
        <v>595000</v>
      </c>
      <c r="I1894" s="2" t="n">
        <f aca="false">(((H1894 / 800) / IF(ISBLANK(R1894), 1000000, IF(ISNA(VLOOKUP(R1894, Mileages!$A$2:$C$34, 2, 0)), R1894, VLOOKUP(R1894, Mileages!$A$2:$C$34, 2, 0)))) + (F1894 * IF(ISBLANK(P1894), 1, P1894) * IF(ISBLANK(T1894), 0, IF(ISNA(VLOOKUP(T1894, 'Fuel Costs'!$A$2:$C$42, 2, 0)), T1894, VLOOKUP(T1894, 'Fuel Costs'!$A$2:$C$42, 2, 0))) / IF(ISBLANK(O1894), 1, O1894))) * 100</f>
        <v>0.06197916667</v>
      </c>
      <c r="J1894" s="2" t="n">
        <f aca="false">((H1894 / 800) / (IF(ISBLANK(S1894), 100, IF(ISNA(VLOOKUP(S1894, Lives!$A$2:$C$35, 2, 0)), S1894, VLOOKUP(S1894, Lives!$A$2:$C$35, 2, 0))) * 12) + (IF(ISBLANK(Q1894), 0, IF(ISNA(VLOOKUP(Q1894, Wages!$A$2:$C$17, 2, 0)), Q1894, VLOOKUP(Q1894, Wages!$A$2:$C$17, 2, 0))) * IF(ISBLANK(N1894), 0, IF(ISNA(VLOOKUP(N1894, Crews!$A$2:$C$28, 2, 0)), N1894, VLOOKUP(N1894, Crews!$A$2:$C$28, 2, 0))))) * 400</f>
        <v>708.3333333</v>
      </c>
      <c r="K1894" s="1"/>
      <c r="L1894" s="1" t="s">
        <v>3696</v>
      </c>
      <c r="M1894" s="1" t="n">
        <v>0</v>
      </c>
      <c r="N1894" s="1"/>
      <c r="O1894" s="1"/>
      <c r="P1894" s="1"/>
      <c r="Q1894" s="1"/>
      <c r="R1894" s="1" t="s">
        <v>689</v>
      </c>
      <c r="S1894" s="1" t="s">
        <v>856</v>
      </c>
      <c r="T1894" s="1"/>
    </row>
    <row r="1895" customFormat="false" ht="15" hidden="false" customHeight="true" outlineLevel="0" collapsed="false">
      <c r="A1895" s="1" t="s">
        <v>3697</v>
      </c>
      <c r="B1895" s="1" t="n">
        <v>1951</v>
      </c>
      <c r="C1895" s="1" t="n">
        <v>2</v>
      </c>
      <c r="D1895" s="1" t="s">
        <v>38</v>
      </c>
      <c r="E1895" s="1"/>
      <c r="F1895" s="1"/>
      <c r="G1895" s="1" t="n">
        <v>160</v>
      </c>
      <c r="H1895" s="2" t="n">
        <v>595000</v>
      </c>
      <c r="I1895" s="2" t="n">
        <f aca="false">(((H1895 / 800) / IF(ISBLANK(R1895), 1000000, IF(ISNA(VLOOKUP(R1895, Mileages!$A$2:$C$34, 2, 0)), R1895, VLOOKUP(R1895, Mileages!$A$2:$C$34, 2, 0)))) + (F1895 * IF(ISBLANK(P1895), 1, P1895) * IF(ISBLANK(T1895), 0, IF(ISNA(VLOOKUP(T1895, 'Fuel Costs'!$A$2:$C$42, 2, 0)), T1895, VLOOKUP(T1895, 'Fuel Costs'!$A$2:$C$42, 2, 0))) / IF(ISBLANK(O1895), 1, O1895))) * 100</f>
        <v>0.06197916667</v>
      </c>
      <c r="J1895" s="2" t="n">
        <f aca="false">((H1895 / 800) / (IF(ISBLANK(S1895), 100, IF(ISNA(VLOOKUP(S1895, Lives!$A$2:$C$35, 2, 0)), S1895, VLOOKUP(S1895, Lives!$A$2:$C$35, 2, 0))) * 12) + (IF(ISBLANK(Q1895), 0, IF(ISNA(VLOOKUP(Q1895, Wages!$A$2:$C$17, 2, 0)), Q1895, VLOOKUP(Q1895, Wages!$A$2:$C$17, 2, 0))) * IF(ISBLANK(N1895), 0, IF(ISNA(VLOOKUP(N1895, Crews!$A$2:$C$28, 2, 0)), N1895, VLOOKUP(N1895, Crews!$A$2:$C$28, 2, 0))))) * 400</f>
        <v>708.3333333</v>
      </c>
      <c r="K1895" s="1"/>
      <c r="L1895" s="1" t="s">
        <v>3696</v>
      </c>
      <c r="M1895" s="1" t="n">
        <v>1</v>
      </c>
      <c r="N1895" s="1"/>
      <c r="O1895" s="1"/>
      <c r="P1895" s="1"/>
      <c r="Q1895" s="1"/>
      <c r="R1895" s="1" t="s">
        <v>689</v>
      </c>
      <c r="S1895" s="1" t="s">
        <v>856</v>
      </c>
      <c r="T1895" s="1"/>
    </row>
    <row r="1896" customFormat="false" ht="15" hidden="false" customHeight="true" outlineLevel="0" collapsed="false">
      <c r="A1896" s="1" t="s">
        <v>3698</v>
      </c>
      <c r="B1896" s="1" t="n">
        <v>1951</v>
      </c>
      <c r="C1896" s="1" t="n">
        <v>2</v>
      </c>
      <c r="D1896" s="1" t="s">
        <v>38</v>
      </c>
      <c r="E1896" s="1"/>
      <c r="F1896" s="1"/>
      <c r="G1896" s="1" t="n">
        <v>160</v>
      </c>
      <c r="H1896" s="2" t="n">
        <v>583000</v>
      </c>
      <c r="I1896" s="2" t="n">
        <f aca="false">(((H1896 / 800) / IF(ISBLANK(R1896), 1000000, IF(ISNA(VLOOKUP(R1896, Mileages!$A$2:$C$34, 2, 0)), R1896, VLOOKUP(R1896, Mileages!$A$2:$C$34, 2, 0)))) + (F1896 * IF(ISBLANK(P1896), 1, P1896) * IF(ISBLANK(T1896), 0, IF(ISNA(VLOOKUP(T1896, 'Fuel Costs'!$A$2:$C$42, 2, 0)), T1896, VLOOKUP(T1896, 'Fuel Costs'!$A$2:$C$42, 2, 0))) / IF(ISBLANK(O1896), 1, O1896))) * 100</f>
        <v>0.06072916667</v>
      </c>
      <c r="J1896" s="2" t="n">
        <f aca="false">((H1896 / 800) / (IF(ISBLANK(S1896), 100, IF(ISNA(VLOOKUP(S1896, Lives!$A$2:$C$35, 2, 0)), S1896, VLOOKUP(S1896, Lives!$A$2:$C$35, 2, 0))) * 12) + (IF(ISBLANK(Q1896), 0, IF(ISNA(VLOOKUP(Q1896, Wages!$A$2:$C$17, 2, 0)), Q1896, VLOOKUP(Q1896, Wages!$A$2:$C$17, 2, 0))) * IF(ISBLANK(N1896), 0, IF(ISNA(VLOOKUP(N1896, Crews!$A$2:$C$28, 2, 0)), N1896, VLOOKUP(N1896, Crews!$A$2:$C$28, 2, 0))))) * 400</f>
        <v>694.047619</v>
      </c>
      <c r="K1896" s="3" t="s">
        <v>3699</v>
      </c>
      <c r="L1896" s="1" t="s">
        <v>3700</v>
      </c>
      <c r="M1896" s="1" t="n">
        <v>0</v>
      </c>
      <c r="N1896" s="1"/>
      <c r="O1896" s="1"/>
      <c r="P1896" s="1"/>
      <c r="Q1896" s="1"/>
      <c r="R1896" s="1" t="s">
        <v>689</v>
      </c>
      <c r="S1896" s="1" t="s">
        <v>856</v>
      </c>
      <c r="T1896" s="1"/>
    </row>
    <row r="1897" customFormat="false" ht="15" hidden="false" customHeight="true" outlineLevel="0" collapsed="false">
      <c r="A1897" s="1" t="s">
        <v>3701</v>
      </c>
      <c r="B1897" s="1" t="n">
        <v>1951</v>
      </c>
      <c r="C1897" s="1" t="n">
        <v>4</v>
      </c>
      <c r="D1897" s="1" t="s">
        <v>38</v>
      </c>
      <c r="E1897" s="1"/>
      <c r="F1897" s="1" t="n">
        <v>0</v>
      </c>
      <c r="G1897" s="1" t="n">
        <v>135</v>
      </c>
      <c r="H1897" s="2" t="n">
        <v>0</v>
      </c>
      <c r="I1897" s="2" t="n">
        <f aca="false">(((H1897 / 800) / IF(ISBLANK(R1897), 1000000, IF(ISNA(VLOOKUP(R1897, Mileages!$A$2:$C$34, 2, 0)), R1897, VLOOKUP(R1897, Mileages!$A$2:$C$34, 2, 0)))) + (F1897 * IF(ISBLANK(P1897), 1, P1897) * IF(ISBLANK(T1897), 0, IF(ISNA(VLOOKUP(T1897, 'Fuel Costs'!$A$2:$C$42, 2, 0)), T1897, VLOOKUP(T1897, 'Fuel Costs'!$A$2:$C$42, 2, 0))) / IF(ISBLANK(O1897), 1, O1897))) * 100</f>
        <v>0</v>
      </c>
      <c r="J1897" s="2" t="n">
        <f aca="false">((H1897 / 800) / (IF(ISBLANK(S1897), 100, IF(ISNA(VLOOKUP(S1897, Lives!$A$2:$C$35, 2, 0)), S1897, VLOOKUP(S1897, Lives!$A$2:$C$35, 2, 0))) * 12) + (IF(ISBLANK(Q1897), 0, IF(ISNA(VLOOKUP(Q1897, Wages!$A$2:$C$17, 2, 0)), Q1897, VLOOKUP(Q1897, Wages!$A$2:$C$17, 2, 0))) * IF(ISBLANK(N1897), 0, IF(ISNA(VLOOKUP(N1897, Crews!$A$2:$C$28, 2, 0)), N1897, VLOOKUP(N1897, Crews!$A$2:$C$28, 2, 0))))) * 400</f>
        <v>0</v>
      </c>
      <c r="K1897" s="1"/>
      <c r="L1897" s="1" t="s">
        <v>3702</v>
      </c>
      <c r="M1897" s="1" t="n">
        <v>1</v>
      </c>
      <c r="N1897" s="1"/>
      <c r="O1897" s="1"/>
      <c r="P1897" s="1"/>
      <c r="Q1897" s="1"/>
      <c r="R1897" s="1"/>
      <c r="S1897" s="1"/>
      <c r="T1897" s="1"/>
    </row>
    <row r="1898" customFormat="false" ht="15" hidden="false" customHeight="true" outlineLevel="0" collapsed="false">
      <c r="A1898" s="1" t="s">
        <v>3703</v>
      </c>
      <c r="B1898" s="1" t="n">
        <v>1951</v>
      </c>
      <c r="C1898" s="1" t="n">
        <v>4</v>
      </c>
      <c r="D1898" s="1" t="s">
        <v>38</v>
      </c>
      <c r="E1898" s="1" t="s">
        <v>274</v>
      </c>
      <c r="F1898" s="1" t="n">
        <v>413</v>
      </c>
      <c r="G1898" s="1" t="n">
        <v>135</v>
      </c>
      <c r="H1898" s="2" t="n">
        <v>5210000</v>
      </c>
      <c r="I1898" s="2" t="n">
        <f aca="false">(((H1898 / 800) / IF(ISBLANK(R1898), 1000000, IF(ISNA(VLOOKUP(R1898, Mileages!$A$2:$C$34, 2, 0)), R1898, VLOOKUP(R1898, Mileages!$A$2:$C$34, 2, 0)))) + (F1898 * IF(ISBLANK(P1898), 1, P1898) * IF(ISBLANK(T1898), 0, IF(ISNA(VLOOKUP(T1898, 'Fuel Costs'!$A$2:$C$42, 2, 0)), T1898, VLOOKUP(T1898, 'Fuel Costs'!$A$2:$C$42, 2, 0))) / IF(ISBLANK(O1898), 1, O1898))) * 100</f>
        <v>354.65125</v>
      </c>
      <c r="J1898" s="2" t="n">
        <f aca="false">((H1898 / 800) / (IF(ISBLANK(S1898), 100, IF(ISNA(VLOOKUP(S1898, Lives!$A$2:$C$35, 2, 0)), S1898, VLOOKUP(S1898, Lives!$A$2:$C$35, 2, 0))) * 12) + (IF(ISBLANK(Q1898), 0, IF(ISNA(VLOOKUP(Q1898, Wages!$A$2:$C$17, 2, 0)), Q1898, VLOOKUP(Q1898, Wages!$A$2:$C$17, 2, 0))) * IF(ISBLANK(N1898), 0, IF(ISNA(VLOOKUP(N1898, Crews!$A$2:$C$28, 2, 0)), N1898, VLOOKUP(N1898, Crews!$A$2:$C$28, 2, 0))))) * 400</f>
        <v>28341.66667</v>
      </c>
      <c r="K1898" s="3" t="s">
        <v>3704</v>
      </c>
      <c r="L1898" s="1" t="s">
        <v>3705</v>
      </c>
      <c r="M1898" s="1" t="n">
        <v>0</v>
      </c>
      <c r="N1898" s="1" t="s">
        <v>590</v>
      </c>
      <c r="O1898" s="1" t="n">
        <v>0.7</v>
      </c>
      <c r="P1898" s="1"/>
      <c r="Q1898" s="5" t="s">
        <v>284</v>
      </c>
      <c r="R1898" s="1" t="s">
        <v>677</v>
      </c>
      <c r="S1898" s="1" t="s">
        <v>677</v>
      </c>
      <c r="T1898" s="1" t="s">
        <v>3553</v>
      </c>
    </row>
    <row r="1899" customFormat="false" ht="15" hidden="false" customHeight="true" outlineLevel="0" collapsed="false">
      <c r="A1899" s="1" t="s">
        <v>3706</v>
      </c>
      <c r="B1899" s="1" t="n">
        <v>1951</v>
      </c>
      <c r="C1899" s="1" t="n">
        <v>4</v>
      </c>
      <c r="D1899" s="1" t="s">
        <v>2225</v>
      </c>
      <c r="E1899" s="1" t="s">
        <v>1839</v>
      </c>
      <c r="F1899" s="1" t="n">
        <v>388</v>
      </c>
      <c r="G1899" s="1" t="n">
        <v>326</v>
      </c>
      <c r="H1899" s="2" t="n">
        <v>1800000</v>
      </c>
      <c r="I1899" s="2" t="n">
        <f aca="false">(((H1899 / 800) / IF(ISBLANK(R1899), 1000000, IF(ISNA(VLOOKUP(R1899, Mileages!$A$2:$C$34, 2, 0)), R1899, VLOOKUP(R1899, Mileages!$A$2:$C$34, 2, 0)))) + (F1899 * IF(ISBLANK(P1899), 1, P1899) * IF(ISBLANK(T1899), 0, IF(ISNA(VLOOKUP(T1899, 'Fuel Costs'!$A$2:$C$42, 2, 0)), T1899, VLOOKUP(T1899, 'Fuel Costs'!$A$2:$C$42, 2, 0))) / IF(ISBLANK(O1899), 1, O1899))) * 100</f>
        <v>15.565</v>
      </c>
      <c r="J1899" s="2" t="n">
        <f aca="false">((H1899 / 800) / (IF(ISBLANK(S1899), 100, IF(ISNA(VLOOKUP(S1899, Lives!$A$2:$C$35, 2, 0)), S1899, VLOOKUP(S1899, Lives!$A$2:$C$35, 2, 0))) * 12) + (IF(ISBLANK(Q1899), 0, IF(ISNA(VLOOKUP(Q1899, Wages!$A$2:$C$17, 2, 0)), Q1899, VLOOKUP(Q1899, Wages!$A$2:$C$17, 2, 0))) * IF(ISBLANK(N1899), 0, IF(ISNA(VLOOKUP(N1899, Crews!$A$2:$C$28, 2, 0)), N1899, VLOOKUP(N1899, Crews!$A$2:$C$28, 2, 0))))) * 400</f>
        <v>51250</v>
      </c>
      <c r="K1899" s="3" t="s">
        <v>3707</v>
      </c>
      <c r="L1899" s="1" t="s">
        <v>3708</v>
      </c>
      <c r="M1899" s="1" t="n">
        <v>0</v>
      </c>
      <c r="N1899" s="1" t="s">
        <v>2342</v>
      </c>
      <c r="O1899" s="1"/>
      <c r="P1899" s="1" t="n">
        <v>0.1</v>
      </c>
      <c r="Q1899" s="1" t="s">
        <v>2229</v>
      </c>
      <c r="R1899" s="1" t="s">
        <v>2229</v>
      </c>
      <c r="S1899" s="1" t="s">
        <v>2229</v>
      </c>
      <c r="T1899" s="1" t="s">
        <v>3481</v>
      </c>
    </row>
    <row r="1900" customFormat="false" ht="15" hidden="false" customHeight="true" outlineLevel="0" collapsed="false">
      <c r="A1900" s="1" t="s">
        <v>3709</v>
      </c>
      <c r="B1900" s="1" t="n">
        <v>1951</v>
      </c>
      <c r="C1900" s="1" t="n">
        <v>4</v>
      </c>
      <c r="D1900" s="1" t="s">
        <v>2225</v>
      </c>
      <c r="E1900" s="1" t="s">
        <v>1839</v>
      </c>
      <c r="F1900" s="1" t="n">
        <v>388</v>
      </c>
      <c r="G1900" s="1" t="n">
        <v>326</v>
      </c>
      <c r="H1900" s="2" t="n">
        <v>1800000</v>
      </c>
      <c r="I1900" s="2" t="n">
        <f aca="false">(((H1900 / 800) / IF(ISBLANK(R1900), 1000000, IF(ISNA(VLOOKUP(R1900, Mileages!$A$2:$C$34, 2, 0)), R1900, VLOOKUP(R1900, Mileages!$A$2:$C$34, 2, 0)))) + (F1900 * IF(ISBLANK(P1900), 1, P1900) * IF(ISBLANK(T1900), 0, IF(ISNA(VLOOKUP(T1900, 'Fuel Costs'!$A$2:$C$42, 2, 0)), T1900, VLOOKUP(T1900, 'Fuel Costs'!$A$2:$C$42, 2, 0))) / IF(ISBLANK(O1900), 1, O1900))) * 100</f>
        <v>15.565</v>
      </c>
      <c r="J1900" s="2" t="n">
        <f aca="false">((H1900 / 800) / (IF(ISBLANK(S1900), 100, IF(ISNA(VLOOKUP(S1900, Lives!$A$2:$C$35, 2, 0)), S1900, VLOOKUP(S1900, Lives!$A$2:$C$35, 2, 0))) * 12) + (IF(ISBLANK(Q1900), 0, IF(ISNA(VLOOKUP(Q1900, Wages!$A$2:$C$17, 2, 0)), Q1900, VLOOKUP(Q1900, Wages!$A$2:$C$17, 2, 0))) * IF(ISBLANK(N1900), 0, IF(ISNA(VLOOKUP(N1900, Crews!$A$2:$C$28, 2, 0)), N1900, VLOOKUP(N1900, Crews!$A$2:$C$28, 2, 0))))) * 400</f>
        <v>51250</v>
      </c>
      <c r="K1900" s="3" t="s">
        <v>3710</v>
      </c>
      <c r="L1900" s="1" t="s">
        <v>3708</v>
      </c>
      <c r="M1900" s="1" t="n">
        <v>1</v>
      </c>
      <c r="N1900" s="1" t="s">
        <v>2342</v>
      </c>
      <c r="O1900" s="1"/>
      <c r="P1900" s="1" t="n">
        <v>0.1</v>
      </c>
      <c r="Q1900" s="1" t="s">
        <v>2229</v>
      </c>
      <c r="R1900" s="1" t="s">
        <v>2229</v>
      </c>
      <c r="S1900" s="1" t="s">
        <v>2229</v>
      </c>
      <c r="T1900" s="1" t="s">
        <v>3481</v>
      </c>
    </row>
    <row r="1901" customFormat="false" ht="15" hidden="false" customHeight="true" outlineLevel="0" collapsed="false">
      <c r="A1901" s="1" t="s">
        <v>3711</v>
      </c>
      <c r="B1901" s="1" t="n">
        <v>1951</v>
      </c>
      <c r="C1901" s="1" t="n">
        <v>5</v>
      </c>
      <c r="D1901" s="1" t="s">
        <v>38</v>
      </c>
      <c r="E1901" s="1" t="s">
        <v>274</v>
      </c>
      <c r="F1901" s="1" t="n">
        <v>368</v>
      </c>
      <c r="G1901" s="1" t="n">
        <v>131</v>
      </c>
      <c r="H1901" s="2" t="n">
        <v>4621000</v>
      </c>
      <c r="I1901" s="2" t="n">
        <f aca="false">(((H1901 / 800) / IF(ISBLANK(R1901), 1000000, IF(ISNA(VLOOKUP(R1901, Mileages!$A$2:$C$34, 2, 0)), R1901, VLOOKUP(R1901, Mileages!$A$2:$C$34, 2, 0)))) + (F1901 * IF(ISBLANK(P1901), 1, P1901) * IF(ISBLANK(T1901), 0, IF(ISNA(VLOOKUP(T1901, 'Fuel Costs'!$A$2:$C$42, 2, 0)), T1901, VLOOKUP(T1901, 'Fuel Costs'!$A$2:$C$42, 2, 0))) / IF(ISBLANK(O1901), 1, O1901))) * 100</f>
        <v>316.0061964</v>
      </c>
      <c r="J1901" s="2" t="n">
        <f aca="false">((H1901 / 800) / (IF(ISBLANK(S1901), 100, IF(ISNA(VLOOKUP(S1901, Lives!$A$2:$C$35, 2, 0)), S1901, VLOOKUP(S1901, Lives!$A$2:$C$35, 2, 0))) * 12) + (IF(ISBLANK(Q1901), 0, IF(ISNA(VLOOKUP(Q1901, Wages!$A$2:$C$17, 2, 0)), Q1901, VLOOKUP(Q1901, Wages!$A$2:$C$17, 2, 0))) * IF(ISBLANK(N1901), 0, IF(ISNA(VLOOKUP(N1901, Crews!$A$2:$C$28, 2, 0)), N1901, VLOOKUP(N1901, Crews!$A$2:$C$28, 2, 0))))) * 400</f>
        <v>27850.83333</v>
      </c>
      <c r="K1901" s="3" t="s">
        <v>3712</v>
      </c>
      <c r="L1901" s="1" t="s">
        <v>3702</v>
      </c>
      <c r="M1901" s="1" t="n">
        <v>0</v>
      </c>
      <c r="N1901" s="1" t="s">
        <v>590</v>
      </c>
      <c r="O1901" s="1" t="n">
        <v>0.7</v>
      </c>
      <c r="P1901" s="1"/>
      <c r="Q1901" s="5" t="s">
        <v>284</v>
      </c>
      <c r="R1901" s="1" t="s">
        <v>677</v>
      </c>
      <c r="S1901" s="1" t="s">
        <v>677</v>
      </c>
      <c r="T1901" s="1" t="s">
        <v>3553</v>
      </c>
    </row>
    <row r="1902" customFormat="false" ht="15" hidden="false" customHeight="true" outlineLevel="0" collapsed="false">
      <c r="A1902" s="1" t="s">
        <v>3713</v>
      </c>
      <c r="B1902" s="1" t="n">
        <v>1951</v>
      </c>
      <c r="C1902" s="1" t="n">
        <v>7</v>
      </c>
      <c r="D1902" s="1" t="s">
        <v>38</v>
      </c>
      <c r="E1902" s="1" t="s">
        <v>274</v>
      </c>
      <c r="F1902" s="1" t="n">
        <v>382</v>
      </c>
      <c r="G1902" s="1" t="n">
        <v>126</v>
      </c>
      <c r="H1902" s="2" t="n">
        <v>4435000</v>
      </c>
      <c r="I1902" s="2" t="n">
        <f aca="false">(((H1902 / 800) / IF(ISBLANK(R1902), 1000000, IF(ISNA(VLOOKUP(R1902, Mileages!$A$2:$C$34, 2, 0)), R1902, VLOOKUP(R1902, Mileages!$A$2:$C$34, 2, 0)))) + (F1902 * IF(ISBLANK(P1902), 1, P1902) * IF(ISBLANK(T1902), 0, IF(ISNA(VLOOKUP(T1902, 'Fuel Costs'!$A$2:$C$42, 2, 0)), T1902, VLOOKUP(T1902, 'Fuel Costs'!$A$2:$C$42, 2, 0))) / IF(ISBLANK(O1902), 1, O1902))) * 100</f>
        <v>327.9829464</v>
      </c>
      <c r="J1902" s="2" t="n">
        <f aca="false">((H1902 / 800) / (IF(ISBLANK(S1902), 100, IF(ISNA(VLOOKUP(S1902, Lives!$A$2:$C$35, 2, 0)), S1902, VLOOKUP(S1902, Lives!$A$2:$C$35, 2, 0))) * 12) + (IF(ISBLANK(Q1902), 0, IF(ISNA(VLOOKUP(Q1902, Wages!$A$2:$C$17, 2, 0)), Q1902, VLOOKUP(Q1902, Wages!$A$2:$C$17, 2, 0))) * IF(ISBLANK(N1902), 0, IF(ISNA(VLOOKUP(N1902, Crews!$A$2:$C$28, 2, 0)), N1902, VLOOKUP(N1902, Crews!$A$2:$C$28, 2, 0))))) * 400</f>
        <v>27695.83333</v>
      </c>
      <c r="K1902" s="1" t="s">
        <v>1692</v>
      </c>
      <c r="L1902" s="1" t="s">
        <v>3714</v>
      </c>
      <c r="M1902" s="1" t="n">
        <v>0</v>
      </c>
      <c r="N1902" s="1" t="s">
        <v>590</v>
      </c>
      <c r="O1902" s="1" t="n">
        <v>0.7</v>
      </c>
      <c r="P1902" s="1"/>
      <c r="Q1902" s="5" t="s">
        <v>284</v>
      </c>
      <c r="R1902" s="1" t="s">
        <v>677</v>
      </c>
      <c r="S1902" s="1" t="s">
        <v>677</v>
      </c>
      <c r="T1902" s="1" t="s">
        <v>3553</v>
      </c>
    </row>
    <row r="1903" customFormat="false" ht="15" hidden="false" customHeight="true" outlineLevel="0" collapsed="false">
      <c r="A1903" s="1" t="s">
        <v>3715</v>
      </c>
      <c r="B1903" s="1" t="n">
        <v>1951</v>
      </c>
      <c r="C1903" s="1" t="n">
        <v>10</v>
      </c>
      <c r="D1903" s="1" t="s">
        <v>21</v>
      </c>
      <c r="E1903" s="1" t="s">
        <v>2039</v>
      </c>
      <c r="F1903" s="1" t="n">
        <v>93</v>
      </c>
      <c r="G1903" s="1" t="n">
        <v>64</v>
      </c>
      <c r="H1903" s="2" t="n">
        <v>1570000</v>
      </c>
      <c r="I1903" s="2" t="n">
        <f aca="false">(((H1903 / 800) / IF(ISBLANK(R1903), 1000000, IF(ISNA(VLOOKUP(R1903, Mileages!$A$2:$C$34, 2, 0)), R1903, VLOOKUP(R1903, Mileages!$A$2:$C$34, 2, 0)))) + (F1903 * IF(ISBLANK(P1903), 1, P1903) * IF(ISBLANK(T1903), 0, IF(ISNA(VLOOKUP(T1903, 'Fuel Costs'!$A$2:$C$42, 2, 0)), T1903, VLOOKUP(T1903, 'Fuel Costs'!$A$2:$C$42, 2, 0))) / IF(ISBLANK(O1903), 1, O1903))) * 100</f>
        <v>93.19625</v>
      </c>
      <c r="J1903" s="2" t="n">
        <f aca="false">((H1903 / 800) / (IF(ISBLANK(S1903), 100, IF(ISNA(VLOOKUP(S1903, Lives!$A$2:$C$35, 2, 0)), S1903, VLOOKUP(S1903, Lives!$A$2:$C$35, 2, 0))) * 12) + (IF(ISBLANK(Q1903), 0, IF(ISNA(VLOOKUP(Q1903, Wages!$A$2:$C$17, 2, 0)), Q1903, VLOOKUP(Q1903, Wages!$A$2:$C$17, 2, 0))) * IF(ISBLANK(N1903), 0, IF(ISNA(VLOOKUP(N1903, Crews!$A$2:$C$28, 2, 0)), N1903, VLOOKUP(N1903, Crews!$A$2:$C$28, 2, 0))))) * 400</f>
        <v>8817.708333</v>
      </c>
      <c r="K1903" s="3" t="s">
        <v>3716</v>
      </c>
      <c r="L1903" s="1" t="s">
        <v>3717</v>
      </c>
      <c r="M1903" s="1" t="n">
        <v>0</v>
      </c>
      <c r="N1903" s="1" t="s">
        <v>1815</v>
      </c>
      <c r="O1903" s="1" t="n">
        <v>0.5</v>
      </c>
      <c r="P1903" s="1"/>
      <c r="Q1903" s="1" t="s">
        <v>1815</v>
      </c>
      <c r="R1903" s="1" t="s">
        <v>1843</v>
      </c>
      <c r="S1903" s="1" t="s">
        <v>1843</v>
      </c>
      <c r="T1903" s="1" t="s">
        <v>2041</v>
      </c>
    </row>
    <row r="1904" customFormat="false" ht="15" hidden="false" customHeight="true" outlineLevel="0" collapsed="false">
      <c r="A1904" s="1" t="s">
        <v>3718</v>
      </c>
      <c r="B1904" s="1" t="n">
        <v>1951</v>
      </c>
      <c r="C1904" s="1" t="n">
        <v>11</v>
      </c>
      <c r="D1904" s="1" t="s">
        <v>2225</v>
      </c>
      <c r="E1904" s="1" t="s">
        <v>1839</v>
      </c>
      <c r="F1904" s="1" t="n">
        <v>8980</v>
      </c>
      <c r="G1904" s="1" t="n">
        <v>489</v>
      </c>
      <c r="H1904" s="2" t="n">
        <v>11500000</v>
      </c>
      <c r="I1904" s="2" t="n">
        <f aca="false">(((H1904 / 800) / IF(ISBLANK(R1904), 1000000, IF(ISNA(VLOOKUP(R1904, Mileages!$A$2:$C$34, 2, 0)), R1904, VLOOKUP(R1904, Mileages!$A$2:$C$34, 2, 0)))) + (F1904 * IF(ISBLANK(P1904), 1, P1904) * IF(ISBLANK(T1904), 0, IF(ISNA(VLOOKUP(T1904, 'Fuel Costs'!$A$2:$C$42, 2, 0)), T1904, VLOOKUP(T1904, 'Fuel Costs'!$A$2:$C$42, 2, 0))) / IF(ISBLANK(O1904), 1, O1904))) * 100</f>
        <v>359.4875</v>
      </c>
      <c r="J1904" s="2" t="n">
        <f aca="false">((H1904 / 800) / (IF(ISBLANK(S1904), 100, IF(ISNA(VLOOKUP(S1904, Lives!$A$2:$C$35, 2, 0)), S1904, VLOOKUP(S1904, Lives!$A$2:$C$35, 2, 0))) * 12) + (IF(ISBLANK(Q1904), 0, IF(ISNA(VLOOKUP(Q1904, Wages!$A$2:$C$17, 2, 0)), Q1904, VLOOKUP(Q1904, Wages!$A$2:$C$17, 2, 0))) * IF(ISBLANK(N1904), 0, IF(ISNA(VLOOKUP(N1904, Crews!$A$2:$C$28, 2, 0)), N1904, VLOOKUP(N1904, Crews!$A$2:$C$28, 2, 0))))) * 400</f>
        <v>57986.11111</v>
      </c>
      <c r="K1904" s="3" t="s">
        <v>3719</v>
      </c>
      <c r="L1904" s="1" t="s">
        <v>3720</v>
      </c>
      <c r="M1904" s="1" t="n">
        <v>0</v>
      </c>
      <c r="N1904" s="1" t="s">
        <v>2342</v>
      </c>
      <c r="O1904" s="1"/>
      <c r="P1904" s="1" t="n">
        <v>0.1</v>
      </c>
      <c r="Q1904" s="1" t="s">
        <v>2229</v>
      </c>
      <c r="R1904" s="1" t="s">
        <v>2229</v>
      </c>
      <c r="S1904" s="1" t="s">
        <v>2229</v>
      </c>
      <c r="T1904" s="1" t="s">
        <v>3481</v>
      </c>
    </row>
    <row r="1905" customFormat="false" ht="15" hidden="false" customHeight="true" outlineLevel="0" collapsed="false">
      <c r="A1905" s="1" t="s">
        <v>3721</v>
      </c>
      <c r="B1905" s="1" t="n">
        <v>1951</v>
      </c>
      <c r="C1905" s="1" t="n">
        <v>11</v>
      </c>
      <c r="D1905" s="1" t="s">
        <v>2225</v>
      </c>
      <c r="E1905" s="1" t="s">
        <v>1839</v>
      </c>
      <c r="F1905" s="1" t="n">
        <v>8980</v>
      </c>
      <c r="G1905" s="1" t="n">
        <v>489</v>
      </c>
      <c r="H1905" s="2" t="n">
        <v>11500000</v>
      </c>
      <c r="I1905" s="2" t="n">
        <f aca="false">(((H1905 / 800) / IF(ISBLANK(R1905), 1000000, IF(ISNA(VLOOKUP(R1905, Mileages!$A$2:$C$34, 2, 0)), R1905, VLOOKUP(R1905, Mileages!$A$2:$C$34, 2, 0)))) + (F1905 * IF(ISBLANK(P1905), 1, P1905) * IF(ISBLANK(T1905), 0, IF(ISNA(VLOOKUP(T1905, 'Fuel Costs'!$A$2:$C$42, 2, 0)), T1905, VLOOKUP(T1905, 'Fuel Costs'!$A$2:$C$42, 2, 0))) / IF(ISBLANK(O1905), 1, O1905))) * 100</f>
        <v>359.4875</v>
      </c>
      <c r="J1905" s="2" t="n">
        <f aca="false">((H1905 / 800) / (IF(ISBLANK(S1905), 100, IF(ISNA(VLOOKUP(S1905, Lives!$A$2:$C$35, 2, 0)), S1905, VLOOKUP(S1905, Lives!$A$2:$C$35, 2, 0))) * 12) + (IF(ISBLANK(Q1905), 0, IF(ISNA(VLOOKUP(Q1905, Wages!$A$2:$C$17, 2, 0)), Q1905, VLOOKUP(Q1905, Wages!$A$2:$C$17, 2, 0))) * IF(ISBLANK(N1905), 0, IF(ISNA(VLOOKUP(N1905, Crews!$A$2:$C$28, 2, 0)), N1905, VLOOKUP(N1905, Crews!$A$2:$C$28, 2, 0))))) * 400</f>
        <v>57986.11111</v>
      </c>
      <c r="K1905" s="3" t="s">
        <v>3722</v>
      </c>
      <c r="L1905" s="1" t="s">
        <v>3720</v>
      </c>
      <c r="M1905" s="1" t="n">
        <v>1</v>
      </c>
      <c r="N1905" s="1" t="s">
        <v>2342</v>
      </c>
      <c r="O1905" s="1"/>
      <c r="P1905" s="1" t="n">
        <v>0.1</v>
      </c>
      <c r="Q1905" s="1" t="s">
        <v>2229</v>
      </c>
      <c r="R1905" s="1" t="s">
        <v>2229</v>
      </c>
      <c r="S1905" s="1" t="s">
        <v>2229</v>
      </c>
      <c r="T1905" s="1" t="s">
        <v>3481</v>
      </c>
    </row>
    <row r="1906" customFormat="false" ht="15" hidden="false" customHeight="true" outlineLevel="0" collapsed="false">
      <c r="A1906" s="1" t="s">
        <v>3723</v>
      </c>
      <c r="B1906" s="1" t="n">
        <v>1951</v>
      </c>
      <c r="C1906" s="1" t="n">
        <v>11</v>
      </c>
      <c r="D1906" s="1" t="s">
        <v>38</v>
      </c>
      <c r="E1906" s="1" t="s">
        <v>1346</v>
      </c>
      <c r="F1906" s="1" t="n">
        <v>373</v>
      </c>
      <c r="G1906" s="1" t="n">
        <v>120</v>
      </c>
      <c r="H1906" s="2" t="n">
        <v>1920000</v>
      </c>
      <c r="I1906" s="2" t="n">
        <f aca="false">(((H1906 / 800) / IF(ISBLANK(R1906), 1000000, IF(ISNA(VLOOKUP(R1906, Mileages!$A$2:$C$34, 2, 0)), R1906, VLOOKUP(R1906, Mileages!$A$2:$C$34, 2, 0)))) + (F1906 * IF(ISBLANK(P1906), 1, P1906) * IF(ISBLANK(T1906), 0, IF(ISNA(VLOOKUP(T1906, 'Fuel Costs'!$A$2:$C$42, 2, 0)), T1906, VLOOKUP(T1906, 'Fuel Costs'!$A$2:$C$42, 2, 0))) / IF(ISBLANK(O1906), 1, O1906))) * 100</f>
        <v>74.84</v>
      </c>
      <c r="J1906" s="2" t="n">
        <f aca="false">((H1906 / 800) / (IF(ISBLANK(S1906), 100, IF(ISNA(VLOOKUP(S1906, Lives!$A$2:$C$35, 2, 0)), S1906, VLOOKUP(S1906, Lives!$A$2:$C$35, 2, 0))) * 12) + (IF(ISBLANK(Q1906), 0, IF(ISNA(VLOOKUP(Q1906, Wages!$A$2:$C$17, 2, 0)), Q1906, VLOOKUP(Q1906, Wages!$A$2:$C$17, 2, 0))) * IF(ISBLANK(N1906), 0, IF(ISNA(VLOOKUP(N1906, Crews!$A$2:$C$28, 2, 0)), N1906, VLOOKUP(N1906, Crews!$A$2:$C$28, 2, 0))))) * 400</f>
        <v>7600</v>
      </c>
      <c r="K1906" s="3" t="s">
        <v>3724</v>
      </c>
      <c r="L1906" s="1" t="s">
        <v>3725</v>
      </c>
      <c r="M1906" s="1" t="n">
        <v>0</v>
      </c>
      <c r="N1906" s="1" t="s">
        <v>1512</v>
      </c>
      <c r="O1906" s="1" t="n">
        <v>1</v>
      </c>
      <c r="P1906" s="1"/>
      <c r="Q1906" s="1" t="str">
        <f aca="false">IF(ISBLANK('Pak128 Britain In'!$N1906),,'Pak128 Britain In'!$N1906)</f>
        <v>ElectricMultipleUnit</v>
      </c>
      <c r="R1906" s="1" t="s">
        <v>1349</v>
      </c>
      <c r="S1906" s="1" t="s">
        <v>1350</v>
      </c>
      <c r="T1906" s="1" t="s">
        <v>3471</v>
      </c>
    </row>
    <row r="1907" customFormat="false" ht="15" hidden="false" customHeight="true" outlineLevel="0" collapsed="false">
      <c r="A1907" s="1" t="s">
        <v>3726</v>
      </c>
      <c r="B1907" s="1" t="n">
        <v>1951</v>
      </c>
      <c r="C1907" s="1" t="n">
        <v>11</v>
      </c>
      <c r="D1907" s="1" t="s">
        <v>38</v>
      </c>
      <c r="E1907" s="1" t="s">
        <v>1346</v>
      </c>
      <c r="F1907" s="1" t="n">
        <v>0</v>
      </c>
      <c r="G1907" s="1" t="n">
        <v>120</v>
      </c>
      <c r="H1907" s="2" t="n">
        <v>1095000</v>
      </c>
      <c r="I1907" s="2" t="n">
        <f aca="false">(((H1907 / 800) / IF(ISBLANK(R1907), 1000000, IF(ISNA(VLOOKUP(R1907, Mileages!$A$2:$C$34, 2, 0)), R1907, VLOOKUP(R1907, Mileages!$A$2:$C$34, 2, 0)))) + (F1907 * IF(ISBLANK(P1907), 1, P1907) * IF(ISBLANK(T1907), 0, IF(ISNA(VLOOKUP(T1907, 'Fuel Costs'!$A$2:$C$42, 2, 0)), T1907, VLOOKUP(T1907, 'Fuel Costs'!$A$2:$C$42, 2, 0))) / IF(ISBLANK(O1907), 1, O1907))) * 100</f>
        <v>0.1140625</v>
      </c>
      <c r="J1907" s="2" t="n">
        <f aca="false">((H1907 / 800) / (IF(ISBLANK(S1907), 100, IF(ISNA(VLOOKUP(S1907, Lives!$A$2:$C$35, 2, 0)), S1907, VLOOKUP(S1907, Lives!$A$2:$C$35, 2, 0))) * 12) + (IF(ISBLANK(Q1907), 0, IF(ISNA(VLOOKUP(Q1907, Wages!$A$2:$C$17, 2, 0)), Q1907, VLOOKUP(Q1907, Wages!$A$2:$C$17, 2, 0))) * IF(ISBLANK(N1907), 0, IF(ISNA(VLOOKUP(N1907, Crews!$A$2:$C$28, 2, 0)), N1907, VLOOKUP(N1907, Crews!$A$2:$C$28, 2, 0))))) * 400</f>
        <v>1303.571429</v>
      </c>
      <c r="K1907" s="1" t="s">
        <v>3727</v>
      </c>
      <c r="L1907" s="1" t="s">
        <v>3725</v>
      </c>
      <c r="M1907" s="1" t="n">
        <v>1</v>
      </c>
      <c r="N1907" s="1"/>
      <c r="O1907" s="1"/>
      <c r="P1907" s="1"/>
      <c r="Q1907" s="1"/>
      <c r="R1907" s="1" t="s">
        <v>689</v>
      </c>
      <c r="S1907" s="1" t="s">
        <v>856</v>
      </c>
      <c r="T1907" s="1"/>
    </row>
    <row r="1908" customFormat="false" ht="15" hidden="false" customHeight="true" outlineLevel="0" collapsed="false">
      <c r="A1908" s="1" t="s">
        <v>3728</v>
      </c>
      <c r="B1908" s="1" t="n">
        <v>1951</v>
      </c>
      <c r="C1908" s="1" t="n">
        <v>11</v>
      </c>
      <c r="D1908" s="1" t="s">
        <v>38</v>
      </c>
      <c r="E1908" s="1" t="s">
        <v>1346</v>
      </c>
      <c r="F1908" s="1" t="n">
        <v>373</v>
      </c>
      <c r="G1908" s="1" t="n">
        <v>120</v>
      </c>
      <c r="H1908" s="2" t="n">
        <v>1920000</v>
      </c>
      <c r="I1908" s="2" t="n">
        <f aca="false">(((H1908 / 800) / IF(ISBLANK(R1908), 1000000, IF(ISNA(VLOOKUP(R1908, Mileages!$A$2:$C$34, 2, 0)), R1908, VLOOKUP(R1908, Mileages!$A$2:$C$34, 2, 0)))) + (F1908 * IF(ISBLANK(P1908), 1, P1908) * IF(ISBLANK(T1908), 0, IF(ISNA(VLOOKUP(T1908, 'Fuel Costs'!$A$2:$C$42, 2, 0)), T1908, VLOOKUP(T1908, 'Fuel Costs'!$A$2:$C$42, 2, 0))) / IF(ISBLANK(O1908), 1, O1908))) * 100</f>
        <v>74.84</v>
      </c>
      <c r="J1908" s="2" t="n">
        <f aca="false">((H1908 / 800) / (IF(ISBLANK(S1908), 100, IF(ISNA(VLOOKUP(S1908, Lives!$A$2:$C$35, 2, 0)), S1908, VLOOKUP(S1908, Lives!$A$2:$C$35, 2, 0))) * 12) + (IF(ISBLANK(Q1908), 0, IF(ISNA(VLOOKUP(Q1908, Wages!$A$2:$C$17, 2, 0)), Q1908, VLOOKUP(Q1908, Wages!$A$2:$C$17, 2, 0))) * IF(ISBLANK(N1908), 0, IF(ISNA(VLOOKUP(N1908, Crews!$A$2:$C$28, 2, 0)), N1908, VLOOKUP(N1908, Crews!$A$2:$C$28, 2, 0))))) * 400</f>
        <v>7600</v>
      </c>
      <c r="K1908" s="1" t="s">
        <v>3729</v>
      </c>
      <c r="L1908" s="1" t="s">
        <v>3725</v>
      </c>
      <c r="M1908" s="1" t="n">
        <v>2</v>
      </c>
      <c r="N1908" s="1" t="s">
        <v>1512</v>
      </c>
      <c r="O1908" s="1" t="n">
        <v>1</v>
      </c>
      <c r="P1908" s="1"/>
      <c r="Q1908" s="1" t="str">
        <f aca="false">IF(ISBLANK('Pak128 Britain In'!$N1908),,'Pak128 Britain In'!$N1908)</f>
        <v>ElectricMultipleUnit</v>
      </c>
      <c r="R1908" s="1" t="s">
        <v>1349</v>
      </c>
      <c r="S1908" s="1" t="s">
        <v>1350</v>
      </c>
      <c r="T1908" s="1" t="s">
        <v>3471</v>
      </c>
    </row>
    <row r="1909" customFormat="false" ht="15" hidden="false" customHeight="true" outlineLevel="0" collapsed="false">
      <c r="A1909" s="1" t="s">
        <v>3730</v>
      </c>
      <c r="B1909" s="1" t="n">
        <v>1951</v>
      </c>
      <c r="C1909" s="1" t="n">
        <v>11</v>
      </c>
      <c r="D1909" s="1" t="s">
        <v>38</v>
      </c>
      <c r="E1909" s="1" t="s">
        <v>1346</v>
      </c>
      <c r="F1909" s="1" t="n">
        <v>0</v>
      </c>
      <c r="G1909" s="1" t="n">
        <v>120</v>
      </c>
      <c r="H1909" s="2" t="n">
        <v>945000</v>
      </c>
      <c r="I1909" s="2" t="n">
        <f aca="false">(((H1909 / 800) / IF(ISBLANK(R1909), 1000000, IF(ISNA(VLOOKUP(R1909, Mileages!$A$2:$C$34, 2, 0)), R1909, VLOOKUP(R1909, Mileages!$A$2:$C$34, 2, 0)))) + (F1909 * IF(ISBLANK(P1909), 1, P1909) * IF(ISBLANK(T1909), 0, IF(ISNA(VLOOKUP(T1909, 'Fuel Costs'!$A$2:$C$42, 2, 0)), T1909, VLOOKUP(T1909, 'Fuel Costs'!$A$2:$C$42, 2, 0))) / IF(ISBLANK(O1909), 1, O1909))) * 100</f>
        <v>0.0984375</v>
      </c>
      <c r="J1909" s="2" t="n">
        <f aca="false">((H1909 / 800) / (IF(ISBLANK(S1909), 100, IF(ISNA(VLOOKUP(S1909, Lives!$A$2:$C$35, 2, 0)), S1909, VLOOKUP(S1909, Lives!$A$2:$C$35, 2, 0))) * 12) + (IF(ISBLANK(Q1909), 0, IF(ISNA(VLOOKUP(Q1909, Wages!$A$2:$C$17, 2, 0)), Q1909, VLOOKUP(Q1909, Wages!$A$2:$C$17, 2, 0))) * IF(ISBLANK(N1909), 0, IF(ISNA(VLOOKUP(N1909, Crews!$A$2:$C$28, 2, 0)), N1909, VLOOKUP(N1909, Crews!$A$2:$C$28, 2, 0))))) * 400</f>
        <v>1125</v>
      </c>
      <c r="K1909" s="1"/>
      <c r="L1909" s="1" t="s">
        <v>3725</v>
      </c>
      <c r="M1909" s="1" t="n">
        <v>3</v>
      </c>
      <c r="N1909" s="1"/>
      <c r="O1909" s="1"/>
      <c r="P1909" s="1"/>
      <c r="Q1909" s="1"/>
      <c r="R1909" s="1" t="s">
        <v>689</v>
      </c>
      <c r="S1909" s="1" t="s">
        <v>856</v>
      </c>
      <c r="T1909" s="1"/>
    </row>
    <row r="1910" customFormat="false" ht="15" hidden="false" customHeight="true" outlineLevel="0" collapsed="false">
      <c r="A1910" s="1" t="s">
        <v>3731</v>
      </c>
      <c r="B1910" s="1" t="n">
        <v>1951</v>
      </c>
      <c r="C1910" s="1" t="n">
        <v>11</v>
      </c>
      <c r="D1910" s="1" t="s">
        <v>38</v>
      </c>
      <c r="E1910" s="1" t="s">
        <v>1346</v>
      </c>
      <c r="F1910" s="1" t="n">
        <v>0</v>
      </c>
      <c r="G1910" s="1" t="n">
        <v>120</v>
      </c>
      <c r="H1910" s="2" t="n">
        <v>945000</v>
      </c>
      <c r="I1910" s="2" t="n">
        <f aca="false">(((H1910 / 800) / IF(ISBLANK(R1910), 1000000, IF(ISNA(VLOOKUP(R1910, Mileages!$A$2:$C$34, 2, 0)), R1910, VLOOKUP(R1910, Mileages!$A$2:$C$34, 2, 0)))) + (F1910 * IF(ISBLANK(P1910), 1, P1910) * IF(ISBLANK(T1910), 0, IF(ISNA(VLOOKUP(T1910, 'Fuel Costs'!$A$2:$C$42, 2, 0)), T1910, VLOOKUP(T1910, 'Fuel Costs'!$A$2:$C$42, 2, 0))) / IF(ISBLANK(O1910), 1, O1910))) * 100</f>
        <v>0.0984375</v>
      </c>
      <c r="J1910" s="2" t="n">
        <f aca="false">((H1910 / 800) / (IF(ISBLANK(S1910), 100, IF(ISNA(VLOOKUP(S1910, Lives!$A$2:$C$35, 2, 0)), S1910, VLOOKUP(S1910, Lives!$A$2:$C$35, 2, 0))) * 12) + (IF(ISBLANK(Q1910), 0, IF(ISNA(VLOOKUP(Q1910, Wages!$A$2:$C$17, 2, 0)), Q1910, VLOOKUP(Q1910, Wages!$A$2:$C$17, 2, 0))) * IF(ISBLANK(N1910), 0, IF(ISNA(VLOOKUP(N1910, Crews!$A$2:$C$28, 2, 0)), N1910, VLOOKUP(N1910, Crews!$A$2:$C$28, 2, 0))))) * 400</f>
        <v>1125</v>
      </c>
      <c r="K1910" s="1"/>
      <c r="L1910" s="1" t="s">
        <v>3725</v>
      </c>
      <c r="M1910" s="1" t="n">
        <v>4</v>
      </c>
      <c r="N1910" s="1"/>
      <c r="O1910" s="1"/>
      <c r="P1910" s="1"/>
      <c r="Q1910" s="1"/>
      <c r="R1910" s="1" t="s">
        <v>689</v>
      </c>
      <c r="S1910" s="1" t="s">
        <v>856</v>
      </c>
      <c r="T1910" s="1"/>
    </row>
    <row r="1911" customFormat="false" ht="15" hidden="false" customHeight="true" outlineLevel="0" collapsed="false">
      <c r="A1911" s="1" t="s">
        <v>3732</v>
      </c>
      <c r="B1911" s="1" t="n">
        <v>1951</v>
      </c>
      <c r="C1911" s="1" t="n">
        <v>12</v>
      </c>
      <c r="D1911" s="1" t="s">
        <v>29</v>
      </c>
      <c r="E1911" s="1" t="s">
        <v>274</v>
      </c>
      <c r="F1911" s="1" t="n">
        <v>11900</v>
      </c>
      <c r="G1911" s="1" t="n">
        <v>36</v>
      </c>
      <c r="H1911" s="2" t="n">
        <v>84500000</v>
      </c>
      <c r="I1911" s="2" t="n">
        <f aca="false">(((H1911 / 800) / IF(ISBLANK(R1911), 1000000, IF(ISNA(VLOOKUP(R1911, Mileages!$A$2:$C$34, 2, 0)), R1911, VLOOKUP(R1911, Mileages!$A$2:$C$34, 2, 0)))) + (F1911 * IF(ISBLANK(P1911), 1, P1911) * IF(ISBLANK(T1911), 0, IF(ISNA(VLOOKUP(T1911, 'Fuel Costs'!$A$2:$C$42, 2, 0)), T1911, VLOOKUP(T1911, 'Fuel Costs'!$A$2:$C$42, 2, 0))) / IF(ISBLANK(O1911), 1, O1911))) * 100</f>
        <v>362.28125</v>
      </c>
      <c r="J1911" s="2" t="n">
        <f aca="false">((H1911 / 800) / (IF(ISBLANK(S1911), 100, IF(ISNA(VLOOKUP(S1911, Lives!$A$2:$C$35, 2, 0)), S1911, VLOOKUP(S1911, Lives!$A$2:$C$35, 2, 0))) * 12) + (IF(ISBLANK(Q1911), 0, IF(ISNA(VLOOKUP(Q1911, Wages!$A$2:$C$17, 2, 0)), Q1911, VLOOKUP(Q1911, Wages!$A$2:$C$17, 2, 0))) * IF(ISBLANK(N1911), 0, IF(ISNA(VLOOKUP(N1911, Crews!$A$2:$C$28, 2, 0)), N1911, VLOOKUP(N1911, Crews!$A$2:$C$28, 2, 0))))) * 400</f>
        <v>235208.3333</v>
      </c>
      <c r="K1911" s="1" t="s">
        <v>289</v>
      </c>
      <c r="L1911" s="1" t="s">
        <v>3733</v>
      </c>
      <c r="M1911" s="1" t="n">
        <v>0</v>
      </c>
      <c r="N1911" s="1" t="s">
        <v>323</v>
      </c>
      <c r="O1911" s="1" t="n">
        <v>2</v>
      </c>
      <c r="P1911" s="1" t="n">
        <v>0.1</v>
      </c>
      <c r="Q1911" s="1" t="s">
        <v>34</v>
      </c>
      <c r="R1911" s="1" t="s">
        <v>574</v>
      </c>
      <c r="S1911" s="1" t="s">
        <v>574</v>
      </c>
      <c r="T1911" s="1" t="s">
        <v>3553</v>
      </c>
    </row>
    <row r="1912" customFormat="false" ht="15" hidden="false" customHeight="true" outlineLevel="0" collapsed="false">
      <c r="A1912" s="1" t="s">
        <v>3734</v>
      </c>
      <c r="B1912" s="1" t="n">
        <v>1951</v>
      </c>
      <c r="C1912" s="1" t="n">
        <v>12</v>
      </c>
      <c r="D1912" s="1" t="s">
        <v>29</v>
      </c>
      <c r="E1912" s="1"/>
      <c r="F1912" s="1"/>
      <c r="G1912" s="1" t="n">
        <v>36</v>
      </c>
      <c r="H1912" s="2"/>
      <c r="I1912" s="2"/>
      <c r="J1912" s="2"/>
      <c r="K1912" s="1"/>
      <c r="L1912" s="1" t="s">
        <v>3735</v>
      </c>
      <c r="M1912" s="1" t="n">
        <v>0</v>
      </c>
      <c r="N1912" s="1"/>
      <c r="O1912" s="1"/>
      <c r="P1912" s="1"/>
      <c r="Q1912" s="1"/>
      <c r="R1912" s="1"/>
      <c r="S1912" s="1"/>
      <c r="T1912" s="1"/>
    </row>
    <row r="1913" customFormat="false" ht="15" hidden="false" customHeight="true" outlineLevel="0" collapsed="false">
      <c r="A1913" s="1" t="s">
        <v>3736</v>
      </c>
      <c r="B1913" s="1" t="n">
        <v>1951</v>
      </c>
      <c r="C1913" s="1" t="n">
        <v>12</v>
      </c>
      <c r="D1913" s="1" t="s">
        <v>29</v>
      </c>
      <c r="E1913" s="1"/>
      <c r="F1913" s="1"/>
      <c r="G1913" s="1" t="n">
        <v>36</v>
      </c>
      <c r="H1913" s="2"/>
      <c r="I1913" s="2"/>
      <c r="J1913" s="2"/>
      <c r="K1913" s="1"/>
      <c r="L1913" s="1" t="s">
        <v>3735</v>
      </c>
      <c r="M1913" s="1" t="n">
        <v>1</v>
      </c>
      <c r="N1913" s="1"/>
      <c r="O1913" s="1"/>
      <c r="P1913" s="1"/>
      <c r="Q1913" s="1"/>
      <c r="R1913" s="1"/>
      <c r="S1913" s="1"/>
      <c r="T1913" s="1"/>
    </row>
    <row r="1914" customFormat="false" ht="15" hidden="false" customHeight="true" outlineLevel="0" collapsed="false">
      <c r="A1914" s="1" t="s">
        <v>3737</v>
      </c>
      <c r="B1914" s="1" t="n">
        <v>1951</v>
      </c>
      <c r="C1914" s="1" t="n">
        <v>12</v>
      </c>
      <c r="D1914" s="1" t="s">
        <v>29</v>
      </c>
      <c r="E1914" s="1"/>
      <c r="F1914" s="1"/>
      <c r="G1914" s="1" t="n">
        <v>36</v>
      </c>
      <c r="H1914" s="2"/>
      <c r="I1914" s="2"/>
      <c r="J1914" s="2"/>
      <c r="K1914" s="1"/>
      <c r="L1914" s="1" t="s">
        <v>3735</v>
      </c>
      <c r="M1914" s="1" t="n">
        <v>2</v>
      </c>
      <c r="N1914" s="1"/>
      <c r="O1914" s="1"/>
      <c r="P1914" s="1"/>
      <c r="Q1914" s="1"/>
      <c r="R1914" s="1"/>
      <c r="S1914" s="1"/>
      <c r="T1914" s="1"/>
    </row>
    <row r="1915" customFormat="false" ht="15" hidden="false" customHeight="true" outlineLevel="0" collapsed="false">
      <c r="A1915" s="1" t="s">
        <v>3738</v>
      </c>
      <c r="B1915" s="1" t="n">
        <v>1952</v>
      </c>
      <c r="C1915" s="1" t="n">
        <v>1</v>
      </c>
      <c r="D1915" s="1" t="s">
        <v>2225</v>
      </c>
      <c r="E1915" s="1" t="s">
        <v>1839</v>
      </c>
      <c r="F1915" s="1" t="n">
        <v>6445</v>
      </c>
      <c r="G1915" s="1" t="n">
        <v>507</v>
      </c>
      <c r="H1915" s="2" t="n">
        <v>8500000</v>
      </c>
      <c r="I1915" s="2" t="n">
        <f aca="false">(((H1915 / 800) / IF(ISBLANK(R1915), 1000000, IF(ISNA(VLOOKUP(R1915, Mileages!$A$2:$C$34, 2, 0)), R1915, VLOOKUP(R1915, Mileages!$A$2:$C$34, 2, 0)))) + (F1915 * IF(ISBLANK(P1915), 1, P1915) * IF(ISBLANK(T1915), 0, IF(ISNA(VLOOKUP(T1915, 'Fuel Costs'!$A$2:$C$42, 2, 0)), T1915, VLOOKUP(T1915, 'Fuel Costs'!$A$2:$C$42, 2, 0))) / IF(ISBLANK(O1915), 1, O1915))) * 100</f>
        <v>258.0125</v>
      </c>
      <c r="J1915" s="2" t="n">
        <f aca="false">((H1915 / 800) / (IF(ISBLANK(S1915), 100, IF(ISNA(VLOOKUP(S1915, Lives!$A$2:$C$35, 2, 0)), S1915, VLOOKUP(S1915, Lives!$A$2:$C$35, 2, 0))) * 12) + (IF(ISBLANK(Q1915), 0, IF(ISNA(VLOOKUP(Q1915, Wages!$A$2:$C$17, 2, 0)), Q1915, VLOOKUP(Q1915, Wages!$A$2:$C$17, 2, 0))) * IF(ISBLANK(N1915), 0, IF(ISNA(VLOOKUP(N1915, Crews!$A$2:$C$28, 2, 0)), N1915, VLOOKUP(N1915, Crews!$A$2:$C$28, 2, 0))))) * 400</f>
        <v>15902.77778</v>
      </c>
      <c r="K1915" s="3" t="s">
        <v>3739</v>
      </c>
      <c r="L1915" s="1" t="s">
        <v>3740</v>
      </c>
      <c r="M1915" s="1" t="n">
        <v>0</v>
      </c>
      <c r="N1915" s="1" t="s">
        <v>25</v>
      </c>
      <c r="O1915" s="1"/>
      <c r="P1915" s="1" t="n">
        <v>0.1</v>
      </c>
      <c r="Q1915" s="1" t="s">
        <v>2229</v>
      </c>
      <c r="R1915" s="1" t="s">
        <v>2229</v>
      </c>
      <c r="S1915" s="1" t="s">
        <v>2229</v>
      </c>
      <c r="T1915" s="1" t="s">
        <v>3481</v>
      </c>
    </row>
    <row r="1916" customFormat="false" ht="15" hidden="false" customHeight="true" outlineLevel="0" collapsed="false">
      <c r="A1916" s="1" t="s">
        <v>3741</v>
      </c>
      <c r="B1916" s="1" t="n">
        <v>1952</v>
      </c>
      <c r="C1916" s="1" t="n">
        <v>1</v>
      </c>
      <c r="D1916" s="1" t="s">
        <v>2225</v>
      </c>
      <c r="E1916" s="1" t="s">
        <v>1839</v>
      </c>
      <c r="F1916" s="1" t="n">
        <v>6445</v>
      </c>
      <c r="G1916" s="1" t="n">
        <v>507</v>
      </c>
      <c r="H1916" s="2" t="n">
        <v>8500000</v>
      </c>
      <c r="I1916" s="2" t="n">
        <f aca="false">(((H1916 / 800) / IF(ISBLANK(R1916), 1000000, IF(ISNA(VLOOKUP(R1916, Mileages!$A$2:$C$34, 2, 0)), R1916, VLOOKUP(R1916, Mileages!$A$2:$C$34, 2, 0)))) + (F1916 * IF(ISBLANK(P1916), 1, P1916) * IF(ISBLANK(T1916), 0, IF(ISNA(VLOOKUP(T1916, 'Fuel Costs'!$A$2:$C$42, 2, 0)), T1916, VLOOKUP(T1916, 'Fuel Costs'!$A$2:$C$42, 2, 0))) / IF(ISBLANK(O1916), 1, O1916))) * 100</f>
        <v>258.0125</v>
      </c>
      <c r="J1916" s="2" t="n">
        <f aca="false">((H1916 / 800) / (IF(ISBLANK(S1916), 100, IF(ISNA(VLOOKUP(S1916, Lives!$A$2:$C$35, 2, 0)), S1916, VLOOKUP(S1916, Lives!$A$2:$C$35, 2, 0))) * 12) + (IF(ISBLANK(Q1916), 0, IF(ISNA(VLOOKUP(Q1916, Wages!$A$2:$C$17, 2, 0)), Q1916, VLOOKUP(Q1916, Wages!$A$2:$C$17, 2, 0))) * IF(ISBLANK(N1916), 0, IF(ISNA(VLOOKUP(N1916, Crews!$A$2:$C$28, 2, 0)), N1916, VLOOKUP(N1916, Crews!$A$2:$C$28, 2, 0))))) * 400</f>
        <v>15902.77778</v>
      </c>
      <c r="K1916" s="3" t="s">
        <v>3739</v>
      </c>
      <c r="L1916" s="1" t="s">
        <v>3740</v>
      </c>
      <c r="M1916" s="1" t="n">
        <v>1</v>
      </c>
      <c r="N1916" s="1" t="s">
        <v>25</v>
      </c>
      <c r="O1916" s="1"/>
      <c r="P1916" s="1" t="n">
        <v>0.1</v>
      </c>
      <c r="Q1916" s="1" t="s">
        <v>2229</v>
      </c>
      <c r="R1916" s="1" t="s">
        <v>2229</v>
      </c>
      <c r="S1916" s="1" t="s">
        <v>2229</v>
      </c>
      <c r="T1916" s="1" t="s">
        <v>3481</v>
      </c>
    </row>
    <row r="1917" customFormat="false" ht="15" hidden="false" customHeight="true" outlineLevel="0" collapsed="false">
      <c r="A1917" s="1" t="s">
        <v>3742</v>
      </c>
      <c r="B1917" s="1" t="n">
        <v>1952</v>
      </c>
      <c r="C1917" s="1" t="n">
        <v>1</v>
      </c>
      <c r="D1917" s="1" t="s">
        <v>2225</v>
      </c>
      <c r="E1917" s="1" t="s">
        <v>1839</v>
      </c>
      <c r="F1917" s="1" t="n">
        <v>6714</v>
      </c>
      <c r="G1917" s="1" t="n">
        <v>507</v>
      </c>
      <c r="H1917" s="2" t="n">
        <v>11000000</v>
      </c>
      <c r="I1917" s="2" t="n">
        <f aca="false">(((H1917 / 800) / IF(ISBLANK(R1917), 1000000, IF(ISNA(VLOOKUP(R1917, Mileages!$A$2:$C$34, 2, 0)), R1917, VLOOKUP(R1917, Mileages!$A$2:$C$34, 2, 0)))) + (F1917 * IF(ISBLANK(P1917), 1, P1917) * IF(ISBLANK(T1917), 0, IF(ISNA(VLOOKUP(T1917, 'Fuel Costs'!$A$2:$C$42, 2, 0)), T1917, VLOOKUP(T1917, 'Fuel Costs'!$A$2:$C$42, 2, 0))) / IF(ISBLANK(O1917), 1, O1917))) * 100</f>
        <v>268.835</v>
      </c>
      <c r="J1917" s="2" t="n">
        <f aca="false">((H1917 / 800) / (IF(ISBLANK(S1917), 100, IF(ISNA(VLOOKUP(S1917, Lives!$A$2:$C$35, 2, 0)), S1917, VLOOKUP(S1917, Lives!$A$2:$C$35, 2, 0))) * 12) + (IF(ISBLANK(Q1917), 0, IF(ISNA(VLOOKUP(Q1917, Wages!$A$2:$C$17, 2, 0)), Q1917, VLOOKUP(Q1917, Wages!$A$2:$C$17, 2, 0))) * IF(ISBLANK(N1917), 0, IF(ISNA(VLOOKUP(N1917, Crews!$A$2:$C$28, 2, 0)), N1917, VLOOKUP(N1917, Crews!$A$2:$C$28, 2, 0))))) * 400</f>
        <v>57638.88889</v>
      </c>
      <c r="K1917" s="3" t="s">
        <v>3739</v>
      </c>
      <c r="L1917" s="1" t="s">
        <v>3743</v>
      </c>
      <c r="M1917" s="1" t="n">
        <v>0</v>
      </c>
      <c r="N1917" s="1" t="s">
        <v>2342</v>
      </c>
      <c r="O1917" s="1"/>
      <c r="P1917" s="1" t="n">
        <v>0.1</v>
      </c>
      <c r="Q1917" s="1" t="s">
        <v>2229</v>
      </c>
      <c r="R1917" s="1" t="s">
        <v>2229</v>
      </c>
      <c r="S1917" s="1" t="s">
        <v>2229</v>
      </c>
      <c r="T1917" s="1" t="s">
        <v>3481</v>
      </c>
    </row>
    <row r="1918" customFormat="false" ht="15" hidden="false" customHeight="true" outlineLevel="0" collapsed="false">
      <c r="A1918" s="1" t="s">
        <v>3744</v>
      </c>
      <c r="B1918" s="1" t="n">
        <v>1952</v>
      </c>
      <c r="C1918" s="1" t="n">
        <v>1</v>
      </c>
      <c r="D1918" s="1" t="s">
        <v>2225</v>
      </c>
      <c r="E1918" s="1" t="s">
        <v>1839</v>
      </c>
      <c r="F1918" s="1" t="n">
        <v>6445</v>
      </c>
      <c r="G1918" s="1" t="n">
        <v>507</v>
      </c>
      <c r="H1918" s="2" t="n">
        <v>8500000</v>
      </c>
      <c r="I1918" s="2" t="n">
        <f aca="false">(((H1918 / 800) / IF(ISBLANK(R1918), 1000000, IF(ISNA(VLOOKUP(R1918, Mileages!$A$2:$C$34, 2, 0)), R1918, VLOOKUP(R1918, Mileages!$A$2:$C$34, 2, 0)))) + (F1918 * IF(ISBLANK(P1918), 1, P1918) * IF(ISBLANK(T1918), 0, IF(ISNA(VLOOKUP(T1918, 'Fuel Costs'!$A$2:$C$42, 2, 0)), T1918, VLOOKUP(T1918, 'Fuel Costs'!$A$2:$C$42, 2, 0))) / IF(ISBLANK(O1918), 1, O1918))) * 100</f>
        <v>258.0125</v>
      </c>
      <c r="J1918" s="2" t="n">
        <f aca="false">((H1918 / 800) / (IF(ISBLANK(S1918), 100, IF(ISNA(VLOOKUP(S1918, Lives!$A$2:$C$35, 2, 0)), S1918, VLOOKUP(S1918, Lives!$A$2:$C$35, 2, 0))) * 12) + (IF(ISBLANK(Q1918), 0, IF(ISNA(VLOOKUP(Q1918, Wages!$A$2:$C$17, 2, 0)), Q1918, VLOOKUP(Q1918, Wages!$A$2:$C$17, 2, 0))) * IF(ISBLANK(N1918), 0, IF(ISNA(VLOOKUP(N1918, Crews!$A$2:$C$28, 2, 0)), N1918, VLOOKUP(N1918, Crews!$A$2:$C$28, 2, 0))))) * 400</f>
        <v>15902.77778</v>
      </c>
      <c r="K1918" s="3" t="s">
        <v>3745</v>
      </c>
      <c r="L1918" s="1" t="s">
        <v>3746</v>
      </c>
      <c r="M1918" s="1" t="n">
        <v>0</v>
      </c>
      <c r="N1918" s="1" t="s">
        <v>25</v>
      </c>
      <c r="O1918" s="1"/>
      <c r="P1918" s="1" t="n">
        <v>0.1</v>
      </c>
      <c r="Q1918" s="1" t="s">
        <v>2229</v>
      </c>
      <c r="R1918" s="1" t="s">
        <v>2229</v>
      </c>
      <c r="S1918" s="1" t="s">
        <v>2229</v>
      </c>
      <c r="T1918" s="1" t="s">
        <v>3481</v>
      </c>
    </row>
    <row r="1919" customFormat="false" ht="15" hidden="false" customHeight="true" outlineLevel="0" collapsed="false">
      <c r="A1919" s="1" t="s">
        <v>3747</v>
      </c>
      <c r="B1919" s="1" t="n">
        <v>1952</v>
      </c>
      <c r="C1919" s="1" t="n">
        <v>5</v>
      </c>
      <c r="D1919" s="1" t="s">
        <v>38</v>
      </c>
      <c r="E1919" s="1"/>
      <c r="F1919" s="1"/>
      <c r="G1919" s="1" t="n">
        <v>160</v>
      </c>
      <c r="H1919" s="2" t="n">
        <v>583000</v>
      </c>
      <c r="I1919" s="2" t="n">
        <f aca="false">(((H1919 / 800) / IF(ISBLANK(R1919), 1000000, IF(ISNA(VLOOKUP(R1919, Mileages!$A$2:$C$34, 2, 0)), R1919, VLOOKUP(R1919, Mileages!$A$2:$C$34, 2, 0)))) + (F1919 * IF(ISBLANK(P1919), 1, P1919) * IF(ISBLANK(T1919), 0, IF(ISNA(VLOOKUP(T1919, 'Fuel Costs'!$A$2:$C$42, 2, 0)), T1919, VLOOKUP(T1919, 'Fuel Costs'!$A$2:$C$42, 2, 0))) / IF(ISBLANK(O1919), 1, O1919))) * 100</f>
        <v>0.06072916667</v>
      </c>
      <c r="J1919" s="2" t="n">
        <f aca="false">((H1919 / 800) / (IF(ISBLANK(S1919), 100, IF(ISNA(VLOOKUP(S1919, Lives!$A$2:$C$35, 2, 0)), S1919, VLOOKUP(S1919, Lives!$A$2:$C$35, 2, 0))) * 12) + (IF(ISBLANK(Q1919), 0, IF(ISNA(VLOOKUP(Q1919, Wages!$A$2:$C$17, 2, 0)), Q1919, VLOOKUP(Q1919, Wages!$A$2:$C$17, 2, 0))) * IF(ISBLANK(N1919), 0, IF(ISNA(VLOOKUP(N1919, Crews!$A$2:$C$28, 2, 0)), N1919, VLOOKUP(N1919, Crews!$A$2:$C$28, 2, 0))))) * 400</f>
        <v>694.047619</v>
      </c>
      <c r="K1919" s="3" t="s">
        <v>3748</v>
      </c>
      <c r="L1919" s="1" t="s">
        <v>3749</v>
      </c>
      <c r="M1919" s="1" t="n">
        <v>0</v>
      </c>
      <c r="N1919" s="1"/>
      <c r="O1919" s="1"/>
      <c r="P1919" s="1"/>
      <c r="Q1919" s="1"/>
      <c r="R1919" s="1" t="s">
        <v>689</v>
      </c>
      <c r="S1919" s="1" t="s">
        <v>856</v>
      </c>
      <c r="T1919" s="1"/>
    </row>
    <row r="1920" customFormat="false" ht="15" hidden="false" customHeight="true" outlineLevel="0" collapsed="false">
      <c r="A1920" s="1" t="s">
        <v>3750</v>
      </c>
      <c r="B1920" s="1" t="n">
        <v>1952</v>
      </c>
      <c r="C1920" s="1" t="n">
        <v>5</v>
      </c>
      <c r="D1920" s="1" t="s">
        <v>38</v>
      </c>
      <c r="E1920" s="1"/>
      <c r="F1920" s="1"/>
      <c r="G1920" s="1" t="n">
        <v>160</v>
      </c>
      <c r="H1920" s="2" t="n">
        <v>595000</v>
      </c>
      <c r="I1920" s="2" t="n">
        <f aca="false">(((H1920 / 800) / IF(ISBLANK(R1920), 1000000, IF(ISNA(VLOOKUP(R1920, Mileages!$A$2:$C$34, 2, 0)), R1920, VLOOKUP(R1920, Mileages!$A$2:$C$34, 2, 0)))) + (F1920 * IF(ISBLANK(P1920), 1, P1920) * IF(ISBLANK(T1920), 0, IF(ISNA(VLOOKUP(T1920, 'Fuel Costs'!$A$2:$C$42, 2, 0)), T1920, VLOOKUP(T1920, 'Fuel Costs'!$A$2:$C$42, 2, 0))) / IF(ISBLANK(O1920), 1, O1920))) * 100</f>
        <v>0.06197916667</v>
      </c>
      <c r="J1920" s="2" t="n">
        <f aca="false">((H1920 / 800) / (IF(ISBLANK(S1920), 100, IF(ISNA(VLOOKUP(S1920, Lives!$A$2:$C$35, 2, 0)), S1920, VLOOKUP(S1920, Lives!$A$2:$C$35, 2, 0))) * 12) + (IF(ISBLANK(Q1920), 0, IF(ISNA(VLOOKUP(Q1920, Wages!$A$2:$C$17, 2, 0)), Q1920, VLOOKUP(Q1920, Wages!$A$2:$C$17, 2, 0))) * IF(ISBLANK(N1920), 0, IF(ISNA(VLOOKUP(N1920, Crews!$A$2:$C$28, 2, 0)), N1920, VLOOKUP(N1920, Crews!$A$2:$C$28, 2, 0))))) * 400</f>
        <v>708.3333333</v>
      </c>
      <c r="K1920" s="3" t="s">
        <v>3751</v>
      </c>
      <c r="L1920" s="1" t="s">
        <v>3752</v>
      </c>
      <c r="M1920" s="1" t="n">
        <v>0</v>
      </c>
      <c r="N1920" s="1"/>
      <c r="O1920" s="1"/>
      <c r="P1920" s="1"/>
      <c r="Q1920" s="1"/>
      <c r="R1920" s="1" t="s">
        <v>689</v>
      </c>
      <c r="S1920" s="1" t="s">
        <v>856</v>
      </c>
      <c r="T1920" s="1"/>
    </row>
    <row r="1921" customFormat="false" ht="15" hidden="false" customHeight="true" outlineLevel="0" collapsed="false">
      <c r="A1921" s="1" t="s">
        <v>3753</v>
      </c>
      <c r="B1921" s="1" t="n">
        <v>1952</v>
      </c>
      <c r="C1921" s="1" t="n">
        <v>5</v>
      </c>
      <c r="D1921" s="1" t="s">
        <v>2225</v>
      </c>
      <c r="E1921" s="1" t="s">
        <v>3660</v>
      </c>
      <c r="F1921" s="1" t="n">
        <v>15856</v>
      </c>
      <c r="G1921" s="1" t="n">
        <v>724</v>
      </c>
      <c r="H1921" s="2" t="n">
        <v>10000000</v>
      </c>
      <c r="I1921" s="2" t="n">
        <f aca="false">(((H1921 / 800) / IF(ISBLANK(R1921), 1000000, IF(ISNA(VLOOKUP(R1921, Mileages!$A$2:$C$34, 2, 0)), R1921, VLOOKUP(R1921, Mileages!$A$2:$C$34, 2, 0)))) + (F1921 * IF(ISBLANK(P1921), 1, P1921) * IF(ISBLANK(T1921), 0, IF(ISNA(VLOOKUP(T1921, 'Fuel Costs'!$A$2:$C$42, 2, 0)), T1921, VLOOKUP(T1921, 'Fuel Costs'!$A$2:$C$42, 2, 0))) / IF(ISBLANK(O1921), 1, O1921))) * 100</f>
        <v>127.098</v>
      </c>
      <c r="J1921" s="2" t="n">
        <f aca="false">((H1921 / 800) / (IF(ISBLANK(S1921), 100, IF(ISNA(VLOOKUP(S1921, Lives!$A$2:$C$35, 2, 0)), S1921, VLOOKUP(S1921, Lives!$A$2:$C$35, 2, 0))) * 12) + (IF(ISBLANK(Q1921), 0, IF(ISNA(VLOOKUP(Q1921, Wages!$A$2:$C$17, 2, 0)), Q1921, VLOOKUP(Q1921, Wages!$A$2:$C$17, 2, 0))) * IF(ISBLANK(N1921), 0, IF(ISNA(VLOOKUP(N1921, Crews!$A$2:$C$28, 2, 0)), N1921, VLOOKUP(N1921, Crews!$A$2:$C$28, 2, 0))))) * 400</f>
        <v>56944.44444</v>
      </c>
      <c r="K1921" s="3" t="s">
        <v>3754</v>
      </c>
      <c r="L1921" s="1" t="s">
        <v>3755</v>
      </c>
      <c r="M1921" s="1" t="n">
        <v>0</v>
      </c>
      <c r="N1921" s="1" t="s">
        <v>2342</v>
      </c>
      <c r="O1921" s="1"/>
      <c r="P1921" s="1" t="n">
        <v>0.02</v>
      </c>
      <c r="Q1921" s="1" t="s">
        <v>2229</v>
      </c>
      <c r="R1921" s="1" t="s">
        <v>2229</v>
      </c>
      <c r="S1921" s="1" t="s">
        <v>2229</v>
      </c>
      <c r="T1921" s="1" t="s">
        <v>3481</v>
      </c>
    </row>
    <row r="1922" customFormat="false" ht="15" hidden="false" customHeight="true" outlineLevel="0" collapsed="false">
      <c r="A1922" s="1" t="s">
        <v>3756</v>
      </c>
      <c r="B1922" s="1" t="n">
        <v>1952</v>
      </c>
      <c r="C1922" s="1" t="n">
        <v>5</v>
      </c>
      <c r="D1922" s="1" t="s">
        <v>21</v>
      </c>
      <c r="E1922" s="1" t="s">
        <v>1839</v>
      </c>
      <c r="F1922" s="1" t="n">
        <v>41</v>
      </c>
      <c r="G1922" s="1" t="n">
        <v>77</v>
      </c>
      <c r="H1922" s="2" t="n">
        <v>97500</v>
      </c>
      <c r="I1922" s="2" t="n">
        <f aca="false">(((H1922 / 800) / IF(ISBLANK(R1922), 1000000, IF(ISNA(VLOOKUP(R1922, Mileages!$A$2:$C$34, 2, 0)), R1922, VLOOKUP(R1922, Mileages!$A$2:$C$34, 2, 0)))) + (F1922 * IF(ISBLANK(P1922), 1, P1922) * IF(ISBLANK(T1922), 0, IF(ISNA(VLOOKUP(T1922, 'Fuel Costs'!$A$2:$C$42, 2, 0)), T1922, VLOOKUP(T1922, 'Fuel Costs'!$A$2:$C$42, 2, 0))) / IF(ISBLANK(O1922), 1, O1922))) * 100</f>
        <v>33.336875</v>
      </c>
      <c r="J1922" s="2" t="n">
        <f aca="false">((H1922 / 800) / (IF(ISBLANK(S1922), 100, IF(ISNA(VLOOKUP(S1922, Lives!$A$2:$C$35, 2, 0)), S1922, VLOOKUP(S1922, Lives!$A$2:$C$35, 2, 0))) * 12) + (IF(ISBLANK(Q1922), 0, IF(ISNA(VLOOKUP(Q1922, Wages!$A$2:$C$17, 2, 0)), Q1922, VLOOKUP(Q1922, Wages!$A$2:$C$17, 2, 0))) * IF(ISBLANK(N1922), 0, IF(ISNA(VLOOKUP(N1922, Crews!$A$2:$C$28, 2, 0)), N1922, VLOOKUP(N1922, Crews!$A$2:$C$28, 2, 0))))) * 400</f>
        <v>8050.78125</v>
      </c>
      <c r="K1922" s="3" t="s">
        <v>3757</v>
      </c>
      <c r="L1922" s="1" t="s">
        <v>3758</v>
      </c>
      <c r="M1922" s="1" t="n">
        <v>0</v>
      </c>
      <c r="N1922" s="1" t="s">
        <v>25</v>
      </c>
      <c r="O1922" s="1" t="n">
        <v>0.8</v>
      </c>
      <c r="P1922" s="1"/>
      <c r="Q1922" s="1" t="s">
        <v>1815</v>
      </c>
      <c r="R1922" s="1" t="s">
        <v>1842</v>
      </c>
      <c r="S1922" s="1" t="s">
        <v>1843</v>
      </c>
      <c r="T1922" s="1" t="s">
        <v>3617</v>
      </c>
    </row>
    <row r="1923" customFormat="false" ht="15" hidden="false" customHeight="true" outlineLevel="0" collapsed="false">
      <c r="A1923" s="1" t="s">
        <v>3759</v>
      </c>
      <c r="B1923" s="1" t="n">
        <v>1952</v>
      </c>
      <c r="C1923" s="1" t="n">
        <v>5</v>
      </c>
      <c r="D1923" s="1" t="s">
        <v>21</v>
      </c>
      <c r="E1923" s="1" t="s">
        <v>1839</v>
      </c>
      <c r="F1923" s="1" t="n">
        <v>41</v>
      </c>
      <c r="G1923" s="1" t="n">
        <v>77</v>
      </c>
      <c r="H1923" s="2" t="n">
        <v>97500</v>
      </c>
      <c r="I1923" s="2" t="n">
        <f aca="false">(((H1923 / 800) / IF(ISBLANK(R1923), 1000000, IF(ISNA(VLOOKUP(R1923, Mileages!$A$2:$C$34, 2, 0)), R1923, VLOOKUP(R1923, Mileages!$A$2:$C$34, 2, 0)))) + (F1923 * IF(ISBLANK(P1923), 1, P1923) * IF(ISBLANK(T1923), 0, IF(ISNA(VLOOKUP(T1923, 'Fuel Costs'!$A$2:$C$42, 2, 0)), T1923, VLOOKUP(T1923, 'Fuel Costs'!$A$2:$C$42, 2, 0))) / IF(ISBLANK(O1923), 1, O1923))) * 100</f>
        <v>33.336875</v>
      </c>
      <c r="J1923" s="2" t="n">
        <f aca="false">((H1923 / 800) / (IF(ISBLANK(S1923), 100, IF(ISNA(VLOOKUP(S1923, Lives!$A$2:$C$35, 2, 0)), S1923, VLOOKUP(S1923, Lives!$A$2:$C$35, 2, 0))) * 12) + (IF(ISBLANK(Q1923), 0, IF(ISNA(VLOOKUP(Q1923, Wages!$A$2:$C$17, 2, 0)), Q1923, VLOOKUP(Q1923, Wages!$A$2:$C$17, 2, 0))) * IF(ISBLANK(N1923), 0, IF(ISNA(VLOOKUP(N1923, Crews!$A$2:$C$28, 2, 0)), N1923, VLOOKUP(N1923, Crews!$A$2:$C$28, 2, 0))))) * 400</f>
        <v>8050.78125</v>
      </c>
      <c r="K1923" s="1"/>
      <c r="L1923" s="1" t="s">
        <v>3758</v>
      </c>
      <c r="M1923" s="1" t="n">
        <v>1</v>
      </c>
      <c r="N1923" s="1" t="s">
        <v>25</v>
      </c>
      <c r="O1923" s="1" t="n">
        <v>0.8</v>
      </c>
      <c r="P1923" s="1"/>
      <c r="Q1923" s="1" t="s">
        <v>1815</v>
      </c>
      <c r="R1923" s="1" t="s">
        <v>1842</v>
      </c>
      <c r="S1923" s="1" t="s">
        <v>1843</v>
      </c>
      <c r="T1923" s="1" t="s">
        <v>3617</v>
      </c>
    </row>
    <row r="1924" customFormat="false" ht="15" hidden="false" customHeight="true" outlineLevel="0" collapsed="false">
      <c r="A1924" s="1" t="s">
        <v>3760</v>
      </c>
      <c r="B1924" s="1" t="n">
        <v>1952</v>
      </c>
      <c r="C1924" s="1" t="n">
        <v>5</v>
      </c>
      <c r="D1924" s="1" t="s">
        <v>21</v>
      </c>
      <c r="E1924" s="1" t="s">
        <v>1839</v>
      </c>
      <c r="F1924" s="1" t="n">
        <v>41</v>
      </c>
      <c r="G1924" s="1" t="n">
        <v>76</v>
      </c>
      <c r="H1924" s="2" t="n">
        <v>97500</v>
      </c>
      <c r="I1924" s="2" t="n">
        <f aca="false">(((H1924 / 800) / IF(ISBLANK(R1924), 1000000, IF(ISNA(VLOOKUP(R1924, Mileages!$A$2:$C$34, 2, 0)), R1924, VLOOKUP(R1924, Mileages!$A$2:$C$34, 2, 0)))) + (F1924 * IF(ISBLANK(P1924), 1, P1924) * IF(ISBLANK(T1924), 0, IF(ISNA(VLOOKUP(T1924, 'Fuel Costs'!$A$2:$C$42, 2, 0)), T1924, VLOOKUP(T1924, 'Fuel Costs'!$A$2:$C$42, 2, 0))) / IF(ISBLANK(O1924), 1, O1924))) * 100</f>
        <v>33.336875</v>
      </c>
      <c r="J1924" s="2" t="n">
        <f aca="false">((H1924 / 800) / (IF(ISBLANK(S1924), 100, IF(ISNA(VLOOKUP(S1924, Lives!$A$2:$C$35, 2, 0)), S1924, VLOOKUP(S1924, Lives!$A$2:$C$35, 2, 0))) * 12) + (IF(ISBLANK(Q1924), 0, IF(ISNA(VLOOKUP(Q1924, Wages!$A$2:$C$17, 2, 0)), Q1924, VLOOKUP(Q1924, Wages!$A$2:$C$17, 2, 0))) * IF(ISBLANK(N1924), 0, IF(ISNA(VLOOKUP(N1924, Crews!$A$2:$C$28, 2, 0)), N1924, VLOOKUP(N1924, Crews!$A$2:$C$28, 2, 0))))) * 400</f>
        <v>8050.78125</v>
      </c>
      <c r="K1924" s="1"/>
      <c r="L1924" s="1" t="s">
        <v>3758</v>
      </c>
      <c r="M1924" s="1" t="n">
        <v>2</v>
      </c>
      <c r="N1924" s="1" t="s">
        <v>25</v>
      </c>
      <c r="O1924" s="1" t="n">
        <v>0.8</v>
      </c>
      <c r="P1924" s="1"/>
      <c r="Q1924" s="1" t="s">
        <v>1815</v>
      </c>
      <c r="R1924" s="1" t="s">
        <v>1842</v>
      </c>
      <c r="S1924" s="1" t="s">
        <v>1843</v>
      </c>
      <c r="T1924" s="1" t="s">
        <v>3617</v>
      </c>
    </row>
    <row r="1925" customFormat="false" ht="15" hidden="false" customHeight="true" outlineLevel="0" collapsed="false">
      <c r="A1925" s="1" t="s">
        <v>3761</v>
      </c>
      <c r="B1925" s="1" t="n">
        <v>1952</v>
      </c>
      <c r="C1925" s="1" t="n">
        <v>9</v>
      </c>
      <c r="D1925" s="1" t="s">
        <v>21</v>
      </c>
      <c r="E1925" s="1" t="s">
        <v>2039</v>
      </c>
      <c r="F1925" s="1" t="n">
        <v>93</v>
      </c>
      <c r="G1925" s="1" t="n">
        <v>56</v>
      </c>
      <c r="H1925" s="2" t="n">
        <v>1500000</v>
      </c>
      <c r="I1925" s="2" t="n">
        <f aca="false">(((H1925 / 800) / IF(ISBLANK(R1925), 1000000, IF(ISNA(VLOOKUP(R1925, Mileages!$A$2:$C$34, 2, 0)), R1925, VLOOKUP(R1925, Mileages!$A$2:$C$34, 2, 0)))) + (F1925 * IF(ISBLANK(P1925), 1, P1925) * IF(ISBLANK(T1925), 0, IF(ISNA(VLOOKUP(T1925, 'Fuel Costs'!$A$2:$C$42, 2, 0)), T1925, VLOOKUP(T1925, 'Fuel Costs'!$A$2:$C$42, 2, 0))) / IF(ISBLANK(O1925), 1, O1925))) * 100</f>
        <v>93.1875</v>
      </c>
      <c r="J1925" s="2" t="n">
        <f aca="false">((H1925 / 800) / (IF(ISBLANK(S1925), 100, IF(ISNA(VLOOKUP(S1925, Lives!$A$2:$C$35, 2, 0)), S1925, VLOOKUP(S1925, Lives!$A$2:$C$35, 2, 0))) * 12) + (IF(ISBLANK(Q1925), 0, IF(ISNA(VLOOKUP(Q1925, Wages!$A$2:$C$17, 2, 0)), Q1925, VLOOKUP(Q1925, Wages!$A$2:$C$17, 2, 0))) * IF(ISBLANK(N1925), 0, IF(ISNA(VLOOKUP(N1925, Crews!$A$2:$C$28, 2, 0)), N1925, VLOOKUP(N1925, Crews!$A$2:$C$28, 2, 0))))) * 400</f>
        <v>8781.25</v>
      </c>
      <c r="K1925" s="3" t="s">
        <v>3762</v>
      </c>
      <c r="L1925" s="1" t="s">
        <v>3763</v>
      </c>
      <c r="M1925" s="1" t="n">
        <v>0</v>
      </c>
      <c r="N1925" s="1" t="s">
        <v>1815</v>
      </c>
      <c r="O1925" s="1" t="n">
        <v>0.5</v>
      </c>
      <c r="P1925" s="1"/>
      <c r="Q1925" s="1" t="s">
        <v>1815</v>
      </c>
      <c r="R1925" s="1" t="s">
        <v>1843</v>
      </c>
      <c r="S1925" s="1" t="s">
        <v>1843</v>
      </c>
      <c r="T1925" s="1" t="s">
        <v>2041</v>
      </c>
    </row>
    <row r="1926" customFormat="false" ht="15" hidden="false" customHeight="true" outlineLevel="0" collapsed="false">
      <c r="A1926" s="1" t="s">
        <v>3764</v>
      </c>
      <c r="B1926" s="1" t="n">
        <v>1952</v>
      </c>
      <c r="C1926" s="1" t="n">
        <v>9</v>
      </c>
      <c r="D1926" s="1" t="s">
        <v>2225</v>
      </c>
      <c r="E1926" s="1" t="s">
        <v>1839</v>
      </c>
      <c r="F1926" s="1" t="n">
        <v>9696</v>
      </c>
      <c r="G1926" s="1" t="n">
        <v>547</v>
      </c>
      <c r="H1926" s="2" t="n">
        <v>12500000</v>
      </c>
      <c r="I1926" s="2" t="n">
        <f aca="false">(((H1926 / 800) / IF(ISBLANK(R1926), 1000000, IF(ISNA(VLOOKUP(R1926, Mileages!$A$2:$C$34, 2, 0)), R1926, VLOOKUP(R1926, Mileages!$A$2:$C$34, 2, 0)))) + (F1926 * IF(ISBLANK(P1926), 1, P1926) * IF(ISBLANK(T1926), 0, IF(ISNA(VLOOKUP(T1926, 'Fuel Costs'!$A$2:$C$42, 2, 0)), T1926, VLOOKUP(T1926, 'Fuel Costs'!$A$2:$C$42, 2, 0))) / IF(ISBLANK(O1926), 1, O1926))) * 100</f>
        <v>388.1525</v>
      </c>
      <c r="J1926" s="2" t="n">
        <f aca="false">((H1926 / 800) / (IF(ISBLANK(S1926), 100, IF(ISNA(VLOOKUP(S1926, Lives!$A$2:$C$35, 2, 0)), S1926, VLOOKUP(S1926, Lives!$A$2:$C$35, 2, 0))) * 12) + (IF(ISBLANK(Q1926), 0, IF(ISNA(VLOOKUP(Q1926, Wages!$A$2:$C$17, 2, 0)), Q1926, VLOOKUP(Q1926, Wages!$A$2:$C$17, 2, 0))) * IF(ISBLANK(N1926), 0, IF(ISNA(VLOOKUP(N1926, Crews!$A$2:$C$28, 2, 0)), N1926, VLOOKUP(N1926, Crews!$A$2:$C$28, 2, 0))))) * 400</f>
        <v>58680.55556</v>
      </c>
      <c r="K1926" s="3" t="s">
        <v>3765</v>
      </c>
      <c r="L1926" s="1" t="s">
        <v>3766</v>
      </c>
      <c r="M1926" s="1" t="n">
        <v>0</v>
      </c>
      <c r="N1926" s="1" t="s">
        <v>2342</v>
      </c>
      <c r="O1926" s="1"/>
      <c r="P1926" s="1" t="n">
        <v>0.1</v>
      </c>
      <c r="Q1926" s="1" t="s">
        <v>2229</v>
      </c>
      <c r="R1926" s="1" t="s">
        <v>2229</v>
      </c>
      <c r="S1926" s="1" t="s">
        <v>2229</v>
      </c>
      <c r="T1926" s="1" t="s">
        <v>3481</v>
      </c>
    </row>
    <row r="1927" customFormat="false" ht="15" hidden="false" customHeight="true" outlineLevel="0" collapsed="false">
      <c r="A1927" s="1" t="s">
        <v>3767</v>
      </c>
      <c r="B1927" s="1" t="n">
        <v>1952</v>
      </c>
      <c r="C1927" s="1" t="n">
        <v>9</v>
      </c>
      <c r="D1927" s="1" t="s">
        <v>2225</v>
      </c>
      <c r="E1927" s="1" t="s">
        <v>1839</v>
      </c>
      <c r="F1927" s="1" t="n">
        <v>9696</v>
      </c>
      <c r="G1927" s="1" t="n">
        <v>547</v>
      </c>
      <c r="H1927" s="2" t="n">
        <v>12500000</v>
      </c>
      <c r="I1927" s="2" t="n">
        <f aca="false">(((H1927 / 800) / IF(ISBLANK(R1927), 1000000, IF(ISNA(VLOOKUP(R1927, Mileages!$A$2:$C$34, 2, 0)), R1927, VLOOKUP(R1927, Mileages!$A$2:$C$34, 2, 0)))) + (F1927 * IF(ISBLANK(P1927), 1, P1927) * IF(ISBLANK(T1927), 0, IF(ISNA(VLOOKUP(T1927, 'Fuel Costs'!$A$2:$C$42, 2, 0)), T1927, VLOOKUP(T1927, 'Fuel Costs'!$A$2:$C$42, 2, 0))) / IF(ISBLANK(O1927), 1, O1927))) * 100</f>
        <v>388.1525</v>
      </c>
      <c r="J1927" s="2" t="n">
        <f aca="false">((H1927 / 800) / (IF(ISBLANK(S1927), 100, IF(ISNA(VLOOKUP(S1927, Lives!$A$2:$C$35, 2, 0)), S1927, VLOOKUP(S1927, Lives!$A$2:$C$35, 2, 0))) * 12) + (IF(ISBLANK(Q1927), 0, IF(ISNA(VLOOKUP(Q1927, Wages!$A$2:$C$17, 2, 0)), Q1927, VLOOKUP(Q1927, Wages!$A$2:$C$17, 2, 0))) * IF(ISBLANK(N1927), 0, IF(ISNA(VLOOKUP(N1927, Crews!$A$2:$C$28, 2, 0)), N1927, VLOOKUP(N1927, Crews!$A$2:$C$28, 2, 0))))) * 400</f>
        <v>58680.55556</v>
      </c>
      <c r="K1927" s="3" t="s">
        <v>3768</v>
      </c>
      <c r="L1927" s="1" t="s">
        <v>3766</v>
      </c>
      <c r="M1927" s="1" t="n">
        <v>1</v>
      </c>
      <c r="N1927" s="1" t="s">
        <v>2342</v>
      </c>
      <c r="O1927" s="1"/>
      <c r="P1927" s="1" t="n">
        <v>0.1</v>
      </c>
      <c r="Q1927" s="1" t="s">
        <v>2229</v>
      </c>
      <c r="R1927" s="1" t="s">
        <v>2229</v>
      </c>
      <c r="S1927" s="1" t="s">
        <v>2229</v>
      </c>
      <c r="T1927" s="1" t="s">
        <v>3481</v>
      </c>
    </row>
    <row r="1928" customFormat="false" ht="15" hidden="false" customHeight="true" outlineLevel="0" collapsed="false">
      <c r="A1928" s="1" t="s">
        <v>3769</v>
      </c>
      <c r="B1928" s="1" t="n">
        <v>1952</v>
      </c>
      <c r="C1928" s="1" t="n">
        <v>10</v>
      </c>
      <c r="D1928" s="1" t="s">
        <v>21</v>
      </c>
      <c r="E1928" s="1" t="s">
        <v>1346</v>
      </c>
      <c r="F1928" s="1" t="n">
        <v>89</v>
      </c>
      <c r="G1928" s="1" t="n">
        <v>50</v>
      </c>
      <c r="H1928" s="2" t="n">
        <v>36000</v>
      </c>
      <c r="I1928" s="2" t="n">
        <f aca="false">(((H1928 / 800) / IF(ISBLANK(R1928), 1000000, IF(ISNA(VLOOKUP(R1928, Mileages!$A$2:$C$34, 2, 0)), R1928, VLOOKUP(R1928, Mileages!$A$2:$C$34, 2, 0)))) + (F1928 * IF(ISBLANK(P1928), 1, P1928) * IF(ISBLANK(T1928), 0, IF(ISNA(VLOOKUP(T1928, 'Fuel Costs'!$A$2:$C$42, 2, 0)), T1928, VLOOKUP(T1928, 'Fuel Costs'!$A$2:$C$42, 2, 0))) / IF(ISBLANK(O1928), 1, O1928))) * 100</f>
        <v>17.806</v>
      </c>
      <c r="J1928" s="2" t="n">
        <f aca="false">((H1928 / 800) / (IF(ISBLANK(S1928), 100, IF(ISNA(VLOOKUP(S1928, Lives!$A$2:$C$35, 2, 0)), S1928, VLOOKUP(S1928, Lives!$A$2:$C$35, 2, 0))) * 12) + (IF(ISBLANK(Q1928), 0, IF(ISNA(VLOOKUP(Q1928, Wages!$A$2:$C$17, 2, 0)), Q1928, VLOOKUP(Q1928, Wages!$A$2:$C$17, 2, 0))) * IF(ISBLANK(N1928), 0, IF(ISNA(VLOOKUP(N1928, Crews!$A$2:$C$28, 2, 0)), N1928, VLOOKUP(N1928, Crews!$A$2:$C$28, 2, 0))))) * 400</f>
        <v>12037.5</v>
      </c>
      <c r="K1928" s="3" t="s">
        <v>3770</v>
      </c>
      <c r="L1928" s="1" t="s">
        <v>3771</v>
      </c>
      <c r="M1928" s="1" t="n">
        <v>0</v>
      </c>
      <c r="N1928" s="1" t="s">
        <v>3063</v>
      </c>
      <c r="O1928" s="1"/>
      <c r="P1928" s="1"/>
      <c r="Q1928" s="1" t="s">
        <v>3064</v>
      </c>
      <c r="R1928" s="1" t="s">
        <v>3064</v>
      </c>
      <c r="S1928" s="1" t="s">
        <v>3064</v>
      </c>
      <c r="T1928" s="1" t="s">
        <v>3471</v>
      </c>
    </row>
    <row r="1929" customFormat="false" ht="15" hidden="false" customHeight="true" outlineLevel="0" collapsed="false">
      <c r="A1929" s="1" t="s">
        <v>3772</v>
      </c>
      <c r="B1929" s="1" t="n">
        <v>1952</v>
      </c>
      <c r="C1929" s="1" t="n">
        <v>10</v>
      </c>
      <c r="D1929" s="1" t="s">
        <v>38</v>
      </c>
      <c r="E1929" s="1"/>
      <c r="F1929" s="1"/>
      <c r="G1929" s="1" t="n">
        <v>140</v>
      </c>
      <c r="H1929" s="2" t="n">
        <v>442000</v>
      </c>
      <c r="I1929" s="2" t="n">
        <f aca="false">(((H1929 / 800) / IF(ISBLANK(R1929), 1000000, IF(ISNA(VLOOKUP(R1929, Mileages!$A$2:$C$34, 2, 0)), R1929, VLOOKUP(R1929, Mileages!$A$2:$C$34, 2, 0)))) + (F1929 * IF(ISBLANK(P1929), 1, P1929) * IF(ISBLANK(T1929), 0, IF(ISNA(VLOOKUP(T1929, 'Fuel Costs'!$A$2:$C$42, 2, 0)), T1929, VLOOKUP(T1929, 'Fuel Costs'!$A$2:$C$42, 2, 0))) / IF(ISBLANK(O1929), 1, O1929))) * 100</f>
        <v>0.04604166667</v>
      </c>
      <c r="J1929" s="2" t="n">
        <f aca="false">((H1929 / 800) / (IF(ISBLANK(S1929), 100, IF(ISNA(VLOOKUP(S1929, Lives!$A$2:$C$35, 2, 0)), S1929, VLOOKUP(S1929, Lives!$A$2:$C$35, 2, 0))) * 12) + (IF(ISBLANK(Q1929), 0, IF(ISNA(VLOOKUP(Q1929, Wages!$A$2:$C$17, 2, 0)), Q1929, VLOOKUP(Q1929, Wages!$A$2:$C$17, 2, 0))) * IF(ISBLANK(N1929), 0, IF(ISNA(VLOOKUP(N1929, Crews!$A$2:$C$28, 2, 0)), N1929, VLOOKUP(N1929, Crews!$A$2:$C$28, 2, 0))))) * 400</f>
        <v>526.1904762</v>
      </c>
      <c r="K1929" s="3" t="s">
        <v>3773</v>
      </c>
      <c r="L1929" s="1" t="s">
        <v>3774</v>
      </c>
      <c r="M1929" s="1" t="n">
        <v>0</v>
      </c>
      <c r="N1929" s="1"/>
      <c r="O1929" s="1"/>
      <c r="P1929" s="1"/>
      <c r="Q1929" s="1"/>
      <c r="R1929" s="1" t="s">
        <v>689</v>
      </c>
      <c r="S1929" s="1" t="s">
        <v>856</v>
      </c>
      <c r="T1929" s="1"/>
    </row>
    <row r="1930" customFormat="false" ht="15" hidden="false" customHeight="true" outlineLevel="0" collapsed="false">
      <c r="A1930" s="1" t="s">
        <v>3775</v>
      </c>
      <c r="B1930" s="1" t="n">
        <v>1952</v>
      </c>
      <c r="C1930" s="1" t="n">
        <v>10</v>
      </c>
      <c r="D1930" s="1" t="s">
        <v>38</v>
      </c>
      <c r="E1930" s="1"/>
      <c r="F1930" s="1"/>
      <c r="G1930" s="1" t="n">
        <v>140</v>
      </c>
      <c r="H1930" s="2" t="n">
        <v>431000</v>
      </c>
      <c r="I1930" s="2" t="n">
        <f aca="false">(((H1930 / 800) / IF(ISBLANK(R1930), 1000000, IF(ISNA(VLOOKUP(R1930, Mileages!$A$2:$C$34, 2, 0)), R1930, VLOOKUP(R1930, Mileages!$A$2:$C$34, 2, 0)))) + (F1930 * IF(ISBLANK(P1930), 1, P1930) * IF(ISBLANK(T1930), 0, IF(ISNA(VLOOKUP(T1930, 'Fuel Costs'!$A$2:$C$42, 2, 0)), T1930, VLOOKUP(T1930, 'Fuel Costs'!$A$2:$C$42, 2, 0))) / IF(ISBLANK(O1930), 1, O1930))) * 100</f>
        <v>0.04489583333</v>
      </c>
      <c r="J1930" s="2" t="n">
        <f aca="false">((H1930 / 800) / (IF(ISBLANK(S1930), 100, IF(ISNA(VLOOKUP(S1930, Lives!$A$2:$C$35, 2, 0)), S1930, VLOOKUP(S1930, Lives!$A$2:$C$35, 2, 0))) * 12) + (IF(ISBLANK(Q1930), 0, IF(ISNA(VLOOKUP(Q1930, Wages!$A$2:$C$17, 2, 0)), Q1930, VLOOKUP(Q1930, Wages!$A$2:$C$17, 2, 0))) * IF(ISBLANK(N1930), 0, IF(ISNA(VLOOKUP(N1930, Crews!$A$2:$C$28, 2, 0)), N1930, VLOOKUP(N1930, Crews!$A$2:$C$28, 2, 0))))) * 400</f>
        <v>513.0952381</v>
      </c>
      <c r="K1930" s="3" t="s">
        <v>3776</v>
      </c>
      <c r="L1930" s="1" t="s">
        <v>3777</v>
      </c>
      <c r="M1930" s="1" t="n">
        <v>0</v>
      </c>
      <c r="N1930" s="1"/>
      <c r="O1930" s="1"/>
      <c r="P1930" s="1"/>
      <c r="Q1930" s="1"/>
      <c r="R1930" s="1" t="s">
        <v>689</v>
      </c>
      <c r="S1930" s="1" t="s">
        <v>856</v>
      </c>
      <c r="T1930" s="1"/>
    </row>
    <row r="1931" customFormat="false" ht="15" hidden="false" customHeight="true" outlineLevel="0" collapsed="false">
      <c r="A1931" s="1" t="s">
        <v>3778</v>
      </c>
      <c r="B1931" s="1" t="n">
        <v>1952</v>
      </c>
      <c r="C1931" s="1" t="n">
        <v>10</v>
      </c>
      <c r="D1931" s="1" t="s">
        <v>38</v>
      </c>
      <c r="E1931" s="1"/>
      <c r="F1931" s="1"/>
      <c r="G1931" s="1" t="n">
        <v>140</v>
      </c>
      <c r="H1931" s="2" t="n">
        <v>431000</v>
      </c>
      <c r="I1931" s="2" t="n">
        <f aca="false">(((H1931 / 800) / IF(ISBLANK(R1931), 1000000, IF(ISNA(VLOOKUP(R1931, Mileages!$A$2:$C$34, 2, 0)), R1931, VLOOKUP(R1931, Mileages!$A$2:$C$34, 2, 0)))) + (F1931 * IF(ISBLANK(P1931), 1, P1931) * IF(ISBLANK(T1931), 0, IF(ISNA(VLOOKUP(T1931, 'Fuel Costs'!$A$2:$C$42, 2, 0)), T1931, VLOOKUP(T1931, 'Fuel Costs'!$A$2:$C$42, 2, 0))) / IF(ISBLANK(O1931), 1, O1931))) * 100</f>
        <v>0.04489583333</v>
      </c>
      <c r="J1931" s="2" t="n">
        <f aca="false">((H1931 / 800) / (IF(ISBLANK(S1931), 100, IF(ISNA(VLOOKUP(S1931, Lives!$A$2:$C$35, 2, 0)), S1931, VLOOKUP(S1931, Lives!$A$2:$C$35, 2, 0))) * 12) + (IF(ISBLANK(Q1931), 0, IF(ISNA(VLOOKUP(Q1931, Wages!$A$2:$C$17, 2, 0)), Q1931, VLOOKUP(Q1931, Wages!$A$2:$C$17, 2, 0))) * IF(ISBLANK(N1931), 0, IF(ISNA(VLOOKUP(N1931, Crews!$A$2:$C$28, 2, 0)), N1931, VLOOKUP(N1931, Crews!$A$2:$C$28, 2, 0))))) * 400</f>
        <v>5313.095238</v>
      </c>
      <c r="K1931" s="3" t="s">
        <v>3779</v>
      </c>
      <c r="L1931" s="1" t="s">
        <v>3780</v>
      </c>
      <c r="M1931" s="1" t="n">
        <v>0</v>
      </c>
      <c r="N1931" s="1" t="s">
        <v>25</v>
      </c>
      <c r="O1931" s="1"/>
      <c r="P1931" s="1"/>
      <c r="Q1931" s="1" t="s">
        <v>378</v>
      </c>
      <c r="R1931" s="1" t="s">
        <v>689</v>
      </c>
      <c r="S1931" s="1" t="s">
        <v>856</v>
      </c>
      <c r="T1931" s="1"/>
    </row>
    <row r="1932" customFormat="false" ht="15" hidden="false" customHeight="true" outlineLevel="0" collapsed="false">
      <c r="A1932" s="1" t="s">
        <v>3781</v>
      </c>
      <c r="B1932" s="1" t="n">
        <v>1952</v>
      </c>
      <c r="C1932" s="1" t="n">
        <v>10</v>
      </c>
      <c r="D1932" s="1" t="s">
        <v>38</v>
      </c>
      <c r="E1932" s="1"/>
      <c r="F1932" s="1"/>
      <c r="G1932" s="1" t="n">
        <v>140</v>
      </c>
      <c r="H1932" s="2" t="n">
        <v>431000</v>
      </c>
      <c r="I1932" s="2" t="n">
        <f aca="false">(((H1932 / 800) / IF(ISBLANK(R1932), 1000000, IF(ISNA(VLOOKUP(R1932, Mileages!$A$2:$C$34, 2, 0)), R1932, VLOOKUP(R1932, Mileages!$A$2:$C$34, 2, 0)))) + (F1932 * IF(ISBLANK(P1932), 1, P1932) * IF(ISBLANK(T1932), 0, IF(ISNA(VLOOKUP(T1932, 'Fuel Costs'!$A$2:$C$42, 2, 0)), T1932, VLOOKUP(T1932, 'Fuel Costs'!$A$2:$C$42, 2, 0))) / IF(ISBLANK(O1932), 1, O1932))) * 100</f>
        <v>0.04489583333</v>
      </c>
      <c r="J1932" s="2" t="n">
        <f aca="false">((H1932 / 800) / (IF(ISBLANK(S1932), 100, IF(ISNA(VLOOKUP(S1932, Lives!$A$2:$C$35, 2, 0)), S1932, VLOOKUP(S1932, Lives!$A$2:$C$35, 2, 0))) * 12) + (IF(ISBLANK(Q1932), 0, IF(ISNA(VLOOKUP(Q1932, Wages!$A$2:$C$17, 2, 0)), Q1932, VLOOKUP(Q1932, Wages!$A$2:$C$17, 2, 0))) * IF(ISBLANK(N1932), 0, IF(ISNA(VLOOKUP(N1932, Crews!$A$2:$C$28, 2, 0)), N1932, VLOOKUP(N1932, Crews!$A$2:$C$28, 2, 0))))) * 400</f>
        <v>5313.095238</v>
      </c>
      <c r="K1932" s="3" t="s">
        <v>3779</v>
      </c>
      <c r="L1932" s="1" t="s">
        <v>3780</v>
      </c>
      <c r="M1932" s="1" t="n">
        <v>1</v>
      </c>
      <c r="N1932" s="1" t="s">
        <v>25</v>
      </c>
      <c r="O1932" s="1"/>
      <c r="P1932" s="1"/>
      <c r="Q1932" s="1" t="s">
        <v>378</v>
      </c>
      <c r="R1932" s="1" t="s">
        <v>689</v>
      </c>
      <c r="S1932" s="1" t="s">
        <v>856</v>
      </c>
      <c r="T1932" s="1"/>
    </row>
    <row r="1933" customFormat="false" ht="15" hidden="false" customHeight="true" outlineLevel="0" collapsed="false">
      <c r="A1933" s="1" t="s">
        <v>3782</v>
      </c>
      <c r="B1933" s="1" t="n">
        <v>1952</v>
      </c>
      <c r="C1933" s="1" t="n">
        <v>12</v>
      </c>
      <c r="D1933" s="1" t="s">
        <v>38</v>
      </c>
      <c r="E1933" s="1" t="s">
        <v>274</v>
      </c>
      <c r="F1933" s="1" t="n">
        <v>331</v>
      </c>
      <c r="G1933" s="1" t="n">
        <v>115</v>
      </c>
      <c r="H1933" s="2" t="n">
        <v>4621000</v>
      </c>
      <c r="I1933" s="2" t="n">
        <f aca="false">(((H1933 / 800) / IF(ISBLANK(R1933), 1000000, IF(ISNA(VLOOKUP(R1933, Mileages!$A$2:$C$34, 2, 0)), R1933, VLOOKUP(R1933, Mileages!$A$2:$C$34, 2, 0)))) + (F1933 * IF(ISBLANK(P1933), 1, P1933) * IF(ISBLANK(T1933), 0, IF(ISNA(VLOOKUP(T1933, 'Fuel Costs'!$A$2:$C$42, 2, 0)), T1933, VLOOKUP(T1933, 'Fuel Costs'!$A$2:$C$42, 2, 0))) / IF(ISBLANK(O1933), 1, O1933))) * 100</f>
        <v>284.2919107</v>
      </c>
      <c r="J1933" s="2" t="n">
        <f aca="false">((H1933 / 800) / (IF(ISBLANK(S1933), 100, IF(ISNA(VLOOKUP(S1933, Lives!$A$2:$C$35, 2, 0)), S1933, VLOOKUP(S1933, Lives!$A$2:$C$35, 2, 0))) * 12) + (IF(ISBLANK(Q1933), 0, IF(ISNA(VLOOKUP(Q1933, Wages!$A$2:$C$17, 2, 0)), Q1933, VLOOKUP(Q1933, Wages!$A$2:$C$17, 2, 0))) * IF(ISBLANK(N1933), 0, IF(ISNA(VLOOKUP(N1933, Crews!$A$2:$C$28, 2, 0)), N1933, VLOOKUP(N1933, Crews!$A$2:$C$28, 2, 0))))) * 400</f>
        <v>27850.83333</v>
      </c>
      <c r="K1933" s="3" t="s">
        <v>3783</v>
      </c>
      <c r="L1933" s="1" t="s">
        <v>3784</v>
      </c>
      <c r="M1933" s="1" t="n">
        <v>0</v>
      </c>
      <c r="N1933" s="1" t="s">
        <v>590</v>
      </c>
      <c r="O1933" s="1" t="n">
        <v>0.7</v>
      </c>
      <c r="P1933" s="1"/>
      <c r="Q1933" s="5" t="s">
        <v>284</v>
      </c>
      <c r="R1933" s="1" t="s">
        <v>677</v>
      </c>
      <c r="S1933" s="1" t="s">
        <v>677</v>
      </c>
      <c r="T1933" s="1" t="s">
        <v>3553</v>
      </c>
    </row>
    <row r="1934" customFormat="false" ht="15" hidden="false" customHeight="true" outlineLevel="0" collapsed="false">
      <c r="A1934" s="1" t="s">
        <v>3785</v>
      </c>
      <c r="B1934" s="1" t="n">
        <v>1953</v>
      </c>
      <c r="C1934" s="1" t="n">
        <v>6</v>
      </c>
      <c r="D1934" s="1" t="s">
        <v>2225</v>
      </c>
      <c r="E1934" s="1" t="s">
        <v>1839</v>
      </c>
      <c r="F1934" s="1" t="n">
        <v>448</v>
      </c>
      <c r="G1934" s="1" t="n">
        <v>195</v>
      </c>
      <c r="H1934" s="2" t="n">
        <v>2000000</v>
      </c>
      <c r="I1934" s="2" t="n">
        <f aca="false">(((H1934 / 800) / IF(ISBLANK(R1934), 1000000, IF(ISNA(VLOOKUP(R1934, Mileages!$A$2:$C$34, 2, 0)), R1934, VLOOKUP(R1934, Mileages!$A$2:$C$34, 2, 0)))) + (F1934 * IF(ISBLANK(P1934), 1, P1934) * IF(ISBLANK(T1934), 0, IF(ISNA(VLOOKUP(T1934, 'Fuel Costs'!$A$2:$C$42, 2, 0)), T1934, VLOOKUP(T1934, 'Fuel Costs'!$A$2:$C$42, 2, 0))) / IF(ISBLANK(O1934), 1, O1934))) * 100</f>
        <v>17.97</v>
      </c>
      <c r="J1934" s="2" t="n">
        <f aca="false">((H1934 / 800) / (IF(ISBLANK(S1934), 100, IF(ISNA(VLOOKUP(S1934, Lives!$A$2:$C$35, 2, 0)), S1934, VLOOKUP(S1934, Lives!$A$2:$C$35, 2, 0))) * 12) + (IF(ISBLANK(Q1934), 0, IF(ISNA(VLOOKUP(Q1934, Wages!$A$2:$C$17, 2, 0)), Q1934, VLOOKUP(Q1934, Wages!$A$2:$C$17, 2, 0))) * IF(ISBLANK(N1934), 0, IF(ISNA(VLOOKUP(N1934, Crews!$A$2:$C$28, 2, 0)), N1934, VLOOKUP(N1934, Crews!$A$2:$C$28, 2, 0))))) * 400</f>
        <v>51388.88889</v>
      </c>
      <c r="K1934" s="3" t="s">
        <v>3786</v>
      </c>
      <c r="L1934" s="1" t="s">
        <v>3787</v>
      </c>
      <c r="M1934" s="1" t="n">
        <v>0</v>
      </c>
      <c r="N1934" s="1" t="s">
        <v>2342</v>
      </c>
      <c r="O1934" s="1"/>
      <c r="P1934" s="1" t="n">
        <v>0.1</v>
      </c>
      <c r="Q1934" s="1" t="s">
        <v>2229</v>
      </c>
      <c r="R1934" s="1" t="s">
        <v>2229</v>
      </c>
      <c r="S1934" s="1" t="s">
        <v>2229</v>
      </c>
      <c r="T1934" s="1" t="s">
        <v>3481</v>
      </c>
    </row>
    <row r="1935" customFormat="false" ht="15" hidden="false" customHeight="true" outlineLevel="0" collapsed="false">
      <c r="A1935" s="1" t="s">
        <v>3788</v>
      </c>
      <c r="B1935" s="1" t="n">
        <v>1953</v>
      </c>
      <c r="C1935" s="1" t="n">
        <v>6</v>
      </c>
      <c r="D1935" s="1" t="s">
        <v>876</v>
      </c>
      <c r="E1935" s="1" t="s">
        <v>1346</v>
      </c>
      <c r="F1935" s="1" t="n">
        <v>50</v>
      </c>
      <c r="G1935" s="1" t="n">
        <v>70</v>
      </c>
      <c r="H1935" s="2" t="n">
        <v>560000</v>
      </c>
      <c r="I1935" s="2" t="n">
        <f aca="false">(((H1935 / 800) / IF(ISBLANK(R1935), 1000000, IF(ISNA(VLOOKUP(R1935, Mileages!$A$2:$C$34, 2, 0)), R1935, VLOOKUP(R1935, Mileages!$A$2:$C$34, 2, 0)))) + (F1935 * IF(ISBLANK(P1935), 1, P1935) * IF(ISBLANK(T1935), 0, IF(ISNA(VLOOKUP(T1935, 'Fuel Costs'!$A$2:$C$42, 2, 0)), T1935, VLOOKUP(T1935, 'Fuel Costs'!$A$2:$C$42, 2, 0))) / IF(ISBLANK(O1935), 1, O1935))) * 100</f>
        <v>10.07</v>
      </c>
      <c r="J1935" s="2" t="n">
        <f aca="false">((H1935 / 800) / (IF(ISBLANK(S1935), 100, IF(ISNA(VLOOKUP(S1935, Lives!$A$2:$C$35, 2, 0)), S1935, VLOOKUP(S1935, Lives!$A$2:$C$35, 2, 0))) * 12) + (IF(ISBLANK(Q1935), 0, IF(ISNA(VLOOKUP(Q1935, Wages!$A$2:$C$17, 2, 0)), Q1935, VLOOKUP(Q1935, Wages!$A$2:$C$17, 2, 0))) * IF(ISBLANK(N1935), 0, IF(ISNA(VLOOKUP(N1935, Crews!$A$2:$C$28, 2, 0)), N1935, VLOOKUP(N1935, Crews!$A$2:$C$28, 2, 0))))) * 400</f>
        <v>6466.666667</v>
      </c>
      <c r="K1935" s="3" t="s">
        <v>3789</v>
      </c>
      <c r="L1935" s="1" t="s">
        <v>3790</v>
      </c>
      <c r="M1935" s="1" t="n">
        <v>0</v>
      </c>
      <c r="N1935" s="1" t="s">
        <v>895</v>
      </c>
      <c r="O1935" s="1"/>
      <c r="P1935" s="1"/>
      <c r="Q1935" s="1" t="s">
        <v>895</v>
      </c>
      <c r="R1935" s="1" t="s">
        <v>1349</v>
      </c>
      <c r="S1935" s="1" t="s">
        <v>1350</v>
      </c>
      <c r="T1935" s="1" t="s">
        <v>3471</v>
      </c>
    </row>
    <row r="1936" customFormat="false" ht="15" hidden="false" customHeight="true" outlineLevel="0" collapsed="false">
      <c r="A1936" s="1" t="s">
        <v>3791</v>
      </c>
      <c r="B1936" s="1" t="n">
        <v>1953</v>
      </c>
      <c r="C1936" s="1" t="n">
        <v>7</v>
      </c>
      <c r="D1936" s="1" t="s">
        <v>38</v>
      </c>
      <c r="E1936" s="1" t="s">
        <v>1346</v>
      </c>
      <c r="F1936" s="1" t="n">
        <v>2060</v>
      </c>
      <c r="G1936" s="1" t="n">
        <v>150</v>
      </c>
      <c r="H1936" s="2" t="n">
        <v>7296000</v>
      </c>
      <c r="I1936" s="2" t="n">
        <f aca="false">(((H1936 / 800) / IF(ISBLANK(R1936), 1000000, IF(ISNA(VLOOKUP(R1936, Mileages!$A$2:$C$34, 2, 0)), R1936, VLOOKUP(R1936, Mileages!$A$2:$C$34, 2, 0)))) + (F1936 * IF(ISBLANK(P1936), 1, P1936) * IF(ISBLANK(T1936), 0, IF(ISNA(VLOOKUP(T1936, 'Fuel Costs'!$A$2:$C$42, 2, 0)), T1936, VLOOKUP(T1936, 'Fuel Costs'!$A$2:$C$42, 2, 0))) / IF(ISBLANK(O1936), 1, O1936))) * 100</f>
        <v>412.912</v>
      </c>
      <c r="J1936" s="2" t="n">
        <f aca="false">((H1936 / 800) / (IF(ISBLANK(S1936), 100, IF(ISNA(VLOOKUP(S1936, Lives!$A$2:$C$35, 2, 0)), S1936, VLOOKUP(S1936, Lives!$A$2:$C$35, 2, 0))) * 12) + (IF(ISBLANK(Q1936), 0, IF(ISNA(VLOOKUP(Q1936, Wages!$A$2:$C$17, 2, 0)), Q1936, VLOOKUP(Q1936, Wages!$A$2:$C$17, 2, 0))) * IF(ISBLANK(N1936), 0, IF(ISNA(VLOOKUP(N1936, Crews!$A$2:$C$28, 2, 0)), N1936, VLOOKUP(N1936, Crews!$A$2:$C$28, 2, 0))))) * 400</f>
        <v>15066.66667</v>
      </c>
      <c r="K1936" s="1" t="s">
        <v>2048</v>
      </c>
      <c r="L1936" s="1" t="s">
        <v>3792</v>
      </c>
      <c r="M1936" s="1" t="n">
        <v>0</v>
      </c>
      <c r="N1936" s="1" t="s">
        <v>1488</v>
      </c>
      <c r="O1936" s="1" t="n">
        <v>1</v>
      </c>
      <c r="P1936" s="1"/>
      <c r="Q1936" s="1" t="str">
        <f aca="false">IF(ISBLANK('Pak128 Britain In'!$N1936),,'Pak128 Britain In'!$N1936)</f>
        <v>ElectricDriverRail</v>
      </c>
      <c r="R1936" s="1" t="s">
        <v>1349</v>
      </c>
      <c r="S1936" s="1" t="s">
        <v>1349</v>
      </c>
      <c r="T1936" s="1" t="s">
        <v>3471</v>
      </c>
    </row>
    <row r="1937" customFormat="false" ht="15" hidden="false" customHeight="true" outlineLevel="0" collapsed="false">
      <c r="A1937" s="1" t="s">
        <v>3793</v>
      </c>
      <c r="B1937" s="1" t="n">
        <v>1953</v>
      </c>
      <c r="C1937" s="1" t="n">
        <v>7</v>
      </c>
      <c r="D1937" s="1" t="s">
        <v>38</v>
      </c>
      <c r="E1937" s="1" t="s">
        <v>274</v>
      </c>
      <c r="F1937" s="1" t="n">
        <v>209</v>
      </c>
      <c r="G1937" s="1" t="n">
        <v>100</v>
      </c>
      <c r="H1937" s="2" t="n">
        <v>3275000</v>
      </c>
      <c r="I1937" s="2" t="n">
        <f aca="false">(((H1937 / 800) / IF(ISBLANK(R1937), 1000000, IF(ISNA(VLOOKUP(R1937, Mileages!$A$2:$C$34, 2, 0)), R1937, VLOOKUP(R1937, Mileages!$A$2:$C$34, 2, 0)))) + (F1937 * IF(ISBLANK(P1937), 1, P1937) * IF(ISBLANK(T1937), 0, IF(ISNA(VLOOKUP(T1937, 'Fuel Costs'!$A$2:$C$42, 2, 0)), T1937, VLOOKUP(T1937, 'Fuel Costs'!$A$2:$C$42, 2, 0))) / IF(ISBLANK(O1937), 1, O1937))) * 100</f>
        <v>179.5522321</v>
      </c>
      <c r="J1937" s="2" t="n">
        <f aca="false">((H1937 / 800) / (IF(ISBLANK(S1937), 100, IF(ISNA(VLOOKUP(S1937, Lives!$A$2:$C$35, 2, 0)), S1937, VLOOKUP(S1937, Lives!$A$2:$C$35, 2, 0))) * 12) + (IF(ISBLANK(Q1937), 0, IF(ISNA(VLOOKUP(Q1937, Wages!$A$2:$C$17, 2, 0)), Q1937, VLOOKUP(Q1937, Wages!$A$2:$C$17, 2, 0))) * IF(ISBLANK(N1937), 0, IF(ISNA(VLOOKUP(N1937, Crews!$A$2:$C$28, 2, 0)), N1937, VLOOKUP(N1937, Crews!$A$2:$C$28, 2, 0))))) * 400</f>
        <v>26729.16667</v>
      </c>
      <c r="K1937" s="1" t="s">
        <v>1692</v>
      </c>
      <c r="L1937" s="1" t="s">
        <v>3794</v>
      </c>
      <c r="M1937" s="1" t="n">
        <v>1</v>
      </c>
      <c r="N1937" s="1" t="s">
        <v>590</v>
      </c>
      <c r="O1937" s="1" t="n">
        <v>0.7</v>
      </c>
      <c r="P1937" s="1"/>
      <c r="Q1937" s="5" t="s">
        <v>284</v>
      </c>
      <c r="R1937" s="1" t="s">
        <v>677</v>
      </c>
      <c r="S1937" s="1" t="s">
        <v>677</v>
      </c>
      <c r="T1937" s="1" t="s">
        <v>3553</v>
      </c>
    </row>
    <row r="1938" customFormat="false" ht="15" hidden="false" customHeight="true" outlineLevel="0" collapsed="false">
      <c r="A1938" s="1" t="s">
        <v>3795</v>
      </c>
      <c r="B1938" s="1" t="n">
        <v>1953</v>
      </c>
      <c r="C1938" s="1" t="n">
        <v>8</v>
      </c>
      <c r="D1938" s="1" t="s">
        <v>38</v>
      </c>
      <c r="E1938" s="1" t="s">
        <v>274</v>
      </c>
      <c r="F1938" s="1" t="n">
        <v>250</v>
      </c>
      <c r="G1938" s="1" t="n">
        <v>100</v>
      </c>
      <c r="H1938" s="2" t="n">
        <v>3205000</v>
      </c>
      <c r="I1938" s="2" t="n">
        <f aca="false">(((H1938 / 800) / IF(ISBLANK(R1938), 1000000, IF(ISNA(VLOOKUP(R1938, Mileages!$A$2:$C$34, 2, 0)), R1938, VLOOKUP(R1938, Mileages!$A$2:$C$34, 2, 0)))) + (F1938 * IF(ISBLANK(P1938), 1, P1938) * IF(ISBLANK(T1938), 0, IF(ISNA(VLOOKUP(T1938, 'Fuel Costs'!$A$2:$C$42, 2, 0)), T1938, VLOOKUP(T1938, 'Fuel Costs'!$A$2:$C$42, 2, 0))) / IF(ISBLANK(O1938), 1, O1938))) * 100</f>
        <v>187.900625</v>
      </c>
      <c r="J1938" s="2" t="n">
        <f aca="false">((H1938 / 800) / (IF(ISBLANK(S1938), 100, IF(ISNA(VLOOKUP(S1938, Lives!$A$2:$C$35, 2, 0)), S1938, VLOOKUP(S1938, Lives!$A$2:$C$35, 2, 0))) * 12) + (IF(ISBLANK(Q1938), 0, IF(ISNA(VLOOKUP(Q1938, Wages!$A$2:$C$17, 2, 0)), Q1938, VLOOKUP(Q1938, Wages!$A$2:$C$17, 2, 0))) * IF(ISBLANK(N1938), 0, IF(ISNA(VLOOKUP(N1938, Crews!$A$2:$C$28, 2, 0)), N1938, VLOOKUP(N1938, Crews!$A$2:$C$28, 2, 0))))) * 400</f>
        <v>18670.83333</v>
      </c>
      <c r="K1938" s="3" t="s">
        <v>3796</v>
      </c>
      <c r="L1938" s="1" t="s">
        <v>3794</v>
      </c>
      <c r="M1938" s="1" t="n">
        <v>0</v>
      </c>
      <c r="N1938" s="1" t="s">
        <v>283</v>
      </c>
      <c r="O1938" s="1" t="n">
        <v>0.8</v>
      </c>
      <c r="P1938" s="1"/>
      <c r="Q1938" s="5" t="s">
        <v>284</v>
      </c>
      <c r="R1938" s="1" t="s">
        <v>677</v>
      </c>
      <c r="S1938" s="1" t="s">
        <v>677</v>
      </c>
      <c r="T1938" s="1" t="s">
        <v>3553</v>
      </c>
    </row>
    <row r="1939" customFormat="false" ht="15" hidden="false" customHeight="true" outlineLevel="0" collapsed="false">
      <c r="A1939" s="1" t="s">
        <v>3797</v>
      </c>
      <c r="B1939" s="1" t="n">
        <v>1953</v>
      </c>
      <c r="C1939" s="1" t="n">
        <v>10</v>
      </c>
      <c r="D1939" s="1" t="s">
        <v>21</v>
      </c>
      <c r="E1939" s="1" t="s">
        <v>2039</v>
      </c>
      <c r="F1939" s="1" t="n">
        <v>48</v>
      </c>
      <c r="G1939" s="1" t="n">
        <v>64</v>
      </c>
      <c r="H1939" s="2" t="n">
        <v>300000</v>
      </c>
      <c r="I1939" s="2" t="n">
        <f aca="false">(((H1939 / 800) / IF(ISBLANK(R1939), 1000000, IF(ISNA(VLOOKUP(R1939, Mileages!$A$2:$C$34, 2, 0)), R1939, VLOOKUP(R1939, Mileages!$A$2:$C$34, 2, 0)))) + (F1939 * IF(ISBLANK(P1939), 1, P1939) * IF(ISBLANK(T1939), 0, IF(ISNA(VLOOKUP(T1939, 'Fuel Costs'!$A$2:$C$42, 2, 0)), T1939, VLOOKUP(T1939, 'Fuel Costs'!$A$2:$C$42, 2, 0))) / IF(ISBLANK(O1939), 1, O1939))) * 100</f>
        <v>48.0375</v>
      </c>
      <c r="J1939" s="2" t="n">
        <f aca="false">((H1939 / 800) / (IF(ISBLANK(S1939), 100, IF(ISNA(VLOOKUP(S1939, Lives!$A$2:$C$35, 2, 0)), S1939, VLOOKUP(S1939, Lives!$A$2:$C$35, 2, 0))) * 12) + (IF(ISBLANK(Q1939), 0, IF(ISNA(VLOOKUP(Q1939, Wages!$A$2:$C$17, 2, 0)), Q1939, VLOOKUP(Q1939, Wages!$A$2:$C$17, 2, 0))) * IF(ISBLANK(N1939), 0, IF(ISNA(VLOOKUP(N1939, Crews!$A$2:$C$28, 2, 0)), N1939, VLOOKUP(N1939, Crews!$A$2:$C$28, 2, 0))))) * 400</f>
        <v>8156.25</v>
      </c>
      <c r="K1939" s="3" t="s">
        <v>3798</v>
      </c>
      <c r="L1939" s="1" t="s">
        <v>3799</v>
      </c>
      <c r="M1939" s="1" t="n">
        <v>0</v>
      </c>
      <c r="N1939" s="1" t="s">
        <v>1815</v>
      </c>
      <c r="O1939" s="1" t="n">
        <v>0.5</v>
      </c>
      <c r="P1939" s="1"/>
      <c r="Q1939" s="1" t="s">
        <v>1815</v>
      </c>
      <c r="R1939" s="1" t="s">
        <v>1843</v>
      </c>
      <c r="S1939" s="1" t="s">
        <v>1843</v>
      </c>
      <c r="T1939" s="1" t="s">
        <v>2041</v>
      </c>
    </row>
    <row r="1940" customFormat="false" ht="15" hidden="false" customHeight="true" outlineLevel="0" collapsed="false">
      <c r="A1940" s="1" t="s">
        <v>3800</v>
      </c>
      <c r="B1940" s="1" t="n">
        <v>1953</v>
      </c>
      <c r="C1940" s="1" t="n">
        <v>11</v>
      </c>
      <c r="D1940" s="1" t="s">
        <v>2225</v>
      </c>
      <c r="E1940" s="1" t="s">
        <v>1839</v>
      </c>
      <c r="F1940" s="1" t="n">
        <v>9692</v>
      </c>
      <c r="G1940" s="1" t="n">
        <v>555</v>
      </c>
      <c r="H1940" s="2" t="n">
        <v>11500000</v>
      </c>
      <c r="I1940" s="2" t="n">
        <f aca="false">(((H1940 / 800) / IF(ISBLANK(R1940), 1000000, IF(ISNA(VLOOKUP(R1940, Mileages!$A$2:$C$34, 2, 0)), R1940, VLOOKUP(R1940, Mileages!$A$2:$C$34, 2, 0)))) + (F1940 * IF(ISBLANK(P1940), 1, P1940) * IF(ISBLANK(T1940), 0, IF(ISNA(VLOOKUP(T1940, 'Fuel Costs'!$A$2:$C$42, 2, 0)), T1940, VLOOKUP(T1940, 'Fuel Costs'!$A$2:$C$42, 2, 0))) / IF(ISBLANK(O1940), 1, O1940))) * 100</f>
        <v>387.9675</v>
      </c>
      <c r="J1940" s="2" t="n">
        <f aca="false">((H1940 / 800) / (IF(ISBLANK(S1940), 100, IF(ISNA(VLOOKUP(S1940, Lives!$A$2:$C$35, 2, 0)), S1940, VLOOKUP(S1940, Lives!$A$2:$C$35, 2, 0))) * 12) + (IF(ISBLANK(Q1940), 0, IF(ISNA(VLOOKUP(Q1940, Wages!$A$2:$C$17, 2, 0)), Q1940, VLOOKUP(Q1940, Wages!$A$2:$C$17, 2, 0))) * IF(ISBLANK(N1940), 0, IF(ISNA(VLOOKUP(N1940, Crews!$A$2:$C$28, 2, 0)), N1940, VLOOKUP(N1940, Crews!$A$2:$C$28, 2, 0))))) * 400</f>
        <v>57986.11111</v>
      </c>
      <c r="K1940" s="3" t="s">
        <v>3801</v>
      </c>
      <c r="L1940" s="1" t="s">
        <v>3802</v>
      </c>
      <c r="M1940" s="1" t="n">
        <v>0</v>
      </c>
      <c r="N1940" s="1" t="s">
        <v>2342</v>
      </c>
      <c r="O1940" s="1"/>
      <c r="P1940" s="1" t="n">
        <v>0.1</v>
      </c>
      <c r="Q1940" s="1" t="s">
        <v>2229</v>
      </c>
      <c r="R1940" s="1" t="s">
        <v>2229</v>
      </c>
      <c r="S1940" s="1" t="s">
        <v>2229</v>
      </c>
      <c r="T1940" s="1" t="s">
        <v>3481</v>
      </c>
    </row>
    <row r="1941" customFormat="false" ht="15" hidden="false" customHeight="true" outlineLevel="0" collapsed="false">
      <c r="A1941" s="1" t="s">
        <v>3803</v>
      </c>
      <c r="B1941" s="1" t="n">
        <v>1953</v>
      </c>
      <c r="C1941" s="1" t="n">
        <v>11</v>
      </c>
      <c r="D1941" s="1" t="s">
        <v>2225</v>
      </c>
      <c r="E1941" s="1" t="s">
        <v>1839</v>
      </c>
      <c r="F1941" s="1" t="n">
        <v>9692</v>
      </c>
      <c r="G1941" s="1" t="n">
        <v>555</v>
      </c>
      <c r="H1941" s="2" t="n">
        <v>11500000</v>
      </c>
      <c r="I1941" s="2" t="n">
        <f aca="false">(((H1941 / 800) / IF(ISBLANK(R1941), 1000000, IF(ISNA(VLOOKUP(R1941, Mileages!$A$2:$C$34, 2, 0)), R1941, VLOOKUP(R1941, Mileages!$A$2:$C$34, 2, 0)))) + (F1941 * IF(ISBLANK(P1941), 1, P1941) * IF(ISBLANK(T1941), 0, IF(ISNA(VLOOKUP(T1941, 'Fuel Costs'!$A$2:$C$42, 2, 0)), T1941, VLOOKUP(T1941, 'Fuel Costs'!$A$2:$C$42, 2, 0))) / IF(ISBLANK(O1941), 1, O1941))) * 100</f>
        <v>387.9675</v>
      </c>
      <c r="J1941" s="2" t="n">
        <f aca="false">((H1941 / 800) / (IF(ISBLANK(S1941), 100, IF(ISNA(VLOOKUP(S1941, Lives!$A$2:$C$35, 2, 0)), S1941, VLOOKUP(S1941, Lives!$A$2:$C$35, 2, 0))) * 12) + (IF(ISBLANK(Q1941), 0, IF(ISNA(VLOOKUP(Q1941, Wages!$A$2:$C$17, 2, 0)), Q1941, VLOOKUP(Q1941, Wages!$A$2:$C$17, 2, 0))) * IF(ISBLANK(N1941), 0, IF(ISNA(VLOOKUP(N1941, Crews!$A$2:$C$28, 2, 0)), N1941, VLOOKUP(N1941, Crews!$A$2:$C$28, 2, 0))))) * 400</f>
        <v>57986.11111</v>
      </c>
      <c r="K1941" s="3" t="s">
        <v>3804</v>
      </c>
      <c r="L1941" s="1" t="s">
        <v>3802</v>
      </c>
      <c r="M1941" s="1" t="n">
        <v>1</v>
      </c>
      <c r="N1941" s="1" t="s">
        <v>2342</v>
      </c>
      <c r="O1941" s="1"/>
      <c r="P1941" s="1" t="n">
        <v>0.1</v>
      </c>
      <c r="Q1941" s="1" t="s">
        <v>2229</v>
      </c>
      <c r="R1941" s="1" t="s">
        <v>2229</v>
      </c>
      <c r="S1941" s="1" t="s">
        <v>2229</v>
      </c>
      <c r="T1941" s="1" t="s">
        <v>3481</v>
      </c>
    </row>
    <row r="1942" customFormat="false" ht="15" hidden="false" customHeight="true" outlineLevel="0" collapsed="false">
      <c r="A1942" s="1" t="s">
        <v>3805</v>
      </c>
      <c r="B1942" s="1" t="n">
        <v>1954</v>
      </c>
      <c r="C1942" s="1" t="n">
        <v>3</v>
      </c>
      <c r="D1942" s="1" t="s">
        <v>38</v>
      </c>
      <c r="E1942" s="1" t="s">
        <v>2039</v>
      </c>
      <c r="F1942" s="1" t="n">
        <v>0</v>
      </c>
      <c r="G1942" s="1" t="n">
        <v>100</v>
      </c>
      <c r="H1942" s="2" t="n">
        <v>875000</v>
      </c>
      <c r="I1942" s="2" t="n">
        <f aca="false">(((H1942 / 800) / IF(ISBLANK(R1942), 1000000, IF(ISNA(VLOOKUP(R1942, Mileages!$A$2:$C$34, 2, 0)), R1942, VLOOKUP(R1942, Mileages!$A$2:$C$34, 2, 0)))) + (F1942 * IF(ISBLANK(P1942), 1, P1942) * IF(ISBLANK(T1942), 0, IF(ISNA(VLOOKUP(T1942, 'Fuel Costs'!$A$2:$C$42, 2, 0)), T1942, VLOOKUP(T1942, 'Fuel Costs'!$A$2:$C$42, 2, 0))) / IF(ISBLANK(O1942), 1, O1942))) * 100</f>
        <v>0.09114583333</v>
      </c>
      <c r="J1942" s="2" t="n">
        <f aca="false">((H1942 / 800) / (IF(ISBLANK(S1942), 100, IF(ISNA(VLOOKUP(S1942, Lives!$A$2:$C$35, 2, 0)), S1942, VLOOKUP(S1942, Lives!$A$2:$C$35, 2, 0))) * 12) + (IF(ISBLANK(Q1942), 0, IF(ISNA(VLOOKUP(Q1942, Wages!$A$2:$C$17, 2, 0)), Q1942, VLOOKUP(Q1942, Wages!$A$2:$C$17, 2, 0))) * IF(ISBLANK(N1942), 0, IF(ISNA(VLOOKUP(N1942, Crews!$A$2:$C$28, 2, 0)), N1942, VLOOKUP(N1942, Crews!$A$2:$C$28, 2, 0))))) * 400</f>
        <v>1041.666667</v>
      </c>
      <c r="K1942" s="1" t="s">
        <v>3806</v>
      </c>
      <c r="L1942" s="1" t="s">
        <v>3807</v>
      </c>
      <c r="M1942" s="1" t="n">
        <v>0</v>
      </c>
      <c r="N1942" s="1"/>
      <c r="O1942" s="1"/>
      <c r="P1942" s="1"/>
      <c r="Q1942" s="1"/>
      <c r="R1942" s="1" t="s">
        <v>689</v>
      </c>
      <c r="S1942" s="1" t="s">
        <v>856</v>
      </c>
      <c r="T1942" s="1"/>
    </row>
    <row r="1943" customFormat="false" ht="15" hidden="false" customHeight="true" outlineLevel="0" collapsed="false">
      <c r="A1943" s="1" t="s">
        <v>3808</v>
      </c>
      <c r="B1943" s="1" t="n">
        <v>1954</v>
      </c>
      <c r="C1943" s="1" t="n">
        <v>3</v>
      </c>
      <c r="D1943" s="1" t="s">
        <v>38</v>
      </c>
      <c r="E1943" s="1" t="s">
        <v>2039</v>
      </c>
      <c r="F1943" s="1" t="n">
        <v>224</v>
      </c>
      <c r="G1943" s="1" t="n">
        <v>100</v>
      </c>
      <c r="H1943" s="2" t="n">
        <v>1073000</v>
      </c>
      <c r="I1943" s="2" t="n">
        <f aca="false">(((H1943 / 800) / IF(ISBLANK(R1943), 1000000, IF(ISNA(VLOOKUP(R1943, Mileages!$A$2:$C$34, 2, 0)), R1943, VLOOKUP(R1943, Mileages!$A$2:$C$34, 2, 0)))) + (F1943 * IF(ISBLANK(P1943), 1, P1943) * IF(ISBLANK(T1943), 0, IF(ISNA(VLOOKUP(T1943, 'Fuel Costs'!$A$2:$C$42, 2, 0)), T1943, VLOOKUP(T1943, 'Fuel Costs'!$A$2:$C$42, 2, 0))) / IF(ISBLANK(O1943), 1, O1943))) * 100</f>
        <v>224.26825</v>
      </c>
      <c r="J1943" s="2" t="n">
        <f aca="false">((H1943 / 800) / (IF(ISBLANK(S1943), 100, IF(ISNA(VLOOKUP(S1943, Lives!$A$2:$C$35, 2, 0)), S1943, VLOOKUP(S1943, Lives!$A$2:$C$35, 2, 0))) * 12) + (IF(ISBLANK(Q1943), 0, IF(ISNA(VLOOKUP(Q1943, Wages!$A$2:$C$17, 2, 0)), Q1943, VLOOKUP(Q1943, Wages!$A$2:$C$17, 2, 0))) * IF(ISBLANK(N1943), 0, IF(ISNA(VLOOKUP(N1943, Crews!$A$2:$C$28, 2, 0)), N1943, VLOOKUP(N1943, Crews!$A$2:$C$28, 2, 0))))) * 400</f>
        <v>11117.70833</v>
      </c>
      <c r="K1943" s="1"/>
      <c r="L1943" s="1" t="s">
        <v>3807</v>
      </c>
      <c r="M1943" s="1" t="n">
        <v>1</v>
      </c>
      <c r="N1943" s="1" t="s">
        <v>1488</v>
      </c>
      <c r="O1943" s="1" t="n">
        <v>0.5</v>
      </c>
      <c r="P1943" s="1"/>
      <c r="Q1943" s="1" t="s">
        <v>1488</v>
      </c>
      <c r="R1943" s="1" t="s">
        <v>3179</v>
      </c>
      <c r="S1943" s="1" t="s">
        <v>3179</v>
      </c>
      <c r="T1943" s="1" t="s">
        <v>2041</v>
      </c>
    </row>
    <row r="1944" customFormat="false" ht="15" hidden="false" customHeight="true" outlineLevel="0" collapsed="false">
      <c r="A1944" s="1" t="s">
        <v>3809</v>
      </c>
      <c r="B1944" s="1" t="n">
        <v>1954</v>
      </c>
      <c r="C1944" s="1" t="n">
        <v>4</v>
      </c>
      <c r="D1944" s="1" t="s">
        <v>38</v>
      </c>
      <c r="E1944" s="1" t="s">
        <v>274</v>
      </c>
      <c r="F1944" s="1" t="n">
        <v>697</v>
      </c>
      <c r="G1944" s="1" t="n">
        <v>160</v>
      </c>
      <c r="H1944" s="2" t="n">
        <v>10450000</v>
      </c>
      <c r="I1944" s="2" t="n">
        <f aca="false">(((H1944 / 800) / IF(ISBLANK(R1944), 1000000, IF(ISNA(VLOOKUP(R1944, Mileages!$A$2:$C$34, 2, 0)), R1944, VLOOKUP(R1944, Mileages!$A$2:$C$34, 2, 0)))) + (F1944 * IF(ISBLANK(P1944), 1, P1944) * IF(ISBLANK(T1944), 0, IF(ISNA(VLOOKUP(T1944, 'Fuel Costs'!$A$2:$C$42, 2, 0)), T1944, VLOOKUP(T1944, 'Fuel Costs'!$A$2:$C$42, 2, 0))) / IF(ISBLANK(O1944), 1, O1944))) * 100</f>
        <v>524.9270833</v>
      </c>
      <c r="J1944" s="2" t="n">
        <f aca="false">((H1944 / 800) / (IF(ISBLANK(S1944), 100, IF(ISNA(VLOOKUP(S1944, Lives!$A$2:$C$35, 2, 0)), S1944, VLOOKUP(S1944, Lives!$A$2:$C$35, 2, 0))) * 12) + (IF(ISBLANK(Q1944), 0, IF(ISNA(VLOOKUP(Q1944, Wages!$A$2:$C$17, 2, 0)), Q1944, VLOOKUP(Q1944, Wages!$A$2:$C$17, 2, 0))) * IF(ISBLANK(N1944), 0, IF(ISNA(VLOOKUP(N1944, Crews!$A$2:$C$28, 2, 0)), N1944, VLOOKUP(N1944, Crews!$A$2:$C$28, 2, 0))))) * 400</f>
        <v>61770.83333</v>
      </c>
      <c r="K1944" s="3" t="s">
        <v>3810</v>
      </c>
      <c r="L1944" s="1" t="s">
        <v>3811</v>
      </c>
      <c r="M1944" s="1" t="n">
        <v>0</v>
      </c>
      <c r="N1944" s="1" t="s">
        <v>1705</v>
      </c>
      <c r="O1944" s="1" t="n">
        <v>0.8</v>
      </c>
      <c r="P1944" s="1"/>
      <c r="Q1944" s="5" t="s">
        <v>284</v>
      </c>
      <c r="R1944" s="1" t="s">
        <v>2617</v>
      </c>
      <c r="S1944" s="1" t="s">
        <v>2617</v>
      </c>
      <c r="T1944" s="1" t="s">
        <v>3553</v>
      </c>
    </row>
    <row r="1945" customFormat="false" ht="15" hidden="false" customHeight="true" outlineLevel="0" collapsed="false">
      <c r="A1945" s="1" t="s">
        <v>3812</v>
      </c>
      <c r="B1945" s="1" t="n">
        <v>1954</v>
      </c>
      <c r="C1945" s="1" t="n">
        <v>6</v>
      </c>
      <c r="D1945" s="1" t="s">
        <v>38</v>
      </c>
      <c r="E1945" s="1" t="s">
        <v>274</v>
      </c>
      <c r="F1945" s="1" t="n">
        <v>591</v>
      </c>
      <c r="G1945" s="1" t="n">
        <v>110</v>
      </c>
      <c r="H1945" s="2" t="n">
        <v>7948000</v>
      </c>
      <c r="I1945" s="2" t="n">
        <f aca="false">(((H1945 / 800) / IF(ISBLANK(R1945), 1000000, IF(ISNA(VLOOKUP(R1945, Mileages!$A$2:$C$34, 2, 0)), R1945, VLOOKUP(R1945, Mileages!$A$2:$C$34, 2, 0)))) + (F1945 * IF(ISBLANK(P1945), 1, P1945) * IF(ISBLANK(T1945), 0, IF(ISNA(VLOOKUP(T1945, 'Fuel Costs'!$A$2:$C$42, 2, 0)), T1945, VLOOKUP(T1945, 'Fuel Costs'!$A$2:$C$42, 2, 0))) / IF(ISBLANK(O1945), 1, O1945))) * 100</f>
        <v>444.9058333</v>
      </c>
      <c r="J1945" s="2" t="n">
        <f aca="false">((H1945 / 800) / (IF(ISBLANK(S1945), 100, IF(ISNA(VLOOKUP(S1945, Lives!$A$2:$C$35, 2, 0)), S1945, VLOOKUP(S1945, Lives!$A$2:$C$35, 2, 0))) * 12) + (IF(ISBLANK(Q1945), 0, IF(ISNA(VLOOKUP(Q1945, Wages!$A$2:$C$17, 2, 0)), Q1945, VLOOKUP(Q1945, Wages!$A$2:$C$17, 2, 0))) * IF(ISBLANK(N1945), 0, IF(ISNA(VLOOKUP(N1945, Crews!$A$2:$C$28, 2, 0)), N1945, VLOOKUP(N1945, Crews!$A$2:$C$28, 2, 0))))) * 400</f>
        <v>56558.33333</v>
      </c>
      <c r="K1945" s="3" t="s">
        <v>3813</v>
      </c>
      <c r="L1945" s="1" t="s">
        <v>3814</v>
      </c>
      <c r="M1945" s="1" t="n">
        <v>0</v>
      </c>
      <c r="N1945" s="1" t="s">
        <v>1705</v>
      </c>
      <c r="O1945" s="1" t="n">
        <v>0.8</v>
      </c>
      <c r="P1945" s="1"/>
      <c r="Q1945" s="5" t="s">
        <v>284</v>
      </c>
      <c r="R1945" s="1" t="s">
        <v>2617</v>
      </c>
      <c r="S1945" s="1" t="s">
        <v>2617</v>
      </c>
      <c r="T1945" s="1" t="s">
        <v>3553</v>
      </c>
    </row>
    <row r="1946" customFormat="false" ht="15" hidden="false" customHeight="true" outlineLevel="0" collapsed="false">
      <c r="A1946" s="1" t="s">
        <v>3815</v>
      </c>
      <c r="B1946" s="1" t="n">
        <v>1954</v>
      </c>
      <c r="C1946" s="1" t="n">
        <v>6</v>
      </c>
      <c r="D1946" s="1" t="s">
        <v>38</v>
      </c>
      <c r="E1946" s="1"/>
      <c r="F1946" s="1" t="n">
        <v>0</v>
      </c>
      <c r="G1946" s="1" t="n">
        <v>105</v>
      </c>
      <c r="H1946" s="2" t="n">
        <v>0</v>
      </c>
      <c r="I1946" s="2" t="n">
        <f aca="false">(((H1946 / 800) / IF(ISBLANK(R1946), 1000000, IF(ISNA(VLOOKUP(R1946, Mileages!$A$2:$C$34, 2, 0)), R1946, VLOOKUP(R1946, Mileages!$A$2:$C$34, 2, 0)))) + (F1946 * IF(ISBLANK(P1946), 1, P1946) * IF(ISBLANK(T1946), 0, IF(ISNA(VLOOKUP(T1946, 'Fuel Costs'!$A$2:$C$42, 2, 0)), T1946, VLOOKUP(T1946, 'Fuel Costs'!$A$2:$C$42, 2, 0))) / IF(ISBLANK(O1946), 1, O1946))) * 100</f>
        <v>0</v>
      </c>
      <c r="J1946" s="2" t="n">
        <f aca="false">((H1946 / 800) / (IF(ISBLANK(S1946), 100, IF(ISNA(VLOOKUP(S1946, Lives!$A$2:$C$35, 2, 0)), S1946, VLOOKUP(S1946, Lives!$A$2:$C$35, 2, 0))) * 12) + (IF(ISBLANK(Q1946), 0, IF(ISNA(VLOOKUP(Q1946, Wages!$A$2:$C$17, 2, 0)), Q1946, VLOOKUP(Q1946, Wages!$A$2:$C$17, 2, 0))) * IF(ISBLANK(N1946), 0, IF(ISNA(VLOOKUP(N1946, Crews!$A$2:$C$28, 2, 0)), N1946, VLOOKUP(N1946, Crews!$A$2:$C$28, 2, 0))))) * 400</f>
        <v>0</v>
      </c>
      <c r="K1946" s="1"/>
      <c r="L1946" s="1" t="s">
        <v>3816</v>
      </c>
      <c r="M1946" s="1" t="n">
        <v>0</v>
      </c>
      <c r="N1946" s="1"/>
      <c r="O1946" s="1"/>
      <c r="P1946" s="1"/>
      <c r="Q1946" s="1"/>
      <c r="R1946" s="1" t="s">
        <v>689</v>
      </c>
      <c r="S1946" s="1" t="s">
        <v>856</v>
      </c>
      <c r="T1946" s="1"/>
    </row>
    <row r="1947" customFormat="false" ht="15" hidden="false" customHeight="true" outlineLevel="0" collapsed="false">
      <c r="A1947" s="1" t="s">
        <v>3817</v>
      </c>
      <c r="B1947" s="1" t="n">
        <v>1954</v>
      </c>
      <c r="C1947" s="1" t="n">
        <v>11</v>
      </c>
      <c r="D1947" s="1" t="s">
        <v>157</v>
      </c>
      <c r="E1947" s="1" t="s">
        <v>2039</v>
      </c>
      <c r="F1947" s="1" t="n">
        <v>134</v>
      </c>
      <c r="G1947" s="1" t="n">
        <v>60</v>
      </c>
      <c r="H1947" s="2" t="n">
        <v>8993590</v>
      </c>
      <c r="I1947" s="2" t="n">
        <f aca="false">(((H1947 / 800) / IF(ISBLANK(R1947), 1000000, IF(ISNA(VLOOKUP(R1947, Mileages!$A$2:$C$34, 2, 0)), R1947, VLOOKUP(R1947, Mileages!$A$2:$C$34, 2, 0)))) + (F1947 * IF(ISBLANK(P1947), 1, P1947) * IF(ISBLANK(T1947), 0, IF(ISNA(VLOOKUP(T1947, 'Fuel Costs'!$A$2:$C$42, 2, 0)), T1947, VLOOKUP(T1947, 'Fuel Costs'!$A$2:$C$42, 2, 0))) / IF(ISBLANK(O1947), 1, O1947))) * 100</f>
        <v>136.2483975</v>
      </c>
      <c r="J1947" s="2" t="n">
        <f aca="false">((H1947 / 800) / (IF(ISBLANK(S1947), 100, IF(ISNA(VLOOKUP(S1947, Lives!$A$2:$C$35, 2, 0)), S1947, VLOOKUP(S1947, Lives!$A$2:$C$35, 2, 0))) * 12) + (IF(ISBLANK(Q1947), 0, IF(ISNA(VLOOKUP(Q1947, Wages!$A$2:$C$17, 2, 0)), Q1947, VLOOKUP(Q1947, Wages!$A$2:$C$17, 2, 0))) * IF(ISBLANK(N1947), 0, IF(ISNA(VLOOKUP(N1947, Crews!$A$2:$C$28, 2, 0)), N1947, VLOOKUP(N1947, Crews!$A$2:$C$28, 2, 0))))) * 400</f>
        <v>19368.32292</v>
      </c>
      <c r="K1947" s="3" t="s">
        <v>3818</v>
      </c>
      <c r="L1947" s="1" t="s">
        <v>3819</v>
      </c>
      <c r="M1947" s="1" t="n">
        <v>0</v>
      </c>
      <c r="N1947" s="1" t="s">
        <v>1488</v>
      </c>
      <c r="O1947" s="1" t="n">
        <v>0.5</v>
      </c>
      <c r="P1947" s="1"/>
      <c r="Q1947" s="1" t="s">
        <v>1488</v>
      </c>
      <c r="R1947" s="1" t="s">
        <v>3179</v>
      </c>
      <c r="S1947" s="1" t="s">
        <v>3179</v>
      </c>
      <c r="T1947" s="1" t="s">
        <v>2041</v>
      </c>
    </row>
    <row r="1948" customFormat="false" ht="15" hidden="false" customHeight="true" outlineLevel="0" collapsed="false">
      <c r="A1948" s="1" t="s">
        <v>3820</v>
      </c>
      <c r="B1948" s="1" t="n">
        <v>1955</v>
      </c>
      <c r="C1948" s="1" t="n">
        <v>1</v>
      </c>
      <c r="D1948" s="1" t="s">
        <v>21</v>
      </c>
      <c r="E1948" s="1" t="s">
        <v>2039</v>
      </c>
      <c r="F1948" s="1" t="n">
        <v>84</v>
      </c>
      <c r="G1948" s="1" t="n">
        <v>79</v>
      </c>
      <c r="H1948" s="2" t="n">
        <v>100000</v>
      </c>
      <c r="I1948" s="2" t="n">
        <f aca="false">(((H1948 / 800) / IF(ISBLANK(R1948), 1000000, IF(ISNA(VLOOKUP(R1948, Mileages!$A$2:$C$34, 2, 0)), R1948, VLOOKUP(R1948, Mileages!$A$2:$C$34, 2, 0)))) + (F1948 * IF(ISBLANK(P1948), 1, P1948) * IF(ISBLANK(T1948), 0, IF(ISNA(VLOOKUP(T1948, 'Fuel Costs'!$A$2:$C$42, 2, 0)), T1948, VLOOKUP(T1948, 'Fuel Costs'!$A$2:$C$42, 2, 0))) / IF(ISBLANK(O1948), 1, O1948))) * 100</f>
        <v>84.0125</v>
      </c>
      <c r="J1948" s="2" t="n">
        <f aca="false">((H1948 / 800) / (IF(ISBLANK(S1948), 100, IF(ISNA(VLOOKUP(S1948, Lives!$A$2:$C$35, 2, 0)), S1948, VLOOKUP(S1948, Lives!$A$2:$C$35, 2, 0))) * 12) + (IF(ISBLANK(Q1948), 0, IF(ISNA(VLOOKUP(Q1948, Wages!$A$2:$C$17, 2, 0)), Q1948, VLOOKUP(Q1948, Wages!$A$2:$C$17, 2, 0))) * IF(ISBLANK(N1948), 0, IF(ISNA(VLOOKUP(N1948, Crews!$A$2:$C$28, 2, 0)), N1948, VLOOKUP(N1948, Crews!$A$2:$C$28, 2, 0))))) * 400</f>
        <v>8052.083333</v>
      </c>
      <c r="K1948" s="1"/>
      <c r="L1948" s="1" t="s">
        <v>3821</v>
      </c>
      <c r="M1948" s="1" t="n">
        <v>0</v>
      </c>
      <c r="N1948" s="1" t="s">
        <v>1815</v>
      </c>
      <c r="O1948" s="1" t="n">
        <v>0.5</v>
      </c>
      <c r="P1948" s="1"/>
      <c r="Q1948" s="1" t="s">
        <v>1815</v>
      </c>
      <c r="R1948" s="1" t="s">
        <v>1843</v>
      </c>
      <c r="S1948" s="1" t="s">
        <v>1843</v>
      </c>
      <c r="T1948" s="1" t="s">
        <v>2041</v>
      </c>
    </row>
    <row r="1949" customFormat="false" ht="15" hidden="false" customHeight="true" outlineLevel="0" collapsed="false">
      <c r="A1949" s="1" t="s">
        <v>3822</v>
      </c>
      <c r="B1949" s="1" t="n">
        <v>1955</v>
      </c>
      <c r="C1949" s="1" t="n">
        <v>1</v>
      </c>
      <c r="D1949" s="1" t="s">
        <v>21</v>
      </c>
      <c r="E1949" s="1" t="s">
        <v>2039</v>
      </c>
      <c r="F1949" s="1" t="n">
        <v>84</v>
      </c>
      <c r="G1949" s="1" t="n">
        <v>79</v>
      </c>
      <c r="H1949" s="2" t="n">
        <v>100000</v>
      </c>
      <c r="I1949" s="2" t="n">
        <f aca="false">(((H1949 / 800) / IF(ISBLANK(R1949), 1000000, IF(ISNA(VLOOKUP(R1949, Mileages!$A$2:$C$34, 2, 0)), R1949, VLOOKUP(R1949, Mileages!$A$2:$C$34, 2, 0)))) + (F1949 * IF(ISBLANK(P1949), 1, P1949) * IF(ISBLANK(T1949), 0, IF(ISNA(VLOOKUP(T1949, 'Fuel Costs'!$A$2:$C$42, 2, 0)), T1949, VLOOKUP(T1949, 'Fuel Costs'!$A$2:$C$42, 2, 0))) / IF(ISBLANK(O1949), 1, O1949))) * 100</f>
        <v>84.0125</v>
      </c>
      <c r="J1949" s="2" t="n">
        <f aca="false">((H1949 / 800) / (IF(ISBLANK(S1949), 100, IF(ISNA(VLOOKUP(S1949, Lives!$A$2:$C$35, 2, 0)), S1949, VLOOKUP(S1949, Lives!$A$2:$C$35, 2, 0))) * 12) + (IF(ISBLANK(Q1949), 0, IF(ISNA(VLOOKUP(Q1949, Wages!$A$2:$C$17, 2, 0)), Q1949, VLOOKUP(Q1949, Wages!$A$2:$C$17, 2, 0))) * IF(ISBLANK(N1949), 0, IF(ISNA(VLOOKUP(N1949, Crews!$A$2:$C$28, 2, 0)), N1949, VLOOKUP(N1949, Crews!$A$2:$C$28, 2, 0))))) * 400</f>
        <v>8052.083333</v>
      </c>
      <c r="K1949" s="1"/>
      <c r="L1949" s="1" t="s">
        <v>3821</v>
      </c>
      <c r="M1949" s="1" t="n">
        <v>1</v>
      </c>
      <c r="N1949" s="1" t="s">
        <v>1815</v>
      </c>
      <c r="O1949" s="1" t="n">
        <v>0.5</v>
      </c>
      <c r="P1949" s="1"/>
      <c r="Q1949" s="1" t="s">
        <v>1815</v>
      </c>
      <c r="R1949" s="1" t="s">
        <v>1843</v>
      </c>
      <c r="S1949" s="1" t="s">
        <v>1843</v>
      </c>
      <c r="T1949" s="1" t="s">
        <v>2041</v>
      </c>
    </row>
    <row r="1950" customFormat="false" ht="15" hidden="false" customHeight="true" outlineLevel="0" collapsed="false">
      <c r="A1950" s="1" t="s">
        <v>3823</v>
      </c>
      <c r="B1950" s="1" t="n">
        <v>1955</v>
      </c>
      <c r="C1950" s="1" t="n">
        <v>1</v>
      </c>
      <c r="D1950" s="1" t="s">
        <v>21</v>
      </c>
      <c r="E1950" s="1" t="s">
        <v>2039</v>
      </c>
      <c r="F1950" s="1" t="n">
        <v>84</v>
      </c>
      <c r="G1950" s="1" t="n">
        <v>79</v>
      </c>
      <c r="H1950" s="2" t="n">
        <v>100000</v>
      </c>
      <c r="I1950" s="2" t="n">
        <f aca="false">(((H1950 / 800) / IF(ISBLANK(R1950), 1000000, IF(ISNA(VLOOKUP(R1950, Mileages!$A$2:$C$34, 2, 0)), R1950, VLOOKUP(R1950, Mileages!$A$2:$C$34, 2, 0)))) + (F1950 * IF(ISBLANK(P1950), 1, P1950) * IF(ISBLANK(T1950), 0, IF(ISNA(VLOOKUP(T1950, 'Fuel Costs'!$A$2:$C$42, 2, 0)), T1950, VLOOKUP(T1950, 'Fuel Costs'!$A$2:$C$42, 2, 0))) / IF(ISBLANK(O1950), 1, O1950))) * 100</f>
        <v>84.0125</v>
      </c>
      <c r="J1950" s="2" t="n">
        <f aca="false">((H1950 / 800) / (IF(ISBLANK(S1950), 100, IF(ISNA(VLOOKUP(S1950, Lives!$A$2:$C$35, 2, 0)), S1950, VLOOKUP(S1950, Lives!$A$2:$C$35, 2, 0))) * 12) + (IF(ISBLANK(Q1950), 0, IF(ISNA(VLOOKUP(Q1950, Wages!$A$2:$C$17, 2, 0)), Q1950, VLOOKUP(Q1950, Wages!$A$2:$C$17, 2, 0))) * IF(ISBLANK(N1950), 0, IF(ISNA(VLOOKUP(N1950, Crews!$A$2:$C$28, 2, 0)), N1950, VLOOKUP(N1950, Crews!$A$2:$C$28, 2, 0))))) * 400</f>
        <v>8052.083333</v>
      </c>
      <c r="K1950" s="1"/>
      <c r="L1950" s="1" t="s">
        <v>3821</v>
      </c>
      <c r="M1950" s="1" t="n">
        <v>2</v>
      </c>
      <c r="N1950" s="1" t="s">
        <v>1815</v>
      </c>
      <c r="O1950" s="1" t="n">
        <v>0.5</v>
      </c>
      <c r="P1950" s="1"/>
      <c r="Q1950" s="1" t="s">
        <v>1815</v>
      </c>
      <c r="R1950" s="1" t="s">
        <v>1843</v>
      </c>
      <c r="S1950" s="1" t="s">
        <v>1843</v>
      </c>
      <c r="T1950" s="1" t="s">
        <v>2041</v>
      </c>
    </row>
    <row r="1951" customFormat="false" ht="15" hidden="false" customHeight="true" outlineLevel="0" collapsed="false">
      <c r="A1951" s="1" t="s">
        <v>3824</v>
      </c>
      <c r="B1951" s="1" t="n">
        <v>1955</v>
      </c>
      <c r="C1951" s="1" t="n">
        <v>1</v>
      </c>
      <c r="D1951" s="1" t="s">
        <v>21</v>
      </c>
      <c r="E1951" s="1" t="s">
        <v>2039</v>
      </c>
      <c r="F1951" s="1" t="n">
        <v>84</v>
      </c>
      <c r="G1951" s="1" t="n">
        <v>79</v>
      </c>
      <c r="H1951" s="2" t="n">
        <v>100000</v>
      </c>
      <c r="I1951" s="2" t="n">
        <f aca="false">(((H1951 / 800) / IF(ISBLANK(R1951), 1000000, IF(ISNA(VLOOKUP(R1951, Mileages!$A$2:$C$34, 2, 0)), R1951, VLOOKUP(R1951, Mileages!$A$2:$C$34, 2, 0)))) + (F1951 * IF(ISBLANK(P1951), 1, P1951) * IF(ISBLANK(T1951), 0, IF(ISNA(VLOOKUP(T1951, 'Fuel Costs'!$A$2:$C$42, 2, 0)), T1951, VLOOKUP(T1951, 'Fuel Costs'!$A$2:$C$42, 2, 0))) / IF(ISBLANK(O1951), 1, O1951))) * 100</f>
        <v>84.0125</v>
      </c>
      <c r="J1951" s="2" t="n">
        <f aca="false">((H1951 / 800) / (IF(ISBLANK(S1951), 100, IF(ISNA(VLOOKUP(S1951, Lives!$A$2:$C$35, 2, 0)), S1951, VLOOKUP(S1951, Lives!$A$2:$C$35, 2, 0))) * 12) + (IF(ISBLANK(Q1951), 0, IF(ISNA(VLOOKUP(Q1951, Wages!$A$2:$C$17, 2, 0)), Q1951, VLOOKUP(Q1951, Wages!$A$2:$C$17, 2, 0))) * IF(ISBLANK(N1951), 0, IF(ISNA(VLOOKUP(N1951, Crews!$A$2:$C$28, 2, 0)), N1951, VLOOKUP(N1951, Crews!$A$2:$C$28, 2, 0))))) * 400</f>
        <v>8052.083333</v>
      </c>
      <c r="K1951" s="1"/>
      <c r="L1951" s="1" t="s">
        <v>3821</v>
      </c>
      <c r="M1951" s="1" t="n">
        <v>3</v>
      </c>
      <c r="N1951" s="1" t="s">
        <v>1815</v>
      </c>
      <c r="O1951" s="1" t="n">
        <v>0.5</v>
      </c>
      <c r="P1951" s="1"/>
      <c r="Q1951" s="1" t="s">
        <v>1815</v>
      </c>
      <c r="R1951" s="1" t="s">
        <v>1843</v>
      </c>
      <c r="S1951" s="1" t="s">
        <v>1843</v>
      </c>
      <c r="T1951" s="1" t="s">
        <v>2041</v>
      </c>
    </row>
    <row r="1952" customFormat="false" ht="15" hidden="false" customHeight="true" outlineLevel="0" collapsed="false">
      <c r="A1952" s="1" t="s">
        <v>3825</v>
      </c>
      <c r="B1952" s="1" t="n">
        <v>1955</v>
      </c>
      <c r="C1952" s="1" t="n">
        <v>1</v>
      </c>
      <c r="D1952" s="1" t="s">
        <v>21</v>
      </c>
      <c r="E1952" s="1" t="s">
        <v>2039</v>
      </c>
      <c r="F1952" s="1" t="n">
        <v>84</v>
      </c>
      <c r="G1952" s="1" t="n">
        <v>79</v>
      </c>
      <c r="H1952" s="2" t="n">
        <v>100000</v>
      </c>
      <c r="I1952" s="2" t="n">
        <f aca="false">(((H1952 / 800) / IF(ISBLANK(R1952), 1000000, IF(ISNA(VLOOKUP(R1952, Mileages!$A$2:$C$34, 2, 0)), R1952, VLOOKUP(R1952, Mileages!$A$2:$C$34, 2, 0)))) + (F1952 * IF(ISBLANK(P1952), 1, P1952) * IF(ISBLANK(T1952), 0, IF(ISNA(VLOOKUP(T1952, 'Fuel Costs'!$A$2:$C$42, 2, 0)), T1952, VLOOKUP(T1952, 'Fuel Costs'!$A$2:$C$42, 2, 0))) / IF(ISBLANK(O1952), 1, O1952))) * 100</f>
        <v>84.0125</v>
      </c>
      <c r="J1952" s="2" t="n">
        <f aca="false">((H1952 / 800) / (IF(ISBLANK(S1952), 100, IF(ISNA(VLOOKUP(S1952, Lives!$A$2:$C$35, 2, 0)), S1952, VLOOKUP(S1952, Lives!$A$2:$C$35, 2, 0))) * 12) + (IF(ISBLANK(Q1952), 0, IF(ISNA(VLOOKUP(Q1952, Wages!$A$2:$C$17, 2, 0)), Q1952, VLOOKUP(Q1952, Wages!$A$2:$C$17, 2, 0))) * IF(ISBLANK(N1952), 0, IF(ISNA(VLOOKUP(N1952, Crews!$A$2:$C$28, 2, 0)), N1952, VLOOKUP(N1952, Crews!$A$2:$C$28, 2, 0))))) * 400</f>
        <v>8052.083333</v>
      </c>
      <c r="K1952" s="1"/>
      <c r="L1952" s="1" t="s">
        <v>3821</v>
      </c>
      <c r="M1952" s="1" t="n">
        <v>4</v>
      </c>
      <c r="N1952" s="1" t="s">
        <v>1815</v>
      </c>
      <c r="O1952" s="1" t="n">
        <v>0.5</v>
      </c>
      <c r="P1952" s="1"/>
      <c r="Q1952" s="1" t="s">
        <v>1815</v>
      </c>
      <c r="R1952" s="1" t="s">
        <v>1843</v>
      </c>
      <c r="S1952" s="1" t="s">
        <v>1843</v>
      </c>
      <c r="T1952" s="1" t="s">
        <v>2041</v>
      </c>
    </row>
    <row r="1953" customFormat="false" ht="15" hidden="false" customHeight="true" outlineLevel="0" collapsed="false">
      <c r="A1953" s="1" t="s">
        <v>3826</v>
      </c>
      <c r="B1953" s="1" t="n">
        <v>1955</v>
      </c>
      <c r="C1953" s="1" t="n">
        <v>1</v>
      </c>
      <c r="D1953" s="1" t="s">
        <v>21</v>
      </c>
      <c r="E1953" s="1" t="s">
        <v>2039</v>
      </c>
      <c r="F1953" s="1" t="n">
        <v>84</v>
      </c>
      <c r="G1953" s="1" t="n">
        <v>79</v>
      </c>
      <c r="H1953" s="2" t="n">
        <v>100000</v>
      </c>
      <c r="I1953" s="2" t="n">
        <f aca="false">(((H1953 / 800) / IF(ISBLANK(R1953), 1000000, IF(ISNA(VLOOKUP(R1953, Mileages!$A$2:$C$34, 2, 0)), R1953, VLOOKUP(R1953, Mileages!$A$2:$C$34, 2, 0)))) + (F1953 * IF(ISBLANK(P1953), 1, P1953) * IF(ISBLANK(T1953), 0, IF(ISNA(VLOOKUP(T1953, 'Fuel Costs'!$A$2:$C$42, 2, 0)), T1953, VLOOKUP(T1953, 'Fuel Costs'!$A$2:$C$42, 2, 0))) / IF(ISBLANK(O1953), 1, O1953))) * 100</f>
        <v>84.0125</v>
      </c>
      <c r="J1953" s="2" t="n">
        <f aca="false">((H1953 / 800) / (IF(ISBLANK(S1953), 100, IF(ISNA(VLOOKUP(S1953, Lives!$A$2:$C$35, 2, 0)), S1953, VLOOKUP(S1953, Lives!$A$2:$C$35, 2, 0))) * 12) + (IF(ISBLANK(Q1953), 0, IF(ISNA(VLOOKUP(Q1953, Wages!$A$2:$C$17, 2, 0)), Q1953, VLOOKUP(Q1953, Wages!$A$2:$C$17, 2, 0))) * IF(ISBLANK(N1953), 0, IF(ISNA(VLOOKUP(N1953, Crews!$A$2:$C$28, 2, 0)), N1953, VLOOKUP(N1953, Crews!$A$2:$C$28, 2, 0))))) * 400</f>
        <v>8052.083333</v>
      </c>
      <c r="K1953" s="1"/>
      <c r="L1953" s="1" t="s">
        <v>3821</v>
      </c>
      <c r="M1953" s="1" t="n">
        <v>5</v>
      </c>
      <c r="N1953" s="1" t="s">
        <v>1815</v>
      </c>
      <c r="O1953" s="1" t="n">
        <v>0.5</v>
      </c>
      <c r="P1953" s="1"/>
      <c r="Q1953" s="1" t="s">
        <v>1815</v>
      </c>
      <c r="R1953" s="1" t="s">
        <v>1843</v>
      </c>
      <c r="S1953" s="1" t="s">
        <v>1843</v>
      </c>
      <c r="T1953" s="1" t="s">
        <v>2041</v>
      </c>
    </row>
    <row r="1954" customFormat="false" ht="15" hidden="false" customHeight="true" outlineLevel="0" collapsed="false">
      <c r="A1954" s="1" t="s">
        <v>3827</v>
      </c>
      <c r="B1954" s="1" t="n">
        <v>1955</v>
      </c>
      <c r="C1954" s="1" t="n">
        <v>2</v>
      </c>
      <c r="D1954" s="1" t="s">
        <v>21</v>
      </c>
      <c r="E1954" s="1" t="s">
        <v>2039</v>
      </c>
      <c r="F1954" s="1" t="n">
        <v>120</v>
      </c>
      <c r="G1954" s="1" t="n">
        <v>68</v>
      </c>
      <c r="H1954" s="2" t="n">
        <v>125000</v>
      </c>
      <c r="I1954" s="2" t="n">
        <f aca="false">(((H1954 / 800) / IF(ISBLANK(R1954), 1000000, IF(ISNA(VLOOKUP(R1954, Mileages!$A$2:$C$34, 2, 0)), R1954, VLOOKUP(R1954, Mileages!$A$2:$C$34, 2, 0)))) + (F1954 * IF(ISBLANK(P1954), 1, P1954) * IF(ISBLANK(T1954), 0, IF(ISNA(VLOOKUP(T1954, 'Fuel Costs'!$A$2:$C$42, 2, 0)), T1954, VLOOKUP(T1954, 'Fuel Costs'!$A$2:$C$42, 2, 0))) / IF(ISBLANK(O1954), 1, O1954))) * 100</f>
        <v>120.015625</v>
      </c>
      <c r="J1954" s="2" t="n">
        <f aca="false">((H1954 / 800) / (IF(ISBLANK(S1954), 100, IF(ISNA(VLOOKUP(S1954, Lives!$A$2:$C$35, 2, 0)), S1954, VLOOKUP(S1954, Lives!$A$2:$C$35, 2, 0))) * 12) + (IF(ISBLANK(Q1954), 0, IF(ISNA(VLOOKUP(Q1954, Wages!$A$2:$C$17, 2, 0)), Q1954, VLOOKUP(Q1954, Wages!$A$2:$C$17, 2, 0))) * IF(ISBLANK(N1954), 0, IF(ISNA(VLOOKUP(N1954, Crews!$A$2:$C$28, 2, 0)), N1954, VLOOKUP(N1954, Crews!$A$2:$C$28, 2, 0))))) * 400</f>
        <v>8065.104167</v>
      </c>
      <c r="K1954" s="1"/>
      <c r="L1954" s="1" t="s">
        <v>3828</v>
      </c>
      <c r="M1954" s="1" t="n">
        <v>0</v>
      </c>
      <c r="N1954" s="1" t="s">
        <v>1815</v>
      </c>
      <c r="O1954" s="1" t="n">
        <v>0.5</v>
      </c>
      <c r="P1954" s="1"/>
      <c r="Q1954" s="1" t="s">
        <v>1815</v>
      </c>
      <c r="R1954" s="1" t="s">
        <v>1843</v>
      </c>
      <c r="S1954" s="1" t="s">
        <v>1843</v>
      </c>
      <c r="T1954" s="1" t="s">
        <v>2041</v>
      </c>
    </row>
    <row r="1955" customFormat="false" ht="15" hidden="false" customHeight="true" outlineLevel="0" collapsed="false">
      <c r="A1955" s="1" t="s">
        <v>3829</v>
      </c>
      <c r="B1955" s="1" t="n">
        <v>1955</v>
      </c>
      <c r="C1955" s="1" t="n">
        <v>2</v>
      </c>
      <c r="D1955" s="1" t="s">
        <v>21</v>
      </c>
      <c r="E1955" s="1" t="s">
        <v>2039</v>
      </c>
      <c r="F1955" s="1" t="n">
        <v>145</v>
      </c>
      <c r="G1955" s="1" t="n">
        <v>79</v>
      </c>
      <c r="H1955" s="2" t="n">
        <v>125000</v>
      </c>
      <c r="I1955" s="2" t="n">
        <f aca="false">(((H1955 / 800) / IF(ISBLANK(R1955), 1000000, IF(ISNA(VLOOKUP(R1955, Mileages!$A$2:$C$34, 2, 0)), R1955, VLOOKUP(R1955, Mileages!$A$2:$C$34, 2, 0)))) + (F1955 * IF(ISBLANK(P1955), 1, P1955) * IF(ISBLANK(T1955), 0, IF(ISNA(VLOOKUP(T1955, 'Fuel Costs'!$A$2:$C$42, 2, 0)), T1955, VLOOKUP(T1955, 'Fuel Costs'!$A$2:$C$42, 2, 0))) / IF(ISBLANK(O1955), 1, O1955))) * 100</f>
        <v>145.015625</v>
      </c>
      <c r="J1955" s="2" t="n">
        <f aca="false">((H1955 / 800) / (IF(ISBLANK(S1955), 100, IF(ISNA(VLOOKUP(S1955, Lives!$A$2:$C$35, 2, 0)), S1955, VLOOKUP(S1955, Lives!$A$2:$C$35, 2, 0))) * 12) + (IF(ISBLANK(Q1955), 0, IF(ISNA(VLOOKUP(Q1955, Wages!$A$2:$C$17, 2, 0)), Q1955, VLOOKUP(Q1955, Wages!$A$2:$C$17, 2, 0))) * IF(ISBLANK(N1955), 0, IF(ISNA(VLOOKUP(N1955, Crews!$A$2:$C$28, 2, 0)), N1955, VLOOKUP(N1955, Crews!$A$2:$C$28, 2, 0))))) * 400</f>
        <v>8065.104167</v>
      </c>
      <c r="K1955" s="1"/>
      <c r="L1955" s="1" t="s">
        <v>3828</v>
      </c>
      <c r="M1955" s="1" t="n">
        <v>1</v>
      </c>
      <c r="N1955" s="1" t="s">
        <v>1815</v>
      </c>
      <c r="O1955" s="1" t="n">
        <v>0.5</v>
      </c>
      <c r="P1955" s="1"/>
      <c r="Q1955" s="1" t="s">
        <v>1815</v>
      </c>
      <c r="R1955" s="1" t="s">
        <v>1843</v>
      </c>
      <c r="S1955" s="1" t="s">
        <v>1843</v>
      </c>
      <c r="T1955" s="1" t="s">
        <v>2041</v>
      </c>
    </row>
    <row r="1956" customFormat="false" ht="15" hidden="false" customHeight="true" outlineLevel="0" collapsed="false">
      <c r="A1956" s="1" t="s">
        <v>3830</v>
      </c>
      <c r="B1956" s="1" t="n">
        <v>1955</v>
      </c>
      <c r="C1956" s="1" t="n">
        <v>2</v>
      </c>
      <c r="D1956" s="1" t="s">
        <v>21</v>
      </c>
      <c r="E1956" s="1"/>
      <c r="F1956" s="1"/>
      <c r="G1956" s="1" t="n">
        <v>79</v>
      </c>
      <c r="H1956" s="2" t="n">
        <v>65000</v>
      </c>
      <c r="I1956" s="2" t="n">
        <f aca="false">(((H1956 / 800) / IF(ISBLANK(R1956), 1000000, IF(ISNA(VLOOKUP(R1956, Mileages!$A$2:$C$34, 2, 0)), R1956, VLOOKUP(R1956, Mileages!$A$2:$C$34, 2, 0)))) + (F1956 * IF(ISBLANK(P1956), 1, P1956) * IF(ISBLANK(T1956), 0, IF(ISNA(VLOOKUP(T1956, 'Fuel Costs'!$A$2:$C$42, 2, 0)), T1956, VLOOKUP(T1956, 'Fuel Costs'!$A$2:$C$42, 2, 0))) / IF(ISBLANK(O1956), 1, O1956))) * 100</f>
        <v>0.006770833333</v>
      </c>
      <c r="J1956" s="2" t="n">
        <f aca="false">((H1956 / 800) / (IF(ISBLANK(S1956), 100, IF(ISNA(VLOOKUP(S1956, Lives!$A$2:$C$35, 2, 0)), S1956, VLOOKUP(S1956, Lives!$A$2:$C$35, 2, 0))) * 12) + (IF(ISBLANK(Q1956), 0, IF(ISNA(VLOOKUP(Q1956, Wages!$A$2:$C$17, 2, 0)), Q1956, VLOOKUP(Q1956, Wages!$A$2:$C$17, 2, 0))) * IF(ISBLANK(N1956), 0, IF(ISNA(VLOOKUP(N1956, Crews!$A$2:$C$28, 2, 0)), N1956, VLOOKUP(N1956, Crews!$A$2:$C$28, 2, 0))))) * 400</f>
        <v>33.85416667</v>
      </c>
      <c r="K1956" s="1"/>
      <c r="L1956" s="1" t="s">
        <v>3828</v>
      </c>
      <c r="M1956" s="1" t="n">
        <v>2</v>
      </c>
      <c r="N1956" s="1"/>
      <c r="O1956" s="1"/>
      <c r="P1956" s="1"/>
      <c r="Q1956" s="1"/>
      <c r="R1956" s="1" t="s">
        <v>829</v>
      </c>
      <c r="S1956" s="1" t="s">
        <v>829</v>
      </c>
      <c r="T1956" s="1"/>
    </row>
    <row r="1957" customFormat="false" ht="15" hidden="false" customHeight="true" outlineLevel="0" collapsed="false">
      <c r="A1957" s="1" t="s">
        <v>3831</v>
      </c>
      <c r="B1957" s="1" t="n">
        <v>1955</v>
      </c>
      <c r="C1957" s="1" t="n">
        <v>2</v>
      </c>
      <c r="D1957" s="1" t="s">
        <v>21</v>
      </c>
      <c r="E1957" s="1"/>
      <c r="F1957" s="1"/>
      <c r="G1957" s="1" t="n">
        <v>79</v>
      </c>
      <c r="H1957" s="2" t="n">
        <v>55000</v>
      </c>
      <c r="I1957" s="2" t="n">
        <f aca="false">(((H1957 / 800) / IF(ISBLANK(R1957), 1000000, IF(ISNA(VLOOKUP(R1957, Mileages!$A$2:$C$34, 2, 0)), R1957, VLOOKUP(R1957, Mileages!$A$2:$C$34, 2, 0)))) + (F1957 * IF(ISBLANK(P1957), 1, P1957) * IF(ISBLANK(T1957), 0, IF(ISNA(VLOOKUP(T1957, 'Fuel Costs'!$A$2:$C$42, 2, 0)), T1957, VLOOKUP(T1957, 'Fuel Costs'!$A$2:$C$42, 2, 0))) / IF(ISBLANK(O1957), 1, O1957))) * 100</f>
        <v>0.005729166667</v>
      </c>
      <c r="J1957" s="2" t="n">
        <f aca="false">((H1957 / 800) / (IF(ISBLANK(S1957), 100, IF(ISNA(VLOOKUP(S1957, Lives!$A$2:$C$35, 2, 0)), S1957, VLOOKUP(S1957, Lives!$A$2:$C$35, 2, 0))) * 12) + (IF(ISBLANK(Q1957), 0, IF(ISNA(VLOOKUP(Q1957, Wages!$A$2:$C$17, 2, 0)), Q1957, VLOOKUP(Q1957, Wages!$A$2:$C$17, 2, 0))) * IF(ISBLANK(N1957), 0, IF(ISNA(VLOOKUP(N1957, Crews!$A$2:$C$28, 2, 0)), N1957, VLOOKUP(N1957, Crews!$A$2:$C$28, 2, 0))))) * 400</f>
        <v>28.64583333</v>
      </c>
      <c r="K1957" s="1"/>
      <c r="L1957" s="1" t="s">
        <v>3828</v>
      </c>
      <c r="M1957" s="1" t="n">
        <v>3</v>
      </c>
      <c r="N1957" s="1"/>
      <c r="O1957" s="1"/>
      <c r="P1957" s="1"/>
      <c r="Q1957" s="1"/>
      <c r="R1957" s="1" t="s">
        <v>829</v>
      </c>
      <c r="S1957" s="1" t="s">
        <v>829</v>
      </c>
      <c r="T1957" s="1"/>
    </row>
    <row r="1958" customFormat="false" ht="15" hidden="false" customHeight="true" outlineLevel="0" collapsed="false">
      <c r="A1958" s="1" t="s">
        <v>3832</v>
      </c>
      <c r="B1958" s="1" t="n">
        <v>1955</v>
      </c>
      <c r="C1958" s="1" t="n">
        <v>2</v>
      </c>
      <c r="D1958" s="1" t="s">
        <v>21</v>
      </c>
      <c r="E1958" s="1"/>
      <c r="F1958" s="1"/>
      <c r="G1958" s="1" t="n">
        <v>79</v>
      </c>
      <c r="H1958" s="2" t="n">
        <v>55000</v>
      </c>
      <c r="I1958" s="2" t="n">
        <f aca="false">(((H1958 / 800) / IF(ISBLANK(R1958), 1000000, IF(ISNA(VLOOKUP(R1958, Mileages!$A$2:$C$34, 2, 0)), R1958, VLOOKUP(R1958, Mileages!$A$2:$C$34, 2, 0)))) + (F1958 * IF(ISBLANK(P1958), 1, P1958) * IF(ISBLANK(T1958), 0, IF(ISNA(VLOOKUP(T1958, 'Fuel Costs'!$A$2:$C$42, 2, 0)), T1958, VLOOKUP(T1958, 'Fuel Costs'!$A$2:$C$42, 2, 0))) / IF(ISBLANK(O1958), 1, O1958))) * 100</f>
        <v>0.005729166667</v>
      </c>
      <c r="J1958" s="2" t="n">
        <f aca="false">((H1958 / 800) / (IF(ISBLANK(S1958), 100, IF(ISNA(VLOOKUP(S1958, Lives!$A$2:$C$35, 2, 0)), S1958, VLOOKUP(S1958, Lives!$A$2:$C$35, 2, 0))) * 12) + (IF(ISBLANK(Q1958), 0, IF(ISNA(VLOOKUP(Q1958, Wages!$A$2:$C$17, 2, 0)), Q1958, VLOOKUP(Q1958, Wages!$A$2:$C$17, 2, 0))) * IF(ISBLANK(N1958), 0, IF(ISNA(VLOOKUP(N1958, Crews!$A$2:$C$28, 2, 0)), N1958, VLOOKUP(N1958, Crews!$A$2:$C$28, 2, 0))))) * 400</f>
        <v>28.64583333</v>
      </c>
      <c r="K1958" s="1"/>
      <c r="L1958" s="1" t="s">
        <v>3828</v>
      </c>
      <c r="M1958" s="1" t="n">
        <v>4</v>
      </c>
      <c r="N1958" s="1"/>
      <c r="O1958" s="1"/>
      <c r="P1958" s="1"/>
      <c r="Q1958" s="1"/>
      <c r="R1958" s="1" t="s">
        <v>829</v>
      </c>
      <c r="S1958" s="1" t="s">
        <v>829</v>
      </c>
      <c r="T1958" s="1"/>
    </row>
    <row r="1959" customFormat="false" ht="15" hidden="false" customHeight="true" outlineLevel="0" collapsed="false">
      <c r="A1959" s="1" t="s">
        <v>3833</v>
      </c>
      <c r="B1959" s="1" t="n">
        <v>1955</v>
      </c>
      <c r="C1959" s="1" t="n">
        <v>2</v>
      </c>
      <c r="D1959" s="1" t="s">
        <v>21</v>
      </c>
      <c r="E1959" s="1"/>
      <c r="F1959" s="1"/>
      <c r="G1959" s="1" t="n">
        <v>79</v>
      </c>
      <c r="H1959" s="2" t="n">
        <v>55000</v>
      </c>
      <c r="I1959" s="2" t="n">
        <f aca="false">(((H1959 / 800) / IF(ISBLANK(R1959), 1000000, IF(ISNA(VLOOKUP(R1959, Mileages!$A$2:$C$34, 2, 0)), R1959, VLOOKUP(R1959, Mileages!$A$2:$C$34, 2, 0)))) + (F1959 * IF(ISBLANK(P1959), 1, P1959) * IF(ISBLANK(T1959), 0, IF(ISNA(VLOOKUP(T1959, 'Fuel Costs'!$A$2:$C$42, 2, 0)), T1959, VLOOKUP(T1959, 'Fuel Costs'!$A$2:$C$42, 2, 0))) / IF(ISBLANK(O1959), 1, O1959))) * 100</f>
        <v>0.005729166667</v>
      </c>
      <c r="J1959" s="2" t="n">
        <f aca="false">((H1959 / 800) / (IF(ISBLANK(S1959), 100, IF(ISNA(VLOOKUP(S1959, Lives!$A$2:$C$35, 2, 0)), S1959, VLOOKUP(S1959, Lives!$A$2:$C$35, 2, 0))) * 12) + (IF(ISBLANK(Q1959), 0, IF(ISNA(VLOOKUP(Q1959, Wages!$A$2:$C$17, 2, 0)), Q1959, VLOOKUP(Q1959, Wages!$A$2:$C$17, 2, 0))) * IF(ISBLANK(N1959), 0, IF(ISNA(VLOOKUP(N1959, Crews!$A$2:$C$28, 2, 0)), N1959, VLOOKUP(N1959, Crews!$A$2:$C$28, 2, 0))))) * 400</f>
        <v>28.64583333</v>
      </c>
      <c r="K1959" s="1"/>
      <c r="L1959" s="1" t="s">
        <v>3828</v>
      </c>
      <c r="M1959" s="1" t="n">
        <v>5</v>
      </c>
      <c r="N1959" s="1"/>
      <c r="O1959" s="1"/>
      <c r="P1959" s="1"/>
      <c r="Q1959" s="1"/>
      <c r="R1959" s="1" t="s">
        <v>829</v>
      </c>
      <c r="S1959" s="1" t="s">
        <v>829</v>
      </c>
      <c r="T1959" s="1"/>
    </row>
    <row r="1960" customFormat="false" ht="15" hidden="false" customHeight="true" outlineLevel="0" collapsed="false">
      <c r="A1960" s="1" t="s">
        <v>3834</v>
      </c>
      <c r="B1960" s="1" t="n">
        <v>1955</v>
      </c>
      <c r="C1960" s="1" t="n">
        <v>2</v>
      </c>
      <c r="D1960" s="1" t="s">
        <v>21</v>
      </c>
      <c r="E1960" s="1"/>
      <c r="F1960" s="1"/>
      <c r="G1960" s="1" t="n">
        <v>79</v>
      </c>
      <c r="H1960" s="2" t="n">
        <v>55000</v>
      </c>
      <c r="I1960" s="2" t="n">
        <f aca="false">(((H1960 / 800) / IF(ISBLANK(R1960), 1000000, IF(ISNA(VLOOKUP(R1960, Mileages!$A$2:$C$34, 2, 0)), R1960, VLOOKUP(R1960, Mileages!$A$2:$C$34, 2, 0)))) + (F1960 * IF(ISBLANK(P1960), 1, P1960) * IF(ISBLANK(T1960), 0, IF(ISNA(VLOOKUP(T1960, 'Fuel Costs'!$A$2:$C$42, 2, 0)), T1960, VLOOKUP(T1960, 'Fuel Costs'!$A$2:$C$42, 2, 0))) / IF(ISBLANK(O1960), 1, O1960))) * 100</f>
        <v>0.005729166667</v>
      </c>
      <c r="J1960" s="2" t="n">
        <f aca="false">((H1960 / 800) / (IF(ISBLANK(S1960), 100, IF(ISNA(VLOOKUP(S1960, Lives!$A$2:$C$35, 2, 0)), S1960, VLOOKUP(S1960, Lives!$A$2:$C$35, 2, 0))) * 12) + (IF(ISBLANK(Q1960), 0, IF(ISNA(VLOOKUP(Q1960, Wages!$A$2:$C$17, 2, 0)), Q1960, VLOOKUP(Q1960, Wages!$A$2:$C$17, 2, 0))) * IF(ISBLANK(N1960), 0, IF(ISNA(VLOOKUP(N1960, Crews!$A$2:$C$28, 2, 0)), N1960, VLOOKUP(N1960, Crews!$A$2:$C$28, 2, 0))))) * 400</f>
        <v>28.64583333</v>
      </c>
      <c r="K1960" s="1"/>
      <c r="L1960" s="1" t="s">
        <v>3828</v>
      </c>
      <c r="M1960" s="1" t="n">
        <v>6</v>
      </c>
      <c r="N1960" s="1"/>
      <c r="O1960" s="1"/>
      <c r="P1960" s="1"/>
      <c r="Q1960" s="1"/>
      <c r="R1960" s="1" t="s">
        <v>829</v>
      </c>
      <c r="S1960" s="1" t="s">
        <v>829</v>
      </c>
      <c r="T1960" s="1"/>
    </row>
    <row r="1961" customFormat="false" ht="15" hidden="false" customHeight="true" outlineLevel="0" collapsed="false">
      <c r="A1961" s="1" t="s">
        <v>3835</v>
      </c>
      <c r="B1961" s="1" t="n">
        <v>1955</v>
      </c>
      <c r="C1961" s="1" t="n">
        <v>2</v>
      </c>
      <c r="D1961" s="1" t="s">
        <v>21</v>
      </c>
      <c r="E1961" s="1"/>
      <c r="F1961" s="1"/>
      <c r="G1961" s="1" t="n">
        <v>79</v>
      </c>
      <c r="H1961" s="2" t="n">
        <v>55000</v>
      </c>
      <c r="I1961" s="2" t="n">
        <f aca="false">(((H1961 / 800) / IF(ISBLANK(R1961), 1000000, IF(ISNA(VLOOKUP(R1961, Mileages!$A$2:$C$34, 2, 0)), R1961, VLOOKUP(R1961, Mileages!$A$2:$C$34, 2, 0)))) + (F1961 * IF(ISBLANK(P1961), 1, P1961) * IF(ISBLANK(T1961), 0, IF(ISNA(VLOOKUP(T1961, 'Fuel Costs'!$A$2:$C$42, 2, 0)), T1961, VLOOKUP(T1961, 'Fuel Costs'!$A$2:$C$42, 2, 0))) / IF(ISBLANK(O1961), 1, O1961))) * 100</f>
        <v>0.005729166667</v>
      </c>
      <c r="J1961" s="2" t="n">
        <f aca="false">((H1961 / 800) / (IF(ISBLANK(S1961), 100, IF(ISNA(VLOOKUP(S1961, Lives!$A$2:$C$35, 2, 0)), S1961, VLOOKUP(S1961, Lives!$A$2:$C$35, 2, 0))) * 12) + (IF(ISBLANK(Q1961), 0, IF(ISNA(VLOOKUP(Q1961, Wages!$A$2:$C$17, 2, 0)), Q1961, VLOOKUP(Q1961, Wages!$A$2:$C$17, 2, 0))) * IF(ISBLANK(N1961), 0, IF(ISNA(VLOOKUP(N1961, Crews!$A$2:$C$28, 2, 0)), N1961, VLOOKUP(N1961, Crews!$A$2:$C$28, 2, 0))))) * 400</f>
        <v>28.64583333</v>
      </c>
      <c r="K1961" s="1"/>
      <c r="L1961" s="1" t="s">
        <v>3828</v>
      </c>
      <c r="M1961" s="1" t="n">
        <v>7</v>
      </c>
      <c r="N1961" s="1"/>
      <c r="O1961" s="1"/>
      <c r="P1961" s="1"/>
      <c r="Q1961" s="1"/>
      <c r="R1961" s="1" t="s">
        <v>829</v>
      </c>
      <c r="S1961" s="1" t="s">
        <v>829</v>
      </c>
      <c r="T1961" s="1"/>
    </row>
    <row r="1962" customFormat="false" ht="15" hidden="false" customHeight="true" outlineLevel="0" collapsed="false">
      <c r="A1962" s="1" t="s">
        <v>3836</v>
      </c>
      <c r="B1962" s="1" t="n">
        <v>1955</v>
      </c>
      <c r="C1962" s="1" t="n">
        <v>2</v>
      </c>
      <c r="D1962" s="1" t="s">
        <v>21</v>
      </c>
      <c r="E1962" s="1"/>
      <c r="F1962" s="1"/>
      <c r="G1962" s="1" t="n">
        <v>79</v>
      </c>
      <c r="H1962" s="2" t="n">
        <v>55000</v>
      </c>
      <c r="I1962" s="2" t="n">
        <f aca="false">(((H1962 / 800) / IF(ISBLANK(R1962), 1000000, IF(ISNA(VLOOKUP(R1962, Mileages!$A$2:$C$34, 2, 0)), R1962, VLOOKUP(R1962, Mileages!$A$2:$C$34, 2, 0)))) + (F1962 * IF(ISBLANK(P1962), 1, P1962) * IF(ISBLANK(T1962), 0, IF(ISNA(VLOOKUP(T1962, 'Fuel Costs'!$A$2:$C$42, 2, 0)), T1962, VLOOKUP(T1962, 'Fuel Costs'!$A$2:$C$42, 2, 0))) / IF(ISBLANK(O1962), 1, O1962))) * 100</f>
        <v>0.005729166667</v>
      </c>
      <c r="J1962" s="2" t="n">
        <f aca="false">((H1962 / 800) / (IF(ISBLANK(S1962), 100, IF(ISNA(VLOOKUP(S1962, Lives!$A$2:$C$35, 2, 0)), S1962, VLOOKUP(S1962, Lives!$A$2:$C$35, 2, 0))) * 12) + (IF(ISBLANK(Q1962), 0, IF(ISNA(VLOOKUP(Q1962, Wages!$A$2:$C$17, 2, 0)), Q1962, VLOOKUP(Q1962, Wages!$A$2:$C$17, 2, 0))) * IF(ISBLANK(N1962), 0, IF(ISNA(VLOOKUP(N1962, Crews!$A$2:$C$28, 2, 0)), N1962, VLOOKUP(N1962, Crews!$A$2:$C$28, 2, 0))))) * 400</f>
        <v>28.64583333</v>
      </c>
      <c r="K1962" s="1"/>
      <c r="L1962" s="1" t="s">
        <v>3828</v>
      </c>
      <c r="M1962" s="1" t="n">
        <v>8</v>
      </c>
      <c r="N1962" s="1"/>
      <c r="O1962" s="1"/>
      <c r="P1962" s="1"/>
      <c r="Q1962" s="1"/>
      <c r="R1962" s="1" t="s">
        <v>829</v>
      </c>
      <c r="S1962" s="1" t="s">
        <v>829</v>
      </c>
      <c r="T1962" s="1"/>
    </row>
    <row r="1963" customFormat="false" ht="15" hidden="false" customHeight="true" outlineLevel="0" collapsed="false">
      <c r="A1963" s="1" t="s">
        <v>3837</v>
      </c>
      <c r="B1963" s="1" t="n">
        <v>1955</v>
      </c>
      <c r="C1963" s="1" t="n">
        <v>4</v>
      </c>
      <c r="D1963" s="1" t="s">
        <v>38</v>
      </c>
      <c r="E1963" s="1"/>
      <c r="F1963" s="1"/>
      <c r="G1963" s="1" t="n">
        <v>160</v>
      </c>
      <c r="H1963" s="2" t="n">
        <v>583000</v>
      </c>
      <c r="I1963" s="2" t="n">
        <f aca="false">(((H1963 / 800) / IF(ISBLANK(R1963), 1000000, IF(ISNA(VLOOKUP(R1963, Mileages!$A$2:$C$34, 2, 0)), R1963, VLOOKUP(R1963, Mileages!$A$2:$C$34, 2, 0)))) + (F1963 * IF(ISBLANK(P1963), 1, P1963) * IF(ISBLANK(T1963), 0, IF(ISNA(VLOOKUP(T1963, 'Fuel Costs'!$A$2:$C$42, 2, 0)), T1963, VLOOKUP(T1963, 'Fuel Costs'!$A$2:$C$42, 2, 0))) / IF(ISBLANK(O1963), 1, O1963))) * 100</f>
        <v>0.06072916667</v>
      </c>
      <c r="J1963" s="2" t="n">
        <f aca="false">((H1963 / 800) / (IF(ISBLANK(S1963), 100, IF(ISNA(VLOOKUP(S1963, Lives!$A$2:$C$35, 2, 0)), S1963, VLOOKUP(S1963, Lives!$A$2:$C$35, 2, 0))) * 12) + (IF(ISBLANK(Q1963), 0, IF(ISNA(VLOOKUP(Q1963, Wages!$A$2:$C$17, 2, 0)), Q1963, VLOOKUP(Q1963, Wages!$A$2:$C$17, 2, 0))) * IF(ISBLANK(N1963), 0, IF(ISNA(VLOOKUP(N1963, Crews!$A$2:$C$28, 2, 0)), N1963, VLOOKUP(N1963, Crews!$A$2:$C$28, 2, 0))))) * 400</f>
        <v>694.047619</v>
      </c>
      <c r="K1963" s="1"/>
      <c r="L1963" s="1" t="s">
        <v>3838</v>
      </c>
      <c r="M1963" s="1" t="n">
        <v>0</v>
      </c>
      <c r="N1963" s="1"/>
      <c r="O1963" s="1"/>
      <c r="P1963" s="1"/>
      <c r="Q1963" s="1"/>
      <c r="R1963" s="1" t="s">
        <v>689</v>
      </c>
      <c r="S1963" s="1" t="s">
        <v>856</v>
      </c>
      <c r="T1963" s="1"/>
    </row>
    <row r="1964" customFormat="false" ht="15" hidden="false" customHeight="true" outlineLevel="0" collapsed="false">
      <c r="A1964" s="1" t="s">
        <v>3839</v>
      </c>
      <c r="B1964" s="1" t="n">
        <v>1955</v>
      </c>
      <c r="C1964" s="1" t="n">
        <v>4</v>
      </c>
      <c r="D1964" s="1" t="s">
        <v>38</v>
      </c>
      <c r="E1964" s="1"/>
      <c r="F1964" s="1"/>
      <c r="G1964" s="1" t="n">
        <v>160</v>
      </c>
      <c r="H1964" s="2" t="n">
        <v>583000</v>
      </c>
      <c r="I1964" s="2" t="n">
        <f aca="false">(((H1964 / 800) / IF(ISBLANK(R1964), 1000000, IF(ISNA(VLOOKUP(R1964, Mileages!$A$2:$C$34, 2, 0)), R1964, VLOOKUP(R1964, Mileages!$A$2:$C$34, 2, 0)))) + (F1964 * IF(ISBLANK(P1964), 1, P1964) * IF(ISBLANK(T1964), 0, IF(ISNA(VLOOKUP(T1964, 'Fuel Costs'!$A$2:$C$42, 2, 0)), T1964, VLOOKUP(T1964, 'Fuel Costs'!$A$2:$C$42, 2, 0))) / IF(ISBLANK(O1964), 1, O1964))) * 100</f>
        <v>0.06072916667</v>
      </c>
      <c r="J1964" s="2" t="n">
        <f aca="false">((H1964 / 800) / (IF(ISBLANK(S1964), 100, IF(ISNA(VLOOKUP(S1964, Lives!$A$2:$C$35, 2, 0)), S1964, VLOOKUP(S1964, Lives!$A$2:$C$35, 2, 0))) * 12) + (IF(ISBLANK(Q1964), 0, IF(ISNA(VLOOKUP(Q1964, Wages!$A$2:$C$17, 2, 0)), Q1964, VLOOKUP(Q1964, Wages!$A$2:$C$17, 2, 0))) * IF(ISBLANK(N1964), 0, IF(ISNA(VLOOKUP(N1964, Crews!$A$2:$C$28, 2, 0)), N1964, VLOOKUP(N1964, Crews!$A$2:$C$28, 2, 0))))) * 400</f>
        <v>694.047619</v>
      </c>
      <c r="K1964" s="1"/>
      <c r="L1964" s="1" t="s">
        <v>3838</v>
      </c>
      <c r="M1964" s="1" t="n">
        <v>1</v>
      </c>
      <c r="N1964" s="1"/>
      <c r="O1964" s="1"/>
      <c r="P1964" s="1"/>
      <c r="Q1964" s="1"/>
      <c r="R1964" s="1" t="s">
        <v>689</v>
      </c>
      <c r="S1964" s="1" t="s">
        <v>856</v>
      </c>
      <c r="T1964" s="1"/>
    </row>
    <row r="1965" customFormat="false" ht="15" hidden="false" customHeight="true" outlineLevel="0" collapsed="false">
      <c r="A1965" s="1" t="s">
        <v>3840</v>
      </c>
      <c r="B1965" s="1" t="n">
        <v>1955</v>
      </c>
      <c r="C1965" s="1" t="n">
        <v>9</v>
      </c>
      <c r="D1965" s="1" t="s">
        <v>2225</v>
      </c>
      <c r="E1965" s="1" t="s">
        <v>1839</v>
      </c>
      <c r="F1965" s="1" t="n">
        <v>507</v>
      </c>
      <c r="G1965" s="1" t="n">
        <v>370</v>
      </c>
      <c r="H1965" s="2" t="n">
        <v>2200000</v>
      </c>
      <c r="I1965" s="2" t="n">
        <f aca="false">(((H1965 / 800) / IF(ISBLANK(R1965), 1000000, IF(ISNA(VLOOKUP(R1965, Mileages!$A$2:$C$34, 2, 0)), R1965, VLOOKUP(R1965, Mileages!$A$2:$C$34, 2, 0)))) + (F1965 * IF(ISBLANK(P1965), 1, P1965) * IF(ISBLANK(T1965), 0, IF(ISNA(VLOOKUP(T1965, 'Fuel Costs'!$A$2:$C$42, 2, 0)), T1965, VLOOKUP(T1965, 'Fuel Costs'!$A$2:$C$42, 2, 0))) / IF(ISBLANK(O1965), 1, O1965))) * 100</f>
        <v>20.335</v>
      </c>
      <c r="J1965" s="2" t="n">
        <f aca="false">((H1965 / 800) / (IF(ISBLANK(S1965), 100, IF(ISNA(VLOOKUP(S1965, Lives!$A$2:$C$35, 2, 0)), S1965, VLOOKUP(S1965, Lives!$A$2:$C$35, 2, 0))) * 12) + (IF(ISBLANK(Q1965), 0, IF(ISNA(VLOOKUP(Q1965, Wages!$A$2:$C$17, 2, 0)), Q1965, VLOOKUP(Q1965, Wages!$A$2:$C$17, 2, 0))) * IF(ISBLANK(N1965), 0, IF(ISNA(VLOOKUP(N1965, Crews!$A$2:$C$28, 2, 0)), N1965, VLOOKUP(N1965, Crews!$A$2:$C$28, 2, 0))))) * 400</f>
        <v>51527.77778</v>
      </c>
      <c r="K1965" s="3" t="s">
        <v>3841</v>
      </c>
      <c r="L1965" s="1" t="s">
        <v>3708</v>
      </c>
      <c r="M1965" s="1" t="n">
        <v>2</v>
      </c>
      <c r="N1965" s="1" t="s">
        <v>2342</v>
      </c>
      <c r="O1965" s="1"/>
      <c r="P1965" s="1" t="n">
        <v>0.1</v>
      </c>
      <c r="Q1965" s="1" t="s">
        <v>2229</v>
      </c>
      <c r="R1965" s="1" t="s">
        <v>2229</v>
      </c>
      <c r="S1965" s="1" t="s">
        <v>2229</v>
      </c>
      <c r="T1965" s="1" t="s">
        <v>3481</v>
      </c>
    </row>
    <row r="1966" customFormat="false" ht="15" hidden="false" customHeight="true" outlineLevel="0" collapsed="false">
      <c r="A1966" s="1" t="s">
        <v>3842</v>
      </c>
      <c r="B1966" s="1" t="n">
        <v>1956</v>
      </c>
      <c r="C1966" s="1" t="n">
        <v>2</v>
      </c>
      <c r="D1966" s="1" t="s">
        <v>38</v>
      </c>
      <c r="E1966" s="1"/>
      <c r="F1966" s="1"/>
      <c r="G1966" s="1" t="n">
        <v>150</v>
      </c>
      <c r="H1966" s="2" t="n">
        <v>581000</v>
      </c>
      <c r="I1966" s="2" t="n">
        <f aca="false">(((H1966 / 800) / IF(ISBLANK(R1966), 1000000, IF(ISNA(VLOOKUP(R1966, Mileages!$A$2:$C$34, 2, 0)), R1966, VLOOKUP(R1966, Mileages!$A$2:$C$34, 2, 0)))) + (F1966 * IF(ISBLANK(P1966), 1, P1966) * IF(ISBLANK(T1966), 0, IF(ISNA(VLOOKUP(T1966, 'Fuel Costs'!$A$2:$C$42, 2, 0)), T1966, VLOOKUP(T1966, 'Fuel Costs'!$A$2:$C$42, 2, 0))) / IF(ISBLANK(O1966), 1, O1966))) * 100</f>
        <v>0.06052083333</v>
      </c>
      <c r="J1966" s="2" t="n">
        <f aca="false">((H1966 / 800) / (IF(ISBLANK(S1966), 100, IF(ISNA(VLOOKUP(S1966, Lives!$A$2:$C$35, 2, 0)), S1966, VLOOKUP(S1966, Lives!$A$2:$C$35, 2, 0))) * 12) + (IF(ISBLANK(Q1966), 0, IF(ISNA(VLOOKUP(Q1966, Wages!$A$2:$C$17, 2, 0)), Q1966, VLOOKUP(Q1966, Wages!$A$2:$C$17, 2, 0))) * IF(ISBLANK(N1966), 0, IF(ISNA(VLOOKUP(N1966, Crews!$A$2:$C$28, 2, 0)), N1966, VLOOKUP(N1966, Crews!$A$2:$C$28, 2, 0))))) * 400</f>
        <v>691.6666667</v>
      </c>
      <c r="K1966" s="1"/>
      <c r="L1966" s="1" t="s">
        <v>3843</v>
      </c>
      <c r="M1966" s="1" t="n">
        <v>0</v>
      </c>
      <c r="N1966" s="1"/>
      <c r="O1966" s="1"/>
      <c r="P1966" s="1"/>
      <c r="Q1966" s="1"/>
      <c r="R1966" s="1" t="s">
        <v>689</v>
      </c>
      <c r="S1966" s="1" t="s">
        <v>856</v>
      </c>
      <c r="T1966" s="1"/>
    </row>
    <row r="1967" customFormat="false" ht="15" hidden="false" customHeight="true" outlineLevel="0" collapsed="false">
      <c r="A1967" s="1" t="s">
        <v>3844</v>
      </c>
      <c r="B1967" s="1" t="n">
        <v>1956</v>
      </c>
      <c r="C1967" s="1" t="n">
        <v>2</v>
      </c>
      <c r="D1967" s="1" t="s">
        <v>38</v>
      </c>
      <c r="E1967" s="1" t="s">
        <v>1346</v>
      </c>
      <c r="F1967" s="1" t="n">
        <v>0</v>
      </c>
      <c r="G1967" s="1" t="n">
        <v>120</v>
      </c>
      <c r="H1967" s="2" t="n">
        <v>1095000</v>
      </c>
      <c r="I1967" s="2" t="n">
        <f aca="false">(((H1967 / 800) / IF(ISBLANK(R1967), 1000000, IF(ISNA(VLOOKUP(R1967, Mileages!$A$2:$C$34, 2, 0)), R1967, VLOOKUP(R1967, Mileages!$A$2:$C$34, 2, 0)))) + (F1967 * IF(ISBLANK(P1967), 1, P1967) * IF(ISBLANK(T1967), 0, IF(ISNA(VLOOKUP(T1967, 'Fuel Costs'!$A$2:$C$42, 2, 0)), T1967, VLOOKUP(T1967, 'Fuel Costs'!$A$2:$C$42, 2, 0))) / IF(ISBLANK(O1967), 1, O1967))) * 100</f>
        <v>0.1140625</v>
      </c>
      <c r="J1967" s="2" t="n">
        <f aca="false">((H1967 / 800) / (IF(ISBLANK(S1967), 100, IF(ISNA(VLOOKUP(S1967, Lives!$A$2:$C$35, 2, 0)), S1967, VLOOKUP(S1967, Lives!$A$2:$C$35, 2, 0))) * 12) + (IF(ISBLANK(Q1967), 0, IF(ISNA(VLOOKUP(Q1967, Wages!$A$2:$C$17, 2, 0)), Q1967, VLOOKUP(Q1967, Wages!$A$2:$C$17, 2, 0))) * IF(ISBLANK(N1967), 0, IF(ISNA(VLOOKUP(N1967, Crews!$A$2:$C$28, 2, 0)), N1967, VLOOKUP(N1967, Crews!$A$2:$C$28, 2, 0))))) * 400</f>
        <v>1303.571429</v>
      </c>
      <c r="K1967" s="1"/>
      <c r="L1967" s="1" t="s">
        <v>3845</v>
      </c>
      <c r="M1967" s="1" t="n">
        <v>0</v>
      </c>
      <c r="N1967" s="1"/>
      <c r="O1967" s="1"/>
      <c r="P1967" s="1"/>
      <c r="Q1967" s="1"/>
      <c r="R1967" s="1" t="s">
        <v>689</v>
      </c>
      <c r="S1967" s="1" t="s">
        <v>856</v>
      </c>
      <c r="T1967" s="1"/>
    </row>
    <row r="1968" customFormat="false" ht="15" hidden="false" customHeight="true" outlineLevel="0" collapsed="false">
      <c r="A1968" s="1" t="s">
        <v>3846</v>
      </c>
      <c r="B1968" s="1" t="n">
        <v>1956</v>
      </c>
      <c r="C1968" s="1" t="n">
        <v>2</v>
      </c>
      <c r="D1968" s="1" t="s">
        <v>38</v>
      </c>
      <c r="E1968" s="1" t="s">
        <v>1346</v>
      </c>
      <c r="F1968" s="1" t="n">
        <v>545</v>
      </c>
      <c r="G1968" s="1" t="n">
        <v>120</v>
      </c>
      <c r="H1968" s="2" t="n">
        <v>1885000</v>
      </c>
      <c r="I1968" s="2" t="n">
        <f aca="false">(((H1968 / 800) / IF(ISBLANK(R1968), 1000000, IF(ISNA(VLOOKUP(R1968, Mileages!$A$2:$C$34, 2, 0)), R1968, VLOOKUP(R1968, Mileages!$A$2:$C$34, 2, 0)))) + (F1968 * IF(ISBLANK(P1968), 1, P1968) * IF(ISBLANK(T1968), 0, IF(ISNA(VLOOKUP(T1968, 'Fuel Costs'!$A$2:$C$42, 2, 0)), T1968, VLOOKUP(T1968, 'Fuel Costs'!$A$2:$C$42, 2, 0))) / IF(ISBLANK(O1968), 1, O1968))) * 100</f>
        <v>109.235625</v>
      </c>
      <c r="J1968" s="2" t="n">
        <f aca="false">((H1968 / 800) / (IF(ISBLANK(S1968), 100, IF(ISNA(VLOOKUP(S1968, Lives!$A$2:$C$35, 2, 0)), S1968, VLOOKUP(S1968, Lives!$A$2:$C$35, 2, 0))) * 12) + (IF(ISBLANK(Q1968), 0, IF(ISNA(VLOOKUP(Q1968, Wages!$A$2:$C$17, 2, 0)), Q1968, VLOOKUP(Q1968, Wages!$A$2:$C$17, 2, 0))) * IF(ISBLANK(N1968), 0, IF(ISNA(VLOOKUP(N1968, Crews!$A$2:$C$28, 2, 0)), N1968, VLOOKUP(N1968, Crews!$A$2:$C$28, 2, 0))))) * 400</f>
        <v>1309.027778</v>
      </c>
      <c r="K1968" s="1"/>
      <c r="L1968" s="1" t="s">
        <v>3845</v>
      </c>
      <c r="M1968" s="1" t="n">
        <v>1</v>
      </c>
      <c r="N1968" s="1"/>
      <c r="O1968" s="1" t="n">
        <v>1</v>
      </c>
      <c r="P1968" s="1"/>
      <c r="Q1968" s="1"/>
      <c r="R1968" s="1" t="s">
        <v>1349</v>
      </c>
      <c r="S1968" s="1" t="s">
        <v>1349</v>
      </c>
      <c r="T1968" s="1" t="s">
        <v>3471</v>
      </c>
    </row>
    <row r="1969" customFormat="false" ht="15" hidden="false" customHeight="true" outlineLevel="0" collapsed="false">
      <c r="A1969" s="1" t="s">
        <v>3847</v>
      </c>
      <c r="B1969" s="1" t="n">
        <v>1956</v>
      </c>
      <c r="C1969" s="1" t="n">
        <v>2</v>
      </c>
      <c r="D1969" s="1" t="s">
        <v>38</v>
      </c>
      <c r="E1969" s="1" t="s">
        <v>1346</v>
      </c>
      <c r="F1969" s="1" t="n">
        <v>0</v>
      </c>
      <c r="G1969" s="1" t="n">
        <v>120</v>
      </c>
      <c r="H1969" s="2" t="n">
        <v>945000</v>
      </c>
      <c r="I1969" s="2" t="n">
        <f aca="false">(((H1969 / 800) / IF(ISBLANK(R1969), 1000000, IF(ISNA(VLOOKUP(R1969, Mileages!$A$2:$C$34, 2, 0)), R1969, VLOOKUP(R1969, Mileages!$A$2:$C$34, 2, 0)))) + (F1969 * IF(ISBLANK(P1969), 1, P1969) * IF(ISBLANK(T1969), 0, IF(ISNA(VLOOKUP(T1969, 'Fuel Costs'!$A$2:$C$42, 2, 0)), T1969, VLOOKUP(T1969, 'Fuel Costs'!$A$2:$C$42, 2, 0))) / IF(ISBLANK(O1969), 1, O1969))) * 100</f>
        <v>0.0984375</v>
      </c>
      <c r="J1969" s="2" t="n">
        <f aca="false">((H1969 / 800) / (IF(ISBLANK(S1969), 100, IF(ISNA(VLOOKUP(S1969, Lives!$A$2:$C$35, 2, 0)), S1969, VLOOKUP(S1969, Lives!$A$2:$C$35, 2, 0))) * 12) + (IF(ISBLANK(Q1969), 0, IF(ISNA(VLOOKUP(Q1969, Wages!$A$2:$C$17, 2, 0)), Q1969, VLOOKUP(Q1969, Wages!$A$2:$C$17, 2, 0))) * IF(ISBLANK(N1969), 0, IF(ISNA(VLOOKUP(N1969, Crews!$A$2:$C$28, 2, 0)), N1969, VLOOKUP(N1969, Crews!$A$2:$C$28, 2, 0))))) * 400</f>
        <v>1125</v>
      </c>
      <c r="K1969" s="1"/>
      <c r="L1969" s="1" t="s">
        <v>3845</v>
      </c>
      <c r="M1969" s="1" t="n">
        <v>2</v>
      </c>
      <c r="N1969" s="1"/>
      <c r="O1969" s="1"/>
      <c r="P1969" s="1"/>
      <c r="Q1969" s="1"/>
      <c r="R1969" s="1" t="s">
        <v>689</v>
      </c>
      <c r="S1969" s="1" t="s">
        <v>856</v>
      </c>
      <c r="T1969" s="1"/>
    </row>
    <row r="1970" customFormat="false" ht="15" hidden="false" customHeight="true" outlineLevel="0" collapsed="false">
      <c r="A1970" s="1" t="s">
        <v>3848</v>
      </c>
      <c r="B1970" s="1" t="n">
        <v>1956</v>
      </c>
      <c r="C1970" s="1" t="n">
        <v>2</v>
      </c>
      <c r="D1970" s="1" t="s">
        <v>38</v>
      </c>
      <c r="E1970" s="1" t="s">
        <v>1346</v>
      </c>
      <c r="F1970" s="1" t="n">
        <v>0</v>
      </c>
      <c r="G1970" s="1" t="n">
        <v>120</v>
      </c>
      <c r="H1970" s="2" t="n">
        <v>1095000</v>
      </c>
      <c r="I1970" s="2" t="n">
        <f aca="false">(((H1970 / 800) / IF(ISBLANK(R1970), 1000000, IF(ISNA(VLOOKUP(R1970, Mileages!$A$2:$C$34, 2, 0)), R1970, VLOOKUP(R1970, Mileages!$A$2:$C$34, 2, 0)))) + (F1970 * IF(ISBLANK(P1970), 1, P1970) * IF(ISBLANK(T1970), 0, IF(ISNA(VLOOKUP(T1970, 'Fuel Costs'!$A$2:$C$42, 2, 0)), T1970, VLOOKUP(T1970, 'Fuel Costs'!$A$2:$C$42, 2, 0))) / IF(ISBLANK(O1970), 1, O1970))) * 100</f>
        <v>0.1140625</v>
      </c>
      <c r="J1970" s="2" t="n">
        <f aca="false">((H1970 / 800) / (IF(ISBLANK(S1970), 100, IF(ISNA(VLOOKUP(S1970, Lives!$A$2:$C$35, 2, 0)), S1970, VLOOKUP(S1970, Lives!$A$2:$C$35, 2, 0))) * 12) + (IF(ISBLANK(Q1970), 0, IF(ISNA(VLOOKUP(Q1970, Wages!$A$2:$C$17, 2, 0)), Q1970, VLOOKUP(Q1970, Wages!$A$2:$C$17, 2, 0))) * IF(ISBLANK(N1970), 0, IF(ISNA(VLOOKUP(N1970, Crews!$A$2:$C$28, 2, 0)), N1970, VLOOKUP(N1970, Crews!$A$2:$C$28, 2, 0))))) * 400</f>
        <v>1303.571429</v>
      </c>
      <c r="K1970" s="1"/>
      <c r="L1970" s="1" t="s">
        <v>3845</v>
      </c>
      <c r="M1970" s="1" t="n">
        <v>3</v>
      </c>
      <c r="N1970" s="1"/>
      <c r="O1970" s="1"/>
      <c r="P1970" s="1"/>
      <c r="Q1970" s="1"/>
      <c r="R1970" s="1" t="s">
        <v>689</v>
      </c>
      <c r="S1970" s="1" t="s">
        <v>856</v>
      </c>
      <c r="T1970" s="1"/>
    </row>
    <row r="1971" customFormat="false" ht="15" hidden="false" customHeight="true" outlineLevel="0" collapsed="false">
      <c r="A1971" s="1" t="s">
        <v>3849</v>
      </c>
      <c r="B1971" s="1" t="n">
        <v>1956</v>
      </c>
      <c r="C1971" s="1" t="n">
        <v>3</v>
      </c>
      <c r="D1971" s="1" t="s">
        <v>38</v>
      </c>
      <c r="E1971" s="1" t="s">
        <v>2039</v>
      </c>
      <c r="F1971" s="1" t="n">
        <v>224</v>
      </c>
      <c r="G1971" s="1" t="n">
        <v>113</v>
      </c>
      <c r="H1971" s="2" t="n">
        <v>1240000</v>
      </c>
      <c r="I1971" s="2" t="n">
        <f aca="false">(((H1971 / 800) / IF(ISBLANK(R1971), 1000000, IF(ISNA(VLOOKUP(R1971, Mileages!$A$2:$C$34, 2, 0)), R1971, VLOOKUP(R1971, Mileages!$A$2:$C$34, 2, 0)))) + (F1971 * IF(ISBLANK(P1971), 1, P1971) * IF(ISBLANK(T1971), 0, IF(ISNA(VLOOKUP(T1971, 'Fuel Costs'!$A$2:$C$42, 2, 0)), T1971, VLOOKUP(T1971, 'Fuel Costs'!$A$2:$C$42, 2, 0))) / IF(ISBLANK(O1971), 1, O1971))) * 100</f>
        <v>224.31</v>
      </c>
      <c r="J1971" s="2" t="n">
        <f aca="false">((H1971 / 800) / (IF(ISBLANK(S1971), 100, IF(ISNA(VLOOKUP(S1971, Lives!$A$2:$C$35, 2, 0)), S1971, VLOOKUP(S1971, Lives!$A$2:$C$35, 2, 0))) * 12) + (IF(ISBLANK(Q1971), 0, IF(ISNA(VLOOKUP(Q1971, Wages!$A$2:$C$17, 2, 0)), Q1971, VLOOKUP(Q1971, Wages!$A$2:$C$17, 2, 0))) * IF(ISBLANK(N1971), 0, IF(ISNA(VLOOKUP(N1971, Crews!$A$2:$C$28, 2, 0)), N1971, VLOOKUP(N1971, Crews!$A$2:$C$28, 2, 0))))) * 400</f>
        <v>11291.66667</v>
      </c>
      <c r="K1971" s="1" t="s">
        <v>3850</v>
      </c>
      <c r="L1971" s="1" t="s">
        <v>3851</v>
      </c>
      <c r="M1971" s="1" t="n">
        <v>0</v>
      </c>
      <c r="N1971" s="1" t="s">
        <v>1488</v>
      </c>
      <c r="O1971" s="1" t="n">
        <v>0.5</v>
      </c>
      <c r="P1971" s="1"/>
      <c r="Q1971" s="1" t="s">
        <v>1488</v>
      </c>
      <c r="R1971" s="1" t="s">
        <v>3179</v>
      </c>
      <c r="S1971" s="1" t="s">
        <v>3179</v>
      </c>
      <c r="T1971" s="1" t="s">
        <v>2041</v>
      </c>
    </row>
    <row r="1972" customFormat="false" ht="15" hidden="false" customHeight="true" outlineLevel="0" collapsed="false">
      <c r="A1972" s="1" t="s">
        <v>3852</v>
      </c>
      <c r="B1972" s="1" t="n">
        <v>1956</v>
      </c>
      <c r="C1972" s="1" t="n">
        <v>3</v>
      </c>
      <c r="D1972" s="1" t="s">
        <v>38</v>
      </c>
      <c r="E1972" s="1" t="s">
        <v>2039</v>
      </c>
      <c r="F1972" s="1" t="n">
        <v>0</v>
      </c>
      <c r="G1972" s="1" t="n">
        <v>113</v>
      </c>
      <c r="H1972" s="2" t="n">
        <v>591000</v>
      </c>
      <c r="I1972" s="2" t="n">
        <f aca="false">(((H1972 / 800) / IF(ISBLANK(R1972), 1000000, IF(ISNA(VLOOKUP(R1972, Mileages!$A$2:$C$34, 2, 0)), R1972, VLOOKUP(R1972, Mileages!$A$2:$C$34, 2, 0)))) + (F1972 * IF(ISBLANK(P1972), 1, P1972) * IF(ISBLANK(T1972), 0, IF(ISNA(VLOOKUP(T1972, 'Fuel Costs'!$A$2:$C$42, 2, 0)), T1972, VLOOKUP(T1972, 'Fuel Costs'!$A$2:$C$42, 2, 0))) / IF(ISBLANK(O1972), 1, O1972))) * 100</f>
        <v>0.0615625</v>
      </c>
      <c r="J1972" s="2" t="n">
        <f aca="false">((H1972 / 800) / (IF(ISBLANK(S1972), 100, IF(ISNA(VLOOKUP(S1972, Lives!$A$2:$C$35, 2, 0)), S1972, VLOOKUP(S1972, Lives!$A$2:$C$35, 2, 0))) * 12) + (IF(ISBLANK(Q1972), 0, IF(ISNA(VLOOKUP(Q1972, Wages!$A$2:$C$17, 2, 0)), Q1972, VLOOKUP(Q1972, Wages!$A$2:$C$17, 2, 0))) * IF(ISBLANK(N1972), 0, IF(ISNA(VLOOKUP(N1972, Crews!$A$2:$C$28, 2, 0)), N1972, VLOOKUP(N1972, Crews!$A$2:$C$28, 2, 0))))) * 400</f>
        <v>703.5714286</v>
      </c>
      <c r="K1972" s="1" t="s">
        <v>3853</v>
      </c>
      <c r="L1972" s="1" t="s">
        <v>3851</v>
      </c>
      <c r="M1972" s="1" t="n">
        <v>1</v>
      </c>
      <c r="N1972" s="1"/>
      <c r="O1972" s="1"/>
      <c r="P1972" s="1"/>
      <c r="Q1972" s="1"/>
      <c r="R1972" s="1" t="s">
        <v>689</v>
      </c>
      <c r="S1972" s="1" t="s">
        <v>856</v>
      </c>
      <c r="T1972" s="1"/>
    </row>
    <row r="1973" customFormat="false" ht="15" hidden="false" customHeight="true" outlineLevel="0" collapsed="false">
      <c r="A1973" s="1" t="s">
        <v>3854</v>
      </c>
      <c r="B1973" s="1" t="n">
        <v>1956</v>
      </c>
      <c r="C1973" s="1" t="n">
        <v>3</v>
      </c>
      <c r="D1973" s="1" t="s">
        <v>38</v>
      </c>
      <c r="E1973" s="1" t="s">
        <v>2039</v>
      </c>
      <c r="F1973" s="1" t="n">
        <v>224</v>
      </c>
      <c r="G1973" s="1" t="n">
        <v>113</v>
      </c>
      <c r="H1973" s="2" t="n">
        <v>1240000</v>
      </c>
      <c r="I1973" s="2" t="n">
        <f aca="false">(((H1973 / 800) / IF(ISBLANK(R1973), 1000000, IF(ISNA(VLOOKUP(R1973, Mileages!$A$2:$C$34, 2, 0)), R1973, VLOOKUP(R1973, Mileages!$A$2:$C$34, 2, 0)))) + (F1973 * IF(ISBLANK(P1973), 1, P1973) * IF(ISBLANK(T1973), 0, IF(ISNA(VLOOKUP(T1973, 'Fuel Costs'!$A$2:$C$42, 2, 0)), T1973, VLOOKUP(T1973, 'Fuel Costs'!$A$2:$C$42, 2, 0))) / IF(ISBLANK(O1973), 1, O1973))) * 100</f>
        <v>224.31</v>
      </c>
      <c r="J1973" s="2" t="n">
        <f aca="false">((H1973 / 800) / (IF(ISBLANK(S1973), 100, IF(ISNA(VLOOKUP(S1973, Lives!$A$2:$C$35, 2, 0)), S1973, VLOOKUP(S1973, Lives!$A$2:$C$35, 2, 0))) * 12) + (IF(ISBLANK(Q1973), 0, IF(ISNA(VLOOKUP(Q1973, Wages!$A$2:$C$17, 2, 0)), Q1973, VLOOKUP(Q1973, Wages!$A$2:$C$17, 2, 0))) * IF(ISBLANK(N1973), 0, IF(ISNA(VLOOKUP(N1973, Crews!$A$2:$C$28, 2, 0)), N1973, VLOOKUP(N1973, Crews!$A$2:$C$28, 2, 0))))) * 400</f>
        <v>11291.66667</v>
      </c>
      <c r="K1973" s="1" t="s">
        <v>3855</v>
      </c>
      <c r="L1973" s="1" t="s">
        <v>3851</v>
      </c>
      <c r="M1973" s="1" t="n">
        <v>2</v>
      </c>
      <c r="N1973" s="1" t="s">
        <v>1488</v>
      </c>
      <c r="O1973" s="1" t="n">
        <v>0.5</v>
      </c>
      <c r="P1973" s="1"/>
      <c r="Q1973" s="1" t="s">
        <v>1488</v>
      </c>
      <c r="R1973" s="1" t="s">
        <v>3179</v>
      </c>
      <c r="S1973" s="1" t="s">
        <v>3179</v>
      </c>
      <c r="T1973" s="1" t="s">
        <v>2041</v>
      </c>
    </row>
    <row r="1974" customFormat="false" ht="15" hidden="false" customHeight="true" outlineLevel="0" collapsed="false">
      <c r="A1974" s="1" t="s">
        <v>3856</v>
      </c>
      <c r="B1974" s="1" t="n">
        <v>1956</v>
      </c>
      <c r="C1974" s="1" t="n">
        <v>3</v>
      </c>
      <c r="D1974" s="1" t="s">
        <v>38</v>
      </c>
      <c r="E1974" s="1" t="s">
        <v>2039</v>
      </c>
      <c r="F1974" s="1" t="n">
        <v>0</v>
      </c>
      <c r="G1974" s="1" t="n">
        <v>113</v>
      </c>
      <c r="H1974" s="2" t="n">
        <v>620000</v>
      </c>
      <c r="I1974" s="2" t="n">
        <f aca="false">(((H1974 / 800) / IF(ISBLANK(R1974), 1000000, IF(ISNA(VLOOKUP(R1974, Mileages!$A$2:$C$34, 2, 0)), R1974, VLOOKUP(R1974, Mileages!$A$2:$C$34, 2, 0)))) + (F1974 * IF(ISBLANK(P1974), 1, P1974) * IF(ISBLANK(T1974), 0, IF(ISNA(VLOOKUP(T1974, 'Fuel Costs'!$A$2:$C$42, 2, 0)), T1974, VLOOKUP(T1974, 'Fuel Costs'!$A$2:$C$42, 2, 0))) / IF(ISBLANK(O1974), 1, O1974))) * 100</f>
        <v>0.06458333333</v>
      </c>
      <c r="J1974" s="2" t="n">
        <f aca="false">((H1974 / 800) / (IF(ISBLANK(S1974), 100, IF(ISNA(VLOOKUP(S1974, Lives!$A$2:$C$35, 2, 0)), S1974, VLOOKUP(S1974, Lives!$A$2:$C$35, 2, 0))) * 12) + (IF(ISBLANK(Q1974), 0, IF(ISNA(VLOOKUP(Q1974, Wages!$A$2:$C$17, 2, 0)), Q1974, VLOOKUP(Q1974, Wages!$A$2:$C$17, 2, 0))) * IF(ISBLANK(N1974), 0, IF(ISNA(VLOOKUP(N1974, Crews!$A$2:$C$28, 2, 0)), N1974, VLOOKUP(N1974, Crews!$A$2:$C$28, 2, 0))))) * 400</f>
        <v>738.0952381</v>
      </c>
      <c r="K1974" s="1" t="s">
        <v>3857</v>
      </c>
      <c r="L1974" s="1" t="s">
        <v>3851</v>
      </c>
      <c r="M1974" s="1" t="n">
        <v>3</v>
      </c>
      <c r="N1974" s="1"/>
      <c r="O1974" s="1"/>
      <c r="P1974" s="1"/>
      <c r="Q1974" s="1"/>
      <c r="R1974" s="1" t="s">
        <v>689</v>
      </c>
      <c r="S1974" s="1" t="s">
        <v>856</v>
      </c>
      <c r="T1974" s="1"/>
    </row>
    <row r="1975" customFormat="false" ht="15" hidden="false" customHeight="true" outlineLevel="0" collapsed="false">
      <c r="A1975" s="1" t="s">
        <v>3858</v>
      </c>
      <c r="B1975" s="1" t="n">
        <v>1956</v>
      </c>
      <c r="C1975" s="1" t="n">
        <v>4</v>
      </c>
      <c r="D1975" s="1" t="s">
        <v>2225</v>
      </c>
      <c r="E1975" s="1" t="s">
        <v>1839</v>
      </c>
      <c r="F1975" s="1" t="n">
        <v>10144</v>
      </c>
      <c r="G1975" s="1" t="n">
        <v>555</v>
      </c>
      <c r="H1975" s="2" t="n">
        <v>15000000</v>
      </c>
      <c r="I1975" s="2" t="n">
        <f aca="false">(((H1975 / 800) / IF(ISBLANK(R1975), 1000000, IF(ISNA(VLOOKUP(R1975, Mileages!$A$2:$C$34, 2, 0)), R1975, VLOOKUP(R1975, Mileages!$A$2:$C$34, 2, 0)))) + (F1975 * IF(ISBLANK(P1975), 1, P1975) * IF(ISBLANK(T1975), 0, IF(ISNA(VLOOKUP(T1975, 'Fuel Costs'!$A$2:$C$42, 2, 0)), T1975, VLOOKUP(T1975, 'Fuel Costs'!$A$2:$C$42, 2, 0))) / IF(ISBLANK(O1975), 1, O1975))) * 100</f>
        <v>406.135</v>
      </c>
      <c r="J1975" s="2" t="n">
        <f aca="false">((H1975 / 800) / (IF(ISBLANK(S1975), 100, IF(ISNA(VLOOKUP(S1975, Lives!$A$2:$C$35, 2, 0)), S1975, VLOOKUP(S1975, Lives!$A$2:$C$35, 2, 0))) * 12) + (IF(ISBLANK(Q1975), 0, IF(ISNA(VLOOKUP(Q1975, Wages!$A$2:$C$17, 2, 0)), Q1975, VLOOKUP(Q1975, Wages!$A$2:$C$17, 2, 0))) * IF(ISBLANK(N1975), 0, IF(ISNA(VLOOKUP(N1975, Crews!$A$2:$C$28, 2, 0)), N1975, VLOOKUP(N1975, Crews!$A$2:$C$28, 2, 0))))) * 400</f>
        <v>60416.66667</v>
      </c>
      <c r="K1975" s="3" t="s">
        <v>3859</v>
      </c>
      <c r="L1975" s="1" t="s">
        <v>3860</v>
      </c>
      <c r="M1975" s="1" t="n">
        <v>0</v>
      </c>
      <c r="N1975" s="1" t="s">
        <v>2342</v>
      </c>
      <c r="O1975" s="1"/>
      <c r="P1975" s="1" t="n">
        <v>0.1</v>
      </c>
      <c r="Q1975" s="1" t="s">
        <v>2229</v>
      </c>
      <c r="R1975" s="1" t="s">
        <v>2229</v>
      </c>
      <c r="S1975" s="1" t="s">
        <v>2229</v>
      </c>
      <c r="T1975" s="1" t="s">
        <v>3481</v>
      </c>
    </row>
    <row r="1976" customFormat="false" ht="15" hidden="false" customHeight="true" outlineLevel="0" collapsed="false">
      <c r="A1976" s="1" t="s">
        <v>3861</v>
      </c>
      <c r="B1976" s="1" t="n">
        <v>1956</v>
      </c>
      <c r="C1976" s="1" t="n">
        <v>4</v>
      </c>
      <c r="D1976" s="1" t="s">
        <v>2225</v>
      </c>
      <c r="E1976" s="1" t="s">
        <v>1839</v>
      </c>
      <c r="F1976" s="1" t="n">
        <v>10144</v>
      </c>
      <c r="G1976" s="1" t="n">
        <v>555</v>
      </c>
      <c r="H1976" s="2" t="n">
        <v>15000000</v>
      </c>
      <c r="I1976" s="2" t="n">
        <f aca="false">(((H1976 / 800) / IF(ISBLANK(R1976), 1000000, IF(ISNA(VLOOKUP(R1976, Mileages!$A$2:$C$34, 2, 0)), R1976, VLOOKUP(R1976, Mileages!$A$2:$C$34, 2, 0)))) + (F1976 * IF(ISBLANK(P1976), 1, P1976) * IF(ISBLANK(T1976), 0, IF(ISNA(VLOOKUP(T1976, 'Fuel Costs'!$A$2:$C$42, 2, 0)), T1976, VLOOKUP(T1976, 'Fuel Costs'!$A$2:$C$42, 2, 0))) / IF(ISBLANK(O1976), 1, O1976))) * 100</f>
        <v>406.135</v>
      </c>
      <c r="J1976" s="2" t="n">
        <f aca="false">((H1976 / 800) / (IF(ISBLANK(S1976), 100, IF(ISNA(VLOOKUP(S1976, Lives!$A$2:$C$35, 2, 0)), S1976, VLOOKUP(S1976, Lives!$A$2:$C$35, 2, 0))) * 12) + (IF(ISBLANK(Q1976), 0, IF(ISNA(VLOOKUP(Q1976, Wages!$A$2:$C$17, 2, 0)), Q1976, VLOOKUP(Q1976, Wages!$A$2:$C$17, 2, 0))) * IF(ISBLANK(N1976), 0, IF(ISNA(VLOOKUP(N1976, Crews!$A$2:$C$28, 2, 0)), N1976, VLOOKUP(N1976, Crews!$A$2:$C$28, 2, 0))))) * 400</f>
        <v>60416.66667</v>
      </c>
      <c r="K1976" s="3" t="s">
        <v>3862</v>
      </c>
      <c r="L1976" s="1" t="s">
        <v>3860</v>
      </c>
      <c r="M1976" s="1" t="n">
        <v>1</v>
      </c>
      <c r="N1976" s="1" t="s">
        <v>2342</v>
      </c>
      <c r="O1976" s="1"/>
      <c r="P1976" s="1" t="n">
        <v>0.1</v>
      </c>
      <c r="Q1976" s="1" t="s">
        <v>2229</v>
      </c>
      <c r="R1976" s="1" t="s">
        <v>2229</v>
      </c>
      <c r="S1976" s="1" t="s">
        <v>2229</v>
      </c>
      <c r="T1976" s="1" t="s">
        <v>3481</v>
      </c>
    </row>
    <row r="1977" customFormat="false" ht="15" hidden="false" customHeight="true" outlineLevel="0" collapsed="false">
      <c r="A1977" s="1" t="s">
        <v>3863</v>
      </c>
      <c r="B1977" s="1" t="n">
        <v>1956</v>
      </c>
      <c r="C1977" s="1" t="n">
        <v>4</v>
      </c>
      <c r="D1977" s="1" t="s">
        <v>38</v>
      </c>
      <c r="E1977" s="1" t="s">
        <v>1346</v>
      </c>
      <c r="F1977" s="1" t="n">
        <v>370</v>
      </c>
      <c r="G1977" s="1" t="n">
        <v>121</v>
      </c>
      <c r="H1977" s="2" t="n">
        <v>1460000</v>
      </c>
      <c r="I1977" s="2" t="n">
        <f aca="false">(((H1977 / 800) / IF(ISBLANK(R1977), 1000000, IF(ISNA(VLOOKUP(R1977, Mileages!$A$2:$C$34, 2, 0)), R1977, VLOOKUP(R1977, Mileages!$A$2:$C$34, 2, 0)))) + (F1977 * IF(ISBLANK(P1977), 1, P1977) * IF(ISBLANK(T1977), 0, IF(ISNA(VLOOKUP(T1977, 'Fuel Costs'!$A$2:$C$42, 2, 0)), T1977, VLOOKUP(T1977, 'Fuel Costs'!$A$2:$C$42, 2, 0))) / IF(ISBLANK(O1977), 1, O1977))) * 100</f>
        <v>74.1825</v>
      </c>
      <c r="J1977" s="2" t="n">
        <f aca="false">((H1977 / 800) / (IF(ISBLANK(S1977), 100, IF(ISNA(VLOOKUP(S1977, Lives!$A$2:$C$35, 2, 0)), S1977, VLOOKUP(S1977, Lives!$A$2:$C$35, 2, 0))) * 12) + (IF(ISBLANK(Q1977), 0, IF(ISNA(VLOOKUP(Q1977, Wages!$A$2:$C$17, 2, 0)), Q1977, VLOOKUP(Q1977, Wages!$A$2:$C$17, 2, 0))) * IF(ISBLANK(N1977), 0, IF(ISNA(VLOOKUP(N1977, Crews!$A$2:$C$28, 2, 0)), N1977, VLOOKUP(N1977, Crews!$A$2:$C$28, 2, 0))))) * 400</f>
        <v>11013.88889</v>
      </c>
      <c r="K1977" s="1" t="s">
        <v>3864</v>
      </c>
      <c r="L1977" s="1" t="s">
        <v>3865</v>
      </c>
      <c r="M1977" s="1" t="n">
        <v>0</v>
      </c>
      <c r="N1977" s="1" t="s">
        <v>1488</v>
      </c>
      <c r="O1977" s="1" t="n">
        <v>1</v>
      </c>
      <c r="P1977" s="1"/>
      <c r="Q1977" s="1" t="str">
        <f aca="false">IF(ISBLANK('Pak128 Britain In'!$N1977),,'Pak128 Britain In'!$N1977)</f>
        <v>ElectricDriverRail</v>
      </c>
      <c r="R1977" s="1" t="s">
        <v>1349</v>
      </c>
      <c r="S1977" s="1" t="s">
        <v>1349</v>
      </c>
      <c r="T1977" s="1" t="s">
        <v>3471</v>
      </c>
    </row>
    <row r="1978" customFormat="false" ht="15" hidden="false" customHeight="true" outlineLevel="0" collapsed="false">
      <c r="A1978" s="1" t="s">
        <v>3866</v>
      </c>
      <c r="B1978" s="1" t="n">
        <v>1956</v>
      </c>
      <c r="C1978" s="1" t="n">
        <v>4</v>
      </c>
      <c r="D1978" s="1" t="s">
        <v>38</v>
      </c>
      <c r="E1978" s="1" t="s">
        <v>1346</v>
      </c>
      <c r="F1978" s="1" t="n">
        <v>0</v>
      </c>
      <c r="G1978" s="1" t="n">
        <v>121</v>
      </c>
      <c r="H1978" s="2" t="n">
        <v>1460000</v>
      </c>
      <c r="I1978" s="2" t="n">
        <f aca="false">(((H1978 / 800) / IF(ISBLANK(R1978), 1000000, IF(ISNA(VLOOKUP(R1978, Mileages!$A$2:$C$34, 2, 0)), R1978, VLOOKUP(R1978, Mileages!$A$2:$C$34, 2, 0)))) + (F1978 * IF(ISBLANK(P1978), 1, P1978) * IF(ISBLANK(T1978), 0, IF(ISNA(VLOOKUP(T1978, 'Fuel Costs'!$A$2:$C$42, 2, 0)), T1978, VLOOKUP(T1978, 'Fuel Costs'!$A$2:$C$42, 2, 0))) / IF(ISBLANK(O1978), 1, O1978))) * 100</f>
        <v>0.1520833333</v>
      </c>
      <c r="J1978" s="2" t="n">
        <f aca="false">((H1978 / 800) / (IF(ISBLANK(S1978), 100, IF(ISNA(VLOOKUP(S1978, Lives!$A$2:$C$35, 2, 0)), S1978, VLOOKUP(S1978, Lives!$A$2:$C$35, 2, 0))) * 12) + (IF(ISBLANK(Q1978), 0, IF(ISNA(VLOOKUP(Q1978, Wages!$A$2:$C$17, 2, 0)), Q1978, VLOOKUP(Q1978, Wages!$A$2:$C$17, 2, 0))) * IF(ISBLANK(N1978), 0, IF(ISNA(VLOOKUP(N1978, Crews!$A$2:$C$28, 2, 0)), N1978, VLOOKUP(N1978, Crews!$A$2:$C$28, 2, 0))))) * 400</f>
        <v>1738.095238</v>
      </c>
      <c r="K1978" s="1" t="s">
        <v>3864</v>
      </c>
      <c r="L1978" s="1" t="s">
        <v>3865</v>
      </c>
      <c r="M1978" s="1" t="n">
        <v>1</v>
      </c>
      <c r="N1978" s="1"/>
      <c r="O1978" s="1"/>
      <c r="P1978" s="1"/>
      <c r="Q1978" s="1"/>
      <c r="R1978" s="1" t="s">
        <v>689</v>
      </c>
      <c r="S1978" s="1" t="s">
        <v>856</v>
      </c>
      <c r="T1978" s="1"/>
    </row>
    <row r="1979" customFormat="false" ht="15" hidden="false" customHeight="true" outlineLevel="0" collapsed="false">
      <c r="A1979" s="1" t="s">
        <v>3867</v>
      </c>
      <c r="B1979" s="1" t="n">
        <v>1956</v>
      </c>
      <c r="C1979" s="1" t="n">
        <v>5</v>
      </c>
      <c r="D1979" s="1" t="s">
        <v>38</v>
      </c>
      <c r="E1979" s="1" t="s">
        <v>274</v>
      </c>
      <c r="F1979" s="1" t="n">
        <v>681</v>
      </c>
      <c r="G1979" s="1" t="n">
        <v>160</v>
      </c>
      <c r="H1979" s="2" t="n">
        <v>13522500</v>
      </c>
      <c r="I1979" s="2" t="n">
        <f aca="false">(((H1979 / 800) / IF(ISBLANK(R1979), 1000000, IF(ISNA(VLOOKUP(R1979, Mileages!$A$2:$C$34, 2, 0)), R1979, VLOOKUP(R1979, Mileages!$A$2:$C$34, 2, 0)))) + (F1979 * IF(ISBLANK(P1979), 1, P1979) * IF(ISBLANK(T1979), 0, IF(ISNA(VLOOKUP(T1979, 'Fuel Costs'!$A$2:$C$42, 2, 0)), T1979, VLOOKUP(T1979, 'Fuel Costs'!$A$2:$C$42, 2, 0))) / IF(ISBLANK(O1979), 1, O1979))) * 100</f>
        <v>513.5671875</v>
      </c>
      <c r="J1979" s="2" t="n">
        <f aca="false">((H1979 / 800) / (IF(ISBLANK(S1979), 100, IF(ISNA(VLOOKUP(S1979, Lives!$A$2:$C$35, 2, 0)), S1979, VLOOKUP(S1979, Lives!$A$2:$C$35, 2, 0))) * 12) + (IF(ISBLANK(Q1979), 0, IF(ISNA(VLOOKUP(Q1979, Wages!$A$2:$C$17, 2, 0)), Q1979, VLOOKUP(Q1979, Wages!$A$2:$C$17, 2, 0))) * IF(ISBLANK(N1979), 0, IF(ISNA(VLOOKUP(N1979, Crews!$A$2:$C$28, 2, 0)), N1979, VLOOKUP(N1979, Crews!$A$2:$C$28, 2, 0))))) * 400</f>
        <v>68171.875</v>
      </c>
      <c r="K1979" s="3" t="s">
        <v>3868</v>
      </c>
      <c r="L1979" s="1" t="s">
        <v>3869</v>
      </c>
      <c r="M1979" s="1" t="n">
        <v>0</v>
      </c>
      <c r="N1979" s="1" t="s">
        <v>1705</v>
      </c>
      <c r="O1979" s="1" t="n">
        <v>0.8</v>
      </c>
      <c r="P1979" s="1"/>
      <c r="Q1979" s="5" t="s">
        <v>284</v>
      </c>
      <c r="R1979" s="1" t="s">
        <v>2617</v>
      </c>
      <c r="S1979" s="1" t="s">
        <v>2617</v>
      </c>
      <c r="T1979" s="1" t="s">
        <v>3553</v>
      </c>
    </row>
    <row r="1980" customFormat="false" ht="15" hidden="false" customHeight="true" outlineLevel="0" collapsed="false">
      <c r="A1980" s="1" t="s">
        <v>3870</v>
      </c>
      <c r="B1980" s="1" t="n">
        <v>1956</v>
      </c>
      <c r="C1980" s="1" t="n">
        <v>5</v>
      </c>
      <c r="D1980" s="1" t="s">
        <v>21</v>
      </c>
      <c r="E1980" s="1" t="s">
        <v>2039</v>
      </c>
      <c r="F1980" s="1" t="n">
        <v>86</v>
      </c>
      <c r="G1980" s="1" t="n">
        <v>73</v>
      </c>
      <c r="H1980" s="2" t="n">
        <v>2110000</v>
      </c>
      <c r="I1980" s="2" t="n">
        <f aca="false">(((H1980 / 800) / IF(ISBLANK(R1980), 1000000, IF(ISNA(VLOOKUP(R1980, Mileages!$A$2:$C$34, 2, 0)), R1980, VLOOKUP(R1980, Mileages!$A$2:$C$34, 2, 0)))) + (F1980 * IF(ISBLANK(P1980), 1, P1980) * IF(ISBLANK(T1980), 0, IF(ISNA(VLOOKUP(T1980, 'Fuel Costs'!$A$2:$C$42, 2, 0)), T1980, VLOOKUP(T1980, 'Fuel Costs'!$A$2:$C$42, 2, 0))) / IF(ISBLANK(O1980), 1, O1980))) * 100</f>
        <v>86.26375</v>
      </c>
      <c r="J1980" s="2" t="n">
        <f aca="false">((H1980 / 800) / (IF(ISBLANK(S1980), 100, IF(ISNA(VLOOKUP(S1980, Lives!$A$2:$C$35, 2, 0)), S1980, VLOOKUP(S1980, Lives!$A$2:$C$35, 2, 0))) * 12) + (IF(ISBLANK(Q1980), 0, IF(ISNA(VLOOKUP(Q1980, Wages!$A$2:$C$17, 2, 0)), Q1980, VLOOKUP(Q1980, Wages!$A$2:$C$17, 2, 0))) * IF(ISBLANK(N1980), 0, IF(ISNA(VLOOKUP(N1980, Crews!$A$2:$C$28, 2, 0)), N1980, VLOOKUP(N1980, Crews!$A$2:$C$28, 2, 0))))) * 400</f>
        <v>9098.958333</v>
      </c>
      <c r="K1980" s="3" t="s">
        <v>3871</v>
      </c>
      <c r="L1980" s="1" t="s">
        <v>3872</v>
      </c>
      <c r="M1980" s="1" t="n">
        <v>0</v>
      </c>
      <c r="N1980" s="1" t="s">
        <v>1815</v>
      </c>
      <c r="O1980" s="1" t="n">
        <v>0.5</v>
      </c>
      <c r="P1980" s="1"/>
      <c r="Q1980" s="1" t="s">
        <v>1815</v>
      </c>
      <c r="R1980" s="1" t="s">
        <v>1843</v>
      </c>
      <c r="S1980" s="1" t="s">
        <v>1843</v>
      </c>
      <c r="T1980" s="1" t="s">
        <v>2041</v>
      </c>
    </row>
    <row r="1981" customFormat="false" ht="15" hidden="false" customHeight="true" outlineLevel="0" collapsed="false">
      <c r="A1981" s="1" t="s">
        <v>3873</v>
      </c>
      <c r="B1981" s="1" t="n">
        <v>1956</v>
      </c>
      <c r="C1981" s="1" t="n">
        <v>7</v>
      </c>
      <c r="D1981" s="1" t="s">
        <v>2225</v>
      </c>
      <c r="E1981" s="1" t="s">
        <v>3660</v>
      </c>
      <c r="F1981" s="1" t="n">
        <v>4774</v>
      </c>
      <c r="G1981" s="1" t="n">
        <v>530</v>
      </c>
      <c r="H1981" s="2" t="n">
        <v>11000000</v>
      </c>
      <c r="I1981" s="2" t="n">
        <f aca="false">(((H1981 / 800) / IF(ISBLANK(R1981), 1000000, IF(ISNA(VLOOKUP(R1981, Mileages!$A$2:$C$34, 2, 0)), R1981, VLOOKUP(R1981, Mileages!$A$2:$C$34, 2, 0)))) + (F1981 * IF(ISBLANK(P1981), 1, P1981) * IF(ISBLANK(T1981), 0, IF(ISNA(VLOOKUP(T1981, 'Fuel Costs'!$A$2:$C$42, 2, 0)), T1981, VLOOKUP(T1981, 'Fuel Costs'!$A$2:$C$42, 2, 0))) / IF(ISBLANK(O1981), 1, O1981))) * 100</f>
        <v>38.467</v>
      </c>
      <c r="J1981" s="2" t="n">
        <f aca="false">((H1981 / 800) / (IF(ISBLANK(S1981), 100, IF(ISNA(VLOOKUP(S1981, Lives!$A$2:$C$35, 2, 0)), S1981, VLOOKUP(S1981, Lives!$A$2:$C$35, 2, 0))) * 12) + (IF(ISBLANK(Q1981), 0, IF(ISNA(VLOOKUP(Q1981, Wages!$A$2:$C$17, 2, 0)), Q1981, VLOOKUP(Q1981, Wages!$A$2:$C$17, 2, 0))) * IF(ISBLANK(N1981), 0, IF(ISNA(VLOOKUP(N1981, Crews!$A$2:$C$28, 2, 0)), N1981, VLOOKUP(N1981, Crews!$A$2:$C$28, 2, 0))))) * 400</f>
        <v>57638.88889</v>
      </c>
      <c r="K1981" s="3" t="s">
        <v>3661</v>
      </c>
      <c r="L1981" s="1" t="s">
        <v>3874</v>
      </c>
      <c r="M1981" s="1" t="n">
        <v>0</v>
      </c>
      <c r="N1981" s="1" t="s">
        <v>2342</v>
      </c>
      <c r="O1981" s="1"/>
      <c r="P1981" s="1" t="n">
        <v>0.02</v>
      </c>
      <c r="Q1981" s="1" t="s">
        <v>2229</v>
      </c>
      <c r="R1981" s="1" t="s">
        <v>2229</v>
      </c>
      <c r="S1981" s="1" t="s">
        <v>2229</v>
      </c>
      <c r="T1981" s="1" t="s">
        <v>3481</v>
      </c>
    </row>
    <row r="1982" customFormat="false" ht="15" hidden="false" customHeight="true" outlineLevel="0" collapsed="false">
      <c r="A1982" s="1" t="s">
        <v>3875</v>
      </c>
      <c r="B1982" s="1" t="n">
        <v>1956</v>
      </c>
      <c r="C1982" s="1" t="n">
        <v>9</v>
      </c>
      <c r="D1982" s="1" t="s">
        <v>38</v>
      </c>
      <c r="E1982" s="1" t="s">
        <v>1346</v>
      </c>
      <c r="F1982" s="1" t="n">
        <v>375</v>
      </c>
      <c r="G1982" s="1" t="n">
        <v>145</v>
      </c>
      <c r="H1982" s="2" t="n">
        <v>1680000</v>
      </c>
      <c r="I1982" s="2" t="n">
        <f aca="false">(((H1982 / 800) / IF(ISBLANK(R1982), 1000000, IF(ISNA(VLOOKUP(R1982, Mileages!$A$2:$C$34, 2, 0)), R1982, VLOOKUP(R1982, Mileages!$A$2:$C$34, 2, 0)))) + (F1982 * IF(ISBLANK(P1982), 1, P1982) * IF(ISBLANK(T1982), 0, IF(ISNA(VLOOKUP(T1982, 'Fuel Costs'!$A$2:$C$42, 2, 0)), T1982, VLOOKUP(T1982, 'Fuel Costs'!$A$2:$C$42, 2, 0))) / IF(ISBLANK(O1982), 1, O1982))) * 100</f>
        <v>75.21</v>
      </c>
      <c r="J1982" s="2" t="n">
        <f aca="false">((H1982 / 800) / (IF(ISBLANK(S1982), 100, IF(ISNA(VLOOKUP(S1982, Lives!$A$2:$C$35, 2, 0)), S1982, VLOOKUP(S1982, Lives!$A$2:$C$35, 2, 0))) * 12) + (IF(ISBLANK(Q1982), 0, IF(ISNA(VLOOKUP(Q1982, Wages!$A$2:$C$17, 2, 0)), Q1982, VLOOKUP(Q1982, Wages!$A$2:$C$17, 2, 0))) * IF(ISBLANK(N1982), 0, IF(ISNA(VLOOKUP(N1982, Crews!$A$2:$C$28, 2, 0)), N1982, VLOOKUP(N1982, Crews!$A$2:$C$28, 2, 0))))) * 400</f>
        <v>7400</v>
      </c>
      <c r="K1982" s="1" t="s">
        <v>3876</v>
      </c>
      <c r="L1982" s="1" t="s">
        <v>3877</v>
      </c>
      <c r="M1982" s="1" t="n">
        <v>4</v>
      </c>
      <c r="N1982" s="1" t="s">
        <v>1512</v>
      </c>
      <c r="O1982" s="1" t="n">
        <v>1</v>
      </c>
      <c r="P1982" s="1"/>
      <c r="Q1982" s="1" t="str">
        <f aca="false">IF(ISBLANK('Pak128 Britain In'!$N1982),,'Pak128 Britain In'!$N1982)</f>
        <v>ElectricMultipleUnit</v>
      </c>
      <c r="R1982" s="1" t="s">
        <v>1349</v>
      </c>
      <c r="S1982" s="1" t="s">
        <v>1350</v>
      </c>
      <c r="T1982" s="1" t="s">
        <v>3471</v>
      </c>
    </row>
    <row r="1983" customFormat="false" ht="15" hidden="false" customHeight="true" outlineLevel="0" collapsed="false">
      <c r="A1983" s="1" t="s">
        <v>3878</v>
      </c>
      <c r="B1983" s="1" t="n">
        <v>1957</v>
      </c>
      <c r="C1983" s="1" t="n">
        <v>1</v>
      </c>
      <c r="D1983" s="1" t="s">
        <v>38</v>
      </c>
      <c r="E1983" s="1"/>
      <c r="F1983" s="1"/>
      <c r="G1983" s="1" t="n">
        <v>160</v>
      </c>
      <c r="H1983" s="2" t="n">
        <v>724000</v>
      </c>
      <c r="I1983" s="2" t="n">
        <f aca="false">(((H1983 / 800) / IF(ISBLANK(R1983), 1000000, IF(ISNA(VLOOKUP(R1983, Mileages!$A$2:$C$34, 2, 0)), R1983, VLOOKUP(R1983, Mileages!$A$2:$C$34, 2, 0)))) + (F1983 * IF(ISBLANK(P1983), 1, P1983) * IF(ISBLANK(T1983), 0, IF(ISNA(VLOOKUP(T1983, 'Fuel Costs'!$A$2:$C$42, 2, 0)), T1983, VLOOKUP(T1983, 'Fuel Costs'!$A$2:$C$42, 2, 0))) / IF(ISBLANK(O1983), 1, O1983))) * 100</f>
        <v>0.07541666667</v>
      </c>
      <c r="J1983" s="2" t="n">
        <f aca="false">((H1983 / 800) / (IF(ISBLANK(S1983), 100, IF(ISNA(VLOOKUP(S1983, Lives!$A$2:$C$35, 2, 0)), S1983, VLOOKUP(S1983, Lives!$A$2:$C$35, 2, 0))) * 12) + (IF(ISBLANK(Q1983), 0, IF(ISNA(VLOOKUP(Q1983, Wages!$A$2:$C$17, 2, 0)), Q1983, VLOOKUP(Q1983, Wages!$A$2:$C$17, 2, 0))) * IF(ISBLANK(N1983), 0, IF(ISNA(VLOOKUP(N1983, Crews!$A$2:$C$28, 2, 0)), N1983, VLOOKUP(N1983, Crews!$A$2:$C$28, 2, 0))))) * 400</f>
        <v>861.9047619</v>
      </c>
      <c r="K1983" s="1"/>
      <c r="L1983" s="1" t="s">
        <v>3879</v>
      </c>
      <c r="M1983" s="1" t="n">
        <v>0</v>
      </c>
      <c r="N1983" s="1"/>
      <c r="O1983" s="1"/>
      <c r="P1983" s="1"/>
      <c r="Q1983" s="1"/>
      <c r="R1983" s="1" t="s">
        <v>689</v>
      </c>
      <c r="S1983" s="1" t="s">
        <v>856</v>
      </c>
      <c r="T1983" s="1"/>
    </row>
    <row r="1984" customFormat="false" ht="15" hidden="false" customHeight="true" outlineLevel="0" collapsed="false">
      <c r="A1984" s="1" t="s">
        <v>3880</v>
      </c>
      <c r="B1984" s="1" t="n">
        <v>1957</v>
      </c>
      <c r="C1984" s="1" t="n">
        <v>2</v>
      </c>
      <c r="D1984" s="1" t="s">
        <v>2225</v>
      </c>
      <c r="E1984" s="1" t="s">
        <v>3660</v>
      </c>
      <c r="F1984" s="1" t="n">
        <v>13280</v>
      </c>
      <c r="G1984" s="1" t="n">
        <v>575</v>
      </c>
      <c r="H1984" s="2" t="n">
        <v>13100000</v>
      </c>
      <c r="I1984" s="2" t="n">
        <f aca="false">(((H1984 / 800) / IF(ISBLANK(R1984), 1000000, IF(ISNA(VLOOKUP(R1984, Mileages!$A$2:$C$34, 2, 0)), R1984, VLOOKUP(R1984, Mileages!$A$2:$C$34, 2, 0)))) + (F1984 * IF(ISBLANK(P1984), 1, P1984) * IF(ISBLANK(T1984), 0, IF(ISNA(VLOOKUP(T1984, 'Fuel Costs'!$A$2:$C$42, 2, 0)), T1984, VLOOKUP(T1984, 'Fuel Costs'!$A$2:$C$42, 2, 0))) / IF(ISBLANK(O1984), 1, O1984))) * 100</f>
        <v>106.5675</v>
      </c>
      <c r="J1984" s="2" t="n">
        <f aca="false">((H1984 / 800) / (IF(ISBLANK(S1984), 100, IF(ISNA(VLOOKUP(S1984, Lives!$A$2:$C$35, 2, 0)), S1984, VLOOKUP(S1984, Lives!$A$2:$C$35, 2, 0))) * 12) + (IF(ISBLANK(Q1984), 0, IF(ISNA(VLOOKUP(Q1984, Wages!$A$2:$C$17, 2, 0)), Q1984, VLOOKUP(Q1984, Wages!$A$2:$C$17, 2, 0))) * IF(ISBLANK(N1984), 0, IF(ISNA(VLOOKUP(N1984, Crews!$A$2:$C$28, 2, 0)), N1984, VLOOKUP(N1984, Crews!$A$2:$C$28, 2, 0))))) * 400</f>
        <v>59097.22222</v>
      </c>
      <c r="K1984" s="3" t="s">
        <v>3881</v>
      </c>
      <c r="L1984" s="1" t="s">
        <v>3882</v>
      </c>
      <c r="M1984" s="1" t="n">
        <v>0</v>
      </c>
      <c r="N1984" s="1" t="s">
        <v>2342</v>
      </c>
      <c r="O1984" s="1"/>
      <c r="P1984" s="1" t="n">
        <v>0.02</v>
      </c>
      <c r="Q1984" s="1" t="s">
        <v>2229</v>
      </c>
      <c r="R1984" s="1" t="s">
        <v>2229</v>
      </c>
      <c r="S1984" s="1" t="s">
        <v>2229</v>
      </c>
      <c r="T1984" s="1" t="s">
        <v>3481</v>
      </c>
    </row>
    <row r="1985" customFormat="false" ht="15" hidden="false" customHeight="true" outlineLevel="0" collapsed="false">
      <c r="A1985" s="1" t="s">
        <v>3883</v>
      </c>
      <c r="B1985" s="1" t="n">
        <v>1957</v>
      </c>
      <c r="C1985" s="1" t="n">
        <v>3</v>
      </c>
      <c r="D1985" s="1" t="s">
        <v>38</v>
      </c>
      <c r="E1985" s="1" t="s">
        <v>2039</v>
      </c>
      <c r="F1985" s="1" t="n">
        <v>750</v>
      </c>
      <c r="G1985" s="1" t="n">
        <v>120</v>
      </c>
      <c r="H1985" s="2" t="n">
        <v>3500000</v>
      </c>
      <c r="I1985" s="2" t="n">
        <f aca="false">(((H1985 / 800) / IF(ISBLANK(R1985), 1000000, IF(ISNA(VLOOKUP(R1985, Mileages!$A$2:$C$34, 2, 0)), R1985, VLOOKUP(R1985, Mileages!$A$2:$C$34, 2, 0)))) + (F1985 * IF(ISBLANK(P1985), 1, P1985) * IF(ISBLANK(T1985), 0, IF(ISNA(VLOOKUP(T1985, 'Fuel Costs'!$A$2:$C$42, 2, 0)), T1985, VLOOKUP(T1985, 'Fuel Costs'!$A$2:$C$42, 2, 0))) / IF(ISBLANK(O1985), 1, O1985))) * 100</f>
        <v>750.875</v>
      </c>
      <c r="J1985" s="2" t="n">
        <f aca="false">((H1985 / 800) / (IF(ISBLANK(S1985), 100, IF(ISNA(VLOOKUP(S1985, Lives!$A$2:$C$35, 2, 0)), S1985, VLOOKUP(S1985, Lives!$A$2:$C$35, 2, 0))) * 12) + (IF(ISBLANK(Q1985), 0, IF(ISNA(VLOOKUP(Q1985, Wages!$A$2:$C$17, 2, 0)), Q1985, VLOOKUP(Q1985, Wages!$A$2:$C$17, 2, 0))) * IF(ISBLANK(N1985), 0, IF(ISNA(VLOOKUP(N1985, Crews!$A$2:$C$28, 2, 0)), N1985, VLOOKUP(N1985, Crews!$A$2:$C$28, 2, 0))))) * 400</f>
        <v>9645.833333</v>
      </c>
      <c r="K1985" s="1" t="s">
        <v>3884</v>
      </c>
      <c r="L1985" s="1" t="s">
        <v>3885</v>
      </c>
      <c r="M1985" s="1" t="n">
        <v>0</v>
      </c>
      <c r="N1985" s="1" t="s">
        <v>1512</v>
      </c>
      <c r="O1985" s="1" t="n">
        <v>0.5</v>
      </c>
      <c r="P1985" s="1"/>
      <c r="Q1985" s="1" t="s">
        <v>1512</v>
      </c>
      <c r="R1985" s="1" t="s">
        <v>3179</v>
      </c>
      <c r="S1985" s="1" t="s">
        <v>3179</v>
      </c>
      <c r="T1985" s="1" t="s">
        <v>2041</v>
      </c>
    </row>
    <row r="1986" customFormat="false" ht="15" hidden="false" customHeight="true" outlineLevel="0" collapsed="false">
      <c r="A1986" s="1" t="s">
        <v>3886</v>
      </c>
      <c r="B1986" s="1" t="n">
        <v>1957</v>
      </c>
      <c r="C1986" s="1" t="n">
        <v>3</v>
      </c>
      <c r="D1986" s="1" t="s">
        <v>38</v>
      </c>
      <c r="E1986" s="1" t="s">
        <v>2039</v>
      </c>
      <c r="F1986" s="1" t="n">
        <v>0</v>
      </c>
      <c r="G1986" s="1" t="n">
        <v>120</v>
      </c>
      <c r="H1986" s="2" t="n">
        <v>3500000</v>
      </c>
      <c r="I1986" s="2" t="n">
        <f aca="false">(((H1986 / 800) / IF(ISBLANK(R1986), 1000000, IF(ISNA(VLOOKUP(R1986, Mileages!$A$2:$C$34, 2, 0)), R1986, VLOOKUP(R1986, Mileages!$A$2:$C$34, 2, 0)))) + (F1986 * IF(ISBLANK(P1986), 1, P1986) * IF(ISBLANK(T1986), 0, IF(ISNA(VLOOKUP(T1986, 'Fuel Costs'!$A$2:$C$42, 2, 0)), T1986, VLOOKUP(T1986, 'Fuel Costs'!$A$2:$C$42, 2, 0))) / IF(ISBLANK(O1986), 1, O1986))) * 100</f>
        <v>0.3645833333</v>
      </c>
      <c r="J1986" s="2" t="n">
        <f aca="false">((H1986 / 800) / (IF(ISBLANK(S1986), 100, IF(ISNA(VLOOKUP(S1986, Lives!$A$2:$C$35, 2, 0)), S1986, VLOOKUP(S1986, Lives!$A$2:$C$35, 2, 0))) * 12) + (IF(ISBLANK(Q1986), 0, IF(ISNA(VLOOKUP(Q1986, Wages!$A$2:$C$17, 2, 0)), Q1986, VLOOKUP(Q1986, Wages!$A$2:$C$17, 2, 0))) * IF(ISBLANK(N1986), 0, IF(ISNA(VLOOKUP(N1986, Crews!$A$2:$C$28, 2, 0)), N1986, VLOOKUP(N1986, Crews!$A$2:$C$28, 2, 0))))) * 400</f>
        <v>4166.666667</v>
      </c>
      <c r="K1986" s="1"/>
      <c r="L1986" s="1" t="s">
        <v>3885</v>
      </c>
      <c r="M1986" s="1" t="n">
        <v>1</v>
      </c>
      <c r="N1986" s="1"/>
      <c r="O1986" s="1"/>
      <c r="P1986" s="1"/>
      <c r="Q1986" s="1"/>
      <c r="R1986" s="1" t="s">
        <v>689</v>
      </c>
      <c r="S1986" s="1" t="s">
        <v>856</v>
      </c>
      <c r="T1986" s="1"/>
    </row>
    <row r="1987" customFormat="false" ht="15" hidden="false" customHeight="true" outlineLevel="0" collapsed="false">
      <c r="A1987" s="1" t="s">
        <v>3887</v>
      </c>
      <c r="B1987" s="1" t="n">
        <v>1957</v>
      </c>
      <c r="C1987" s="1" t="n">
        <v>3</v>
      </c>
      <c r="D1987" s="1" t="s">
        <v>38</v>
      </c>
      <c r="E1987" s="1" t="s">
        <v>2039</v>
      </c>
      <c r="F1987" s="1" t="n">
        <v>0</v>
      </c>
      <c r="G1987" s="1" t="n">
        <v>120</v>
      </c>
      <c r="H1987" s="2" t="n">
        <v>1300000</v>
      </c>
      <c r="I1987" s="2" t="n">
        <f aca="false">(((H1987 / 800) / IF(ISBLANK(R1987), 1000000, IF(ISNA(VLOOKUP(R1987, Mileages!$A$2:$C$34, 2, 0)), R1987, VLOOKUP(R1987, Mileages!$A$2:$C$34, 2, 0)))) + (F1987 * IF(ISBLANK(P1987), 1, P1987) * IF(ISBLANK(T1987), 0, IF(ISNA(VLOOKUP(T1987, 'Fuel Costs'!$A$2:$C$42, 2, 0)), T1987, VLOOKUP(T1987, 'Fuel Costs'!$A$2:$C$42, 2, 0))) / IF(ISBLANK(O1987), 1, O1987))) * 100</f>
        <v>0.1354166667</v>
      </c>
      <c r="J1987" s="2" t="n">
        <f aca="false">((H1987 / 800) / (IF(ISBLANK(S1987), 100, IF(ISNA(VLOOKUP(S1987, Lives!$A$2:$C$35, 2, 0)), S1987, VLOOKUP(S1987, Lives!$A$2:$C$35, 2, 0))) * 12) + (IF(ISBLANK(Q1987), 0, IF(ISNA(VLOOKUP(Q1987, Wages!$A$2:$C$17, 2, 0)), Q1987, VLOOKUP(Q1987, Wages!$A$2:$C$17, 2, 0))) * IF(ISBLANK(N1987), 0, IF(ISNA(VLOOKUP(N1987, Crews!$A$2:$C$28, 2, 0)), N1987, VLOOKUP(N1987, Crews!$A$2:$C$28, 2, 0))))) * 400</f>
        <v>1547.619048</v>
      </c>
      <c r="K1987" s="1"/>
      <c r="L1987" s="1" t="s">
        <v>3885</v>
      </c>
      <c r="M1987" s="1" t="n">
        <v>2</v>
      </c>
      <c r="N1987" s="1"/>
      <c r="O1987" s="1"/>
      <c r="P1987" s="1"/>
      <c r="Q1987" s="1"/>
      <c r="R1987" s="1" t="s">
        <v>689</v>
      </c>
      <c r="S1987" s="1" t="s">
        <v>856</v>
      </c>
      <c r="T1987" s="1"/>
    </row>
    <row r="1988" customFormat="false" ht="15" hidden="false" customHeight="true" outlineLevel="0" collapsed="false">
      <c r="A1988" s="1" t="s">
        <v>3888</v>
      </c>
      <c r="B1988" s="1" t="n">
        <v>1957</v>
      </c>
      <c r="C1988" s="1" t="n">
        <v>4</v>
      </c>
      <c r="D1988" s="1" t="s">
        <v>38</v>
      </c>
      <c r="E1988" s="1" t="s">
        <v>2039</v>
      </c>
      <c r="F1988" s="1" t="n">
        <v>370</v>
      </c>
      <c r="G1988" s="1" t="n">
        <v>120</v>
      </c>
      <c r="H1988" s="2" t="n">
        <v>3500000</v>
      </c>
      <c r="I1988" s="2" t="n">
        <f aca="false">(((H1988 / 800) / IF(ISBLANK(R1988), 1000000, IF(ISNA(VLOOKUP(R1988, Mileages!$A$2:$C$34, 2, 0)), R1988, VLOOKUP(R1988, Mileages!$A$2:$C$34, 2, 0)))) + (F1988 * IF(ISBLANK(P1988), 1, P1988) * IF(ISBLANK(T1988), 0, IF(ISNA(VLOOKUP(T1988, 'Fuel Costs'!$A$2:$C$42, 2, 0)), T1988, VLOOKUP(T1988, 'Fuel Costs'!$A$2:$C$42, 2, 0))) / IF(ISBLANK(O1988), 1, O1988))) * 100</f>
        <v>370.875</v>
      </c>
      <c r="J1988" s="2" t="n">
        <f aca="false">((H1988 / 800) / (IF(ISBLANK(S1988), 100, IF(ISNA(VLOOKUP(S1988, Lives!$A$2:$C$35, 2, 0)), S1988, VLOOKUP(S1988, Lives!$A$2:$C$35, 2, 0))) * 12) + (IF(ISBLANK(Q1988), 0, IF(ISNA(VLOOKUP(Q1988, Wages!$A$2:$C$17, 2, 0)), Q1988, VLOOKUP(Q1988, Wages!$A$2:$C$17, 2, 0))) * IF(ISBLANK(N1988), 0, IF(ISNA(VLOOKUP(N1988, Crews!$A$2:$C$28, 2, 0)), N1988, VLOOKUP(N1988, Crews!$A$2:$C$28, 2, 0))))) * 400</f>
        <v>9645.833333</v>
      </c>
      <c r="K1988" s="1"/>
      <c r="L1988" s="1" t="s">
        <v>3889</v>
      </c>
      <c r="M1988" s="1" t="n">
        <v>0</v>
      </c>
      <c r="N1988" s="1" t="s">
        <v>1512</v>
      </c>
      <c r="O1988" s="1" t="n">
        <v>0.5</v>
      </c>
      <c r="P1988" s="1"/>
      <c r="Q1988" s="1" t="s">
        <v>1512</v>
      </c>
      <c r="R1988" s="1" t="s">
        <v>3179</v>
      </c>
      <c r="S1988" s="1" t="s">
        <v>3179</v>
      </c>
      <c r="T1988" s="1" t="s">
        <v>2041</v>
      </c>
    </row>
    <row r="1989" customFormat="false" ht="15" hidden="false" customHeight="true" outlineLevel="0" collapsed="false">
      <c r="A1989" s="1" t="s">
        <v>3890</v>
      </c>
      <c r="B1989" s="1" t="n">
        <v>1957</v>
      </c>
      <c r="C1989" s="1" t="n">
        <v>4</v>
      </c>
      <c r="D1989" s="1" t="s">
        <v>38</v>
      </c>
      <c r="E1989" s="1" t="s">
        <v>2039</v>
      </c>
      <c r="F1989" s="1" t="n">
        <v>370</v>
      </c>
      <c r="G1989" s="1" t="n">
        <v>120</v>
      </c>
      <c r="H1989" s="2" t="n">
        <v>3500000</v>
      </c>
      <c r="I1989" s="2" t="n">
        <f aca="false">(((H1989 / 800) / IF(ISBLANK(R1989), 1000000, IF(ISNA(VLOOKUP(R1989, Mileages!$A$2:$C$34, 2, 0)), R1989, VLOOKUP(R1989, Mileages!$A$2:$C$34, 2, 0)))) + (F1989 * IF(ISBLANK(P1989), 1, P1989) * IF(ISBLANK(T1989), 0, IF(ISNA(VLOOKUP(T1989, 'Fuel Costs'!$A$2:$C$42, 2, 0)), T1989, VLOOKUP(T1989, 'Fuel Costs'!$A$2:$C$42, 2, 0))) / IF(ISBLANK(O1989), 1, O1989))) * 100</f>
        <v>370.875</v>
      </c>
      <c r="J1989" s="2" t="n">
        <f aca="false">((H1989 / 800) / (IF(ISBLANK(S1989), 100, IF(ISNA(VLOOKUP(S1989, Lives!$A$2:$C$35, 2, 0)), S1989, VLOOKUP(S1989, Lives!$A$2:$C$35, 2, 0))) * 12) + (IF(ISBLANK(Q1989), 0, IF(ISNA(VLOOKUP(Q1989, Wages!$A$2:$C$17, 2, 0)), Q1989, VLOOKUP(Q1989, Wages!$A$2:$C$17, 2, 0))) * IF(ISBLANK(N1989), 0, IF(ISNA(VLOOKUP(N1989, Crews!$A$2:$C$28, 2, 0)), N1989, VLOOKUP(N1989, Crews!$A$2:$C$28, 2, 0))))) * 400</f>
        <v>9645.833333</v>
      </c>
      <c r="K1989" s="1"/>
      <c r="L1989" s="1" t="s">
        <v>3889</v>
      </c>
      <c r="M1989" s="1" t="n">
        <v>1</v>
      </c>
      <c r="N1989" s="1" t="s">
        <v>1512</v>
      </c>
      <c r="O1989" s="1" t="n">
        <v>0.5</v>
      </c>
      <c r="P1989" s="1"/>
      <c r="Q1989" s="1" t="s">
        <v>1512</v>
      </c>
      <c r="R1989" s="1" t="s">
        <v>3179</v>
      </c>
      <c r="S1989" s="1" t="s">
        <v>3179</v>
      </c>
      <c r="T1989" s="1" t="s">
        <v>2041</v>
      </c>
    </row>
    <row r="1990" customFormat="false" ht="15" hidden="false" customHeight="true" outlineLevel="0" collapsed="false">
      <c r="A1990" s="1" t="s">
        <v>3891</v>
      </c>
      <c r="B1990" s="1" t="n">
        <v>1957</v>
      </c>
      <c r="C1990" s="1" t="n">
        <v>4</v>
      </c>
      <c r="D1990" s="1" t="s">
        <v>38</v>
      </c>
      <c r="E1990" s="1" t="s">
        <v>2039</v>
      </c>
      <c r="F1990" s="1" t="n">
        <v>0</v>
      </c>
      <c r="G1990" s="1" t="n">
        <v>120</v>
      </c>
      <c r="H1990" s="2" t="n">
        <v>1300000</v>
      </c>
      <c r="I1990" s="2" t="n">
        <f aca="false">(((H1990 / 800) / IF(ISBLANK(R1990), 1000000, IF(ISNA(VLOOKUP(R1990, Mileages!$A$2:$C$34, 2, 0)), R1990, VLOOKUP(R1990, Mileages!$A$2:$C$34, 2, 0)))) + (F1990 * IF(ISBLANK(P1990), 1, P1990) * IF(ISBLANK(T1990), 0, IF(ISNA(VLOOKUP(T1990, 'Fuel Costs'!$A$2:$C$42, 2, 0)), T1990, VLOOKUP(T1990, 'Fuel Costs'!$A$2:$C$42, 2, 0))) / IF(ISBLANK(O1990), 1, O1990))) * 100</f>
        <v>0.1354166667</v>
      </c>
      <c r="J1990" s="2" t="n">
        <f aca="false">((H1990 / 800) / (IF(ISBLANK(S1990), 100, IF(ISNA(VLOOKUP(S1990, Lives!$A$2:$C$35, 2, 0)), S1990, VLOOKUP(S1990, Lives!$A$2:$C$35, 2, 0))) * 12) + (IF(ISBLANK(Q1990), 0, IF(ISNA(VLOOKUP(Q1990, Wages!$A$2:$C$17, 2, 0)), Q1990, VLOOKUP(Q1990, Wages!$A$2:$C$17, 2, 0))) * IF(ISBLANK(N1990), 0, IF(ISNA(VLOOKUP(N1990, Crews!$A$2:$C$28, 2, 0)), N1990, VLOOKUP(N1990, Crews!$A$2:$C$28, 2, 0))))) * 400</f>
        <v>1547.619048</v>
      </c>
      <c r="K1990" s="1"/>
      <c r="L1990" s="1" t="s">
        <v>3889</v>
      </c>
      <c r="M1990" s="1" t="n">
        <v>2</v>
      </c>
      <c r="N1990" s="1"/>
      <c r="O1990" s="1"/>
      <c r="P1990" s="1"/>
      <c r="Q1990" s="1"/>
      <c r="R1990" s="1" t="s">
        <v>689</v>
      </c>
      <c r="S1990" s="1" t="s">
        <v>856</v>
      </c>
      <c r="T1990" s="1"/>
    </row>
    <row r="1991" customFormat="false" ht="15" hidden="false" customHeight="true" outlineLevel="0" collapsed="false">
      <c r="A1991" s="1" t="s">
        <v>3892</v>
      </c>
      <c r="B1991" s="1" t="n">
        <v>1957</v>
      </c>
      <c r="C1991" s="1" t="n">
        <v>4</v>
      </c>
      <c r="D1991" s="1" t="s">
        <v>38</v>
      </c>
      <c r="E1991" s="1" t="s">
        <v>2039</v>
      </c>
      <c r="F1991" s="1" t="n">
        <v>0</v>
      </c>
      <c r="G1991" s="1" t="n">
        <v>120</v>
      </c>
      <c r="H1991" s="2" t="n">
        <v>1300000</v>
      </c>
      <c r="I1991" s="2" t="n">
        <f aca="false">(((H1991 / 800) / IF(ISBLANK(R1991), 1000000, IF(ISNA(VLOOKUP(R1991, Mileages!$A$2:$C$34, 2, 0)), R1991, VLOOKUP(R1991, Mileages!$A$2:$C$34, 2, 0)))) + (F1991 * IF(ISBLANK(P1991), 1, P1991) * IF(ISBLANK(T1991), 0, IF(ISNA(VLOOKUP(T1991, 'Fuel Costs'!$A$2:$C$42, 2, 0)), T1991, VLOOKUP(T1991, 'Fuel Costs'!$A$2:$C$42, 2, 0))) / IF(ISBLANK(O1991), 1, O1991))) * 100</f>
        <v>0.1354166667</v>
      </c>
      <c r="J1991" s="2" t="n">
        <f aca="false">((H1991 / 800) / (IF(ISBLANK(S1991), 100, IF(ISNA(VLOOKUP(S1991, Lives!$A$2:$C$35, 2, 0)), S1991, VLOOKUP(S1991, Lives!$A$2:$C$35, 2, 0))) * 12) + (IF(ISBLANK(Q1991), 0, IF(ISNA(VLOOKUP(Q1991, Wages!$A$2:$C$17, 2, 0)), Q1991, VLOOKUP(Q1991, Wages!$A$2:$C$17, 2, 0))) * IF(ISBLANK(N1991), 0, IF(ISNA(VLOOKUP(N1991, Crews!$A$2:$C$28, 2, 0)), N1991, VLOOKUP(N1991, Crews!$A$2:$C$28, 2, 0))))) * 400</f>
        <v>1547.619048</v>
      </c>
      <c r="K1991" s="1"/>
      <c r="L1991" s="1" t="s">
        <v>3889</v>
      </c>
      <c r="M1991" s="1" t="n">
        <v>3</v>
      </c>
      <c r="N1991" s="1"/>
      <c r="O1991" s="1"/>
      <c r="P1991" s="1"/>
      <c r="Q1991" s="1"/>
      <c r="R1991" s="1" t="s">
        <v>689</v>
      </c>
      <c r="S1991" s="1" t="s">
        <v>856</v>
      </c>
      <c r="T1991" s="1"/>
    </row>
    <row r="1992" customFormat="false" ht="15" hidden="false" customHeight="true" outlineLevel="0" collapsed="false">
      <c r="A1992" s="1" t="s">
        <v>3893</v>
      </c>
      <c r="B1992" s="1" t="n">
        <v>1957</v>
      </c>
      <c r="C1992" s="1" t="n">
        <v>4</v>
      </c>
      <c r="D1992" s="1" t="s">
        <v>38</v>
      </c>
      <c r="E1992" s="1" t="s">
        <v>2039</v>
      </c>
      <c r="F1992" s="1" t="n">
        <v>0</v>
      </c>
      <c r="G1992" s="1" t="n">
        <v>120</v>
      </c>
      <c r="H1992" s="2" t="n">
        <v>1300000</v>
      </c>
      <c r="I1992" s="2" t="n">
        <f aca="false">(((H1992 / 800) / IF(ISBLANK(R1992), 1000000, IF(ISNA(VLOOKUP(R1992, Mileages!$A$2:$C$34, 2, 0)), R1992, VLOOKUP(R1992, Mileages!$A$2:$C$34, 2, 0)))) + (F1992 * IF(ISBLANK(P1992), 1, P1992) * IF(ISBLANK(T1992), 0, IF(ISNA(VLOOKUP(T1992, 'Fuel Costs'!$A$2:$C$42, 2, 0)), T1992, VLOOKUP(T1992, 'Fuel Costs'!$A$2:$C$42, 2, 0))) / IF(ISBLANK(O1992), 1, O1992))) * 100</f>
        <v>0.1354166667</v>
      </c>
      <c r="J1992" s="2" t="n">
        <f aca="false">((H1992 / 800) / (IF(ISBLANK(S1992), 100, IF(ISNA(VLOOKUP(S1992, Lives!$A$2:$C$35, 2, 0)), S1992, VLOOKUP(S1992, Lives!$A$2:$C$35, 2, 0))) * 12) + (IF(ISBLANK(Q1992), 0, IF(ISNA(VLOOKUP(Q1992, Wages!$A$2:$C$17, 2, 0)), Q1992, VLOOKUP(Q1992, Wages!$A$2:$C$17, 2, 0))) * IF(ISBLANK(N1992), 0, IF(ISNA(VLOOKUP(N1992, Crews!$A$2:$C$28, 2, 0)), N1992, VLOOKUP(N1992, Crews!$A$2:$C$28, 2, 0))))) * 400</f>
        <v>19547.61905</v>
      </c>
      <c r="K1992" s="1"/>
      <c r="L1992" s="1" t="s">
        <v>3889</v>
      </c>
      <c r="M1992" s="1" t="n">
        <v>4</v>
      </c>
      <c r="N1992" s="1" t="s">
        <v>1481</v>
      </c>
      <c r="O1992" s="1"/>
      <c r="P1992" s="1"/>
      <c r="Q1992" s="1" t="s">
        <v>1481</v>
      </c>
      <c r="R1992" s="1" t="s">
        <v>689</v>
      </c>
      <c r="S1992" s="1" t="s">
        <v>856</v>
      </c>
      <c r="T1992" s="1"/>
    </row>
    <row r="1993" customFormat="false" ht="15" hidden="false" customHeight="true" outlineLevel="0" collapsed="false">
      <c r="A1993" s="1" t="s">
        <v>3894</v>
      </c>
      <c r="B1993" s="1" t="n">
        <v>1957</v>
      </c>
      <c r="C1993" s="1" t="n">
        <v>5</v>
      </c>
      <c r="D1993" s="1" t="s">
        <v>38</v>
      </c>
      <c r="E1993" s="1" t="s">
        <v>2039</v>
      </c>
      <c r="F1993" s="1" t="n">
        <v>597</v>
      </c>
      <c r="G1993" s="1" t="n">
        <v>97</v>
      </c>
      <c r="H1993" s="2" t="n">
        <v>4500000</v>
      </c>
      <c r="I1993" s="2" t="n">
        <f aca="false">(((H1993 / 800) / IF(ISBLANK(R1993), 1000000, IF(ISNA(VLOOKUP(R1993, Mileages!$A$2:$C$34, 2, 0)), R1993, VLOOKUP(R1993, Mileages!$A$2:$C$34, 2, 0)))) + (F1993 * IF(ISBLANK(P1993), 1, P1993) * IF(ISBLANK(T1993), 0, IF(ISNA(VLOOKUP(T1993, 'Fuel Costs'!$A$2:$C$42, 2, 0)), T1993, VLOOKUP(T1993, 'Fuel Costs'!$A$2:$C$42, 2, 0))) / IF(ISBLANK(O1993), 1, O1993))) * 100</f>
        <v>598.125</v>
      </c>
      <c r="J1993" s="2" t="n">
        <f aca="false">((H1993 / 800) / (IF(ISBLANK(S1993), 100, IF(ISNA(VLOOKUP(S1993, Lives!$A$2:$C$35, 2, 0)), S1993, VLOOKUP(S1993, Lives!$A$2:$C$35, 2, 0))) * 12) + (IF(ISBLANK(Q1993), 0, IF(ISNA(VLOOKUP(Q1993, Wages!$A$2:$C$17, 2, 0)), Q1993, VLOOKUP(Q1993, Wages!$A$2:$C$17, 2, 0))) * IF(ISBLANK(N1993), 0, IF(ISNA(VLOOKUP(N1993, Crews!$A$2:$C$28, 2, 0)), N1993, VLOOKUP(N1993, Crews!$A$2:$C$28, 2, 0))))) * 400</f>
        <v>14687.5</v>
      </c>
      <c r="K1993" s="1" t="s">
        <v>3895</v>
      </c>
      <c r="L1993" s="1" t="s">
        <v>3896</v>
      </c>
      <c r="M1993" s="1" t="n">
        <v>0</v>
      </c>
      <c r="N1993" s="1" t="s">
        <v>1488</v>
      </c>
      <c r="O1993" s="1" t="n">
        <v>0.5</v>
      </c>
      <c r="P1993" s="1"/>
      <c r="Q1993" s="1" t="s">
        <v>1488</v>
      </c>
      <c r="R1993" s="1" t="s">
        <v>3179</v>
      </c>
      <c r="S1993" s="1" t="s">
        <v>3179</v>
      </c>
      <c r="T1993" s="1" t="s">
        <v>2041</v>
      </c>
    </row>
    <row r="1994" customFormat="false" ht="15" hidden="false" customHeight="true" outlineLevel="0" collapsed="false">
      <c r="A1994" s="1" t="s">
        <v>3897</v>
      </c>
      <c r="B1994" s="1" t="n">
        <v>1957</v>
      </c>
      <c r="C1994" s="1" t="n">
        <v>6</v>
      </c>
      <c r="D1994" s="1" t="s">
        <v>2225</v>
      </c>
      <c r="E1994" s="1" t="s">
        <v>1839</v>
      </c>
      <c r="F1994" s="1" t="n">
        <v>10140</v>
      </c>
      <c r="G1994" s="1" t="n">
        <v>467</v>
      </c>
      <c r="H1994" s="2" t="n">
        <v>15500000</v>
      </c>
      <c r="I1994" s="2" t="n">
        <f aca="false">(((H1994 / 800) / IF(ISBLANK(R1994), 1000000, IF(ISNA(VLOOKUP(R1994, Mileages!$A$2:$C$34, 2, 0)), R1994, VLOOKUP(R1994, Mileages!$A$2:$C$34, 2, 0)))) + (F1994 * IF(ISBLANK(P1994), 1, P1994) * IF(ISBLANK(T1994), 0, IF(ISNA(VLOOKUP(T1994, 'Fuel Costs'!$A$2:$C$42, 2, 0)), T1994, VLOOKUP(T1994, 'Fuel Costs'!$A$2:$C$42, 2, 0))) / IF(ISBLANK(O1994), 1, O1994))) * 100</f>
        <v>405.9875</v>
      </c>
      <c r="J1994" s="2" t="n">
        <f aca="false">((H1994 / 800) / (IF(ISBLANK(S1994), 100, IF(ISNA(VLOOKUP(S1994, Lives!$A$2:$C$35, 2, 0)), S1994, VLOOKUP(S1994, Lives!$A$2:$C$35, 2, 0))) * 12) + (IF(ISBLANK(Q1994), 0, IF(ISNA(VLOOKUP(Q1994, Wages!$A$2:$C$17, 2, 0)), Q1994, VLOOKUP(Q1994, Wages!$A$2:$C$17, 2, 0))) * IF(ISBLANK(N1994), 0, IF(ISNA(VLOOKUP(N1994, Crews!$A$2:$C$28, 2, 0)), N1994, VLOOKUP(N1994, Crews!$A$2:$C$28, 2, 0))))) * 400</f>
        <v>60763.88889</v>
      </c>
      <c r="K1994" s="3" t="s">
        <v>3898</v>
      </c>
      <c r="L1994" s="1" t="s">
        <v>3899</v>
      </c>
      <c r="M1994" s="1" t="n">
        <v>0</v>
      </c>
      <c r="N1994" s="1" t="s">
        <v>2342</v>
      </c>
      <c r="O1994" s="1"/>
      <c r="P1994" s="1" t="n">
        <v>0.1</v>
      </c>
      <c r="Q1994" s="1" t="s">
        <v>2229</v>
      </c>
      <c r="R1994" s="1" t="s">
        <v>2229</v>
      </c>
      <c r="S1994" s="1" t="s">
        <v>2229</v>
      </c>
      <c r="T1994" s="1" t="s">
        <v>3481</v>
      </c>
    </row>
    <row r="1995" customFormat="false" ht="15" hidden="false" customHeight="true" outlineLevel="0" collapsed="false">
      <c r="A1995" s="1" t="s">
        <v>3900</v>
      </c>
      <c r="B1995" s="1" t="n">
        <v>1957</v>
      </c>
      <c r="C1995" s="1" t="n">
        <v>6</v>
      </c>
      <c r="D1995" s="1" t="s">
        <v>2225</v>
      </c>
      <c r="E1995" s="1" t="s">
        <v>1839</v>
      </c>
      <c r="F1995" s="1" t="n">
        <v>10140</v>
      </c>
      <c r="G1995" s="1" t="n">
        <v>467</v>
      </c>
      <c r="H1995" s="2" t="n">
        <v>15500000</v>
      </c>
      <c r="I1995" s="2" t="n">
        <f aca="false">(((H1995 / 800) / IF(ISBLANK(R1995), 1000000, IF(ISNA(VLOOKUP(R1995, Mileages!$A$2:$C$34, 2, 0)), R1995, VLOOKUP(R1995, Mileages!$A$2:$C$34, 2, 0)))) + (F1995 * IF(ISBLANK(P1995), 1, P1995) * IF(ISBLANK(T1995), 0, IF(ISNA(VLOOKUP(T1995, 'Fuel Costs'!$A$2:$C$42, 2, 0)), T1995, VLOOKUP(T1995, 'Fuel Costs'!$A$2:$C$42, 2, 0))) / IF(ISBLANK(O1995), 1, O1995))) * 100</f>
        <v>405.9875</v>
      </c>
      <c r="J1995" s="2" t="n">
        <f aca="false">((H1995 / 800) / (IF(ISBLANK(S1995), 100, IF(ISNA(VLOOKUP(S1995, Lives!$A$2:$C$35, 2, 0)), S1995, VLOOKUP(S1995, Lives!$A$2:$C$35, 2, 0))) * 12) + (IF(ISBLANK(Q1995), 0, IF(ISNA(VLOOKUP(Q1995, Wages!$A$2:$C$17, 2, 0)), Q1995, VLOOKUP(Q1995, Wages!$A$2:$C$17, 2, 0))) * IF(ISBLANK(N1995), 0, IF(ISNA(VLOOKUP(N1995, Crews!$A$2:$C$28, 2, 0)), N1995, VLOOKUP(N1995, Crews!$A$2:$C$28, 2, 0))))) * 400</f>
        <v>60763.88889</v>
      </c>
      <c r="K1995" s="3" t="s">
        <v>3901</v>
      </c>
      <c r="L1995" s="1" t="s">
        <v>3899</v>
      </c>
      <c r="M1995" s="1" t="n">
        <v>1</v>
      </c>
      <c r="N1995" s="1" t="s">
        <v>2342</v>
      </c>
      <c r="O1995" s="1"/>
      <c r="P1995" s="1" t="n">
        <v>0.1</v>
      </c>
      <c r="Q1995" s="1" t="s">
        <v>2229</v>
      </c>
      <c r="R1995" s="1" t="s">
        <v>2229</v>
      </c>
      <c r="S1995" s="1" t="s">
        <v>2229</v>
      </c>
      <c r="T1995" s="1" t="s">
        <v>3481</v>
      </c>
    </row>
    <row r="1996" customFormat="false" ht="15" hidden="false" customHeight="true" outlineLevel="0" collapsed="false">
      <c r="A1996" s="1" t="s">
        <v>3902</v>
      </c>
      <c r="B1996" s="1" t="n">
        <v>1957</v>
      </c>
      <c r="C1996" s="1" t="n">
        <v>7</v>
      </c>
      <c r="D1996" s="1" t="s">
        <v>38</v>
      </c>
      <c r="E1996" s="1" t="s">
        <v>274</v>
      </c>
      <c r="F1996" s="1" t="n">
        <v>538</v>
      </c>
      <c r="G1996" s="1" t="n">
        <v>155</v>
      </c>
      <c r="H1996" s="2" t="n">
        <v>9992500</v>
      </c>
      <c r="I1996" s="2" t="n">
        <f aca="false">(((H1996 / 800) / IF(ISBLANK(R1996), 1000000, IF(ISNA(VLOOKUP(R1996, Mileages!$A$2:$C$34, 2, 0)), R1996, VLOOKUP(R1996, Mileages!$A$2:$C$34, 2, 0)))) + (F1996 * IF(ISBLANK(P1996), 1, P1996) * IF(ISBLANK(T1996), 0, IF(ISNA(VLOOKUP(T1996, 'Fuel Costs'!$A$2:$C$42, 2, 0)), T1996, VLOOKUP(T1996, 'Fuel Costs'!$A$2:$C$42, 2, 0))) / IF(ISBLANK(O1996), 1, O1996))) * 100</f>
        <v>405.5817708</v>
      </c>
      <c r="J1996" s="2" t="n">
        <f aca="false">((H1996 / 800) / (IF(ISBLANK(S1996), 100, IF(ISNA(VLOOKUP(S1996, Lives!$A$2:$C$35, 2, 0)), S1996, VLOOKUP(S1996, Lives!$A$2:$C$35, 2, 0))) * 12) + (IF(ISBLANK(Q1996), 0, IF(ISNA(VLOOKUP(Q1996, Wages!$A$2:$C$17, 2, 0)), Q1996, VLOOKUP(Q1996, Wages!$A$2:$C$17, 2, 0))) * IF(ISBLANK(N1996), 0, IF(ISNA(VLOOKUP(N1996, Crews!$A$2:$C$28, 2, 0)), N1996, VLOOKUP(N1996, Crews!$A$2:$C$28, 2, 0))))) * 400</f>
        <v>60817.70833</v>
      </c>
      <c r="K1996" s="3" t="s">
        <v>3903</v>
      </c>
      <c r="L1996" s="1" t="s">
        <v>3904</v>
      </c>
      <c r="M1996" s="1" t="n">
        <v>0</v>
      </c>
      <c r="N1996" s="1" t="s">
        <v>1705</v>
      </c>
      <c r="O1996" s="1" t="n">
        <v>0.8</v>
      </c>
      <c r="P1996" s="1"/>
      <c r="Q1996" s="5" t="s">
        <v>284</v>
      </c>
      <c r="R1996" s="1" t="s">
        <v>2617</v>
      </c>
      <c r="S1996" s="1" t="s">
        <v>2617</v>
      </c>
      <c r="T1996" s="1" t="s">
        <v>3553</v>
      </c>
    </row>
    <row r="1997" customFormat="false" ht="15" hidden="false" customHeight="true" outlineLevel="0" collapsed="false">
      <c r="A1997" s="1" t="s">
        <v>3905</v>
      </c>
      <c r="B1997" s="1" t="n">
        <v>1957</v>
      </c>
      <c r="C1997" s="1" t="n">
        <v>9</v>
      </c>
      <c r="D1997" s="1" t="s">
        <v>38</v>
      </c>
      <c r="E1997" s="1" t="s">
        <v>2039</v>
      </c>
      <c r="F1997" s="1" t="n">
        <v>224</v>
      </c>
      <c r="G1997" s="1" t="n">
        <v>113</v>
      </c>
      <c r="H1997" s="2" t="n">
        <v>1250000</v>
      </c>
      <c r="I1997" s="2" t="n">
        <f aca="false">(((H1997 / 800) / IF(ISBLANK(R1997), 1000000, IF(ISNA(VLOOKUP(R1997, Mileages!$A$2:$C$34, 2, 0)), R1997, VLOOKUP(R1997, Mileages!$A$2:$C$34, 2, 0)))) + (F1997 * IF(ISBLANK(P1997), 1, P1997) * IF(ISBLANK(T1997), 0, IF(ISNA(VLOOKUP(T1997, 'Fuel Costs'!$A$2:$C$42, 2, 0)), T1997, VLOOKUP(T1997, 'Fuel Costs'!$A$2:$C$42, 2, 0))) / IF(ISBLANK(O1997), 1, O1997))) * 100</f>
        <v>224.3125</v>
      </c>
      <c r="J1997" s="2" t="n">
        <f aca="false">((H1997 / 800) / (IF(ISBLANK(S1997), 100, IF(ISNA(VLOOKUP(S1997, Lives!$A$2:$C$35, 2, 0)), S1997, VLOOKUP(S1997, Lives!$A$2:$C$35, 2, 0))) * 12) + (IF(ISBLANK(Q1997), 0, IF(ISNA(VLOOKUP(Q1997, Wages!$A$2:$C$17, 2, 0)), Q1997, VLOOKUP(Q1997, Wages!$A$2:$C$17, 2, 0))) * IF(ISBLANK(N1997), 0, IF(ISNA(VLOOKUP(N1997, Crews!$A$2:$C$28, 2, 0)), N1997, VLOOKUP(N1997, Crews!$A$2:$C$28, 2, 0))))) * 400</f>
        <v>7302.083333</v>
      </c>
      <c r="K1997" s="3" t="s">
        <v>3906</v>
      </c>
      <c r="L1997" s="1" t="s">
        <v>3907</v>
      </c>
      <c r="M1997" s="1" t="n">
        <v>0</v>
      </c>
      <c r="N1997" s="1" t="s">
        <v>1512</v>
      </c>
      <c r="O1997" s="1" t="n">
        <v>0.5</v>
      </c>
      <c r="P1997" s="1"/>
      <c r="Q1997" s="1" t="s">
        <v>1512</v>
      </c>
      <c r="R1997" s="1" t="s">
        <v>3179</v>
      </c>
      <c r="S1997" s="1" t="s">
        <v>3179</v>
      </c>
      <c r="T1997" s="1" t="s">
        <v>2041</v>
      </c>
    </row>
    <row r="1998" customFormat="false" ht="15" hidden="false" customHeight="true" outlineLevel="0" collapsed="false">
      <c r="A1998" s="1" t="s">
        <v>3908</v>
      </c>
      <c r="B1998" s="1" t="n">
        <v>1957</v>
      </c>
      <c r="C1998" s="1" t="n">
        <v>9</v>
      </c>
      <c r="D1998" s="1" t="s">
        <v>38</v>
      </c>
      <c r="E1998" s="1" t="s">
        <v>2039</v>
      </c>
      <c r="F1998" s="1" t="n">
        <v>224</v>
      </c>
      <c r="G1998" s="1" t="n">
        <v>113</v>
      </c>
      <c r="H1998" s="2" t="n">
        <v>1250000</v>
      </c>
      <c r="I1998" s="2" t="n">
        <f aca="false">(((H1998 / 800) / IF(ISBLANK(R1998), 1000000, IF(ISNA(VLOOKUP(R1998, Mileages!$A$2:$C$34, 2, 0)), R1998, VLOOKUP(R1998, Mileages!$A$2:$C$34, 2, 0)))) + (F1998 * IF(ISBLANK(P1998), 1, P1998) * IF(ISBLANK(T1998), 0, IF(ISNA(VLOOKUP(T1998, 'Fuel Costs'!$A$2:$C$42, 2, 0)), T1998, VLOOKUP(T1998, 'Fuel Costs'!$A$2:$C$42, 2, 0))) / IF(ISBLANK(O1998), 1, O1998))) * 100</f>
        <v>224.3125</v>
      </c>
      <c r="J1998" s="2" t="n">
        <f aca="false">((H1998 / 800) / (IF(ISBLANK(S1998), 100, IF(ISNA(VLOOKUP(S1998, Lives!$A$2:$C$35, 2, 0)), S1998, VLOOKUP(S1998, Lives!$A$2:$C$35, 2, 0))) * 12) + (IF(ISBLANK(Q1998), 0, IF(ISNA(VLOOKUP(Q1998, Wages!$A$2:$C$17, 2, 0)), Q1998, VLOOKUP(Q1998, Wages!$A$2:$C$17, 2, 0))) * IF(ISBLANK(N1998), 0, IF(ISNA(VLOOKUP(N1998, Crews!$A$2:$C$28, 2, 0)), N1998, VLOOKUP(N1998, Crews!$A$2:$C$28, 2, 0))))) * 400</f>
        <v>7302.083333</v>
      </c>
      <c r="K1998" s="3" t="s">
        <v>3909</v>
      </c>
      <c r="L1998" s="1" t="s">
        <v>3907</v>
      </c>
      <c r="M1998" s="1" t="n">
        <v>1</v>
      </c>
      <c r="N1998" s="1" t="s">
        <v>1512</v>
      </c>
      <c r="O1998" s="1" t="n">
        <v>0.5</v>
      </c>
      <c r="P1998" s="1"/>
      <c r="Q1998" s="1" t="s">
        <v>1512</v>
      </c>
      <c r="R1998" s="1" t="s">
        <v>3179</v>
      </c>
      <c r="S1998" s="1" t="s">
        <v>3179</v>
      </c>
      <c r="T1998" s="1" t="s">
        <v>2041</v>
      </c>
    </row>
    <row r="1999" customFormat="false" ht="15" hidden="false" customHeight="true" outlineLevel="0" collapsed="false">
      <c r="A1999" s="1" t="s">
        <v>3910</v>
      </c>
      <c r="B1999" s="1" t="n">
        <v>1957</v>
      </c>
      <c r="C1999" s="1" t="n">
        <v>9</v>
      </c>
      <c r="D1999" s="1" t="s">
        <v>38</v>
      </c>
      <c r="E1999" s="1"/>
      <c r="F1999" s="1" t="n">
        <v>0</v>
      </c>
      <c r="G1999" s="1" t="n">
        <v>113</v>
      </c>
      <c r="H1999" s="2" t="n">
        <v>600000</v>
      </c>
      <c r="I1999" s="2" t="n">
        <f aca="false">(((H1999 / 800) / IF(ISBLANK(R1999), 1000000, IF(ISNA(VLOOKUP(R1999, Mileages!$A$2:$C$34, 2, 0)), R1999, VLOOKUP(R1999, Mileages!$A$2:$C$34, 2, 0)))) + (F1999 * IF(ISBLANK(P1999), 1, P1999) * IF(ISBLANK(T1999), 0, IF(ISNA(VLOOKUP(T1999, 'Fuel Costs'!$A$2:$C$42, 2, 0)), T1999, VLOOKUP(T1999, 'Fuel Costs'!$A$2:$C$42, 2, 0))) / IF(ISBLANK(O1999), 1, O1999))) * 100</f>
        <v>0.0625</v>
      </c>
      <c r="J1999" s="2" t="n">
        <f aca="false">((H1999 / 800) / (IF(ISBLANK(S1999), 100, IF(ISNA(VLOOKUP(S1999, Lives!$A$2:$C$35, 2, 0)), S1999, VLOOKUP(S1999, Lives!$A$2:$C$35, 2, 0))) * 12) + (IF(ISBLANK(Q1999), 0, IF(ISNA(VLOOKUP(Q1999, Wages!$A$2:$C$17, 2, 0)), Q1999, VLOOKUP(Q1999, Wages!$A$2:$C$17, 2, 0))) * IF(ISBLANK(N1999), 0, IF(ISNA(VLOOKUP(N1999, Crews!$A$2:$C$28, 2, 0)), N1999, VLOOKUP(N1999, Crews!$A$2:$C$28, 2, 0))))) * 400</f>
        <v>714.2857143</v>
      </c>
      <c r="K1999" s="3" t="s">
        <v>3911</v>
      </c>
      <c r="L1999" s="1" t="s">
        <v>3907</v>
      </c>
      <c r="M1999" s="1" t="n">
        <v>2</v>
      </c>
      <c r="N1999" s="1"/>
      <c r="O1999" s="1"/>
      <c r="P1999" s="1"/>
      <c r="Q1999" s="1"/>
      <c r="R1999" s="1" t="s">
        <v>689</v>
      </c>
      <c r="S1999" s="1" t="s">
        <v>856</v>
      </c>
      <c r="T1999" s="1"/>
    </row>
    <row r="2000" customFormat="false" ht="15" hidden="false" customHeight="true" outlineLevel="0" collapsed="false">
      <c r="A2000" s="1" t="s">
        <v>3912</v>
      </c>
      <c r="B2000" s="1" t="n">
        <v>1957</v>
      </c>
      <c r="C2000" s="1" t="n">
        <v>9</v>
      </c>
      <c r="D2000" s="1" t="s">
        <v>38</v>
      </c>
      <c r="E2000" s="1" t="s">
        <v>2039</v>
      </c>
      <c r="F2000" s="1" t="n">
        <v>746</v>
      </c>
      <c r="G2000" s="1" t="n">
        <v>120</v>
      </c>
      <c r="H2000" s="2" t="n">
        <v>4435000</v>
      </c>
      <c r="I2000" s="2" t="n">
        <f aca="false">(((H2000 / 800) / IF(ISBLANK(R2000), 1000000, IF(ISNA(VLOOKUP(R2000, Mileages!$A$2:$C$34, 2, 0)), R2000, VLOOKUP(R2000, Mileages!$A$2:$C$34, 2, 0)))) + (F2000 * IF(ISBLANK(P2000), 1, P2000) * IF(ISBLANK(T2000), 0, IF(ISNA(VLOOKUP(T2000, 'Fuel Costs'!$A$2:$C$42, 2, 0)), T2000, VLOOKUP(T2000, 'Fuel Costs'!$A$2:$C$42, 2, 0))) / IF(ISBLANK(O2000), 1, O2000))) * 100</f>
        <v>747.10875</v>
      </c>
      <c r="J2000" s="2" t="n">
        <f aca="false">((H2000 / 800) / (IF(ISBLANK(S2000), 100, IF(ISNA(VLOOKUP(S2000, Lives!$A$2:$C$35, 2, 0)), S2000, VLOOKUP(S2000, Lives!$A$2:$C$35, 2, 0))) * 12) + (IF(ISBLANK(Q2000), 0, IF(ISNA(VLOOKUP(Q2000, Wages!$A$2:$C$17, 2, 0)), Q2000, VLOOKUP(Q2000, Wages!$A$2:$C$17, 2, 0))) * IF(ISBLANK(N2000), 0, IF(ISNA(VLOOKUP(N2000, Crews!$A$2:$C$28, 2, 0)), N2000, VLOOKUP(N2000, Crews!$A$2:$C$28, 2, 0))))) * 400</f>
        <v>14619.79167</v>
      </c>
      <c r="K2000" s="1" t="s">
        <v>3895</v>
      </c>
      <c r="L2000" s="1" t="s">
        <v>3913</v>
      </c>
      <c r="M2000" s="1" t="n">
        <v>0</v>
      </c>
      <c r="N2000" s="1" t="s">
        <v>1488</v>
      </c>
      <c r="O2000" s="1" t="n">
        <v>0.5</v>
      </c>
      <c r="P2000" s="1"/>
      <c r="Q2000" s="1" t="s">
        <v>1488</v>
      </c>
      <c r="R2000" s="1" t="s">
        <v>3179</v>
      </c>
      <c r="S2000" s="1" t="s">
        <v>3179</v>
      </c>
      <c r="T2000" s="1" t="s">
        <v>2041</v>
      </c>
    </row>
    <row r="2001" customFormat="false" ht="15" hidden="false" customHeight="true" outlineLevel="0" collapsed="false">
      <c r="A2001" s="1" t="s">
        <v>3914</v>
      </c>
      <c r="B2001" s="1" t="n">
        <v>1957</v>
      </c>
      <c r="C2001" s="1" t="n">
        <v>9</v>
      </c>
      <c r="D2001" s="1" t="s">
        <v>38</v>
      </c>
      <c r="E2001" s="1" t="s">
        <v>2039</v>
      </c>
      <c r="F2001" s="1" t="n">
        <v>930</v>
      </c>
      <c r="G2001" s="1" t="n">
        <v>130</v>
      </c>
      <c r="H2001" s="2" t="n">
        <v>8870000</v>
      </c>
      <c r="I2001" s="2" t="n">
        <f aca="false">(((H2001 / 800) / IF(ISBLANK(R2001), 1000000, IF(ISNA(VLOOKUP(R2001, Mileages!$A$2:$C$34, 2, 0)), R2001, VLOOKUP(R2001, Mileages!$A$2:$C$34, 2, 0)))) + (F2001 * IF(ISBLANK(P2001), 1, P2001) * IF(ISBLANK(T2001), 0, IF(ISNA(VLOOKUP(T2001, 'Fuel Costs'!$A$2:$C$42, 2, 0)), T2001, VLOOKUP(T2001, 'Fuel Costs'!$A$2:$C$42, 2, 0))) / IF(ISBLANK(O2001), 1, O2001))) * 100</f>
        <v>932.2175</v>
      </c>
      <c r="J2001" s="2" t="n">
        <f aca="false">((H2001 / 800) / (IF(ISBLANK(S2001), 100, IF(ISNA(VLOOKUP(S2001, Lives!$A$2:$C$35, 2, 0)), S2001, VLOOKUP(S2001, Lives!$A$2:$C$35, 2, 0))) * 12) + (IF(ISBLANK(Q2001), 0, IF(ISNA(VLOOKUP(Q2001, Wages!$A$2:$C$17, 2, 0)), Q2001, VLOOKUP(Q2001, Wages!$A$2:$C$17, 2, 0))) * IF(ISBLANK(N2001), 0, IF(ISNA(VLOOKUP(N2001, Crews!$A$2:$C$28, 2, 0)), N2001, VLOOKUP(N2001, Crews!$A$2:$C$28, 2, 0))))) * 400</f>
        <v>19239.58333</v>
      </c>
      <c r="K2001" s="3" t="s">
        <v>3915</v>
      </c>
      <c r="L2001" s="1" t="s">
        <v>3916</v>
      </c>
      <c r="M2001" s="1" t="n">
        <v>0</v>
      </c>
      <c r="N2001" s="1" t="s">
        <v>1488</v>
      </c>
      <c r="O2001" s="1" t="n">
        <v>0.5</v>
      </c>
      <c r="P2001" s="1"/>
      <c r="Q2001" s="1" t="s">
        <v>1488</v>
      </c>
      <c r="R2001" s="1" t="s">
        <v>3179</v>
      </c>
      <c r="S2001" s="1" t="s">
        <v>3179</v>
      </c>
      <c r="T2001" s="1" t="s">
        <v>2041</v>
      </c>
    </row>
    <row r="2002" customFormat="false" ht="15" hidden="false" customHeight="true" outlineLevel="0" collapsed="false">
      <c r="A2002" s="1" t="s">
        <v>3917</v>
      </c>
      <c r="B2002" s="1" t="n">
        <v>1957</v>
      </c>
      <c r="C2002" s="1" t="n">
        <v>9</v>
      </c>
      <c r="D2002" s="1" t="s">
        <v>38</v>
      </c>
      <c r="E2002" s="1" t="s">
        <v>1346</v>
      </c>
      <c r="F2002" s="1" t="n">
        <v>375</v>
      </c>
      <c r="G2002" s="1" t="n">
        <v>145</v>
      </c>
      <c r="H2002" s="2" t="n">
        <v>1680000</v>
      </c>
      <c r="I2002" s="2" t="n">
        <f aca="false">(((H2002 / 800) / IF(ISBLANK(R2002), 1000000, IF(ISNA(VLOOKUP(R2002, Mileages!$A$2:$C$34, 2, 0)), R2002, VLOOKUP(R2002, Mileages!$A$2:$C$34, 2, 0)))) + (F2002 * IF(ISBLANK(P2002), 1, P2002) * IF(ISBLANK(T2002), 0, IF(ISNA(VLOOKUP(T2002, 'Fuel Costs'!$A$2:$C$42, 2, 0)), T2002, VLOOKUP(T2002, 'Fuel Costs'!$A$2:$C$42, 2, 0))) / IF(ISBLANK(O2002), 1, O2002))) * 100</f>
        <v>75.21</v>
      </c>
      <c r="J2002" s="2" t="n">
        <f aca="false">((H2002 / 800) / (IF(ISBLANK(S2002), 100, IF(ISNA(VLOOKUP(S2002, Lives!$A$2:$C$35, 2, 0)), S2002, VLOOKUP(S2002, Lives!$A$2:$C$35, 2, 0))) * 12) + (IF(ISBLANK(Q2002), 0, IF(ISNA(VLOOKUP(Q2002, Wages!$A$2:$C$17, 2, 0)), Q2002, VLOOKUP(Q2002, Wages!$A$2:$C$17, 2, 0))) * IF(ISBLANK(N2002), 0, IF(ISNA(VLOOKUP(N2002, Crews!$A$2:$C$28, 2, 0)), N2002, VLOOKUP(N2002, Crews!$A$2:$C$28, 2, 0))))) * 400</f>
        <v>7400</v>
      </c>
      <c r="K2002" s="1"/>
      <c r="L2002" s="1" t="s">
        <v>3877</v>
      </c>
      <c r="M2002" s="1" t="n">
        <v>0</v>
      </c>
      <c r="N2002" s="1" t="s">
        <v>1512</v>
      </c>
      <c r="O2002" s="1" t="n">
        <v>1</v>
      </c>
      <c r="P2002" s="1"/>
      <c r="Q2002" s="1" t="str">
        <f aca="false">IF(ISBLANK('Pak128 Britain In'!$N2002),,'Pak128 Britain In'!$N2002)</f>
        <v>ElectricMultipleUnit</v>
      </c>
      <c r="R2002" s="1" t="s">
        <v>1349</v>
      </c>
      <c r="S2002" s="1" t="s">
        <v>1350</v>
      </c>
      <c r="T2002" s="1" t="s">
        <v>3471</v>
      </c>
    </row>
    <row r="2003" customFormat="false" ht="15" hidden="false" customHeight="true" outlineLevel="0" collapsed="false">
      <c r="A2003" s="1" t="s">
        <v>3918</v>
      </c>
      <c r="B2003" s="1" t="n">
        <v>1957</v>
      </c>
      <c r="C2003" s="1" t="n">
        <v>9</v>
      </c>
      <c r="D2003" s="1" t="s">
        <v>38</v>
      </c>
      <c r="E2003" s="1" t="s">
        <v>1346</v>
      </c>
      <c r="F2003" s="1"/>
      <c r="G2003" s="1" t="n">
        <v>145</v>
      </c>
      <c r="H2003" s="2" t="n">
        <v>1680000</v>
      </c>
      <c r="I2003" s="2" t="n">
        <f aca="false">(((H2003 / 800) / IF(ISBLANK(R2003), 1000000, IF(ISNA(VLOOKUP(R2003, Mileages!$A$2:$C$34, 2, 0)), R2003, VLOOKUP(R2003, Mileages!$A$2:$C$34, 2, 0)))) + (F2003 * IF(ISBLANK(P2003), 1, P2003) * IF(ISBLANK(T2003), 0, IF(ISNA(VLOOKUP(T2003, 'Fuel Costs'!$A$2:$C$42, 2, 0)), T2003, VLOOKUP(T2003, 'Fuel Costs'!$A$2:$C$42, 2, 0))) / IF(ISBLANK(O2003), 1, O2003))) * 100</f>
        <v>0.175</v>
      </c>
      <c r="J2003" s="2" t="n">
        <f aca="false">((H2003 / 800) / (IF(ISBLANK(S2003), 100, IF(ISNA(VLOOKUP(S2003, Lives!$A$2:$C$35, 2, 0)), S2003, VLOOKUP(S2003, Lives!$A$2:$C$35, 2, 0))) * 12) + (IF(ISBLANK(Q2003), 0, IF(ISNA(VLOOKUP(Q2003, Wages!$A$2:$C$17, 2, 0)), Q2003, VLOOKUP(Q2003, Wages!$A$2:$C$17, 2, 0))) * IF(ISBLANK(N2003), 0, IF(ISNA(VLOOKUP(N2003, Crews!$A$2:$C$28, 2, 0)), N2003, VLOOKUP(N2003, Crews!$A$2:$C$28, 2, 0))))) * 400</f>
        <v>2000</v>
      </c>
      <c r="K2003" s="1" t="s">
        <v>3919</v>
      </c>
      <c r="L2003" s="1" t="s">
        <v>3877</v>
      </c>
      <c r="M2003" s="1" t="n">
        <v>1</v>
      </c>
      <c r="N2003" s="1"/>
      <c r="O2003" s="1"/>
      <c r="P2003" s="1"/>
      <c r="Q2003" s="1"/>
      <c r="R2003" s="1" t="s">
        <v>689</v>
      </c>
      <c r="S2003" s="1" t="s">
        <v>856</v>
      </c>
      <c r="T2003" s="1"/>
    </row>
    <row r="2004" customFormat="false" ht="15" hidden="false" customHeight="true" outlineLevel="0" collapsed="false">
      <c r="A2004" s="1" t="s">
        <v>3920</v>
      </c>
      <c r="B2004" s="1" t="n">
        <v>1957</v>
      </c>
      <c r="C2004" s="1" t="n">
        <v>9</v>
      </c>
      <c r="D2004" s="1" t="s">
        <v>38</v>
      </c>
      <c r="E2004" s="1" t="s">
        <v>1346</v>
      </c>
      <c r="F2004" s="1"/>
      <c r="G2004" s="1" t="n">
        <v>145</v>
      </c>
      <c r="H2004" s="2" t="n">
        <v>1680000</v>
      </c>
      <c r="I2004" s="2" t="n">
        <f aca="false">(((H2004 / 800) / IF(ISBLANK(R2004), 1000000, IF(ISNA(VLOOKUP(R2004, Mileages!$A$2:$C$34, 2, 0)), R2004, VLOOKUP(R2004, Mileages!$A$2:$C$34, 2, 0)))) + (F2004 * IF(ISBLANK(P2004), 1, P2004) * IF(ISBLANK(T2004), 0, IF(ISNA(VLOOKUP(T2004, 'Fuel Costs'!$A$2:$C$42, 2, 0)), T2004, VLOOKUP(T2004, 'Fuel Costs'!$A$2:$C$42, 2, 0))) / IF(ISBLANK(O2004), 1, O2004))) * 100</f>
        <v>0.175</v>
      </c>
      <c r="J2004" s="2" t="n">
        <f aca="false">((H2004 / 800) / (IF(ISBLANK(S2004), 100, IF(ISNA(VLOOKUP(S2004, Lives!$A$2:$C$35, 2, 0)), S2004, VLOOKUP(S2004, Lives!$A$2:$C$35, 2, 0))) * 12) + (IF(ISBLANK(Q2004), 0, IF(ISNA(VLOOKUP(Q2004, Wages!$A$2:$C$17, 2, 0)), Q2004, VLOOKUP(Q2004, Wages!$A$2:$C$17, 2, 0))) * IF(ISBLANK(N2004), 0, IF(ISNA(VLOOKUP(N2004, Crews!$A$2:$C$28, 2, 0)), N2004, VLOOKUP(N2004, Crews!$A$2:$C$28, 2, 0))))) * 400</f>
        <v>2000</v>
      </c>
      <c r="K2004" s="1"/>
      <c r="L2004" s="1" t="s">
        <v>3877</v>
      </c>
      <c r="M2004" s="1" t="n">
        <v>2</v>
      </c>
      <c r="N2004" s="1"/>
      <c r="O2004" s="1"/>
      <c r="P2004" s="1"/>
      <c r="Q2004" s="1"/>
      <c r="R2004" s="1" t="s">
        <v>689</v>
      </c>
      <c r="S2004" s="1" t="s">
        <v>856</v>
      </c>
      <c r="T2004" s="1"/>
    </row>
    <row r="2005" customFormat="false" ht="15" hidden="false" customHeight="true" outlineLevel="0" collapsed="false">
      <c r="A2005" s="1" t="s">
        <v>3921</v>
      </c>
      <c r="B2005" s="1" t="n">
        <v>1957</v>
      </c>
      <c r="C2005" s="1" t="n">
        <v>9</v>
      </c>
      <c r="D2005" s="1" t="s">
        <v>38</v>
      </c>
      <c r="E2005" s="1" t="s">
        <v>1346</v>
      </c>
      <c r="F2005" s="1"/>
      <c r="G2005" s="1" t="n">
        <v>145</v>
      </c>
      <c r="H2005" s="2" t="n">
        <v>1720000</v>
      </c>
      <c r="I2005" s="2" t="n">
        <f aca="false">(((H2005 / 800) / IF(ISBLANK(R2005), 1000000, IF(ISNA(VLOOKUP(R2005, Mileages!$A$2:$C$34, 2, 0)), R2005, VLOOKUP(R2005, Mileages!$A$2:$C$34, 2, 0)))) + (F2005 * IF(ISBLANK(P2005), 1, P2005) * IF(ISBLANK(T2005), 0, IF(ISNA(VLOOKUP(T2005, 'Fuel Costs'!$A$2:$C$42, 2, 0)), T2005, VLOOKUP(T2005, 'Fuel Costs'!$A$2:$C$42, 2, 0))) / IF(ISBLANK(O2005), 1, O2005))) * 100</f>
        <v>0.1791666667</v>
      </c>
      <c r="J2005" s="2" t="n">
        <f aca="false">((H2005 / 800) / (IF(ISBLANK(S2005), 100, IF(ISNA(VLOOKUP(S2005, Lives!$A$2:$C$35, 2, 0)), S2005, VLOOKUP(S2005, Lives!$A$2:$C$35, 2, 0))) * 12) + (IF(ISBLANK(Q2005), 0, IF(ISNA(VLOOKUP(Q2005, Wages!$A$2:$C$17, 2, 0)), Q2005, VLOOKUP(Q2005, Wages!$A$2:$C$17, 2, 0))) * IF(ISBLANK(N2005), 0, IF(ISNA(VLOOKUP(N2005, Crews!$A$2:$C$28, 2, 0)), N2005, VLOOKUP(N2005, Crews!$A$2:$C$28, 2, 0))))) * 400</f>
        <v>20047.61905</v>
      </c>
      <c r="K2005" s="1"/>
      <c r="L2005" s="1" t="s">
        <v>3877</v>
      </c>
      <c r="M2005" s="1" t="n">
        <v>3</v>
      </c>
      <c r="N2005" s="1" t="s">
        <v>1481</v>
      </c>
      <c r="O2005" s="1"/>
      <c r="P2005" s="1"/>
      <c r="Q2005" s="1" t="s">
        <v>1481</v>
      </c>
      <c r="R2005" s="1" t="s">
        <v>689</v>
      </c>
      <c r="S2005" s="1" t="s">
        <v>856</v>
      </c>
      <c r="T2005" s="1"/>
    </row>
    <row r="2006" customFormat="false" ht="15" hidden="false" customHeight="true" outlineLevel="0" collapsed="false">
      <c r="A2006" s="1" t="s">
        <v>3922</v>
      </c>
      <c r="B2006" s="1" t="n">
        <v>1957</v>
      </c>
      <c r="C2006" s="1" t="n">
        <v>10</v>
      </c>
      <c r="D2006" s="1" t="s">
        <v>38</v>
      </c>
      <c r="E2006" s="1" t="s">
        <v>1346</v>
      </c>
      <c r="F2006" s="1" t="n">
        <v>740</v>
      </c>
      <c r="G2006" s="1" t="n">
        <v>120</v>
      </c>
      <c r="H2006" s="2" t="n">
        <v>1843000</v>
      </c>
      <c r="I2006" s="2" t="n">
        <f aca="false">(((H2006 / 800) / IF(ISBLANK(R2006), 1000000, IF(ISNA(VLOOKUP(R2006, Mileages!$A$2:$C$34, 2, 0)), R2006, VLOOKUP(R2006, Mileages!$A$2:$C$34, 2, 0)))) + (F2006 * IF(ISBLANK(P2006), 1, P2006) * IF(ISBLANK(T2006), 0, IF(ISNA(VLOOKUP(T2006, 'Fuel Costs'!$A$2:$C$42, 2, 0)), T2006, VLOOKUP(T2006, 'Fuel Costs'!$A$2:$C$42, 2, 0))) / IF(ISBLANK(O2006), 1, O2006))) * 100</f>
        <v>148.230375</v>
      </c>
      <c r="J2006" s="2" t="n">
        <f aca="false">((H2006 / 800) / (IF(ISBLANK(S2006), 100, IF(ISNA(VLOOKUP(S2006, Lives!$A$2:$C$35, 2, 0)), S2006, VLOOKUP(S2006, Lives!$A$2:$C$35, 2, 0))) * 12) + (IF(ISBLANK(Q2006), 0, IF(ISNA(VLOOKUP(Q2006, Wages!$A$2:$C$17, 2, 0)), Q2006, VLOOKUP(Q2006, Wages!$A$2:$C$17, 2, 0))) * IF(ISBLANK(N2006), 0, IF(ISNA(VLOOKUP(N2006, Crews!$A$2:$C$28, 2, 0)), N2006, VLOOKUP(N2006, Crews!$A$2:$C$28, 2, 0))))) * 400</f>
        <v>11279.86111</v>
      </c>
      <c r="K2006" s="1" t="s">
        <v>3923</v>
      </c>
      <c r="L2006" s="1" t="s">
        <v>3924</v>
      </c>
      <c r="M2006" s="1" t="n">
        <v>0</v>
      </c>
      <c r="N2006" s="1" t="s">
        <v>1488</v>
      </c>
      <c r="O2006" s="1" t="n">
        <v>1</v>
      </c>
      <c r="P2006" s="1"/>
      <c r="Q2006" s="1" t="str">
        <f aca="false">IF(ISBLANK('Pak128 Britain In'!$N2006),,'Pak128 Britain In'!$N2006)</f>
        <v>ElectricDriverRail</v>
      </c>
      <c r="R2006" s="1" t="s">
        <v>1349</v>
      </c>
      <c r="S2006" s="1" t="s">
        <v>1349</v>
      </c>
      <c r="T2006" s="1" t="s">
        <v>3471</v>
      </c>
    </row>
    <row r="2007" customFormat="false" ht="15" hidden="false" customHeight="true" outlineLevel="0" collapsed="false">
      <c r="A2007" s="1" t="s">
        <v>3925</v>
      </c>
      <c r="B2007" s="1" t="n">
        <v>1957</v>
      </c>
      <c r="C2007" s="1" t="n">
        <v>10</v>
      </c>
      <c r="D2007" s="1" t="s">
        <v>38</v>
      </c>
      <c r="E2007" s="1" t="s">
        <v>1346</v>
      </c>
      <c r="F2007" s="1" t="n">
        <v>0</v>
      </c>
      <c r="G2007" s="1" t="n">
        <v>120</v>
      </c>
      <c r="H2007" s="2" t="n">
        <v>1843000</v>
      </c>
      <c r="I2007" s="2" t="n">
        <f aca="false">(((H2007 / 800) / IF(ISBLANK(R2007), 1000000, IF(ISNA(VLOOKUP(R2007, Mileages!$A$2:$C$34, 2, 0)), R2007, VLOOKUP(R2007, Mileages!$A$2:$C$34, 2, 0)))) + (F2007 * IF(ISBLANK(P2007), 1, P2007) * IF(ISBLANK(T2007), 0, IF(ISNA(VLOOKUP(T2007, 'Fuel Costs'!$A$2:$C$42, 2, 0)), T2007, VLOOKUP(T2007, 'Fuel Costs'!$A$2:$C$42, 2, 0))) / IF(ISBLANK(O2007), 1, O2007))) * 100</f>
        <v>0.1919791667</v>
      </c>
      <c r="J2007" s="2" t="n">
        <f aca="false">((H2007 / 800) / (IF(ISBLANK(S2007), 100, IF(ISNA(VLOOKUP(S2007, Lives!$A$2:$C$35, 2, 0)), S2007, VLOOKUP(S2007, Lives!$A$2:$C$35, 2, 0))) * 12) + (IF(ISBLANK(Q2007), 0, IF(ISNA(VLOOKUP(Q2007, Wages!$A$2:$C$17, 2, 0)), Q2007, VLOOKUP(Q2007, Wages!$A$2:$C$17, 2, 0))) * IF(ISBLANK(N2007), 0, IF(ISNA(VLOOKUP(N2007, Crews!$A$2:$C$28, 2, 0)), N2007, VLOOKUP(N2007, Crews!$A$2:$C$28, 2, 0))))) * 400</f>
        <v>2194.047619</v>
      </c>
      <c r="K2007" s="1"/>
      <c r="L2007" s="1" t="s">
        <v>3924</v>
      </c>
      <c r="M2007" s="1" t="n">
        <v>1</v>
      </c>
      <c r="N2007" s="1"/>
      <c r="O2007" s="1"/>
      <c r="P2007" s="1"/>
      <c r="Q2007" s="1"/>
      <c r="R2007" s="1" t="s">
        <v>689</v>
      </c>
      <c r="S2007" s="1" t="s">
        <v>856</v>
      </c>
      <c r="T2007" s="1"/>
    </row>
    <row r="2008" customFormat="false" ht="15" hidden="false" customHeight="true" outlineLevel="0" collapsed="false">
      <c r="A2008" s="1" t="s">
        <v>3926</v>
      </c>
      <c r="B2008" s="1" t="n">
        <v>1957</v>
      </c>
      <c r="C2008" s="1" t="n">
        <v>10</v>
      </c>
      <c r="D2008" s="1" t="s">
        <v>38</v>
      </c>
      <c r="E2008" s="1" t="s">
        <v>1346</v>
      </c>
      <c r="F2008" s="1" t="n">
        <v>0</v>
      </c>
      <c r="G2008" s="1" t="n">
        <v>120</v>
      </c>
      <c r="H2008" s="2" t="n">
        <v>1843000</v>
      </c>
      <c r="I2008" s="2" t="n">
        <f aca="false">(((H2008 / 800) / IF(ISBLANK(R2008), 1000000, IF(ISNA(VLOOKUP(R2008, Mileages!$A$2:$C$34, 2, 0)), R2008, VLOOKUP(R2008, Mileages!$A$2:$C$34, 2, 0)))) + (F2008 * IF(ISBLANK(P2008), 1, P2008) * IF(ISBLANK(T2008), 0, IF(ISNA(VLOOKUP(T2008, 'Fuel Costs'!$A$2:$C$42, 2, 0)), T2008, VLOOKUP(T2008, 'Fuel Costs'!$A$2:$C$42, 2, 0))) / IF(ISBLANK(O2008), 1, O2008))) * 100</f>
        <v>0.1919791667</v>
      </c>
      <c r="J2008" s="2" t="n">
        <f aca="false">((H2008 / 800) / (IF(ISBLANK(S2008), 100, IF(ISNA(VLOOKUP(S2008, Lives!$A$2:$C$35, 2, 0)), S2008, VLOOKUP(S2008, Lives!$A$2:$C$35, 2, 0))) * 12) + (IF(ISBLANK(Q2008), 0, IF(ISNA(VLOOKUP(Q2008, Wages!$A$2:$C$17, 2, 0)), Q2008, VLOOKUP(Q2008, Wages!$A$2:$C$17, 2, 0))) * IF(ISBLANK(N2008), 0, IF(ISNA(VLOOKUP(N2008, Crews!$A$2:$C$28, 2, 0)), N2008, VLOOKUP(N2008, Crews!$A$2:$C$28, 2, 0))))) * 400</f>
        <v>2194.047619</v>
      </c>
      <c r="K2008" s="1"/>
      <c r="L2008" s="1" t="s">
        <v>3924</v>
      </c>
      <c r="M2008" s="1" t="n">
        <v>2</v>
      </c>
      <c r="N2008" s="1"/>
      <c r="O2008" s="1"/>
      <c r="P2008" s="1"/>
      <c r="Q2008" s="1"/>
      <c r="R2008" s="1" t="s">
        <v>689</v>
      </c>
      <c r="S2008" s="1" t="s">
        <v>856</v>
      </c>
      <c r="T2008" s="1"/>
    </row>
    <row r="2009" customFormat="false" ht="15" hidden="false" customHeight="true" outlineLevel="0" collapsed="false">
      <c r="A2009" s="1" t="s">
        <v>3927</v>
      </c>
      <c r="B2009" s="1" t="n">
        <v>1957</v>
      </c>
      <c r="C2009" s="1" t="n">
        <v>11</v>
      </c>
      <c r="D2009" s="1" t="s">
        <v>21</v>
      </c>
      <c r="E2009" s="1" t="s">
        <v>1346</v>
      </c>
      <c r="F2009" s="1" t="n">
        <v>93</v>
      </c>
      <c r="G2009" s="1" t="n">
        <v>50</v>
      </c>
      <c r="H2009" s="2" t="n">
        <v>39000</v>
      </c>
      <c r="I2009" s="2" t="n">
        <f aca="false">(((H2009 / 800) / IF(ISBLANK(R2009), 1000000, IF(ISNA(VLOOKUP(R2009, Mileages!$A$2:$C$34, 2, 0)), R2009, VLOOKUP(R2009, Mileages!$A$2:$C$34, 2, 0)))) + (F2009 * IF(ISBLANK(P2009), 1, P2009) * IF(ISBLANK(T2009), 0, IF(ISNA(VLOOKUP(T2009, 'Fuel Costs'!$A$2:$C$42, 2, 0)), T2009, VLOOKUP(T2009, 'Fuel Costs'!$A$2:$C$42, 2, 0))) / IF(ISBLANK(O2009), 1, O2009))) * 100</f>
        <v>18.6065</v>
      </c>
      <c r="J2009" s="2" t="n">
        <f aca="false">((H2009 / 800) / (IF(ISBLANK(S2009), 100, IF(ISNA(VLOOKUP(S2009, Lives!$A$2:$C$35, 2, 0)), S2009, VLOOKUP(S2009, Lives!$A$2:$C$35, 2, 0))) * 12) + (IF(ISBLANK(Q2009), 0, IF(ISNA(VLOOKUP(Q2009, Wages!$A$2:$C$17, 2, 0)), Q2009, VLOOKUP(Q2009, Wages!$A$2:$C$17, 2, 0))) * IF(ISBLANK(N2009), 0, IF(ISNA(VLOOKUP(N2009, Crews!$A$2:$C$28, 2, 0)), N2009, VLOOKUP(N2009, Crews!$A$2:$C$28, 2, 0))))) * 400</f>
        <v>12040.625</v>
      </c>
      <c r="K2009" s="3" t="s">
        <v>3928</v>
      </c>
      <c r="L2009" s="1" t="s">
        <v>3929</v>
      </c>
      <c r="M2009" s="1" t="n">
        <v>0</v>
      </c>
      <c r="N2009" s="1" t="s">
        <v>3063</v>
      </c>
      <c r="O2009" s="1"/>
      <c r="P2009" s="1"/>
      <c r="Q2009" s="1" t="s">
        <v>3064</v>
      </c>
      <c r="R2009" s="1" t="s">
        <v>3064</v>
      </c>
      <c r="S2009" s="1" t="s">
        <v>3064</v>
      </c>
      <c r="T2009" s="1" t="s">
        <v>3471</v>
      </c>
    </row>
    <row r="2010" customFormat="false" ht="15" hidden="false" customHeight="true" outlineLevel="0" collapsed="false">
      <c r="A2010" s="1" t="s">
        <v>3930</v>
      </c>
      <c r="B2010" s="1" t="n">
        <v>1958</v>
      </c>
      <c r="C2010" s="1" t="n">
        <v>1</v>
      </c>
      <c r="D2010" s="1" t="s">
        <v>29</v>
      </c>
      <c r="E2010" s="1" t="s">
        <v>2039</v>
      </c>
      <c r="F2010" s="1" t="n">
        <v>6100</v>
      </c>
      <c r="G2010" s="1" t="n">
        <v>25</v>
      </c>
      <c r="H2010" s="2" t="n">
        <v>67500000</v>
      </c>
      <c r="I2010" s="2" t="n">
        <f aca="false">(((H2010 / 800) / IF(ISBLANK(R2010), 1000000, IF(ISNA(VLOOKUP(R2010, Mileages!$A$2:$C$34, 2, 0)), R2010, VLOOKUP(R2010, Mileages!$A$2:$C$34, 2, 0)))) + (F2010 * IF(ISBLANK(P2010), 1, P2010) * IF(ISBLANK(T2010), 0, IF(ISNA(VLOOKUP(T2010, 'Fuel Costs'!$A$2:$C$42, 2, 0)), T2010, VLOOKUP(T2010, 'Fuel Costs'!$A$2:$C$42, 2, 0))) / IF(ISBLANK(O2010), 1, O2010))) * 100</f>
        <v>1221.40625</v>
      </c>
      <c r="J2010" s="2" t="n">
        <f aca="false">((H2010 / 800) / (IF(ISBLANK(S2010), 100, IF(ISNA(VLOOKUP(S2010, Lives!$A$2:$C$35, 2, 0)), S2010, VLOOKUP(S2010, Lives!$A$2:$C$35, 2, 0))) * 12) + (IF(ISBLANK(Q2010), 0, IF(ISNA(VLOOKUP(Q2010, Wages!$A$2:$C$17, 2, 0)), Q2010, VLOOKUP(Q2010, Wages!$A$2:$C$17, 2, 0))) * IF(ISBLANK(N2010), 0, IF(ISNA(VLOOKUP(N2010, Crews!$A$2:$C$28, 2, 0)), N2010, VLOOKUP(N2010, Crews!$A$2:$C$28, 2, 0))))) * 400</f>
        <v>108125</v>
      </c>
      <c r="K2010" s="3" t="s">
        <v>3931</v>
      </c>
      <c r="L2010" s="1" t="s">
        <v>3932</v>
      </c>
      <c r="M2010" s="1" t="n">
        <v>0</v>
      </c>
      <c r="N2010" s="1" t="s">
        <v>65</v>
      </c>
      <c r="O2010" s="1" t="n">
        <v>0.5</v>
      </c>
      <c r="P2010" s="1" t="n">
        <v>0.2</v>
      </c>
      <c r="Q2010" s="1" t="s">
        <v>34</v>
      </c>
      <c r="R2010" s="1" t="s">
        <v>3933</v>
      </c>
      <c r="S2010" s="1" t="s">
        <v>574</v>
      </c>
      <c r="T2010" s="1" t="s">
        <v>2041</v>
      </c>
    </row>
    <row r="2011" customFormat="false" ht="15" hidden="false" customHeight="true" outlineLevel="0" collapsed="false">
      <c r="A2011" s="1" t="s">
        <v>3934</v>
      </c>
      <c r="B2011" s="1" t="n">
        <v>1958</v>
      </c>
      <c r="C2011" s="1" t="n">
        <v>1</v>
      </c>
      <c r="D2011" s="1" t="s">
        <v>29</v>
      </c>
      <c r="E2011" s="1" t="s">
        <v>2039</v>
      </c>
      <c r="F2011" s="1" t="n">
        <v>6100</v>
      </c>
      <c r="G2011" s="1" t="n">
        <v>25</v>
      </c>
      <c r="H2011" s="2" t="n">
        <v>67500000</v>
      </c>
      <c r="I2011" s="2" t="n">
        <f aca="false">(((H2011 / 800) / IF(ISBLANK(R2011), 1000000, IF(ISNA(VLOOKUP(R2011, Mileages!$A$2:$C$34, 2, 0)), R2011, VLOOKUP(R2011, Mileages!$A$2:$C$34, 2, 0)))) + (F2011 * IF(ISBLANK(P2011), 1, P2011) * IF(ISBLANK(T2011), 0, IF(ISNA(VLOOKUP(T2011, 'Fuel Costs'!$A$2:$C$42, 2, 0)), T2011, VLOOKUP(T2011, 'Fuel Costs'!$A$2:$C$42, 2, 0))) / IF(ISBLANK(O2011), 1, O2011))) * 100</f>
        <v>1221.40625</v>
      </c>
      <c r="J2011" s="2" t="n">
        <f aca="false">((H2011 / 800) / (IF(ISBLANK(S2011), 100, IF(ISNA(VLOOKUP(S2011, Lives!$A$2:$C$35, 2, 0)), S2011, VLOOKUP(S2011, Lives!$A$2:$C$35, 2, 0))) * 12) + (IF(ISBLANK(Q2011), 0, IF(ISNA(VLOOKUP(Q2011, Wages!$A$2:$C$17, 2, 0)), Q2011, VLOOKUP(Q2011, Wages!$A$2:$C$17, 2, 0))) * IF(ISBLANK(N2011), 0, IF(ISNA(VLOOKUP(N2011, Crews!$A$2:$C$28, 2, 0)), N2011, VLOOKUP(N2011, Crews!$A$2:$C$28, 2, 0))))) * 400</f>
        <v>108125</v>
      </c>
      <c r="K2011" s="3" t="s">
        <v>3935</v>
      </c>
      <c r="L2011" s="1" t="s">
        <v>3932</v>
      </c>
      <c r="M2011" s="1" t="n">
        <v>1</v>
      </c>
      <c r="N2011" s="1" t="s">
        <v>65</v>
      </c>
      <c r="O2011" s="1" t="n">
        <v>0.5</v>
      </c>
      <c r="P2011" s="1" t="n">
        <v>0.2</v>
      </c>
      <c r="Q2011" s="1" t="s">
        <v>34</v>
      </c>
      <c r="R2011" s="1" t="s">
        <v>3933</v>
      </c>
      <c r="S2011" s="1" t="s">
        <v>574</v>
      </c>
      <c r="T2011" s="1" t="s">
        <v>2041</v>
      </c>
    </row>
    <row r="2012" customFormat="false" ht="15" hidden="false" customHeight="true" outlineLevel="0" collapsed="false">
      <c r="A2012" s="1" t="s">
        <v>3936</v>
      </c>
      <c r="B2012" s="1" t="n">
        <v>1958</v>
      </c>
      <c r="C2012" s="1" t="n">
        <v>1</v>
      </c>
      <c r="D2012" s="1" t="s">
        <v>29</v>
      </c>
      <c r="E2012" s="1" t="s">
        <v>2039</v>
      </c>
      <c r="F2012" s="1" t="n">
        <v>6100</v>
      </c>
      <c r="G2012" s="1" t="n">
        <v>25</v>
      </c>
      <c r="H2012" s="2" t="n">
        <v>67500000</v>
      </c>
      <c r="I2012" s="2" t="n">
        <f aca="false">(((H2012 / 800) / IF(ISBLANK(R2012), 1000000, IF(ISNA(VLOOKUP(R2012, Mileages!$A$2:$C$34, 2, 0)), R2012, VLOOKUP(R2012, Mileages!$A$2:$C$34, 2, 0)))) + (F2012 * IF(ISBLANK(P2012), 1, P2012) * IF(ISBLANK(T2012), 0, IF(ISNA(VLOOKUP(T2012, 'Fuel Costs'!$A$2:$C$42, 2, 0)), T2012, VLOOKUP(T2012, 'Fuel Costs'!$A$2:$C$42, 2, 0))) / IF(ISBLANK(O2012), 1, O2012))) * 100</f>
        <v>1221.40625</v>
      </c>
      <c r="J2012" s="2" t="n">
        <f aca="false">((H2012 / 800) / (IF(ISBLANK(S2012), 100, IF(ISNA(VLOOKUP(S2012, Lives!$A$2:$C$35, 2, 0)), S2012, VLOOKUP(S2012, Lives!$A$2:$C$35, 2, 0))) * 12) + (IF(ISBLANK(Q2012), 0, IF(ISNA(VLOOKUP(Q2012, Wages!$A$2:$C$17, 2, 0)), Q2012, VLOOKUP(Q2012, Wages!$A$2:$C$17, 2, 0))) * IF(ISBLANK(N2012), 0, IF(ISNA(VLOOKUP(N2012, Crews!$A$2:$C$28, 2, 0)), N2012, VLOOKUP(N2012, Crews!$A$2:$C$28, 2, 0))))) * 400</f>
        <v>108125</v>
      </c>
      <c r="K2012" s="3" t="s">
        <v>3937</v>
      </c>
      <c r="L2012" s="1" t="s">
        <v>3932</v>
      </c>
      <c r="M2012" s="1" t="n">
        <v>2</v>
      </c>
      <c r="N2012" s="1" t="s">
        <v>65</v>
      </c>
      <c r="O2012" s="1" t="n">
        <v>0.5</v>
      </c>
      <c r="P2012" s="1" t="n">
        <v>0.2</v>
      </c>
      <c r="Q2012" s="1" t="s">
        <v>34</v>
      </c>
      <c r="R2012" s="1" t="s">
        <v>3933</v>
      </c>
      <c r="S2012" s="1" t="s">
        <v>574</v>
      </c>
      <c r="T2012" s="1" t="s">
        <v>2041</v>
      </c>
    </row>
    <row r="2013" customFormat="false" ht="15" hidden="false" customHeight="true" outlineLevel="0" collapsed="false">
      <c r="A2013" s="1" t="s">
        <v>3938</v>
      </c>
      <c r="B2013" s="1" t="n">
        <v>1958</v>
      </c>
      <c r="C2013" s="1" t="n">
        <v>1</v>
      </c>
      <c r="D2013" s="1" t="s">
        <v>29</v>
      </c>
      <c r="E2013" s="1" t="s">
        <v>2039</v>
      </c>
      <c r="F2013" s="1" t="n">
        <v>6100</v>
      </c>
      <c r="G2013" s="1" t="n">
        <v>25</v>
      </c>
      <c r="H2013" s="2" t="n">
        <v>67500000</v>
      </c>
      <c r="I2013" s="2" t="n">
        <f aca="false">(((H2013 / 800) / IF(ISBLANK(R2013), 1000000, IF(ISNA(VLOOKUP(R2013, Mileages!$A$2:$C$34, 2, 0)), R2013, VLOOKUP(R2013, Mileages!$A$2:$C$34, 2, 0)))) + (F2013 * IF(ISBLANK(P2013), 1, P2013) * IF(ISBLANK(T2013), 0, IF(ISNA(VLOOKUP(T2013, 'Fuel Costs'!$A$2:$C$42, 2, 0)), T2013, VLOOKUP(T2013, 'Fuel Costs'!$A$2:$C$42, 2, 0))) / IF(ISBLANK(O2013), 1, O2013))) * 100</f>
        <v>1221.40625</v>
      </c>
      <c r="J2013" s="2" t="n">
        <f aca="false">((H2013 / 800) / (IF(ISBLANK(S2013), 100, IF(ISNA(VLOOKUP(S2013, Lives!$A$2:$C$35, 2, 0)), S2013, VLOOKUP(S2013, Lives!$A$2:$C$35, 2, 0))) * 12) + (IF(ISBLANK(Q2013), 0, IF(ISNA(VLOOKUP(Q2013, Wages!$A$2:$C$17, 2, 0)), Q2013, VLOOKUP(Q2013, Wages!$A$2:$C$17, 2, 0))) * IF(ISBLANK(N2013), 0, IF(ISNA(VLOOKUP(N2013, Crews!$A$2:$C$28, 2, 0)), N2013, VLOOKUP(N2013, Crews!$A$2:$C$28, 2, 0))))) * 400</f>
        <v>108125</v>
      </c>
      <c r="K2013" s="3" t="s">
        <v>3939</v>
      </c>
      <c r="L2013" s="1" t="s">
        <v>3932</v>
      </c>
      <c r="M2013" s="1" t="n">
        <v>3</v>
      </c>
      <c r="N2013" s="1" t="s">
        <v>65</v>
      </c>
      <c r="O2013" s="1" t="n">
        <v>0.5</v>
      </c>
      <c r="P2013" s="1" t="n">
        <v>0.2</v>
      </c>
      <c r="Q2013" s="1" t="s">
        <v>34</v>
      </c>
      <c r="R2013" s="1" t="s">
        <v>3933</v>
      </c>
      <c r="S2013" s="1" t="s">
        <v>574</v>
      </c>
      <c r="T2013" s="1" t="s">
        <v>2041</v>
      </c>
    </row>
    <row r="2014" customFormat="false" ht="15" hidden="false" customHeight="true" outlineLevel="0" collapsed="false">
      <c r="A2014" s="1" t="s">
        <v>3940</v>
      </c>
      <c r="B2014" s="1" t="n">
        <v>1958</v>
      </c>
      <c r="C2014" s="1" t="n">
        <v>1</v>
      </c>
      <c r="D2014" s="1" t="s">
        <v>29</v>
      </c>
      <c r="E2014" s="1" t="s">
        <v>2039</v>
      </c>
      <c r="F2014" s="1" t="n">
        <v>6100</v>
      </c>
      <c r="G2014" s="1" t="n">
        <v>25</v>
      </c>
      <c r="H2014" s="2" t="n">
        <v>67500000</v>
      </c>
      <c r="I2014" s="2" t="n">
        <f aca="false">(((H2014 / 800) / IF(ISBLANK(R2014), 1000000, IF(ISNA(VLOOKUP(R2014, Mileages!$A$2:$C$34, 2, 0)), R2014, VLOOKUP(R2014, Mileages!$A$2:$C$34, 2, 0)))) + (F2014 * IF(ISBLANK(P2014), 1, P2014) * IF(ISBLANK(T2014), 0, IF(ISNA(VLOOKUP(T2014, 'Fuel Costs'!$A$2:$C$42, 2, 0)), T2014, VLOOKUP(T2014, 'Fuel Costs'!$A$2:$C$42, 2, 0))) / IF(ISBLANK(O2014), 1, O2014))) * 100</f>
        <v>1221.40625</v>
      </c>
      <c r="J2014" s="2" t="n">
        <f aca="false">((H2014 / 800) / (IF(ISBLANK(S2014), 100, IF(ISNA(VLOOKUP(S2014, Lives!$A$2:$C$35, 2, 0)), S2014, VLOOKUP(S2014, Lives!$A$2:$C$35, 2, 0))) * 12) + (IF(ISBLANK(Q2014), 0, IF(ISNA(VLOOKUP(Q2014, Wages!$A$2:$C$17, 2, 0)), Q2014, VLOOKUP(Q2014, Wages!$A$2:$C$17, 2, 0))) * IF(ISBLANK(N2014), 0, IF(ISNA(VLOOKUP(N2014, Crews!$A$2:$C$28, 2, 0)), N2014, VLOOKUP(N2014, Crews!$A$2:$C$28, 2, 0))))) * 400</f>
        <v>108125</v>
      </c>
      <c r="K2014" s="3" t="s">
        <v>3941</v>
      </c>
      <c r="L2014" s="1" t="s">
        <v>3932</v>
      </c>
      <c r="M2014" s="1" t="n">
        <v>4</v>
      </c>
      <c r="N2014" s="1" t="s">
        <v>65</v>
      </c>
      <c r="O2014" s="1" t="n">
        <v>0.5</v>
      </c>
      <c r="P2014" s="1" t="n">
        <v>0.2</v>
      </c>
      <c r="Q2014" s="1" t="s">
        <v>34</v>
      </c>
      <c r="R2014" s="1" t="s">
        <v>3933</v>
      </c>
      <c r="S2014" s="1" t="s">
        <v>574</v>
      </c>
      <c r="T2014" s="1" t="s">
        <v>2041</v>
      </c>
    </row>
    <row r="2015" customFormat="false" ht="15" hidden="false" customHeight="true" outlineLevel="0" collapsed="false">
      <c r="A2015" s="1" t="s">
        <v>3942</v>
      </c>
      <c r="B2015" s="1" t="n">
        <v>1958</v>
      </c>
      <c r="C2015" s="1" t="n">
        <v>1</v>
      </c>
      <c r="D2015" s="1" t="s">
        <v>29</v>
      </c>
      <c r="E2015" s="1" t="s">
        <v>2039</v>
      </c>
      <c r="F2015" s="1" t="n">
        <v>6100</v>
      </c>
      <c r="G2015" s="1" t="n">
        <v>25</v>
      </c>
      <c r="H2015" s="2" t="n">
        <v>67500000</v>
      </c>
      <c r="I2015" s="2" t="n">
        <f aca="false">(((H2015 / 800) / IF(ISBLANK(R2015), 1000000, IF(ISNA(VLOOKUP(R2015, Mileages!$A$2:$C$34, 2, 0)), R2015, VLOOKUP(R2015, Mileages!$A$2:$C$34, 2, 0)))) + (F2015 * IF(ISBLANK(P2015), 1, P2015) * IF(ISBLANK(T2015), 0, IF(ISNA(VLOOKUP(T2015, 'Fuel Costs'!$A$2:$C$42, 2, 0)), T2015, VLOOKUP(T2015, 'Fuel Costs'!$A$2:$C$42, 2, 0))) / IF(ISBLANK(O2015), 1, O2015))) * 100</f>
        <v>1221.40625</v>
      </c>
      <c r="J2015" s="2" t="n">
        <f aca="false">((H2015 / 800) / (IF(ISBLANK(S2015), 100, IF(ISNA(VLOOKUP(S2015, Lives!$A$2:$C$35, 2, 0)), S2015, VLOOKUP(S2015, Lives!$A$2:$C$35, 2, 0))) * 12) + (IF(ISBLANK(Q2015), 0, IF(ISNA(VLOOKUP(Q2015, Wages!$A$2:$C$17, 2, 0)), Q2015, VLOOKUP(Q2015, Wages!$A$2:$C$17, 2, 0))) * IF(ISBLANK(N2015), 0, IF(ISNA(VLOOKUP(N2015, Crews!$A$2:$C$28, 2, 0)), N2015, VLOOKUP(N2015, Crews!$A$2:$C$28, 2, 0))))) * 400</f>
        <v>108125</v>
      </c>
      <c r="K2015" s="3" t="s">
        <v>3937</v>
      </c>
      <c r="L2015" s="1" t="s">
        <v>3932</v>
      </c>
      <c r="M2015" s="1" t="n">
        <v>5</v>
      </c>
      <c r="N2015" s="1" t="s">
        <v>65</v>
      </c>
      <c r="O2015" s="1" t="n">
        <v>0.5</v>
      </c>
      <c r="P2015" s="1" t="n">
        <v>0.2</v>
      </c>
      <c r="Q2015" s="1" t="s">
        <v>34</v>
      </c>
      <c r="R2015" s="1" t="s">
        <v>3933</v>
      </c>
      <c r="S2015" s="1" t="s">
        <v>574</v>
      </c>
      <c r="T2015" s="1" t="s">
        <v>2041</v>
      </c>
    </row>
    <row r="2016" customFormat="false" ht="15" hidden="false" customHeight="true" outlineLevel="0" collapsed="false">
      <c r="A2016" s="1" t="s">
        <v>3943</v>
      </c>
      <c r="B2016" s="1" t="n">
        <v>1958</v>
      </c>
      <c r="C2016" s="1" t="n">
        <v>1</v>
      </c>
      <c r="D2016" s="1" t="s">
        <v>29</v>
      </c>
      <c r="E2016" s="1" t="s">
        <v>2039</v>
      </c>
      <c r="F2016" s="1" t="n">
        <v>6100</v>
      </c>
      <c r="G2016" s="1" t="n">
        <v>25</v>
      </c>
      <c r="H2016" s="2" t="n">
        <v>67500000</v>
      </c>
      <c r="I2016" s="2" t="n">
        <f aca="false">(((H2016 / 800) / IF(ISBLANK(R2016), 1000000, IF(ISNA(VLOOKUP(R2016, Mileages!$A$2:$C$34, 2, 0)), R2016, VLOOKUP(R2016, Mileages!$A$2:$C$34, 2, 0)))) + (F2016 * IF(ISBLANK(P2016), 1, P2016) * IF(ISBLANK(T2016), 0, IF(ISNA(VLOOKUP(T2016, 'Fuel Costs'!$A$2:$C$42, 2, 0)), T2016, VLOOKUP(T2016, 'Fuel Costs'!$A$2:$C$42, 2, 0))) / IF(ISBLANK(O2016), 1, O2016))) * 100</f>
        <v>1221.40625</v>
      </c>
      <c r="J2016" s="2" t="n">
        <f aca="false">((H2016 / 800) / (IF(ISBLANK(S2016), 100, IF(ISNA(VLOOKUP(S2016, Lives!$A$2:$C$35, 2, 0)), S2016, VLOOKUP(S2016, Lives!$A$2:$C$35, 2, 0))) * 12) + (IF(ISBLANK(Q2016), 0, IF(ISNA(VLOOKUP(Q2016, Wages!$A$2:$C$17, 2, 0)), Q2016, VLOOKUP(Q2016, Wages!$A$2:$C$17, 2, 0))) * IF(ISBLANK(N2016), 0, IF(ISNA(VLOOKUP(N2016, Crews!$A$2:$C$28, 2, 0)), N2016, VLOOKUP(N2016, Crews!$A$2:$C$28, 2, 0))))) * 400</f>
        <v>108125</v>
      </c>
      <c r="K2016" s="3" t="s">
        <v>3937</v>
      </c>
      <c r="L2016" s="1" t="s">
        <v>3932</v>
      </c>
      <c r="M2016" s="1" t="n">
        <v>6</v>
      </c>
      <c r="N2016" s="1" t="s">
        <v>65</v>
      </c>
      <c r="O2016" s="1" t="n">
        <v>0.5</v>
      </c>
      <c r="P2016" s="1" t="n">
        <v>0.2</v>
      </c>
      <c r="Q2016" s="1" t="s">
        <v>34</v>
      </c>
      <c r="R2016" s="1" t="s">
        <v>3933</v>
      </c>
      <c r="S2016" s="1" t="s">
        <v>574</v>
      </c>
      <c r="T2016" s="1" t="s">
        <v>2041</v>
      </c>
    </row>
    <row r="2017" customFormat="false" ht="15" hidden="false" customHeight="true" outlineLevel="0" collapsed="false">
      <c r="A2017" s="1" t="s">
        <v>3944</v>
      </c>
      <c r="B2017" s="1" t="n">
        <v>1958</v>
      </c>
      <c r="C2017" s="1" t="n">
        <v>1</v>
      </c>
      <c r="D2017" s="1" t="s">
        <v>38</v>
      </c>
      <c r="E2017" s="1" t="s">
        <v>2039</v>
      </c>
      <c r="F2017" s="1" t="n">
        <v>1492</v>
      </c>
      <c r="G2017" s="1" t="n">
        <v>145</v>
      </c>
      <c r="H2017" s="2" t="n">
        <v>1520000</v>
      </c>
      <c r="I2017" s="2" t="n">
        <f aca="false">(((H2017 / 800) / IF(ISBLANK(R2017), 1000000, IF(ISNA(VLOOKUP(R2017, Mileages!$A$2:$C$34, 2, 0)), R2017, VLOOKUP(R2017, Mileages!$A$2:$C$34, 2, 0)))) + (F2017 * IF(ISBLANK(P2017), 1, P2017) * IF(ISBLANK(T2017), 0, IF(ISNA(VLOOKUP(T2017, 'Fuel Costs'!$A$2:$C$42, 2, 0)), T2017, VLOOKUP(T2017, 'Fuel Costs'!$A$2:$C$42, 2, 0))) / IF(ISBLANK(O2017), 1, O2017))) * 100</f>
        <v>1492.38</v>
      </c>
      <c r="J2017" s="2" t="n">
        <f aca="false">((H2017 / 800) / (IF(ISBLANK(S2017), 100, IF(ISNA(VLOOKUP(S2017, Lives!$A$2:$C$35, 2, 0)), S2017, VLOOKUP(S2017, Lives!$A$2:$C$35, 2, 0))) * 12) + (IF(ISBLANK(Q2017), 0, IF(ISNA(VLOOKUP(Q2017, Wages!$A$2:$C$17, 2, 0)), Q2017, VLOOKUP(Q2017, Wages!$A$2:$C$17, 2, 0))) * IF(ISBLANK(N2017), 0, IF(ISNA(VLOOKUP(N2017, Crews!$A$2:$C$28, 2, 0)), N2017, VLOOKUP(N2017, Crews!$A$2:$C$28, 2, 0))))) * 400</f>
        <v>11583.33333</v>
      </c>
      <c r="K2017" s="3" t="s">
        <v>3945</v>
      </c>
      <c r="L2017" s="1" t="s">
        <v>3946</v>
      </c>
      <c r="M2017" s="1" t="n">
        <v>0</v>
      </c>
      <c r="N2017" s="1" t="s">
        <v>1488</v>
      </c>
      <c r="O2017" s="1" t="n">
        <v>0.5</v>
      </c>
      <c r="P2017" s="1"/>
      <c r="Q2017" s="1" t="s">
        <v>1488</v>
      </c>
      <c r="R2017" s="1" t="s">
        <v>3179</v>
      </c>
      <c r="S2017" s="1" t="s">
        <v>3179</v>
      </c>
      <c r="T2017" s="1" t="s">
        <v>2041</v>
      </c>
    </row>
    <row r="2018" customFormat="false" ht="15" hidden="false" customHeight="true" outlineLevel="0" collapsed="false">
      <c r="A2018" s="1" t="s">
        <v>3947</v>
      </c>
      <c r="B2018" s="1" t="n">
        <v>1958</v>
      </c>
      <c r="C2018" s="1" t="n">
        <v>1</v>
      </c>
      <c r="D2018" s="1" t="s">
        <v>38</v>
      </c>
      <c r="E2018" s="1" t="s">
        <v>2039</v>
      </c>
      <c r="F2018" s="1" t="n">
        <v>865</v>
      </c>
      <c r="G2018" s="1" t="n">
        <v>121</v>
      </c>
      <c r="H2018" s="2" t="n">
        <v>8650000</v>
      </c>
      <c r="I2018" s="2" t="n">
        <f aca="false">(((H2018 / 800) / IF(ISBLANK(R2018), 1000000, IF(ISNA(VLOOKUP(R2018, Mileages!$A$2:$C$34, 2, 0)), R2018, VLOOKUP(R2018, Mileages!$A$2:$C$34, 2, 0)))) + (F2018 * IF(ISBLANK(P2018), 1, P2018) * IF(ISBLANK(T2018), 0, IF(ISNA(VLOOKUP(T2018, 'Fuel Costs'!$A$2:$C$42, 2, 0)), T2018, VLOOKUP(T2018, 'Fuel Costs'!$A$2:$C$42, 2, 0))) / IF(ISBLANK(O2018), 1, O2018))) * 100</f>
        <v>867.1625</v>
      </c>
      <c r="J2018" s="2" t="n">
        <f aca="false">((H2018 / 800) / (IF(ISBLANK(S2018), 100, IF(ISNA(VLOOKUP(S2018, Lives!$A$2:$C$35, 2, 0)), S2018, VLOOKUP(S2018, Lives!$A$2:$C$35, 2, 0))) * 12) + (IF(ISBLANK(Q2018), 0, IF(ISNA(VLOOKUP(Q2018, Wages!$A$2:$C$17, 2, 0)), Q2018, VLOOKUP(Q2018, Wages!$A$2:$C$17, 2, 0))) * IF(ISBLANK(N2018), 0, IF(ISNA(VLOOKUP(N2018, Crews!$A$2:$C$28, 2, 0)), N2018, VLOOKUP(N2018, Crews!$A$2:$C$28, 2, 0))))) * 400</f>
        <v>19010.41667</v>
      </c>
      <c r="K2018" s="1" t="s">
        <v>3895</v>
      </c>
      <c r="L2018" s="1" t="s">
        <v>3948</v>
      </c>
      <c r="M2018" s="1" t="n">
        <v>0</v>
      </c>
      <c r="N2018" s="1" t="s">
        <v>1488</v>
      </c>
      <c r="O2018" s="1" t="n">
        <v>0.5</v>
      </c>
      <c r="P2018" s="1"/>
      <c r="Q2018" s="1" t="s">
        <v>1488</v>
      </c>
      <c r="R2018" s="1" t="s">
        <v>3179</v>
      </c>
      <c r="S2018" s="1" t="s">
        <v>3179</v>
      </c>
      <c r="T2018" s="1" t="s">
        <v>2041</v>
      </c>
    </row>
    <row r="2019" customFormat="false" ht="15" hidden="false" customHeight="true" outlineLevel="0" collapsed="false">
      <c r="A2019" s="1" t="s">
        <v>3949</v>
      </c>
      <c r="B2019" s="1" t="n">
        <v>1958</v>
      </c>
      <c r="C2019" s="1" t="n">
        <v>2</v>
      </c>
      <c r="D2019" s="1" t="s">
        <v>21</v>
      </c>
      <c r="E2019" s="1" t="s">
        <v>2039</v>
      </c>
      <c r="F2019" s="1" t="n">
        <v>104</v>
      </c>
      <c r="G2019" s="1" t="n">
        <v>75</v>
      </c>
      <c r="H2019" s="2" t="n">
        <v>5025000</v>
      </c>
      <c r="I2019" s="2" t="n">
        <f aca="false">(((H2019 / 800) / IF(ISBLANK(R2019), 1000000, IF(ISNA(VLOOKUP(R2019, Mileages!$A$2:$C$34, 2, 0)), R2019, VLOOKUP(R2019, Mileages!$A$2:$C$34, 2, 0)))) + (F2019 * IF(ISBLANK(P2019), 1, P2019) * IF(ISBLANK(T2019), 0, IF(ISNA(VLOOKUP(T2019, 'Fuel Costs'!$A$2:$C$42, 2, 0)), T2019, VLOOKUP(T2019, 'Fuel Costs'!$A$2:$C$42, 2, 0))) / IF(ISBLANK(O2019), 1, O2019))) * 100</f>
        <v>104.628125</v>
      </c>
      <c r="J2019" s="2" t="n">
        <f aca="false">((H2019 / 800) / (IF(ISBLANK(S2019), 100, IF(ISNA(VLOOKUP(S2019, Lives!$A$2:$C$35, 2, 0)), S2019, VLOOKUP(S2019, Lives!$A$2:$C$35, 2, 0))) * 12) + (IF(ISBLANK(Q2019), 0, IF(ISNA(VLOOKUP(Q2019, Wages!$A$2:$C$17, 2, 0)), Q2019, VLOOKUP(Q2019, Wages!$A$2:$C$17, 2, 0))) * IF(ISBLANK(N2019), 0, IF(ISNA(VLOOKUP(N2019, Crews!$A$2:$C$28, 2, 0)), N2019, VLOOKUP(N2019, Crews!$A$2:$C$28, 2, 0))))) * 400</f>
        <v>10617.1875</v>
      </c>
      <c r="K2019" s="3" t="s">
        <v>3950</v>
      </c>
      <c r="L2019" s="1" t="s">
        <v>3951</v>
      </c>
      <c r="M2019" s="1" t="n">
        <v>0</v>
      </c>
      <c r="N2019" s="1" t="s">
        <v>1815</v>
      </c>
      <c r="O2019" s="1" t="n">
        <v>0.5</v>
      </c>
      <c r="P2019" s="1"/>
      <c r="Q2019" s="1" t="s">
        <v>1815</v>
      </c>
      <c r="R2019" s="1" t="s">
        <v>1843</v>
      </c>
      <c r="S2019" s="1" t="s">
        <v>1843</v>
      </c>
      <c r="T2019" s="1" t="s">
        <v>2041</v>
      </c>
    </row>
    <row r="2020" customFormat="false" ht="15" hidden="false" customHeight="true" outlineLevel="0" collapsed="false">
      <c r="A2020" s="1" t="s">
        <v>3952</v>
      </c>
      <c r="B2020" s="1" t="n">
        <v>1958</v>
      </c>
      <c r="C2020" s="1" t="n">
        <v>3</v>
      </c>
      <c r="D2020" s="1" t="s">
        <v>876</v>
      </c>
      <c r="E2020" s="1"/>
      <c r="F2020" s="1"/>
      <c r="G2020" s="1" t="n">
        <v>70</v>
      </c>
      <c r="H2020" s="2" t="n">
        <v>202000</v>
      </c>
      <c r="I2020" s="2" t="n">
        <f aca="false">(((H2020 / 800) / IF(ISBLANK(R2020), 1000000, IF(ISNA(VLOOKUP(R2020, Mileages!$A$2:$C$34, 2, 0)), R2020, VLOOKUP(R2020, Mileages!$A$2:$C$34, 2, 0)))) + (F2020 * IF(ISBLANK(P2020), 1, P2020) * IF(ISBLANK(T2020), 0, IF(ISNA(VLOOKUP(T2020, 'Fuel Costs'!$A$2:$C$42, 2, 0)), T2020, VLOOKUP(T2020, 'Fuel Costs'!$A$2:$C$42, 2, 0))) / IF(ISBLANK(O2020), 1, O2020))) * 100</f>
        <v>0.02104166667</v>
      </c>
      <c r="J2020" s="2" t="n">
        <f aca="false">((H2020 / 800) / (IF(ISBLANK(S2020), 100, IF(ISNA(VLOOKUP(S2020, Lives!$A$2:$C$35, 2, 0)), S2020, VLOOKUP(S2020, Lives!$A$2:$C$35, 2, 0))) * 12) + (IF(ISBLANK(Q2020), 0, IF(ISNA(VLOOKUP(Q2020, Wages!$A$2:$C$17, 2, 0)), Q2020, VLOOKUP(Q2020, Wages!$A$2:$C$17, 2, 0))) * IF(ISBLANK(N2020), 0, IF(ISNA(VLOOKUP(N2020, Crews!$A$2:$C$28, 2, 0)), N2020, VLOOKUP(N2020, Crews!$A$2:$C$28, 2, 0))))) * 400</f>
        <v>6240.47619</v>
      </c>
      <c r="K2020" s="3" t="s">
        <v>3953</v>
      </c>
      <c r="L2020" s="1" t="s">
        <v>3954</v>
      </c>
      <c r="M2020" s="1" t="n">
        <v>0</v>
      </c>
      <c r="N2020" s="1" t="s">
        <v>895</v>
      </c>
      <c r="O2020" s="1"/>
      <c r="P2020" s="1"/>
      <c r="Q2020" s="1" t="s">
        <v>895</v>
      </c>
      <c r="R2020" s="1" t="s">
        <v>689</v>
      </c>
      <c r="S2020" s="1" t="s">
        <v>856</v>
      </c>
      <c r="T2020" s="1"/>
    </row>
    <row r="2021" customFormat="false" ht="15" hidden="false" customHeight="true" outlineLevel="0" collapsed="false">
      <c r="A2021" s="1" t="s">
        <v>3955</v>
      </c>
      <c r="B2021" s="1" t="n">
        <v>1958</v>
      </c>
      <c r="C2021" s="1" t="n">
        <v>3</v>
      </c>
      <c r="D2021" s="1" t="s">
        <v>876</v>
      </c>
      <c r="E2021" s="1" t="s">
        <v>1346</v>
      </c>
      <c r="F2021" s="1" t="n">
        <v>50</v>
      </c>
      <c r="G2021" s="1" t="n">
        <v>70</v>
      </c>
      <c r="H2021" s="2" t="n">
        <v>352000</v>
      </c>
      <c r="I2021" s="2" t="n">
        <f aca="false">(((H2021 / 800) / IF(ISBLANK(R2021), 1000000, IF(ISNA(VLOOKUP(R2021, Mileages!$A$2:$C$34, 2, 0)), R2021, VLOOKUP(R2021, Mileages!$A$2:$C$34, 2, 0)))) + (F2021 * IF(ISBLANK(P2021), 1, P2021) * IF(ISBLANK(T2021), 0, IF(ISNA(VLOOKUP(T2021, 'Fuel Costs'!$A$2:$C$42, 2, 0)), T2021, VLOOKUP(T2021, 'Fuel Costs'!$A$2:$C$42, 2, 0))) / IF(ISBLANK(O2021), 1, O2021))) * 100</f>
        <v>10.044</v>
      </c>
      <c r="J2021" s="2" t="n">
        <f aca="false">((H2021 / 800) / (IF(ISBLANK(S2021), 100, IF(ISNA(VLOOKUP(S2021, Lives!$A$2:$C$35, 2, 0)), S2021, VLOOKUP(S2021, Lives!$A$2:$C$35, 2, 0))) * 12) + (IF(ISBLANK(Q2021), 0, IF(ISNA(VLOOKUP(Q2021, Wages!$A$2:$C$17, 2, 0)), Q2021, VLOOKUP(Q2021, Wages!$A$2:$C$17, 2, 0))) * IF(ISBLANK(N2021), 0, IF(ISNA(VLOOKUP(N2021, Crews!$A$2:$C$28, 2, 0)), N2021, VLOOKUP(N2021, Crews!$A$2:$C$28, 2, 0))))) * 400</f>
        <v>6293.333333</v>
      </c>
      <c r="K2021" s="3" t="s">
        <v>3956</v>
      </c>
      <c r="L2021" s="1" t="s">
        <v>3957</v>
      </c>
      <c r="M2021" s="1" t="n">
        <v>0</v>
      </c>
      <c r="N2021" s="1" t="s">
        <v>895</v>
      </c>
      <c r="O2021" s="1"/>
      <c r="P2021" s="1"/>
      <c r="Q2021" s="1" t="s">
        <v>895</v>
      </c>
      <c r="R2021" s="1" t="s">
        <v>1349</v>
      </c>
      <c r="S2021" s="1" t="s">
        <v>1350</v>
      </c>
      <c r="T2021" s="1" t="s">
        <v>3471</v>
      </c>
    </row>
    <row r="2022" customFormat="false" ht="15" hidden="false" customHeight="true" outlineLevel="0" collapsed="false">
      <c r="A2022" s="1" t="s">
        <v>3958</v>
      </c>
      <c r="B2022" s="1" t="n">
        <v>1958</v>
      </c>
      <c r="C2022" s="1" t="n">
        <v>3</v>
      </c>
      <c r="D2022" s="1" t="s">
        <v>38</v>
      </c>
      <c r="E2022" s="1" t="s">
        <v>2039</v>
      </c>
      <c r="F2022" s="1" t="n">
        <v>224</v>
      </c>
      <c r="G2022" s="1" t="n">
        <v>109</v>
      </c>
      <c r="H2022" s="2" t="n">
        <v>1400000</v>
      </c>
      <c r="I2022" s="2" t="n">
        <f aca="false">(((H2022 / 800) / IF(ISBLANK(R2022), 1000000, IF(ISNA(VLOOKUP(R2022, Mileages!$A$2:$C$34, 2, 0)), R2022, VLOOKUP(R2022, Mileages!$A$2:$C$34, 2, 0)))) + (F2022 * IF(ISBLANK(P2022), 1, P2022) * IF(ISBLANK(T2022), 0, IF(ISNA(VLOOKUP(T2022, 'Fuel Costs'!$A$2:$C$42, 2, 0)), T2022, VLOOKUP(T2022, 'Fuel Costs'!$A$2:$C$42, 2, 0))) / IF(ISBLANK(O2022), 1, O2022))) * 100</f>
        <v>224.35</v>
      </c>
      <c r="J2022" s="2" t="n">
        <f aca="false">((H2022 / 800) / (IF(ISBLANK(S2022), 100, IF(ISNA(VLOOKUP(S2022, Lives!$A$2:$C$35, 2, 0)), S2022, VLOOKUP(S2022, Lives!$A$2:$C$35, 2, 0))) * 12) + (IF(ISBLANK(Q2022), 0, IF(ISNA(VLOOKUP(Q2022, Wages!$A$2:$C$17, 2, 0)), Q2022, VLOOKUP(Q2022, Wages!$A$2:$C$17, 2, 0))) * IF(ISBLANK(N2022), 0, IF(ISNA(VLOOKUP(N2022, Crews!$A$2:$C$28, 2, 0)), N2022, VLOOKUP(N2022, Crews!$A$2:$C$28, 2, 0))))) * 400</f>
        <v>11458.33333</v>
      </c>
      <c r="K2022" s="3" t="s">
        <v>3959</v>
      </c>
      <c r="L2022" s="1" t="s">
        <v>3960</v>
      </c>
      <c r="M2022" s="1" t="n">
        <v>0</v>
      </c>
      <c r="N2022" s="1" t="s">
        <v>1488</v>
      </c>
      <c r="O2022" s="1" t="n">
        <v>0.5</v>
      </c>
      <c r="P2022" s="1"/>
      <c r="Q2022" s="1" t="s">
        <v>1488</v>
      </c>
      <c r="R2022" s="1" t="s">
        <v>3179</v>
      </c>
      <c r="S2022" s="1" t="s">
        <v>3179</v>
      </c>
      <c r="T2022" s="1" t="s">
        <v>2041</v>
      </c>
    </row>
    <row r="2023" customFormat="false" ht="15" hidden="false" customHeight="true" outlineLevel="0" collapsed="false">
      <c r="A2023" s="1" t="s">
        <v>3961</v>
      </c>
      <c r="B2023" s="1" t="n">
        <v>1958</v>
      </c>
      <c r="C2023" s="1" t="n">
        <v>3</v>
      </c>
      <c r="D2023" s="1" t="s">
        <v>38</v>
      </c>
      <c r="E2023" s="1"/>
      <c r="F2023" s="1" t="n">
        <v>0</v>
      </c>
      <c r="G2023" s="1" t="n">
        <v>109</v>
      </c>
      <c r="H2023" s="2" t="n">
        <v>580000</v>
      </c>
      <c r="I2023" s="2" t="n">
        <f aca="false">(((H2023 / 800) / IF(ISBLANK(R2023), 1000000, IF(ISNA(VLOOKUP(R2023, Mileages!$A$2:$C$34, 2, 0)), R2023, VLOOKUP(R2023, Mileages!$A$2:$C$34, 2, 0)))) + (F2023 * IF(ISBLANK(P2023), 1, P2023) * IF(ISBLANK(T2023), 0, IF(ISNA(VLOOKUP(T2023, 'Fuel Costs'!$A$2:$C$42, 2, 0)), T2023, VLOOKUP(T2023, 'Fuel Costs'!$A$2:$C$42, 2, 0))) / IF(ISBLANK(O2023), 1, O2023))) * 100</f>
        <v>0.06041666667</v>
      </c>
      <c r="J2023" s="2" t="n">
        <f aca="false">((H2023 / 800) / (IF(ISBLANK(S2023), 100, IF(ISNA(VLOOKUP(S2023, Lives!$A$2:$C$35, 2, 0)), S2023, VLOOKUP(S2023, Lives!$A$2:$C$35, 2, 0))) * 12) + (IF(ISBLANK(Q2023), 0, IF(ISNA(VLOOKUP(Q2023, Wages!$A$2:$C$17, 2, 0)), Q2023, VLOOKUP(Q2023, Wages!$A$2:$C$17, 2, 0))) * IF(ISBLANK(N2023), 0, IF(ISNA(VLOOKUP(N2023, Crews!$A$2:$C$28, 2, 0)), N2023, VLOOKUP(N2023, Crews!$A$2:$C$28, 2, 0))))) * 400</f>
        <v>690.4761905</v>
      </c>
      <c r="K2023" s="1"/>
      <c r="L2023" s="1" t="s">
        <v>3960</v>
      </c>
      <c r="M2023" s="1" t="n">
        <v>1</v>
      </c>
      <c r="N2023" s="1"/>
      <c r="O2023" s="1"/>
      <c r="P2023" s="1"/>
      <c r="Q2023" s="1"/>
      <c r="R2023" s="1" t="s">
        <v>689</v>
      </c>
      <c r="S2023" s="1" t="s">
        <v>856</v>
      </c>
      <c r="T2023" s="1"/>
    </row>
    <row r="2024" customFormat="false" ht="15" hidden="false" customHeight="true" outlineLevel="0" collapsed="false">
      <c r="A2024" s="1" t="s">
        <v>3962</v>
      </c>
      <c r="B2024" s="1" t="n">
        <v>1958</v>
      </c>
      <c r="C2024" s="1" t="n">
        <v>3</v>
      </c>
      <c r="D2024" s="1" t="s">
        <v>38</v>
      </c>
      <c r="E2024" s="1"/>
      <c r="F2024" s="1" t="n">
        <v>224</v>
      </c>
      <c r="G2024" s="1" t="n">
        <v>109</v>
      </c>
      <c r="H2024" s="2" t="n">
        <v>1400000</v>
      </c>
      <c r="I2024" s="2" t="n">
        <f aca="false">(((H2024 / 800) / IF(ISBLANK(R2024), 1000000, IF(ISNA(VLOOKUP(R2024, Mileages!$A$2:$C$34, 2, 0)), R2024, VLOOKUP(R2024, Mileages!$A$2:$C$34, 2, 0)))) + (F2024 * IF(ISBLANK(P2024), 1, P2024) * IF(ISBLANK(T2024), 0, IF(ISNA(VLOOKUP(T2024, 'Fuel Costs'!$A$2:$C$42, 2, 0)), T2024, VLOOKUP(T2024, 'Fuel Costs'!$A$2:$C$42, 2, 0))) / IF(ISBLANK(O2024), 1, O2024))) * 100</f>
        <v>0.175</v>
      </c>
      <c r="J2024" s="2" t="n">
        <f aca="false">((H2024 / 800) / (IF(ISBLANK(S2024), 100, IF(ISNA(VLOOKUP(S2024, Lives!$A$2:$C$35, 2, 0)), S2024, VLOOKUP(S2024, Lives!$A$2:$C$35, 2, 0))) * 12) + (IF(ISBLANK(Q2024), 0, IF(ISNA(VLOOKUP(Q2024, Wages!$A$2:$C$17, 2, 0)), Q2024, VLOOKUP(Q2024, Wages!$A$2:$C$17, 2, 0))) * IF(ISBLANK(N2024), 0, IF(ISNA(VLOOKUP(N2024, Crews!$A$2:$C$28, 2, 0)), N2024, VLOOKUP(N2024, Crews!$A$2:$C$28, 2, 0))))) * 400</f>
        <v>583.3333333</v>
      </c>
      <c r="K2024" s="1" t="s">
        <v>3963</v>
      </c>
      <c r="L2024" s="1" t="s">
        <v>3960</v>
      </c>
      <c r="M2024" s="1" t="n">
        <v>2</v>
      </c>
      <c r="N2024" s="1"/>
      <c r="O2024" s="1"/>
      <c r="P2024" s="1"/>
      <c r="Q2024" s="1"/>
      <c r="R2024" s="1"/>
      <c r="S2024" s="1"/>
      <c r="T2024" s="1"/>
    </row>
    <row r="2025" customFormat="false" ht="15" hidden="false" customHeight="true" outlineLevel="0" collapsed="false">
      <c r="A2025" s="1" t="s">
        <v>3964</v>
      </c>
      <c r="B2025" s="1" t="n">
        <v>1958</v>
      </c>
      <c r="C2025" s="1" t="n">
        <v>4</v>
      </c>
      <c r="D2025" s="1" t="s">
        <v>38</v>
      </c>
      <c r="E2025" s="1" t="s">
        <v>2039</v>
      </c>
      <c r="F2025" s="1" t="n">
        <v>1692</v>
      </c>
      <c r="G2025" s="1" t="n">
        <v>145</v>
      </c>
      <c r="H2025" s="2" t="n">
        <v>1620000</v>
      </c>
      <c r="I2025" s="2" t="n">
        <f aca="false">(((H2025 / 800) / IF(ISBLANK(R2025), 1000000, IF(ISNA(VLOOKUP(R2025, Mileages!$A$2:$C$34, 2, 0)), R2025, VLOOKUP(R2025, Mileages!$A$2:$C$34, 2, 0)))) + (F2025 * IF(ISBLANK(P2025), 1, P2025) * IF(ISBLANK(T2025), 0, IF(ISNA(VLOOKUP(T2025, 'Fuel Costs'!$A$2:$C$42, 2, 0)), T2025, VLOOKUP(T2025, 'Fuel Costs'!$A$2:$C$42, 2, 0))) / IF(ISBLANK(O2025), 1, O2025))) * 100</f>
        <v>1692.405</v>
      </c>
      <c r="J2025" s="2" t="n">
        <f aca="false">((H2025 / 800) / (IF(ISBLANK(S2025), 100, IF(ISNA(VLOOKUP(S2025, Lives!$A$2:$C$35, 2, 0)), S2025, VLOOKUP(S2025, Lives!$A$2:$C$35, 2, 0))) * 12) + (IF(ISBLANK(Q2025), 0, IF(ISNA(VLOOKUP(Q2025, Wages!$A$2:$C$17, 2, 0)), Q2025, VLOOKUP(Q2025, Wages!$A$2:$C$17, 2, 0))) * IF(ISBLANK(N2025), 0, IF(ISNA(VLOOKUP(N2025, Crews!$A$2:$C$28, 2, 0)), N2025, VLOOKUP(N2025, Crews!$A$2:$C$28, 2, 0))))) * 400</f>
        <v>11687.5</v>
      </c>
      <c r="K2025" s="3" t="s">
        <v>3965</v>
      </c>
      <c r="L2025" s="1" t="s">
        <v>3966</v>
      </c>
      <c r="M2025" s="1" t="n">
        <v>0</v>
      </c>
      <c r="N2025" s="1" t="s">
        <v>1488</v>
      </c>
      <c r="O2025" s="1" t="n">
        <v>0.5</v>
      </c>
      <c r="P2025" s="1"/>
      <c r="Q2025" s="1" t="s">
        <v>1488</v>
      </c>
      <c r="R2025" s="1" t="s">
        <v>3179</v>
      </c>
      <c r="S2025" s="1" t="s">
        <v>3179</v>
      </c>
      <c r="T2025" s="1" t="s">
        <v>2041</v>
      </c>
    </row>
    <row r="2026" customFormat="false" ht="15" hidden="false" customHeight="true" outlineLevel="0" collapsed="false">
      <c r="A2026" s="1" t="s">
        <v>3967</v>
      </c>
      <c r="B2026" s="1" t="n">
        <v>1958</v>
      </c>
      <c r="C2026" s="1" t="n">
        <v>5</v>
      </c>
      <c r="D2026" s="1" t="s">
        <v>38</v>
      </c>
      <c r="E2026" s="1" t="s">
        <v>2039</v>
      </c>
      <c r="F2026" s="1" t="n">
        <v>597</v>
      </c>
      <c r="G2026" s="1" t="n">
        <v>97</v>
      </c>
      <c r="H2026" s="2" t="n">
        <v>4500000</v>
      </c>
      <c r="I2026" s="2" t="n">
        <f aca="false">(((H2026 / 800) / IF(ISBLANK(R2026), 1000000, IF(ISNA(VLOOKUP(R2026, Mileages!$A$2:$C$34, 2, 0)), R2026, VLOOKUP(R2026, Mileages!$A$2:$C$34, 2, 0)))) + (F2026 * IF(ISBLANK(P2026), 1, P2026) * IF(ISBLANK(T2026), 0, IF(ISNA(VLOOKUP(T2026, 'Fuel Costs'!$A$2:$C$42, 2, 0)), T2026, VLOOKUP(T2026, 'Fuel Costs'!$A$2:$C$42, 2, 0))) / IF(ISBLANK(O2026), 1, O2026))) * 100</f>
        <v>598.125</v>
      </c>
      <c r="J2026" s="2" t="n">
        <f aca="false">((H2026 / 800) / (IF(ISBLANK(S2026), 100, IF(ISNA(VLOOKUP(S2026, Lives!$A$2:$C$35, 2, 0)), S2026, VLOOKUP(S2026, Lives!$A$2:$C$35, 2, 0))) * 12) + (IF(ISBLANK(Q2026), 0, IF(ISNA(VLOOKUP(Q2026, Wages!$A$2:$C$17, 2, 0)), Q2026, VLOOKUP(Q2026, Wages!$A$2:$C$17, 2, 0))) * IF(ISBLANK(N2026), 0, IF(ISNA(VLOOKUP(N2026, Crews!$A$2:$C$28, 2, 0)), N2026, VLOOKUP(N2026, Crews!$A$2:$C$28, 2, 0))))) * 400</f>
        <v>14687.5</v>
      </c>
      <c r="K2026" s="3" t="s">
        <v>3968</v>
      </c>
      <c r="L2026" s="1" t="s">
        <v>3969</v>
      </c>
      <c r="M2026" s="1" t="n">
        <v>0</v>
      </c>
      <c r="N2026" s="1" t="s">
        <v>1488</v>
      </c>
      <c r="O2026" s="1" t="n">
        <v>0.5</v>
      </c>
      <c r="P2026" s="1"/>
      <c r="Q2026" s="1" t="s">
        <v>1488</v>
      </c>
      <c r="R2026" s="1" t="s">
        <v>3179</v>
      </c>
      <c r="S2026" s="1" t="s">
        <v>3179</v>
      </c>
      <c r="T2026" s="1" t="s">
        <v>2041</v>
      </c>
    </row>
    <row r="2027" customFormat="false" ht="15" hidden="false" customHeight="true" outlineLevel="0" collapsed="false">
      <c r="A2027" s="1" t="s">
        <v>3970</v>
      </c>
      <c r="B2027" s="1" t="n">
        <v>1958</v>
      </c>
      <c r="C2027" s="1" t="n">
        <v>6</v>
      </c>
      <c r="D2027" s="1" t="s">
        <v>38</v>
      </c>
      <c r="E2027" s="1" t="s">
        <v>2039</v>
      </c>
      <c r="F2027" s="1" t="n">
        <v>865</v>
      </c>
      <c r="G2027" s="1" t="n">
        <v>130</v>
      </c>
      <c r="H2027" s="2" t="n">
        <v>9450000</v>
      </c>
      <c r="I2027" s="2" t="n">
        <f aca="false">(((H2027 / 800) / IF(ISBLANK(R2027), 1000000, IF(ISNA(VLOOKUP(R2027, Mileages!$A$2:$C$34, 2, 0)), R2027, VLOOKUP(R2027, Mileages!$A$2:$C$34, 2, 0)))) + (F2027 * IF(ISBLANK(P2027), 1, P2027) * IF(ISBLANK(T2027), 0, IF(ISNA(VLOOKUP(T2027, 'Fuel Costs'!$A$2:$C$42, 2, 0)), T2027, VLOOKUP(T2027, 'Fuel Costs'!$A$2:$C$42, 2, 0))) / IF(ISBLANK(O2027), 1, O2027))) * 100</f>
        <v>867.3625</v>
      </c>
      <c r="J2027" s="2" t="n">
        <f aca="false">((H2027 / 800) / (IF(ISBLANK(S2027), 100, IF(ISNA(VLOOKUP(S2027, Lives!$A$2:$C$35, 2, 0)), S2027, VLOOKUP(S2027, Lives!$A$2:$C$35, 2, 0))) * 12) + (IF(ISBLANK(Q2027), 0, IF(ISNA(VLOOKUP(Q2027, Wages!$A$2:$C$17, 2, 0)), Q2027, VLOOKUP(Q2027, Wages!$A$2:$C$17, 2, 0))) * IF(ISBLANK(N2027), 0, IF(ISNA(VLOOKUP(N2027, Crews!$A$2:$C$28, 2, 0)), N2027, VLOOKUP(N2027, Crews!$A$2:$C$28, 2, 0))))) * 400</f>
        <v>19843.75</v>
      </c>
      <c r="K2027" s="1" t="s">
        <v>3895</v>
      </c>
      <c r="L2027" s="1" t="s">
        <v>3971</v>
      </c>
      <c r="M2027" s="1" t="n">
        <v>0</v>
      </c>
      <c r="N2027" s="1" t="s">
        <v>1488</v>
      </c>
      <c r="O2027" s="1" t="n">
        <v>0.5</v>
      </c>
      <c r="P2027" s="1"/>
      <c r="Q2027" s="1" t="s">
        <v>1488</v>
      </c>
      <c r="R2027" s="1" t="s">
        <v>3179</v>
      </c>
      <c r="S2027" s="1" t="s">
        <v>3179</v>
      </c>
      <c r="T2027" s="1" t="s">
        <v>2041</v>
      </c>
    </row>
    <row r="2028" customFormat="false" ht="15" hidden="false" customHeight="true" outlineLevel="0" collapsed="false">
      <c r="A2028" s="1" t="s">
        <v>3972</v>
      </c>
      <c r="B2028" s="1" t="n">
        <v>1958</v>
      </c>
      <c r="C2028" s="1" t="n">
        <v>6</v>
      </c>
      <c r="D2028" s="1" t="s">
        <v>38</v>
      </c>
      <c r="E2028" s="1" t="s">
        <v>2039</v>
      </c>
      <c r="F2028" s="1" t="n">
        <v>820</v>
      </c>
      <c r="G2028" s="1" t="n">
        <v>120</v>
      </c>
      <c r="H2028" s="2" t="n">
        <v>9450000</v>
      </c>
      <c r="I2028" s="2" t="n">
        <f aca="false">(((H2028 / 800) / IF(ISBLANK(R2028), 1000000, IF(ISNA(VLOOKUP(R2028, Mileages!$A$2:$C$34, 2, 0)), R2028, VLOOKUP(R2028, Mileages!$A$2:$C$34, 2, 0)))) + (F2028 * IF(ISBLANK(P2028), 1, P2028) * IF(ISBLANK(T2028), 0, IF(ISNA(VLOOKUP(T2028, 'Fuel Costs'!$A$2:$C$42, 2, 0)), T2028, VLOOKUP(T2028, 'Fuel Costs'!$A$2:$C$42, 2, 0))) / IF(ISBLANK(O2028), 1, O2028))) * 100</f>
        <v>822.3625</v>
      </c>
      <c r="J2028" s="2" t="n">
        <f aca="false">((H2028 / 800) / (IF(ISBLANK(S2028), 100, IF(ISNA(VLOOKUP(S2028, Lives!$A$2:$C$35, 2, 0)), S2028, VLOOKUP(S2028, Lives!$A$2:$C$35, 2, 0))) * 12) + (IF(ISBLANK(Q2028), 0, IF(ISNA(VLOOKUP(Q2028, Wages!$A$2:$C$17, 2, 0)), Q2028, VLOOKUP(Q2028, Wages!$A$2:$C$17, 2, 0))) * IF(ISBLANK(N2028), 0, IF(ISNA(VLOOKUP(N2028, Crews!$A$2:$C$28, 2, 0)), N2028, VLOOKUP(N2028, Crews!$A$2:$C$28, 2, 0))))) * 400</f>
        <v>19843.75</v>
      </c>
      <c r="K2028" s="1" t="s">
        <v>3973</v>
      </c>
      <c r="L2028" s="1" t="s">
        <v>3974</v>
      </c>
      <c r="M2028" s="1" t="n">
        <v>0</v>
      </c>
      <c r="N2028" s="1" t="s">
        <v>1488</v>
      </c>
      <c r="O2028" s="1" t="n">
        <v>0.5</v>
      </c>
      <c r="P2028" s="1"/>
      <c r="Q2028" s="1" t="s">
        <v>1488</v>
      </c>
      <c r="R2028" s="1" t="s">
        <v>3179</v>
      </c>
      <c r="S2028" s="1" t="s">
        <v>3179</v>
      </c>
      <c r="T2028" s="1" t="s">
        <v>2041</v>
      </c>
    </row>
    <row r="2029" customFormat="false" ht="15" hidden="false" customHeight="true" outlineLevel="0" collapsed="false">
      <c r="A2029" s="1" t="s">
        <v>3975</v>
      </c>
      <c r="B2029" s="1" t="n">
        <v>1958</v>
      </c>
      <c r="C2029" s="1" t="n">
        <v>8</v>
      </c>
      <c r="D2029" s="1" t="s">
        <v>2225</v>
      </c>
      <c r="E2029" s="1" t="s">
        <v>3660</v>
      </c>
      <c r="F2029" s="1" t="n">
        <v>57600</v>
      </c>
      <c r="G2029" s="1" t="n">
        <v>885</v>
      </c>
      <c r="H2029" s="2" t="n">
        <v>17000000</v>
      </c>
      <c r="I2029" s="2" t="n">
        <f aca="false">(((H2029 / 800) / IF(ISBLANK(R2029), 1000000, IF(ISNA(VLOOKUP(R2029, Mileages!$A$2:$C$34, 2, 0)), R2029, VLOOKUP(R2029, Mileages!$A$2:$C$34, 2, 0)))) + (F2029 * IF(ISBLANK(P2029), 1, P2029) * IF(ISBLANK(T2029), 0, IF(ISNA(VLOOKUP(T2029, 'Fuel Costs'!$A$2:$C$42, 2, 0)), T2029, VLOOKUP(T2029, 'Fuel Costs'!$A$2:$C$42, 2, 0))) / IF(ISBLANK(O2029), 1, O2029))) * 100</f>
        <v>461.225</v>
      </c>
      <c r="J2029" s="2" t="n">
        <f aca="false">((H2029 / 800) / (IF(ISBLANK(S2029), 100, IF(ISNA(VLOOKUP(S2029, Lives!$A$2:$C$35, 2, 0)), S2029, VLOOKUP(S2029, Lives!$A$2:$C$35, 2, 0))) * 12) + (IF(ISBLANK(Q2029), 0, IF(ISNA(VLOOKUP(Q2029, Wages!$A$2:$C$17, 2, 0)), Q2029, VLOOKUP(Q2029, Wages!$A$2:$C$17, 2, 0))) * IF(ISBLANK(N2029), 0, IF(ISNA(VLOOKUP(N2029, Crews!$A$2:$C$28, 2, 0)), N2029, VLOOKUP(N2029, Crews!$A$2:$C$28, 2, 0))))) * 400</f>
        <v>61805.55556</v>
      </c>
      <c r="K2029" s="3" t="s">
        <v>3976</v>
      </c>
      <c r="L2029" s="1" t="s">
        <v>3977</v>
      </c>
      <c r="M2029" s="1" t="n">
        <v>0</v>
      </c>
      <c r="N2029" s="1" t="s">
        <v>2342</v>
      </c>
      <c r="O2029" s="1"/>
      <c r="P2029" s="1" t="n">
        <v>0.02</v>
      </c>
      <c r="Q2029" s="1" t="s">
        <v>2229</v>
      </c>
      <c r="R2029" s="1" t="s">
        <v>2229</v>
      </c>
      <c r="S2029" s="1" t="s">
        <v>2229</v>
      </c>
      <c r="T2029" s="1" t="s">
        <v>3481</v>
      </c>
    </row>
    <row r="2030" customFormat="false" ht="15" hidden="false" customHeight="true" outlineLevel="0" collapsed="false">
      <c r="A2030" s="1" t="s">
        <v>3978</v>
      </c>
      <c r="B2030" s="1" t="n">
        <v>1958</v>
      </c>
      <c r="C2030" s="1" t="n">
        <v>8</v>
      </c>
      <c r="D2030" s="1" t="s">
        <v>38</v>
      </c>
      <c r="E2030" s="1" t="s">
        <v>2039</v>
      </c>
      <c r="F2030" s="1" t="n">
        <v>895</v>
      </c>
      <c r="G2030" s="1" t="n">
        <v>120</v>
      </c>
      <c r="H2030" s="2" t="n">
        <v>4500000</v>
      </c>
      <c r="I2030" s="2" t="n">
        <f aca="false">(((H2030 / 800) / IF(ISBLANK(R2030), 1000000, IF(ISNA(VLOOKUP(R2030, Mileages!$A$2:$C$34, 2, 0)), R2030, VLOOKUP(R2030, Mileages!$A$2:$C$34, 2, 0)))) + (F2030 * IF(ISBLANK(P2030), 1, P2030) * IF(ISBLANK(T2030), 0, IF(ISNA(VLOOKUP(T2030, 'Fuel Costs'!$A$2:$C$42, 2, 0)), T2030, VLOOKUP(T2030, 'Fuel Costs'!$A$2:$C$42, 2, 0))) / IF(ISBLANK(O2030), 1, O2030))) * 100</f>
        <v>896.125</v>
      </c>
      <c r="J2030" s="2" t="n">
        <f aca="false">((H2030 / 800) / (IF(ISBLANK(S2030), 100, IF(ISNA(VLOOKUP(S2030, Lives!$A$2:$C$35, 2, 0)), S2030, VLOOKUP(S2030, Lives!$A$2:$C$35, 2, 0))) * 12) + (IF(ISBLANK(Q2030), 0, IF(ISNA(VLOOKUP(Q2030, Wages!$A$2:$C$17, 2, 0)), Q2030, VLOOKUP(Q2030, Wages!$A$2:$C$17, 2, 0))) * IF(ISBLANK(N2030), 0, IF(ISNA(VLOOKUP(N2030, Crews!$A$2:$C$28, 2, 0)), N2030, VLOOKUP(N2030, Crews!$A$2:$C$28, 2, 0))))) * 400</f>
        <v>14687.5</v>
      </c>
      <c r="K2030" s="3" t="s">
        <v>3979</v>
      </c>
      <c r="L2030" s="1" t="s">
        <v>3980</v>
      </c>
      <c r="M2030" s="1" t="n">
        <v>0</v>
      </c>
      <c r="N2030" s="1" t="s">
        <v>1488</v>
      </c>
      <c r="O2030" s="1" t="n">
        <v>0.5</v>
      </c>
      <c r="P2030" s="1"/>
      <c r="Q2030" s="1" t="s">
        <v>1488</v>
      </c>
      <c r="R2030" s="1" t="s">
        <v>3179</v>
      </c>
      <c r="S2030" s="1" t="s">
        <v>3179</v>
      </c>
      <c r="T2030" s="1" t="s">
        <v>2041</v>
      </c>
    </row>
    <row r="2031" customFormat="false" ht="15" hidden="false" customHeight="true" outlineLevel="0" collapsed="false">
      <c r="A2031" s="1" t="s">
        <v>3981</v>
      </c>
      <c r="B2031" s="1" t="n">
        <v>1958</v>
      </c>
      <c r="C2031" s="1" t="n">
        <v>9</v>
      </c>
      <c r="D2031" s="1" t="s">
        <v>38</v>
      </c>
      <c r="E2031" s="1" t="s">
        <v>2039</v>
      </c>
      <c r="F2031" s="1" t="n">
        <v>1490</v>
      </c>
      <c r="G2031" s="1" t="n">
        <v>145</v>
      </c>
      <c r="H2031" s="2" t="n">
        <v>10598000</v>
      </c>
      <c r="I2031" s="2" t="n">
        <f aca="false">(((H2031 / 800) / IF(ISBLANK(R2031), 1000000, IF(ISNA(VLOOKUP(R2031, Mileages!$A$2:$C$34, 2, 0)), R2031, VLOOKUP(R2031, Mileages!$A$2:$C$34, 2, 0)))) + (F2031 * IF(ISBLANK(P2031), 1, P2031) * IF(ISBLANK(T2031), 0, IF(ISNA(VLOOKUP(T2031, 'Fuel Costs'!$A$2:$C$42, 2, 0)), T2031, VLOOKUP(T2031, 'Fuel Costs'!$A$2:$C$42, 2, 0))) / IF(ISBLANK(O2031), 1, O2031))) * 100</f>
        <v>1492.6495</v>
      </c>
      <c r="J2031" s="2" t="n">
        <f aca="false">((H2031 / 800) / (IF(ISBLANK(S2031), 100, IF(ISNA(VLOOKUP(S2031, Lives!$A$2:$C$35, 2, 0)), S2031, VLOOKUP(S2031, Lives!$A$2:$C$35, 2, 0))) * 12) + (IF(ISBLANK(Q2031), 0, IF(ISNA(VLOOKUP(Q2031, Wages!$A$2:$C$17, 2, 0)), Q2031, VLOOKUP(Q2031, Wages!$A$2:$C$17, 2, 0))) * IF(ISBLANK(N2031), 0, IF(ISNA(VLOOKUP(N2031, Crews!$A$2:$C$28, 2, 0)), N2031, VLOOKUP(N2031, Crews!$A$2:$C$28, 2, 0))))) * 400</f>
        <v>21039.58333</v>
      </c>
      <c r="K2031" s="1" t="s">
        <v>3895</v>
      </c>
      <c r="L2031" s="1" t="s">
        <v>3982</v>
      </c>
      <c r="M2031" s="1" t="n">
        <v>0</v>
      </c>
      <c r="N2031" s="1" t="s">
        <v>1488</v>
      </c>
      <c r="O2031" s="1" t="n">
        <v>0.5</v>
      </c>
      <c r="P2031" s="1"/>
      <c r="Q2031" s="1" t="s">
        <v>1488</v>
      </c>
      <c r="R2031" s="1" t="s">
        <v>3179</v>
      </c>
      <c r="S2031" s="1" t="s">
        <v>3179</v>
      </c>
      <c r="T2031" s="1" t="s">
        <v>2041</v>
      </c>
    </row>
    <row r="2032" customFormat="false" ht="15" hidden="false" customHeight="true" outlineLevel="0" collapsed="false">
      <c r="A2032" s="1" t="s">
        <v>3983</v>
      </c>
      <c r="B2032" s="1" t="n">
        <v>1958</v>
      </c>
      <c r="C2032" s="1" t="n">
        <v>9</v>
      </c>
      <c r="D2032" s="1" t="s">
        <v>38</v>
      </c>
      <c r="E2032" s="1" t="s">
        <v>1346</v>
      </c>
      <c r="F2032" s="1" t="n">
        <v>1720</v>
      </c>
      <c r="G2032" s="1" t="n">
        <v>145</v>
      </c>
      <c r="H2032" s="2" t="n">
        <v>4032000</v>
      </c>
      <c r="I2032" s="2" t="n">
        <f aca="false">(((H2032 / 800) / IF(ISBLANK(R2032), 1000000, IF(ISNA(VLOOKUP(R2032, Mileages!$A$2:$C$34, 2, 0)), R2032, VLOOKUP(R2032, Mileages!$A$2:$C$34, 2, 0)))) + (F2032 * IF(ISBLANK(P2032), 1, P2032) * IF(ISBLANK(T2032), 0, IF(ISNA(VLOOKUP(T2032, 'Fuel Costs'!$A$2:$C$42, 2, 0)), T2032, VLOOKUP(T2032, 'Fuel Costs'!$A$2:$C$42, 2, 0))) / IF(ISBLANK(O2032), 1, O2032))) * 100</f>
        <v>344.504</v>
      </c>
      <c r="J2032" s="2" t="n">
        <f aca="false">((H2032 / 800) / (IF(ISBLANK(S2032), 100, IF(ISNA(VLOOKUP(S2032, Lives!$A$2:$C$35, 2, 0)), S2032, VLOOKUP(S2032, Lives!$A$2:$C$35, 2, 0))) * 12) + (IF(ISBLANK(Q2032), 0, IF(ISNA(VLOOKUP(Q2032, Wages!$A$2:$C$17, 2, 0)), Q2032, VLOOKUP(Q2032, Wages!$A$2:$C$17, 2, 0))) * IF(ISBLANK(N2032), 0, IF(ISNA(VLOOKUP(N2032, Crews!$A$2:$C$28, 2, 0)), N2032, VLOOKUP(N2032, Crews!$A$2:$C$28, 2, 0))))) * 400</f>
        <v>12800</v>
      </c>
      <c r="K2032" s="1" t="s">
        <v>3984</v>
      </c>
      <c r="L2032" s="1" t="s">
        <v>3985</v>
      </c>
      <c r="M2032" s="1" t="n">
        <v>0</v>
      </c>
      <c r="N2032" s="1" t="s">
        <v>1488</v>
      </c>
      <c r="O2032" s="1" t="n">
        <v>1</v>
      </c>
      <c r="P2032" s="1"/>
      <c r="Q2032" s="1" t="str">
        <f aca="false">IF(ISBLANK('Pak128 Britain In'!$N2032),,'Pak128 Britain In'!$N2032)</f>
        <v>ElectricDriverRail</v>
      </c>
      <c r="R2032" s="1" t="s">
        <v>1349</v>
      </c>
      <c r="S2032" s="1" t="s">
        <v>1349</v>
      </c>
      <c r="T2032" s="1" t="s">
        <v>3471</v>
      </c>
    </row>
    <row r="2033" customFormat="false" ht="15" hidden="false" customHeight="true" outlineLevel="0" collapsed="false">
      <c r="A2033" s="1" t="s">
        <v>3986</v>
      </c>
      <c r="B2033" s="1" t="n">
        <v>1958</v>
      </c>
      <c r="C2033" s="1" t="n">
        <v>9</v>
      </c>
      <c r="D2033" s="1" t="s">
        <v>2225</v>
      </c>
      <c r="E2033" s="1" t="s">
        <v>3660</v>
      </c>
      <c r="F2033" s="1" t="n">
        <v>28189</v>
      </c>
      <c r="G2033" s="1" t="n">
        <v>805</v>
      </c>
      <c r="H2033" s="2" t="n">
        <v>14000000</v>
      </c>
      <c r="I2033" s="2" t="n">
        <f aca="false">(((H2033 / 800) / IF(ISBLANK(R2033), 1000000, IF(ISNA(VLOOKUP(R2033, Mileages!$A$2:$C$34, 2, 0)), R2033, VLOOKUP(R2033, Mileages!$A$2:$C$34, 2, 0)))) + (F2033 * IF(ISBLANK(P2033), 1, P2033) * IF(ISBLANK(T2033), 0, IF(ISNA(VLOOKUP(T2033, 'Fuel Costs'!$A$2:$C$42, 2, 0)), T2033, VLOOKUP(T2033, 'Fuel Costs'!$A$2:$C$42, 2, 0))) / IF(ISBLANK(O2033), 1, O2033))) * 100</f>
        <v>225.862</v>
      </c>
      <c r="J2033" s="2" t="n">
        <f aca="false">((H2033 / 800) / (IF(ISBLANK(S2033), 100, IF(ISNA(VLOOKUP(S2033, Lives!$A$2:$C$35, 2, 0)), S2033, VLOOKUP(S2033, Lives!$A$2:$C$35, 2, 0))) * 12) + (IF(ISBLANK(Q2033), 0, IF(ISNA(VLOOKUP(Q2033, Wages!$A$2:$C$17, 2, 0)), Q2033, VLOOKUP(Q2033, Wages!$A$2:$C$17, 2, 0))) * IF(ISBLANK(N2033), 0, IF(ISNA(VLOOKUP(N2033, Crews!$A$2:$C$28, 2, 0)), N2033, VLOOKUP(N2033, Crews!$A$2:$C$28, 2, 0))))) * 400</f>
        <v>59722.22222</v>
      </c>
      <c r="K2033" s="3" t="s">
        <v>3987</v>
      </c>
      <c r="L2033" s="1" t="s">
        <v>3988</v>
      </c>
      <c r="M2033" s="1" t="n">
        <v>0</v>
      </c>
      <c r="N2033" s="1" t="s">
        <v>2342</v>
      </c>
      <c r="O2033" s="1"/>
      <c r="P2033" s="1" t="n">
        <v>0.02</v>
      </c>
      <c r="Q2033" s="1" t="s">
        <v>2229</v>
      </c>
      <c r="R2033" s="1" t="s">
        <v>2229</v>
      </c>
      <c r="S2033" s="1" t="s">
        <v>2229</v>
      </c>
      <c r="T2033" s="1" t="s">
        <v>3481</v>
      </c>
    </row>
    <row r="2034" customFormat="false" ht="15" hidden="false" customHeight="true" outlineLevel="0" collapsed="false">
      <c r="A2034" s="1" t="s">
        <v>3989</v>
      </c>
      <c r="B2034" s="1" t="n">
        <v>1958</v>
      </c>
      <c r="C2034" s="1" t="n">
        <v>9</v>
      </c>
      <c r="D2034" s="1" t="s">
        <v>2225</v>
      </c>
      <c r="E2034" s="1" t="s">
        <v>3660</v>
      </c>
      <c r="F2034" s="1" t="n">
        <v>28189</v>
      </c>
      <c r="G2034" s="1" t="n">
        <v>805</v>
      </c>
      <c r="H2034" s="2" t="n">
        <v>14000000</v>
      </c>
      <c r="I2034" s="2" t="n">
        <f aca="false">(((H2034 / 800) / IF(ISBLANK(R2034), 1000000, IF(ISNA(VLOOKUP(R2034, Mileages!$A$2:$C$34, 2, 0)), R2034, VLOOKUP(R2034, Mileages!$A$2:$C$34, 2, 0)))) + (F2034 * IF(ISBLANK(P2034), 1, P2034) * IF(ISBLANK(T2034), 0, IF(ISNA(VLOOKUP(T2034, 'Fuel Costs'!$A$2:$C$42, 2, 0)), T2034, VLOOKUP(T2034, 'Fuel Costs'!$A$2:$C$42, 2, 0))) / IF(ISBLANK(O2034), 1, O2034))) * 100</f>
        <v>225.862</v>
      </c>
      <c r="J2034" s="2" t="n">
        <f aca="false">((H2034 / 800) / (IF(ISBLANK(S2034), 100, IF(ISNA(VLOOKUP(S2034, Lives!$A$2:$C$35, 2, 0)), S2034, VLOOKUP(S2034, Lives!$A$2:$C$35, 2, 0))) * 12) + (IF(ISBLANK(Q2034), 0, IF(ISNA(VLOOKUP(Q2034, Wages!$A$2:$C$17, 2, 0)), Q2034, VLOOKUP(Q2034, Wages!$A$2:$C$17, 2, 0))) * IF(ISBLANK(N2034), 0, IF(ISNA(VLOOKUP(N2034, Crews!$A$2:$C$28, 2, 0)), N2034, VLOOKUP(N2034, Crews!$A$2:$C$28, 2, 0))))) * 400</f>
        <v>59722.22222</v>
      </c>
      <c r="K2034" s="3" t="s">
        <v>3990</v>
      </c>
      <c r="L2034" s="1" t="s">
        <v>3988</v>
      </c>
      <c r="M2034" s="1" t="n">
        <v>1</v>
      </c>
      <c r="N2034" s="1" t="s">
        <v>2342</v>
      </c>
      <c r="O2034" s="1"/>
      <c r="P2034" s="1" t="n">
        <v>0.02</v>
      </c>
      <c r="Q2034" s="1" t="s">
        <v>2229</v>
      </c>
      <c r="R2034" s="1" t="s">
        <v>2229</v>
      </c>
      <c r="S2034" s="1" t="s">
        <v>2229</v>
      </c>
      <c r="T2034" s="1" t="s">
        <v>3481</v>
      </c>
    </row>
    <row r="2035" customFormat="false" ht="15" hidden="false" customHeight="true" outlineLevel="0" collapsed="false">
      <c r="A2035" s="1" t="s">
        <v>3991</v>
      </c>
      <c r="B2035" s="1" t="n">
        <v>1958</v>
      </c>
      <c r="C2035" s="1" t="n">
        <v>10</v>
      </c>
      <c r="D2035" s="1" t="s">
        <v>38</v>
      </c>
      <c r="E2035" s="1" t="s">
        <v>1346</v>
      </c>
      <c r="F2035" s="1" t="n">
        <v>0</v>
      </c>
      <c r="G2035" s="1" t="n">
        <v>120</v>
      </c>
      <c r="H2035" s="2" t="n">
        <v>1095000</v>
      </c>
      <c r="I2035" s="2" t="n">
        <f aca="false">(((H2035 / 800) / IF(ISBLANK(R2035), 1000000, IF(ISNA(VLOOKUP(R2035, Mileages!$A$2:$C$34, 2, 0)), R2035, VLOOKUP(R2035, Mileages!$A$2:$C$34, 2, 0)))) + (F2035 * IF(ISBLANK(P2035), 1, P2035) * IF(ISBLANK(T2035), 0, IF(ISNA(VLOOKUP(T2035, 'Fuel Costs'!$A$2:$C$42, 2, 0)), T2035, VLOOKUP(T2035, 'Fuel Costs'!$A$2:$C$42, 2, 0))) / IF(ISBLANK(O2035), 1, O2035))) * 100</f>
        <v>0.1140625</v>
      </c>
      <c r="J2035" s="2" t="n">
        <f aca="false">((H2035 / 800) / (IF(ISBLANK(S2035), 100, IF(ISNA(VLOOKUP(S2035, Lives!$A$2:$C$35, 2, 0)), S2035, VLOOKUP(S2035, Lives!$A$2:$C$35, 2, 0))) * 12) + (IF(ISBLANK(Q2035), 0, IF(ISNA(VLOOKUP(Q2035, Wages!$A$2:$C$17, 2, 0)), Q2035, VLOOKUP(Q2035, Wages!$A$2:$C$17, 2, 0))) * IF(ISBLANK(N2035), 0, IF(ISNA(VLOOKUP(N2035, Crews!$A$2:$C$28, 2, 0)), N2035, VLOOKUP(N2035, Crews!$A$2:$C$28, 2, 0))))) * 400</f>
        <v>1303.571429</v>
      </c>
      <c r="K2035" s="3" t="s">
        <v>3992</v>
      </c>
      <c r="L2035" s="1" t="s">
        <v>3993</v>
      </c>
      <c r="M2035" s="1" t="n">
        <v>0</v>
      </c>
      <c r="N2035" s="1"/>
      <c r="O2035" s="1"/>
      <c r="P2035" s="1"/>
      <c r="Q2035" s="1"/>
      <c r="R2035" s="1" t="s">
        <v>689</v>
      </c>
      <c r="S2035" s="1" t="s">
        <v>856</v>
      </c>
      <c r="T2035" s="1"/>
    </row>
    <row r="2036" customFormat="false" ht="15" hidden="false" customHeight="true" outlineLevel="0" collapsed="false">
      <c r="A2036" s="1" t="s">
        <v>3994</v>
      </c>
      <c r="B2036" s="1" t="n">
        <v>1958</v>
      </c>
      <c r="C2036" s="1" t="n">
        <v>10</v>
      </c>
      <c r="D2036" s="1" t="s">
        <v>38</v>
      </c>
      <c r="E2036" s="1" t="s">
        <v>1346</v>
      </c>
      <c r="F2036" s="1" t="n">
        <v>565</v>
      </c>
      <c r="G2036" s="1" t="n">
        <v>120</v>
      </c>
      <c r="H2036" s="2" t="n">
        <v>1885000</v>
      </c>
      <c r="I2036" s="2" t="n">
        <f aca="false">(((H2036 / 800) / IF(ISBLANK(R2036), 1000000, IF(ISNA(VLOOKUP(R2036, Mileages!$A$2:$C$34, 2, 0)), R2036, VLOOKUP(R2036, Mileages!$A$2:$C$34, 2, 0)))) + (F2036 * IF(ISBLANK(P2036), 1, P2036) * IF(ISBLANK(T2036), 0, IF(ISNA(VLOOKUP(T2036, 'Fuel Costs'!$A$2:$C$42, 2, 0)), T2036, VLOOKUP(T2036, 'Fuel Costs'!$A$2:$C$42, 2, 0))) / IF(ISBLANK(O2036), 1, O2036))) * 100</f>
        <v>113.235625</v>
      </c>
      <c r="J2036" s="2" t="n">
        <f aca="false">((H2036 / 800) / (IF(ISBLANK(S2036), 100, IF(ISNA(VLOOKUP(S2036, Lives!$A$2:$C$35, 2, 0)), S2036, VLOOKUP(S2036, Lives!$A$2:$C$35, 2, 0))) * 12) + (IF(ISBLANK(Q2036), 0, IF(ISNA(VLOOKUP(Q2036, Wages!$A$2:$C$17, 2, 0)), Q2036, VLOOKUP(Q2036, Wages!$A$2:$C$17, 2, 0))) * IF(ISBLANK(N2036), 0, IF(ISNA(VLOOKUP(N2036, Crews!$A$2:$C$28, 2, 0)), N2036, VLOOKUP(N2036, Crews!$A$2:$C$28, 2, 0))))) * 400</f>
        <v>1309.027778</v>
      </c>
      <c r="K2036" s="1"/>
      <c r="L2036" s="1" t="s">
        <v>3993</v>
      </c>
      <c r="M2036" s="1" t="n">
        <v>1</v>
      </c>
      <c r="N2036" s="1"/>
      <c r="O2036" s="1" t="n">
        <v>1</v>
      </c>
      <c r="P2036" s="1"/>
      <c r="Q2036" s="1"/>
      <c r="R2036" s="1" t="s">
        <v>1349</v>
      </c>
      <c r="S2036" s="1" t="s">
        <v>1349</v>
      </c>
      <c r="T2036" s="1" t="s">
        <v>3471</v>
      </c>
    </row>
    <row r="2037" customFormat="false" ht="15" hidden="false" customHeight="true" outlineLevel="0" collapsed="false">
      <c r="A2037" s="1" t="s">
        <v>3995</v>
      </c>
      <c r="B2037" s="1" t="n">
        <v>1958</v>
      </c>
      <c r="C2037" s="1" t="n">
        <v>10</v>
      </c>
      <c r="D2037" s="1" t="s">
        <v>38</v>
      </c>
      <c r="E2037" s="1" t="s">
        <v>1346</v>
      </c>
      <c r="F2037" s="1" t="n">
        <v>0</v>
      </c>
      <c r="G2037" s="1" t="n">
        <v>120</v>
      </c>
      <c r="H2037" s="2" t="n">
        <v>945000</v>
      </c>
      <c r="I2037" s="2" t="n">
        <f aca="false">(((H2037 / 800) / IF(ISBLANK(R2037), 1000000, IF(ISNA(VLOOKUP(R2037, Mileages!$A$2:$C$34, 2, 0)), R2037, VLOOKUP(R2037, Mileages!$A$2:$C$34, 2, 0)))) + (F2037 * IF(ISBLANK(P2037), 1, P2037) * IF(ISBLANK(T2037), 0, IF(ISNA(VLOOKUP(T2037, 'Fuel Costs'!$A$2:$C$42, 2, 0)), T2037, VLOOKUP(T2037, 'Fuel Costs'!$A$2:$C$42, 2, 0))) / IF(ISBLANK(O2037), 1, O2037))) * 100</f>
        <v>0.0984375</v>
      </c>
      <c r="J2037" s="2" t="n">
        <f aca="false">((H2037 / 800) / (IF(ISBLANK(S2037), 100, IF(ISNA(VLOOKUP(S2037, Lives!$A$2:$C$35, 2, 0)), S2037, VLOOKUP(S2037, Lives!$A$2:$C$35, 2, 0))) * 12) + (IF(ISBLANK(Q2037), 0, IF(ISNA(VLOOKUP(Q2037, Wages!$A$2:$C$17, 2, 0)), Q2037, VLOOKUP(Q2037, Wages!$A$2:$C$17, 2, 0))) * IF(ISBLANK(N2037), 0, IF(ISNA(VLOOKUP(N2037, Crews!$A$2:$C$28, 2, 0)), N2037, VLOOKUP(N2037, Crews!$A$2:$C$28, 2, 0))))) * 400</f>
        <v>1125</v>
      </c>
      <c r="K2037" s="1"/>
      <c r="L2037" s="1" t="s">
        <v>3993</v>
      </c>
      <c r="M2037" s="1" t="n">
        <v>2</v>
      </c>
      <c r="N2037" s="1"/>
      <c r="O2037" s="1"/>
      <c r="P2037" s="1"/>
      <c r="Q2037" s="1"/>
      <c r="R2037" s="1" t="s">
        <v>689</v>
      </c>
      <c r="S2037" s="1" t="s">
        <v>856</v>
      </c>
      <c r="T2037" s="1"/>
    </row>
    <row r="2038" customFormat="false" ht="15" hidden="false" customHeight="true" outlineLevel="0" collapsed="false">
      <c r="A2038" s="1" t="s">
        <v>3996</v>
      </c>
      <c r="B2038" s="1" t="n">
        <v>1958</v>
      </c>
      <c r="C2038" s="1" t="n">
        <v>10</v>
      </c>
      <c r="D2038" s="1" t="s">
        <v>38</v>
      </c>
      <c r="E2038" s="1" t="s">
        <v>1346</v>
      </c>
      <c r="F2038" s="1" t="n">
        <v>0</v>
      </c>
      <c r="G2038" s="1" t="n">
        <v>120</v>
      </c>
      <c r="H2038" s="2" t="n">
        <v>1095000</v>
      </c>
      <c r="I2038" s="2" t="n">
        <f aca="false">(((H2038 / 800) / IF(ISBLANK(R2038), 1000000, IF(ISNA(VLOOKUP(R2038, Mileages!$A$2:$C$34, 2, 0)), R2038, VLOOKUP(R2038, Mileages!$A$2:$C$34, 2, 0)))) + (F2038 * IF(ISBLANK(P2038), 1, P2038) * IF(ISBLANK(T2038), 0, IF(ISNA(VLOOKUP(T2038, 'Fuel Costs'!$A$2:$C$42, 2, 0)), T2038, VLOOKUP(T2038, 'Fuel Costs'!$A$2:$C$42, 2, 0))) / IF(ISBLANK(O2038), 1, O2038))) * 100</f>
        <v>0.1140625</v>
      </c>
      <c r="J2038" s="2" t="n">
        <f aca="false">((H2038 / 800) / (IF(ISBLANK(S2038), 100, IF(ISNA(VLOOKUP(S2038, Lives!$A$2:$C$35, 2, 0)), S2038, VLOOKUP(S2038, Lives!$A$2:$C$35, 2, 0))) * 12) + (IF(ISBLANK(Q2038), 0, IF(ISNA(VLOOKUP(Q2038, Wages!$A$2:$C$17, 2, 0)), Q2038, VLOOKUP(Q2038, Wages!$A$2:$C$17, 2, 0))) * IF(ISBLANK(N2038), 0, IF(ISNA(VLOOKUP(N2038, Crews!$A$2:$C$28, 2, 0)), N2038, VLOOKUP(N2038, Crews!$A$2:$C$28, 2, 0))))) * 400</f>
        <v>1303.571429</v>
      </c>
      <c r="K2038" s="3" t="s">
        <v>3992</v>
      </c>
      <c r="L2038" s="1" t="s">
        <v>3993</v>
      </c>
      <c r="M2038" s="1" t="n">
        <v>3</v>
      </c>
      <c r="N2038" s="1"/>
      <c r="O2038" s="1"/>
      <c r="P2038" s="1"/>
      <c r="Q2038" s="1"/>
      <c r="R2038" s="1" t="s">
        <v>689</v>
      </c>
      <c r="S2038" s="1" t="s">
        <v>856</v>
      </c>
      <c r="T2038" s="1"/>
    </row>
    <row r="2039" customFormat="false" ht="15" hidden="false" customHeight="true" outlineLevel="0" collapsed="false">
      <c r="A2039" s="1" t="s">
        <v>3997</v>
      </c>
      <c r="B2039" s="1" t="n">
        <v>1958</v>
      </c>
      <c r="C2039" s="1" t="n">
        <v>10</v>
      </c>
      <c r="D2039" s="1" t="s">
        <v>2225</v>
      </c>
      <c r="E2039" s="1" t="s">
        <v>3660</v>
      </c>
      <c r="F2039" s="1" t="n">
        <v>43200</v>
      </c>
      <c r="G2039" s="1" t="n">
        <v>885</v>
      </c>
      <c r="H2039" s="2" t="n">
        <v>18750000</v>
      </c>
      <c r="I2039" s="2" t="n">
        <f aca="false">(((H2039 / 800) / IF(ISBLANK(R2039), 1000000, IF(ISNA(VLOOKUP(R2039, Mileages!$A$2:$C$34, 2, 0)), R2039, VLOOKUP(R2039, Mileages!$A$2:$C$34, 2, 0)))) + (F2039 * IF(ISBLANK(P2039), 1, P2039) * IF(ISBLANK(T2039), 0, IF(ISNA(VLOOKUP(T2039, 'Fuel Costs'!$A$2:$C$42, 2, 0)), T2039, VLOOKUP(T2039, 'Fuel Costs'!$A$2:$C$42, 2, 0))) / IF(ISBLANK(O2039), 1, O2039))) * 100</f>
        <v>346.06875</v>
      </c>
      <c r="J2039" s="2" t="n">
        <f aca="false">((H2039 / 800) / (IF(ISBLANK(S2039), 100, IF(ISNA(VLOOKUP(S2039, Lives!$A$2:$C$35, 2, 0)), S2039, VLOOKUP(S2039, Lives!$A$2:$C$35, 2, 0))) * 12) + (IF(ISBLANK(Q2039), 0, IF(ISNA(VLOOKUP(Q2039, Wages!$A$2:$C$17, 2, 0)), Q2039, VLOOKUP(Q2039, Wages!$A$2:$C$17, 2, 0))) * IF(ISBLANK(N2039), 0, IF(ISNA(VLOOKUP(N2039, Crews!$A$2:$C$28, 2, 0)), N2039, VLOOKUP(N2039, Crews!$A$2:$C$28, 2, 0))))) * 400</f>
        <v>63020.83333</v>
      </c>
      <c r="K2039" s="3" t="s">
        <v>3998</v>
      </c>
      <c r="L2039" s="1" t="s">
        <v>3999</v>
      </c>
      <c r="M2039" s="1" t="n">
        <v>0</v>
      </c>
      <c r="N2039" s="1" t="s">
        <v>2342</v>
      </c>
      <c r="O2039" s="1"/>
      <c r="P2039" s="1" t="n">
        <v>0.02</v>
      </c>
      <c r="Q2039" s="1" t="s">
        <v>2229</v>
      </c>
      <c r="R2039" s="1" t="s">
        <v>2229</v>
      </c>
      <c r="S2039" s="1" t="s">
        <v>2229</v>
      </c>
      <c r="T2039" s="1" t="s">
        <v>3481</v>
      </c>
    </row>
    <row r="2040" customFormat="false" ht="15" hidden="false" customHeight="true" outlineLevel="0" collapsed="false">
      <c r="A2040" s="1" t="s">
        <v>4000</v>
      </c>
      <c r="B2040" s="1" t="n">
        <v>1958</v>
      </c>
      <c r="C2040" s="1" t="n">
        <v>10</v>
      </c>
      <c r="D2040" s="1" t="s">
        <v>2225</v>
      </c>
      <c r="E2040" s="1" t="s">
        <v>3660</v>
      </c>
      <c r="F2040" s="1" t="n">
        <v>43200</v>
      </c>
      <c r="G2040" s="1" t="n">
        <v>885</v>
      </c>
      <c r="H2040" s="2" t="n">
        <v>18750000</v>
      </c>
      <c r="I2040" s="2" t="n">
        <f aca="false">(((H2040 / 800) / IF(ISBLANK(R2040), 1000000, IF(ISNA(VLOOKUP(R2040, Mileages!$A$2:$C$34, 2, 0)), R2040, VLOOKUP(R2040, Mileages!$A$2:$C$34, 2, 0)))) + (F2040 * IF(ISBLANK(P2040), 1, P2040) * IF(ISBLANK(T2040), 0, IF(ISNA(VLOOKUP(T2040, 'Fuel Costs'!$A$2:$C$42, 2, 0)), T2040, VLOOKUP(T2040, 'Fuel Costs'!$A$2:$C$42, 2, 0))) / IF(ISBLANK(O2040), 1, O2040))) * 100</f>
        <v>346.06875</v>
      </c>
      <c r="J2040" s="2" t="n">
        <f aca="false">((H2040 / 800) / (IF(ISBLANK(S2040), 100, IF(ISNA(VLOOKUP(S2040, Lives!$A$2:$C$35, 2, 0)), S2040, VLOOKUP(S2040, Lives!$A$2:$C$35, 2, 0))) * 12) + (IF(ISBLANK(Q2040), 0, IF(ISNA(VLOOKUP(Q2040, Wages!$A$2:$C$17, 2, 0)), Q2040, VLOOKUP(Q2040, Wages!$A$2:$C$17, 2, 0))) * IF(ISBLANK(N2040), 0, IF(ISNA(VLOOKUP(N2040, Crews!$A$2:$C$28, 2, 0)), N2040, VLOOKUP(N2040, Crews!$A$2:$C$28, 2, 0))))) * 400</f>
        <v>63020.83333</v>
      </c>
      <c r="K2040" s="3" t="s">
        <v>4001</v>
      </c>
      <c r="L2040" s="1" t="s">
        <v>3999</v>
      </c>
      <c r="M2040" s="1" t="n">
        <v>1</v>
      </c>
      <c r="N2040" s="1" t="s">
        <v>2342</v>
      </c>
      <c r="O2040" s="1"/>
      <c r="P2040" s="1" t="n">
        <v>0.02</v>
      </c>
      <c r="Q2040" s="1" t="s">
        <v>2229</v>
      </c>
      <c r="R2040" s="1" t="s">
        <v>2229</v>
      </c>
      <c r="S2040" s="1" t="s">
        <v>2229</v>
      </c>
      <c r="T2040" s="1" t="s">
        <v>3481</v>
      </c>
    </row>
    <row r="2041" customFormat="false" ht="15" hidden="false" customHeight="true" outlineLevel="0" collapsed="false">
      <c r="A2041" s="1" t="s">
        <v>4002</v>
      </c>
      <c r="B2041" s="1" t="n">
        <v>1958</v>
      </c>
      <c r="C2041" s="1" t="n">
        <v>11</v>
      </c>
      <c r="D2041" s="1" t="s">
        <v>2225</v>
      </c>
      <c r="E2041" s="1" t="s">
        <v>3660</v>
      </c>
      <c r="F2041" s="1" t="n">
        <v>11200</v>
      </c>
      <c r="G2041" s="1" t="n">
        <v>602</v>
      </c>
      <c r="H2041" s="2" t="n">
        <v>11000000</v>
      </c>
      <c r="I2041" s="2" t="n">
        <f aca="false">(((H2041 / 800) / IF(ISBLANK(R2041), 1000000, IF(ISNA(VLOOKUP(R2041, Mileages!$A$2:$C$34, 2, 0)), R2041, VLOOKUP(R2041, Mileages!$A$2:$C$34, 2, 0)))) + (F2041 * IF(ISBLANK(P2041), 1, P2041) * IF(ISBLANK(T2041), 0, IF(ISNA(VLOOKUP(T2041, 'Fuel Costs'!$A$2:$C$42, 2, 0)), T2041, VLOOKUP(T2041, 'Fuel Costs'!$A$2:$C$42, 2, 0))) / IF(ISBLANK(O2041), 1, O2041))) * 100</f>
        <v>89.875</v>
      </c>
      <c r="J2041" s="2" t="n">
        <f aca="false">((H2041 / 800) / (IF(ISBLANK(S2041), 100, IF(ISNA(VLOOKUP(S2041, Lives!$A$2:$C$35, 2, 0)), S2041, VLOOKUP(S2041, Lives!$A$2:$C$35, 2, 0))) * 12) + (IF(ISBLANK(Q2041), 0, IF(ISNA(VLOOKUP(Q2041, Wages!$A$2:$C$17, 2, 0)), Q2041, VLOOKUP(Q2041, Wages!$A$2:$C$17, 2, 0))) * IF(ISBLANK(N2041), 0, IF(ISNA(VLOOKUP(N2041, Crews!$A$2:$C$28, 2, 0)), N2041, VLOOKUP(N2041, Crews!$A$2:$C$28, 2, 0))))) * 400</f>
        <v>57638.88889</v>
      </c>
      <c r="K2041" s="3" t="s">
        <v>4003</v>
      </c>
      <c r="L2041" s="1" t="s">
        <v>4004</v>
      </c>
      <c r="M2041" s="1" t="n">
        <v>0</v>
      </c>
      <c r="N2041" s="1" t="s">
        <v>2342</v>
      </c>
      <c r="O2041" s="1"/>
      <c r="P2041" s="1" t="n">
        <v>0.02</v>
      </c>
      <c r="Q2041" s="1" t="s">
        <v>2229</v>
      </c>
      <c r="R2041" s="1" t="s">
        <v>2229</v>
      </c>
      <c r="S2041" s="1" t="s">
        <v>2229</v>
      </c>
      <c r="T2041" s="1" t="s">
        <v>3481</v>
      </c>
    </row>
    <row r="2042" customFormat="false" ht="15" hidden="false" customHeight="true" outlineLevel="0" collapsed="false">
      <c r="A2042" s="1" t="s">
        <v>4005</v>
      </c>
      <c r="B2042" s="1" t="n">
        <v>1958</v>
      </c>
      <c r="C2042" s="1" t="n">
        <v>11</v>
      </c>
      <c r="D2042" s="1" t="s">
        <v>2225</v>
      </c>
      <c r="E2042" s="1" t="s">
        <v>3660</v>
      </c>
      <c r="F2042" s="1" t="n">
        <v>11200</v>
      </c>
      <c r="G2042" s="1" t="n">
        <v>602</v>
      </c>
      <c r="H2042" s="2" t="n">
        <v>11000000</v>
      </c>
      <c r="I2042" s="2" t="n">
        <f aca="false">(((H2042 / 800) / IF(ISBLANK(R2042), 1000000, IF(ISNA(VLOOKUP(R2042, Mileages!$A$2:$C$34, 2, 0)), R2042, VLOOKUP(R2042, Mileages!$A$2:$C$34, 2, 0)))) + (F2042 * IF(ISBLANK(P2042), 1, P2042) * IF(ISBLANK(T2042), 0, IF(ISNA(VLOOKUP(T2042, 'Fuel Costs'!$A$2:$C$42, 2, 0)), T2042, VLOOKUP(T2042, 'Fuel Costs'!$A$2:$C$42, 2, 0))) / IF(ISBLANK(O2042), 1, O2042))) * 100</f>
        <v>89.875</v>
      </c>
      <c r="J2042" s="2" t="n">
        <f aca="false">((H2042 / 800) / (IF(ISBLANK(S2042), 100, IF(ISNA(VLOOKUP(S2042, Lives!$A$2:$C$35, 2, 0)), S2042, VLOOKUP(S2042, Lives!$A$2:$C$35, 2, 0))) * 12) + (IF(ISBLANK(Q2042), 0, IF(ISNA(VLOOKUP(Q2042, Wages!$A$2:$C$17, 2, 0)), Q2042, VLOOKUP(Q2042, Wages!$A$2:$C$17, 2, 0))) * IF(ISBLANK(N2042), 0, IF(ISNA(VLOOKUP(N2042, Crews!$A$2:$C$28, 2, 0)), N2042, VLOOKUP(N2042, Crews!$A$2:$C$28, 2, 0))))) * 400</f>
        <v>57638.88889</v>
      </c>
      <c r="K2042" s="3" t="s">
        <v>4006</v>
      </c>
      <c r="L2042" s="1" t="s">
        <v>4004</v>
      </c>
      <c r="M2042" s="1" t="n">
        <v>1</v>
      </c>
      <c r="N2042" s="1" t="s">
        <v>2342</v>
      </c>
      <c r="O2042" s="1"/>
      <c r="P2042" s="1" t="n">
        <v>0.02</v>
      </c>
      <c r="Q2042" s="1" t="s">
        <v>2229</v>
      </c>
      <c r="R2042" s="1" t="s">
        <v>2229</v>
      </c>
      <c r="S2042" s="1" t="s">
        <v>2229</v>
      </c>
      <c r="T2042" s="1" t="s">
        <v>3481</v>
      </c>
    </row>
    <row r="2043" customFormat="false" ht="15" hidden="false" customHeight="true" outlineLevel="0" collapsed="false">
      <c r="A2043" s="1" t="s">
        <v>4007</v>
      </c>
      <c r="B2043" s="1" t="n">
        <v>1958</v>
      </c>
      <c r="C2043" s="1" t="n">
        <v>11</v>
      </c>
      <c r="D2043" s="1" t="s">
        <v>2225</v>
      </c>
      <c r="E2043" s="1" t="s">
        <v>3660</v>
      </c>
      <c r="F2043" s="1" t="n">
        <v>1193</v>
      </c>
      <c r="G2043" s="1" t="n">
        <v>437</v>
      </c>
      <c r="H2043" s="2" t="n">
        <v>8000000</v>
      </c>
      <c r="I2043" s="2" t="n">
        <f aca="false">(((H2043 / 800) / IF(ISBLANK(R2043), 1000000, IF(ISNA(VLOOKUP(R2043, Mileages!$A$2:$C$34, 2, 0)), R2043, VLOOKUP(R2043, Mileages!$A$2:$C$34, 2, 0)))) + (F2043 * IF(ISBLANK(P2043), 1, P2043) * IF(ISBLANK(T2043), 0, IF(ISNA(VLOOKUP(T2043, 'Fuel Costs'!$A$2:$C$42, 2, 0)), T2043, VLOOKUP(T2043, 'Fuel Costs'!$A$2:$C$42, 2, 0))) / IF(ISBLANK(O2043), 1, O2043))) * 100</f>
        <v>9.744</v>
      </c>
      <c r="J2043" s="2" t="n">
        <f aca="false">((H2043 / 800) / (IF(ISBLANK(S2043), 100, IF(ISNA(VLOOKUP(S2043, Lives!$A$2:$C$35, 2, 0)), S2043, VLOOKUP(S2043, Lives!$A$2:$C$35, 2, 0))) * 12) + (IF(ISBLANK(Q2043), 0, IF(ISNA(VLOOKUP(Q2043, Wages!$A$2:$C$17, 2, 0)), Q2043, VLOOKUP(Q2043, Wages!$A$2:$C$17, 2, 0))) * IF(ISBLANK(N2043), 0, IF(ISNA(VLOOKUP(N2043, Crews!$A$2:$C$28, 2, 0)), N2043, VLOOKUP(N2043, Crews!$A$2:$C$28, 2, 0))))) * 400</f>
        <v>15555.55556</v>
      </c>
      <c r="K2043" s="3" t="s">
        <v>4008</v>
      </c>
      <c r="L2043" s="1" t="s">
        <v>4009</v>
      </c>
      <c r="M2043" s="1" t="n">
        <v>0</v>
      </c>
      <c r="N2043" s="1" t="s">
        <v>25</v>
      </c>
      <c r="O2043" s="1"/>
      <c r="P2043" s="1" t="n">
        <v>0.02</v>
      </c>
      <c r="Q2043" s="1" t="s">
        <v>2229</v>
      </c>
      <c r="R2043" s="1" t="s">
        <v>2229</v>
      </c>
      <c r="S2043" s="1" t="s">
        <v>2229</v>
      </c>
      <c r="T2043" s="1" t="s">
        <v>3481</v>
      </c>
    </row>
    <row r="2044" customFormat="false" ht="15" hidden="false" customHeight="true" outlineLevel="0" collapsed="false">
      <c r="A2044" s="1" t="s">
        <v>4010</v>
      </c>
      <c r="B2044" s="1" t="n">
        <v>1958</v>
      </c>
      <c r="C2044" s="1" t="n">
        <v>11</v>
      </c>
      <c r="D2044" s="1" t="s">
        <v>2225</v>
      </c>
      <c r="E2044" s="1" t="s">
        <v>3660</v>
      </c>
      <c r="F2044" s="1" t="n">
        <v>1193</v>
      </c>
      <c r="G2044" s="1" t="n">
        <v>437</v>
      </c>
      <c r="H2044" s="2" t="n">
        <v>8500000</v>
      </c>
      <c r="I2044" s="2" t="n">
        <f aca="false">(((H2044 / 800) / IF(ISBLANK(R2044), 1000000, IF(ISNA(VLOOKUP(R2044, Mileages!$A$2:$C$34, 2, 0)), R2044, VLOOKUP(R2044, Mileages!$A$2:$C$34, 2, 0)))) + (F2044 * IF(ISBLANK(P2044), 1, P2044) * IF(ISBLANK(T2044), 0, IF(ISNA(VLOOKUP(T2044, 'Fuel Costs'!$A$2:$C$42, 2, 0)), T2044, VLOOKUP(T2044, 'Fuel Costs'!$A$2:$C$42, 2, 0))) / IF(ISBLANK(O2044), 1, O2044))) * 100</f>
        <v>9.7565</v>
      </c>
      <c r="J2044" s="2" t="n">
        <f aca="false">((H2044 / 800) / (IF(ISBLANK(S2044), 100, IF(ISNA(VLOOKUP(S2044, Lives!$A$2:$C$35, 2, 0)), S2044, VLOOKUP(S2044, Lives!$A$2:$C$35, 2, 0))) * 12) + (IF(ISBLANK(Q2044), 0, IF(ISNA(VLOOKUP(Q2044, Wages!$A$2:$C$17, 2, 0)), Q2044, VLOOKUP(Q2044, Wages!$A$2:$C$17, 2, 0))) * IF(ISBLANK(N2044), 0, IF(ISNA(VLOOKUP(N2044, Crews!$A$2:$C$28, 2, 0)), N2044, VLOOKUP(N2044, Crews!$A$2:$C$28, 2, 0))))) * 400</f>
        <v>55902.77778</v>
      </c>
      <c r="K2044" s="3" t="s">
        <v>4011</v>
      </c>
      <c r="L2044" s="1" t="s">
        <v>4012</v>
      </c>
      <c r="M2044" s="1" t="n">
        <v>0</v>
      </c>
      <c r="N2044" s="1" t="s">
        <v>2342</v>
      </c>
      <c r="O2044" s="1"/>
      <c r="P2044" s="1" t="n">
        <v>0.02</v>
      </c>
      <c r="Q2044" s="1" t="s">
        <v>2229</v>
      </c>
      <c r="R2044" s="1" t="s">
        <v>2229</v>
      </c>
      <c r="S2044" s="1" t="s">
        <v>2229</v>
      </c>
      <c r="T2044" s="1" t="s">
        <v>3481</v>
      </c>
    </row>
    <row r="2045" customFormat="false" ht="15" hidden="false" customHeight="true" outlineLevel="0" collapsed="false">
      <c r="A2045" s="1" t="s">
        <v>4013</v>
      </c>
      <c r="B2045" s="1" t="n">
        <v>1958</v>
      </c>
      <c r="C2045" s="1" t="n">
        <v>11</v>
      </c>
      <c r="D2045" s="1" t="s">
        <v>21</v>
      </c>
      <c r="E2045" s="1" t="s">
        <v>1346</v>
      </c>
      <c r="F2045" s="1" t="n">
        <v>93</v>
      </c>
      <c r="G2045" s="1" t="n">
        <v>50</v>
      </c>
      <c r="H2045" s="2" t="n">
        <v>32000</v>
      </c>
      <c r="I2045" s="2" t="n">
        <f aca="false">(((H2045 / 800) / IF(ISBLANK(R2045), 1000000, IF(ISNA(VLOOKUP(R2045, Mileages!$A$2:$C$34, 2, 0)), R2045, VLOOKUP(R2045, Mileages!$A$2:$C$34, 2, 0)))) + (F2045 * IF(ISBLANK(P2045), 1, P2045) * IF(ISBLANK(T2045), 0, IF(ISNA(VLOOKUP(T2045, 'Fuel Costs'!$A$2:$C$42, 2, 0)), T2045, VLOOKUP(T2045, 'Fuel Costs'!$A$2:$C$42, 2, 0))) / IF(ISBLANK(O2045), 1, O2045))) * 100</f>
        <v>18.60533333</v>
      </c>
      <c r="J2045" s="2" t="n">
        <f aca="false">((H2045 / 800) / (IF(ISBLANK(S2045), 100, IF(ISNA(VLOOKUP(S2045, Lives!$A$2:$C$35, 2, 0)), S2045, VLOOKUP(S2045, Lives!$A$2:$C$35, 2, 0))) * 12) + (IF(ISBLANK(Q2045), 0, IF(ISNA(VLOOKUP(Q2045, Wages!$A$2:$C$17, 2, 0)), Q2045, VLOOKUP(Q2045, Wages!$A$2:$C$17, 2, 0))) * IF(ISBLANK(N2045), 0, IF(ISNA(VLOOKUP(N2045, Crews!$A$2:$C$28, 2, 0)), N2045, VLOOKUP(N2045, Crews!$A$2:$C$28, 2, 0))))) * 400</f>
        <v>12033.33333</v>
      </c>
      <c r="K2045" s="3" t="s">
        <v>4014</v>
      </c>
      <c r="L2045" s="1" t="s">
        <v>4015</v>
      </c>
      <c r="M2045" s="1" t="n">
        <v>0</v>
      </c>
      <c r="N2045" s="1" t="s">
        <v>3063</v>
      </c>
      <c r="O2045" s="1"/>
      <c r="P2045" s="1"/>
      <c r="Q2045" s="1" t="s">
        <v>3064</v>
      </c>
      <c r="R2045" s="1" t="s">
        <v>3064</v>
      </c>
      <c r="S2045" s="1" t="s">
        <v>3064</v>
      </c>
      <c r="T2045" s="1" t="s">
        <v>3471</v>
      </c>
    </row>
    <row r="2046" customFormat="false" ht="15" hidden="false" customHeight="true" outlineLevel="0" collapsed="false">
      <c r="A2046" s="1" t="s">
        <v>4016</v>
      </c>
      <c r="B2046" s="1" t="n">
        <v>1958</v>
      </c>
      <c r="C2046" s="1" t="n">
        <v>12</v>
      </c>
      <c r="D2046" s="1" t="s">
        <v>21</v>
      </c>
      <c r="E2046" s="1" t="s">
        <v>2039</v>
      </c>
      <c r="F2046" s="1" t="n">
        <v>84</v>
      </c>
      <c r="G2046" s="1" t="n">
        <v>64</v>
      </c>
      <c r="H2046" s="2" t="n">
        <v>3750000</v>
      </c>
      <c r="I2046" s="2" t="n">
        <f aca="false">(((H2046 / 800) / IF(ISBLANK(R2046), 1000000, IF(ISNA(VLOOKUP(R2046, Mileages!$A$2:$C$34, 2, 0)), R2046, VLOOKUP(R2046, Mileages!$A$2:$C$34, 2, 0)))) + (F2046 * IF(ISBLANK(P2046), 1, P2046) * IF(ISBLANK(T2046), 0, IF(ISNA(VLOOKUP(T2046, 'Fuel Costs'!$A$2:$C$42, 2, 0)), T2046, VLOOKUP(T2046, 'Fuel Costs'!$A$2:$C$42, 2, 0))) / IF(ISBLANK(O2046), 1, O2046))) * 100</f>
        <v>84.46875</v>
      </c>
      <c r="J2046" s="2" t="n">
        <f aca="false">((H2046 / 800) / (IF(ISBLANK(S2046), 100, IF(ISNA(VLOOKUP(S2046, Lives!$A$2:$C$35, 2, 0)), S2046, VLOOKUP(S2046, Lives!$A$2:$C$35, 2, 0))) * 12) + (IF(ISBLANK(Q2046), 0, IF(ISNA(VLOOKUP(Q2046, Wages!$A$2:$C$17, 2, 0)), Q2046, VLOOKUP(Q2046, Wages!$A$2:$C$17, 2, 0))) * IF(ISBLANK(N2046), 0, IF(ISNA(VLOOKUP(N2046, Crews!$A$2:$C$28, 2, 0)), N2046, VLOOKUP(N2046, Crews!$A$2:$C$28, 2, 0))))) * 400</f>
        <v>9953.125</v>
      </c>
      <c r="K2046" s="3" t="s">
        <v>4017</v>
      </c>
      <c r="L2046" s="1" t="s">
        <v>4018</v>
      </c>
      <c r="M2046" s="1" t="n">
        <v>0</v>
      </c>
      <c r="N2046" s="1" t="s">
        <v>1815</v>
      </c>
      <c r="O2046" s="1" t="n">
        <v>0.5</v>
      </c>
      <c r="P2046" s="1"/>
      <c r="Q2046" s="1" t="s">
        <v>1815</v>
      </c>
      <c r="R2046" s="1" t="s">
        <v>1843</v>
      </c>
      <c r="S2046" s="1" t="s">
        <v>1843</v>
      </c>
      <c r="T2046" s="1" t="s">
        <v>2041</v>
      </c>
    </row>
    <row r="2047" customFormat="false" ht="15" hidden="false" customHeight="true" outlineLevel="0" collapsed="false">
      <c r="A2047" s="1" t="s">
        <v>4019</v>
      </c>
      <c r="B2047" s="1" t="n">
        <v>1958</v>
      </c>
      <c r="C2047" s="1" t="n">
        <v>12</v>
      </c>
      <c r="D2047" s="1" t="s">
        <v>21</v>
      </c>
      <c r="E2047" s="1" t="s">
        <v>2039</v>
      </c>
      <c r="F2047" s="1" t="n">
        <v>84</v>
      </c>
      <c r="G2047" s="1" t="n">
        <v>64</v>
      </c>
      <c r="H2047" s="2" t="n">
        <v>3790000</v>
      </c>
      <c r="I2047" s="2" t="n">
        <f aca="false">(((H2047 / 800) / IF(ISBLANK(R2047), 1000000, IF(ISNA(VLOOKUP(R2047, Mileages!$A$2:$C$34, 2, 0)), R2047, VLOOKUP(R2047, Mileages!$A$2:$C$34, 2, 0)))) + (F2047 * IF(ISBLANK(P2047), 1, P2047) * IF(ISBLANK(T2047), 0, IF(ISNA(VLOOKUP(T2047, 'Fuel Costs'!$A$2:$C$42, 2, 0)), T2047, VLOOKUP(T2047, 'Fuel Costs'!$A$2:$C$42, 2, 0))) / IF(ISBLANK(O2047), 1, O2047))) * 100</f>
        <v>84.47375</v>
      </c>
      <c r="J2047" s="2" t="n">
        <f aca="false">((H2047 / 800) / (IF(ISBLANK(S2047), 100, IF(ISNA(VLOOKUP(S2047, Lives!$A$2:$C$35, 2, 0)), S2047, VLOOKUP(S2047, Lives!$A$2:$C$35, 2, 0))) * 12) + (IF(ISBLANK(Q2047), 0, IF(ISNA(VLOOKUP(Q2047, Wages!$A$2:$C$17, 2, 0)), Q2047, VLOOKUP(Q2047, Wages!$A$2:$C$17, 2, 0))) * IF(ISBLANK(N2047), 0, IF(ISNA(VLOOKUP(N2047, Crews!$A$2:$C$28, 2, 0)), N2047, VLOOKUP(N2047, Crews!$A$2:$C$28, 2, 0))))) * 400</f>
        <v>9973.958333</v>
      </c>
      <c r="K2047" s="3" t="s">
        <v>4020</v>
      </c>
      <c r="L2047" s="1" t="s">
        <v>4018</v>
      </c>
      <c r="M2047" s="1" t="n">
        <v>1</v>
      </c>
      <c r="N2047" s="1" t="s">
        <v>1815</v>
      </c>
      <c r="O2047" s="1" t="n">
        <v>0.5</v>
      </c>
      <c r="P2047" s="1"/>
      <c r="Q2047" s="1" t="s">
        <v>1815</v>
      </c>
      <c r="R2047" s="1" t="s">
        <v>1843</v>
      </c>
      <c r="S2047" s="1" t="s">
        <v>1843</v>
      </c>
      <c r="T2047" s="1" t="s">
        <v>2041</v>
      </c>
    </row>
    <row r="2048" customFormat="false" ht="15" hidden="false" customHeight="true" outlineLevel="0" collapsed="false">
      <c r="A2048" s="1" t="s">
        <v>4021</v>
      </c>
      <c r="B2048" s="1" t="n">
        <v>1959</v>
      </c>
      <c r="C2048" s="1" t="n">
        <v>1</v>
      </c>
      <c r="D2048" s="1" t="s">
        <v>29</v>
      </c>
      <c r="E2048" s="1" t="s">
        <v>2039</v>
      </c>
      <c r="F2048" s="1" t="n">
        <v>1100</v>
      </c>
      <c r="G2048" s="1" t="n">
        <v>26</v>
      </c>
      <c r="H2048" s="2" t="n">
        <v>56146000</v>
      </c>
      <c r="I2048" s="2" t="n">
        <f aca="false">(((H2048 / 800) / IF(ISBLANK(R2048), 1000000, IF(ISNA(VLOOKUP(R2048, Mileages!$A$2:$C$34, 2, 0)), R2048, VLOOKUP(R2048, Mileages!$A$2:$C$34, 2, 0)))) + (F2048 * IF(ISBLANK(P2048), 1, P2048) * IF(ISBLANK(T2048), 0, IF(ISNA(VLOOKUP(T2048, 'Fuel Costs'!$A$2:$C$42, 2, 0)), T2048, VLOOKUP(T2048, 'Fuel Costs'!$A$2:$C$42, 2, 0))) / IF(ISBLANK(O2048), 1, O2048))) * 100</f>
        <v>223.509125</v>
      </c>
      <c r="J2048" s="2" t="n">
        <f aca="false">((H2048 / 800) / (IF(ISBLANK(S2048), 100, IF(ISNA(VLOOKUP(S2048, Lives!$A$2:$C$35, 2, 0)), S2048, VLOOKUP(S2048, Lives!$A$2:$C$35, 2, 0))) * 12) + (IF(ISBLANK(Q2048), 0, IF(ISNA(VLOOKUP(Q2048, Wages!$A$2:$C$17, 2, 0)), Q2048, VLOOKUP(Q2048, Wages!$A$2:$C$17, 2, 0))) * IF(ISBLANK(N2048), 0, IF(ISNA(VLOOKUP(N2048, Crews!$A$2:$C$28, 2, 0)), N2048, VLOOKUP(N2048, Crews!$A$2:$C$28, 2, 0))))) * 400</f>
        <v>223394.1667</v>
      </c>
      <c r="K2048" s="1"/>
      <c r="L2048" s="1" t="s">
        <v>4022</v>
      </c>
      <c r="M2048" s="1" t="n">
        <v>0</v>
      </c>
      <c r="N2048" s="1" t="s">
        <v>323</v>
      </c>
      <c r="O2048" s="1" t="n">
        <v>0.5</v>
      </c>
      <c r="P2048" s="1" t="n">
        <v>0.2</v>
      </c>
      <c r="Q2048" s="1" t="s">
        <v>34</v>
      </c>
      <c r="R2048" s="1" t="s">
        <v>574</v>
      </c>
      <c r="S2048" s="1" t="s">
        <v>574</v>
      </c>
      <c r="T2048" s="1" t="s">
        <v>2041</v>
      </c>
    </row>
    <row r="2049" customFormat="false" ht="15" hidden="false" customHeight="true" outlineLevel="0" collapsed="false">
      <c r="A2049" s="1" t="s">
        <v>4023</v>
      </c>
      <c r="B2049" s="1" t="n">
        <v>1959</v>
      </c>
      <c r="C2049" s="1" t="n">
        <v>1</v>
      </c>
      <c r="D2049" s="1" t="s">
        <v>38</v>
      </c>
      <c r="E2049" s="1" t="s">
        <v>1346</v>
      </c>
      <c r="F2049" s="1" t="n">
        <v>373</v>
      </c>
      <c r="G2049" s="1" t="n">
        <v>145</v>
      </c>
      <c r="H2049" s="2" t="n">
        <v>1500000</v>
      </c>
      <c r="I2049" s="2" t="n">
        <f aca="false">(((H2049 / 800) / IF(ISBLANK(R2049), 1000000, IF(ISNA(VLOOKUP(R2049, Mileages!$A$2:$C$34, 2, 0)), R2049, VLOOKUP(R2049, Mileages!$A$2:$C$34, 2, 0)))) + (F2049 * IF(ISBLANK(P2049), 1, P2049) * IF(ISBLANK(T2049), 0, IF(ISNA(VLOOKUP(T2049, 'Fuel Costs'!$A$2:$C$42, 2, 0)), T2049, VLOOKUP(T2049, 'Fuel Costs'!$A$2:$C$42, 2, 0))) / IF(ISBLANK(O2049), 1, O2049))) * 100</f>
        <v>74.7875</v>
      </c>
      <c r="J2049" s="2" t="n">
        <f aca="false">((H2049 / 800) / (IF(ISBLANK(S2049), 100, IF(ISNA(VLOOKUP(S2049, Lives!$A$2:$C$35, 2, 0)), S2049, VLOOKUP(S2049, Lives!$A$2:$C$35, 2, 0))) * 12) + (IF(ISBLANK(Q2049), 0, IF(ISNA(VLOOKUP(Q2049, Wages!$A$2:$C$17, 2, 0)), Q2049, VLOOKUP(Q2049, Wages!$A$2:$C$17, 2, 0))) * IF(ISBLANK(N2049), 0, IF(ISNA(VLOOKUP(N2049, Crews!$A$2:$C$28, 2, 0)), N2049, VLOOKUP(N2049, Crews!$A$2:$C$28, 2, 0))))) * 400</f>
        <v>11041.66667</v>
      </c>
      <c r="K2049" s="3" t="s">
        <v>4024</v>
      </c>
      <c r="L2049" s="1" t="s">
        <v>4025</v>
      </c>
      <c r="M2049" s="1" t="n">
        <v>0</v>
      </c>
      <c r="N2049" s="1" t="s">
        <v>1488</v>
      </c>
      <c r="O2049" s="1" t="n">
        <v>1</v>
      </c>
      <c r="P2049" s="1"/>
      <c r="Q2049" s="1" t="str">
        <f aca="false">IF(ISBLANK('Pak128 Britain In'!$N2049),,'Pak128 Britain In'!$N2049)</f>
        <v>ElectricDriverRail</v>
      </c>
      <c r="R2049" s="1" t="s">
        <v>1349</v>
      </c>
      <c r="S2049" s="1" t="s">
        <v>1349</v>
      </c>
      <c r="T2049" s="1" t="s">
        <v>3471</v>
      </c>
    </row>
    <row r="2050" customFormat="false" ht="15" hidden="false" customHeight="true" outlineLevel="0" collapsed="false">
      <c r="A2050" s="1" t="s">
        <v>4026</v>
      </c>
      <c r="B2050" s="1" t="n">
        <v>1959</v>
      </c>
      <c r="C2050" s="1" t="n">
        <v>1</v>
      </c>
      <c r="D2050" s="1" t="s">
        <v>38</v>
      </c>
      <c r="E2050" s="1"/>
      <c r="F2050" s="1"/>
      <c r="G2050" s="1" t="n">
        <v>175</v>
      </c>
      <c r="H2050" s="2" t="n">
        <v>1500000</v>
      </c>
      <c r="I2050" s="2" t="n">
        <f aca="false">(((H2050 / 800) / IF(ISBLANK(R2050), 1000000, IF(ISNA(VLOOKUP(R2050, Mileages!$A$2:$C$34, 2, 0)), R2050, VLOOKUP(R2050, Mileages!$A$2:$C$34, 2, 0)))) + (F2050 * IF(ISBLANK(P2050), 1, P2050) * IF(ISBLANK(T2050), 0, IF(ISNA(VLOOKUP(T2050, 'Fuel Costs'!$A$2:$C$42, 2, 0)), T2050, VLOOKUP(T2050, 'Fuel Costs'!$A$2:$C$42, 2, 0))) / IF(ISBLANK(O2050), 1, O2050))) * 100</f>
        <v>0.15625</v>
      </c>
      <c r="J2050" s="2" t="n">
        <f aca="false">((H2050 / 800) / (IF(ISBLANK(S2050), 100, IF(ISNA(VLOOKUP(S2050, Lives!$A$2:$C$35, 2, 0)), S2050, VLOOKUP(S2050, Lives!$A$2:$C$35, 2, 0))) * 12) + (IF(ISBLANK(Q2050), 0, IF(ISNA(VLOOKUP(Q2050, Wages!$A$2:$C$17, 2, 0)), Q2050, VLOOKUP(Q2050, Wages!$A$2:$C$17, 2, 0))) * IF(ISBLANK(N2050), 0, IF(ISNA(VLOOKUP(N2050, Crews!$A$2:$C$28, 2, 0)), N2050, VLOOKUP(N2050, Crews!$A$2:$C$28, 2, 0))))) * 400</f>
        <v>24625</v>
      </c>
      <c r="K2050" s="1"/>
      <c r="L2050" s="1" t="s">
        <v>4027</v>
      </c>
      <c r="M2050" s="1" t="n">
        <v>0</v>
      </c>
      <c r="N2050" s="1" t="s">
        <v>551</v>
      </c>
      <c r="O2050" s="1"/>
      <c r="P2050" s="1"/>
      <c r="Q2050" s="1" t="s">
        <v>551</v>
      </c>
      <c r="R2050" s="1" t="s">
        <v>689</v>
      </c>
      <c r="S2050" s="1" t="s">
        <v>389</v>
      </c>
      <c r="T2050" s="1"/>
    </row>
    <row r="2051" customFormat="false" ht="15" hidden="false" customHeight="true" outlineLevel="0" collapsed="false">
      <c r="A2051" s="1" t="s">
        <v>4028</v>
      </c>
      <c r="B2051" s="1" t="n">
        <v>1959</v>
      </c>
      <c r="C2051" s="1" t="n">
        <v>2</v>
      </c>
      <c r="D2051" s="1" t="s">
        <v>38</v>
      </c>
      <c r="E2051" s="1" t="s">
        <v>1346</v>
      </c>
      <c r="F2051" s="1" t="n">
        <v>0</v>
      </c>
      <c r="G2051" s="1" t="n">
        <v>120</v>
      </c>
      <c r="H2051" s="2" t="n">
        <v>1967000</v>
      </c>
      <c r="I2051" s="2" t="n">
        <f aca="false">(((H2051 / 800) / IF(ISBLANK(R2051), 1000000, IF(ISNA(VLOOKUP(R2051, Mileages!$A$2:$C$34, 2, 0)), R2051, VLOOKUP(R2051, Mileages!$A$2:$C$34, 2, 0)))) + (F2051 * IF(ISBLANK(P2051), 1, P2051) * IF(ISBLANK(T2051), 0, IF(ISNA(VLOOKUP(T2051, 'Fuel Costs'!$A$2:$C$42, 2, 0)), T2051, VLOOKUP(T2051, 'Fuel Costs'!$A$2:$C$42, 2, 0))) / IF(ISBLANK(O2051), 1, O2051))) * 100</f>
        <v>0.2048958333</v>
      </c>
      <c r="J2051" s="2" t="n">
        <f aca="false">((H2051 / 800) / (IF(ISBLANK(S2051), 100, IF(ISNA(VLOOKUP(S2051, Lives!$A$2:$C$35, 2, 0)), S2051, VLOOKUP(S2051, Lives!$A$2:$C$35, 2, 0))) * 12) + (IF(ISBLANK(Q2051), 0, IF(ISNA(VLOOKUP(Q2051, Wages!$A$2:$C$17, 2, 0)), Q2051, VLOOKUP(Q2051, Wages!$A$2:$C$17, 2, 0))) * IF(ISBLANK(N2051), 0, IF(ISNA(VLOOKUP(N2051, Crews!$A$2:$C$28, 2, 0)), N2051, VLOOKUP(N2051, Crews!$A$2:$C$28, 2, 0))))) * 400</f>
        <v>2341.666667</v>
      </c>
      <c r="K2051" s="3" t="s">
        <v>3992</v>
      </c>
      <c r="L2051" s="1" t="s">
        <v>4029</v>
      </c>
      <c r="M2051" s="1" t="n">
        <v>0</v>
      </c>
      <c r="N2051" s="1"/>
      <c r="O2051" s="1"/>
      <c r="P2051" s="1"/>
      <c r="Q2051" s="1"/>
      <c r="R2051" s="1" t="s">
        <v>689</v>
      </c>
      <c r="S2051" s="1" t="s">
        <v>856</v>
      </c>
      <c r="T2051" s="1"/>
    </row>
    <row r="2052" customFormat="false" ht="15" hidden="false" customHeight="true" outlineLevel="0" collapsed="false">
      <c r="A2052" s="1" t="s">
        <v>4030</v>
      </c>
      <c r="B2052" s="1" t="n">
        <v>1959</v>
      </c>
      <c r="C2052" s="1" t="n">
        <v>2</v>
      </c>
      <c r="D2052" s="1" t="s">
        <v>38</v>
      </c>
      <c r="E2052" s="1" t="s">
        <v>1346</v>
      </c>
      <c r="F2052" s="1" t="n">
        <v>618</v>
      </c>
      <c r="G2052" s="1" t="n">
        <v>120</v>
      </c>
      <c r="H2052" s="2" t="n">
        <v>1967000</v>
      </c>
      <c r="I2052" s="2" t="n">
        <f aca="false">(((H2052 / 800) / IF(ISBLANK(R2052), 1000000, IF(ISNA(VLOOKUP(R2052, Mileages!$A$2:$C$34, 2, 0)), R2052, VLOOKUP(R2052, Mileages!$A$2:$C$34, 2, 0)))) + (F2052 * IF(ISBLANK(P2052), 1, P2052) * IF(ISBLANK(T2052), 0, IF(ISNA(VLOOKUP(T2052, 'Fuel Costs'!$A$2:$C$42, 2, 0)), T2052, VLOOKUP(T2052, 'Fuel Costs'!$A$2:$C$42, 2, 0))) / IF(ISBLANK(O2052), 1, O2052))) * 100</f>
        <v>123.845875</v>
      </c>
      <c r="J2052" s="2" t="n">
        <f aca="false">((H2052 / 800) / (IF(ISBLANK(S2052), 100, IF(ISNA(VLOOKUP(S2052, Lives!$A$2:$C$35, 2, 0)), S2052, VLOOKUP(S2052, Lives!$A$2:$C$35, 2, 0))) * 12) + (IF(ISBLANK(Q2052), 0, IF(ISNA(VLOOKUP(Q2052, Wages!$A$2:$C$17, 2, 0)), Q2052, VLOOKUP(Q2052, Wages!$A$2:$C$17, 2, 0))) * IF(ISBLANK(N2052), 0, IF(ISNA(VLOOKUP(N2052, Crews!$A$2:$C$28, 2, 0)), N2052, VLOOKUP(N2052, Crews!$A$2:$C$28, 2, 0))))) * 400</f>
        <v>1365.972222</v>
      </c>
      <c r="K2052" s="1"/>
      <c r="L2052" s="1" t="s">
        <v>4029</v>
      </c>
      <c r="M2052" s="1" t="n">
        <v>1</v>
      </c>
      <c r="N2052" s="1"/>
      <c r="O2052" s="1" t="n">
        <v>1</v>
      </c>
      <c r="P2052" s="1"/>
      <c r="Q2052" s="1"/>
      <c r="R2052" s="1" t="s">
        <v>1349</v>
      </c>
      <c r="S2052" s="1" t="s">
        <v>1349</v>
      </c>
      <c r="T2052" s="1" t="s">
        <v>3471</v>
      </c>
    </row>
    <row r="2053" customFormat="false" ht="15" hidden="false" customHeight="true" outlineLevel="0" collapsed="false">
      <c r="A2053" s="1" t="s">
        <v>4031</v>
      </c>
      <c r="B2053" s="1" t="n">
        <v>1959</v>
      </c>
      <c r="C2053" s="1" t="n">
        <v>2</v>
      </c>
      <c r="D2053" s="1" t="s">
        <v>38</v>
      </c>
      <c r="E2053" s="1" t="s">
        <v>1346</v>
      </c>
      <c r="F2053" s="1" t="n">
        <v>0</v>
      </c>
      <c r="G2053" s="1" t="n">
        <v>120</v>
      </c>
      <c r="H2053" s="2" t="n">
        <v>1967000</v>
      </c>
      <c r="I2053" s="2" t="n">
        <f aca="false">(((H2053 / 800) / IF(ISBLANK(R2053), 1000000, IF(ISNA(VLOOKUP(R2053, Mileages!$A$2:$C$34, 2, 0)), R2053, VLOOKUP(R2053, Mileages!$A$2:$C$34, 2, 0)))) + (F2053 * IF(ISBLANK(P2053), 1, P2053) * IF(ISBLANK(T2053), 0, IF(ISNA(VLOOKUP(T2053, 'Fuel Costs'!$A$2:$C$42, 2, 0)), T2053, VLOOKUP(T2053, 'Fuel Costs'!$A$2:$C$42, 2, 0))) / IF(ISBLANK(O2053), 1, O2053))) * 100</f>
        <v>0.2048958333</v>
      </c>
      <c r="J2053" s="2" t="n">
        <f aca="false">((H2053 / 800) / (IF(ISBLANK(S2053), 100, IF(ISNA(VLOOKUP(S2053, Lives!$A$2:$C$35, 2, 0)), S2053, VLOOKUP(S2053, Lives!$A$2:$C$35, 2, 0))) * 12) + (IF(ISBLANK(Q2053), 0, IF(ISNA(VLOOKUP(Q2053, Wages!$A$2:$C$17, 2, 0)), Q2053, VLOOKUP(Q2053, Wages!$A$2:$C$17, 2, 0))) * IF(ISBLANK(N2053), 0, IF(ISNA(VLOOKUP(N2053, Crews!$A$2:$C$28, 2, 0)), N2053, VLOOKUP(N2053, Crews!$A$2:$C$28, 2, 0))))) * 400</f>
        <v>2341.666667</v>
      </c>
      <c r="K2053" s="3" t="s">
        <v>3992</v>
      </c>
      <c r="L2053" s="1" t="s">
        <v>4029</v>
      </c>
      <c r="M2053" s="1" t="n">
        <v>2</v>
      </c>
      <c r="N2053" s="1"/>
      <c r="O2053" s="1"/>
      <c r="P2053" s="1"/>
      <c r="Q2053" s="1"/>
      <c r="R2053" s="1" t="s">
        <v>689</v>
      </c>
      <c r="S2053" s="1" t="s">
        <v>856</v>
      </c>
      <c r="T2053" s="1"/>
    </row>
    <row r="2054" customFormat="false" ht="15" hidden="false" customHeight="true" outlineLevel="0" collapsed="false">
      <c r="A2054" s="1" t="s">
        <v>4032</v>
      </c>
      <c r="B2054" s="1" t="n">
        <v>1959</v>
      </c>
      <c r="C2054" s="1" t="n">
        <v>4</v>
      </c>
      <c r="D2054" s="1" t="s">
        <v>2225</v>
      </c>
      <c r="E2054" s="1" t="s">
        <v>3660</v>
      </c>
      <c r="F2054" s="1" t="n">
        <v>16000</v>
      </c>
      <c r="G2054" s="1" t="n">
        <v>741</v>
      </c>
      <c r="H2054" s="2" t="n">
        <v>18500000</v>
      </c>
      <c r="I2054" s="2" t="n">
        <f aca="false">(((H2054 / 800) / IF(ISBLANK(R2054), 1000000, IF(ISNA(VLOOKUP(R2054, Mileages!$A$2:$C$34, 2, 0)), R2054, VLOOKUP(R2054, Mileages!$A$2:$C$34, 2, 0)))) + (F2054 * IF(ISBLANK(P2054), 1, P2054) * IF(ISBLANK(T2054), 0, IF(ISNA(VLOOKUP(T2054, 'Fuel Costs'!$A$2:$C$42, 2, 0)), T2054, VLOOKUP(T2054, 'Fuel Costs'!$A$2:$C$42, 2, 0))) / IF(ISBLANK(O2054), 1, O2054))) * 100</f>
        <v>128.4625</v>
      </c>
      <c r="J2054" s="2" t="n">
        <f aca="false">((H2054 / 800) / (IF(ISBLANK(S2054), 100, IF(ISNA(VLOOKUP(S2054, Lives!$A$2:$C$35, 2, 0)), S2054, VLOOKUP(S2054, Lives!$A$2:$C$35, 2, 0))) * 12) + (IF(ISBLANK(Q2054), 0, IF(ISNA(VLOOKUP(Q2054, Wages!$A$2:$C$17, 2, 0)), Q2054, VLOOKUP(Q2054, Wages!$A$2:$C$17, 2, 0))) * IF(ISBLANK(N2054), 0, IF(ISNA(VLOOKUP(N2054, Crews!$A$2:$C$28, 2, 0)), N2054, VLOOKUP(N2054, Crews!$A$2:$C$28, 2, 0))))) * 400</f>
        <v>62847.22222</v>
      </c>
      <c r="K2054" s="3" t="s">
        <v>4033</v>
      </c>
      <c r="L2054" s="1" t="s">
        <v>4034</v>
      </c>
      <c r="M2054" s="1" t="n">
        <v>0</v>
      </c>
      <c r="N2054" s="1" t="s">
        <v>2342</v>
      </c>
      <c r="O2054" s="1"/>
      <c r="P2054" s="1" t="n">
        <v>0.02</v>
      </c>
      <c r="Q2054" s="1" t="s">
        <v>2229</v>
      </c>
      <c r="R2054" s="1" t="s">
        <v>2229</v>
      </c>
      <c r="S2054" s="1" t="s">
        <v>2229</v>
      </c>
      <c r="T2054" s="1" t="s">
        <v>3481</v>
      </c>
    </row>
    <row r="2055" customFormat="false" ht="15" hidden="false" customHeight="true" outlineLevel="0" collapsed="false">
      <c r="A2055" s="1" t="s">
        <v>4035</v>
      </c>
      <c r="B2055" s="1" t="n">
        <v>1959</v>
      </c>
      <c r="C2055" s="1" t="n">
        <v>4</v>
      </c>
      <c r="D2055" s="1" t="s">
        <v>2225</v>
      </c>
      <c r="E2055" s="1" t="s">
        <v>3660</v>
      </c>
      <c r="F2055" s="1" t="n">
        <v>16000</v>
      </c>
      <c r="G2055" s="1" t="n">
        <v>741</v>
      </c>
      <c r="H2055" s="2" t="n">
        <v>18500000</v>
      </c>
      <c r="I2055" s="2" t="n">
        <f aca="false">(((H2055 / 800) / IF(ISBLANK(R2055), 1000000, IF(ISNA(VLOOKUP(R2055, Mileages!$A$2:$C$34, 2, 0)), R2055, VLOOKUP(R2055, Mileages!$A$2:$C$34, 2, 0)))) + (F2055 * IF(ISBLANK(P2055), 1, P2055) * IF(ISBLANK(T2055), 0, IF(ISNA(VLOOKUP(T2055, 'Fuel Costs'!$A$2:$C$42, 2, 0)), T2055, VLOOKUP(T2055, 'Fuel Costs'!$A$2:$C$42, 2, 0))) / IF(ISBLANK(O2055), 1, O2055))) * 100</f>
        <v>128.4625</v>
      </c>
      <c r="J2055" s="2" t="n">
        <f aca="false">((H2055 / 800) / (IF(ISBLANK(S2055), 100, IF(ISNA(VLOOKUP(S2055, Lives!$A$2:$C$35, 2, 0)), S2055, VLOOKUP(S2055, Lives!$A$2:$C$35, 2, 0))) * 12) + (IF(ISBLANK(Q2055), 0, IF(ISNA(VLOOKUP(Q2055, Wages!$A$2:$C$17, 2, 0)), Q2055, VLOOKUP(Q2055, Wages!$A$2:$C$17, 2, 0))) * IF(ISBLANK(N2055), 0, IF(ISNA(VLOOKUP(N2055, Crews!$A$2:$C$28, 2, 0)), N2055, VLOOKUP(N2055, Crews!$A$2:$C$28, 2, 0))))) * 400</f>
        <v>62847.22222</v>
      </c>
      <c r="K2055" s="3" t="s">
        <v>4036</v>
      </c>
      <c r="L2055" s="1" t="s">
        <v>4034</v>
      </c>
      <c r="M2055" s="1" t="n">
        <v>1</v>
      </c>
      <c r="N2055" s="1" t="s">
        <v>2342</v>
      </c>
      <c r="O2055" s="1"/>
      <c r="P2055" s="1" t="n">
        <v>0.02</v>
      </c>
      <c r="Q2055" s="1" t="s">
        <v>2229</v>
      </c>
      <c r="R2055" s="1" t="s">
        <v>2229</v>
      </c>
      <c r="S2055" s="1" t="s">
        <v>2229</v>
      </c>
      <c r="T2055" s="1" t="s">
        <v>3481</v>
      </c>
    </row>
    <row r="2056" customFormat="false" ht="15" hidden="false" customHeight="true" outlineLevel="0" collapsed="false">
      <c r="A2056" s="1" t="s">
        <v>4037</v>
      </c>
      <c r="B2056" s="1" t="n">
        <v>1959</v>
      </c>
      <c r="C2056" s="1" t="n">
        <v>6</v>
      </c>
      <c r="D2056" s="1" t="s">
        <v>38</v>
      </c>
      <c r="E2056" s="1" t="s">
        <v>1346</v>
      </c>
      <c r="F2056" s="1" t="n">
        <v>300</v>
      </c>
      <c r="G2056" s="1" t="n">
        <v>90</v>
      </c>
      <c r="H2056" s="2" t="n">
        <v>1250000</v>
      </c>
      <c r="I2056" s="2" t="n">
        <f aca="false">(((H2056 / 800) / IF(ISBLANK(R2056), 1000000, IF(ISNA(VLOOKUP(R2056, Mileages!$A$2:$C$34, 2, 0)), R2056, VLOOKUP(R2056, Mileages!$A$2:$C$34, 2, 0)))) + (F2056 * IF(ISBLANK(P2056), 1, P2056) * IF(ISBLANK(T2056), 0, IF(ISNA(VLOOKUP(T2056, 'Fuel Costs'!$A$2:$C$42, 2, 0)), T2056, VLOOKUP(T2056, 'Fuel Costs'!$A$2:$C$42, 2, 0))) / IF(ISBLANK(O2056), 1, O2056))) * 100</f>
        <v>60.15625</v>
      </c>
      <c r="J2056" s="2" t="n">
        <f aca="false">((H2056 / 800) / (IF(ISBLANK(S2056), 100, IF(ISNA(VLOOKUP(S2056, Lives!$A$2:$C$35, 2, 0)), S2056, VLOOKUP(S2056, Lives!$A$2:$C$35, 2, 0))) * 12) + (IF(ISBLANK(Q2056), 0, IF(ISNA(VLOOKUP(Q2056, Wages!$A$2:$C$17, 2, 0)), Q2056, VLOOKUP(Q2056, Wages!$A$2:$C$17, 2, 0))) * IF(ISBLANK(N2056), 0, IF(ISNA(VLOOKUP(N2056, Crews!$A$2:$C$28, 2, 0)), N2056, VLOOKUP(N2056, Crews!$A$2:$C$28, 2, 0))))) * 400</f>
        <v>7041.666667</v>
      </c>
      <c r="K2056" s="1"/>
      <c r="L2056" s="1" t="s">
        <v>4038</v>
      </c>
      <c r="M2056" s="1" t="n">
        <v>0</v>
      </c>
      <c r="N2056" s="1" t="s">
        <v>1512</v>
      </c>
      <c r="O2056" s="1" t="n">
        <v>1</v>
      </c>
      <c r="P2056" s="1"/>
      <c r="Q2056" s="1" t="str">
        <f aca="false">IF(ISBLANK('Pak128 Britain In'!$N2056),,'Pak128 Britain In'!$N2056)</f>
        <v>ElectricMultipleUnit</v>
      </c>
      <c r="R2056" s="1" t="s">
        <v>1349</v>
      </c>
      <c r="S2056" s="1" t="s">
        <v>1350</v>
      </c>
      <c r="T2056" s="1" t="s">
        <v>3471</v>
      </c>
    </row>
    <row r="2057" customFormat="false" ht="15" hidden="false" customHeight="true" outlineLevel="0" collapsed="false">
      <c r="A2057" s="1" t="s">
        <v>4039</v>
      </c>
      <c r="B2057" s="1" t="n">
        <v>1959</v>
      </c>
      <c r="C2057" s="1" t="n">
        <v>6</v>
      </c>
      <c r="D2057" s="1" t="s">
        <v>38</v>
      </c>
      <c r="E2057" s="1" t="s">
        <v>1346</v>
      </c>
      <c r="F2057" s="1"/>
      <c r="G2057" s="1" t="n">
        <v>90</v>
      </c>
      <c r="H2057" s="2" t="n">
        <v>650000</v>
      </c>
      <c r="I2057" s="2" t="n">
        <f aca="false">(((H2057 / 800) / IF(ISBLANK(R2057), 1000000, IF(ISNA(VLOOKUP(R2057, Mileages!$A$2:$C$34, 2, 0)), R2057, VLOOKUP(R2057, Mileages!$A$2:$C$34, 2, 0)))) + (F2057 * IF(ISBLANK(P2057), 1, P2057) * IF(ISBLANK(T2057), 0, IF(ISNA(VLOOKUP(T2057, 'Fuel Costs'!$A$2:$C$42, 2, 0)), T2057, VLOOKUP(T2057, 'Fuel Costs'!$A$2:$C$42, 2, 0))) / IF(ISBLANK(O2057), 1, O2057))) * 100</f>
        <v>0.06770833333</v>
      </c>
      <c r="J2057" s="2" t="n">
        <f aca="false">((H2057 / 800) / (IF(ISBLANK(S2057), 100, IF(ISNA(VLOOKUP(S2057, Lives!$A$2:$C$35, 2, 0)), S2057, VLOOKUP(S2057, Lives!$A$2:$C$35, 2, 0))) * 12) + (IF(ISBLANK(Q2057), 0, IF(ISNA(VLOOKUP(Q2057, Wages!$A$2:$C$17, 2, 0)), Q2057, VLOOKUP(Q2057, Wages!$A$2:$C$17, 2, 0))) * IF(ISBLANK(N2057), 0, IF(ISNA(VLOOKUP(N2057, Crews!$A$2:$C$28, 2, 0)), N2057, VLOOKUP(N2057, Crews!$A$2:$C$28, 2, 0))))) * 400</f>
        <v>773.8095238</v>
      </c>
      <c r="K2057" s="1"/>
      <c r="L2057" s="1" t="s">
        <v>4038</v>
      </c>
      <c r="M2057" s="1" t="n">
        <v>1</v>
      </c>
      <c r="N2057" s="1"/>
      <c r="O2057" s="1"/>
      <c r="P2057" s="1"/>
      <c r="Q2057" s="1"/>
      <c r="R2057" s="1" t="s">
        <v>689</v>
      </c>
      <c r="S2057" s="1" t="s">
        <v>856</v>
      </c>
      <c r="T2057" s="1"/>
    </row>
    <row r="2058" customFormat="false" ht="15" hidden="false" customHeight="true" outlineLevel="0" collapsed="false">
      <c r="A2058" s="1" t="s">
        <v>4040</v>
      </c>
      <c r="B2058" s="1" t="n">
        <v>1959</v>
      </c>
      <c r="C2058" s="1" t="n">
        <v>6</v>
      </c>
      <c r="D2058" s="1" t="s">
        <v>38</v>
      </c>
      <c r="E2058" s="1" t="s">
        <v>1346</v>
      </c>
      <c r="F2058" s="1"/>
      <c r="G2058" s="1" t="n">
        <v>90</v>
      </c>
      <c r="H2058" s="2" t="n">
        <v>650000</v>
      </c>
      <c r="I2058" s="2" t="n">
        <f aca="false">(((H2058 / 800) / IF(ISBLANK(R2058), 1000000, IF(ISNA(VLOOKUP(R2058, Mileages!$A$2:$C$34, 2, 0)), R2058, VLOOKUP(R2058, Mileages!$A$2:$C$34, 2, 0)))) + (F2058 * IF(ISBLANK(P2058), 1, P2058) * IF(ISBLANK(T2058), 0, IF(ISNA(VLOOKUP(T2058, 'Fuel Costs'!$A$2:$C$42, 2, 0)), T2058, VLOOKUP(T2058, 'Fuel Costs'!$A$2:$C$42, 2, 0))) / IF(ISBLANK(O2058), 1, O2058))) * 100</f>
        <v>0.06770833333</v>
      </c>
      <c r="J2058" s="2" t="n">
        <f aca="false">((H2058 / 800) / (IF(ISBLANK(S2058), 100, IF(ISNA(VLOOKUP(S2058, Lives!$A$2:$C$35, 2, 0)), S2058, VLOOKUP(S2058, Lives!$A$2:$C$35, 2, 0))) * 12) + (IF(ISBLANK(Q2058), 0, IF(ISNA(VLOOKUP(Q2058, Wages!$A$2:$C$17, 2, 0)), Q2058, VLOOKUP(Q2058, Wages!$A$2:$C$17, 2, 0))) * IF(ISBLANK(N2058), 0, IF(ISNA(VLOOKUP(N2058, Crews!$A$2:$C$28, 2, 0)), N2058, VLOOKUP(N2058, Crews!$A$2:$C$28, 2, 0))))) * 400</f>
        <v>773.8095238</v>
      </c>
      <c r="K2058" s="1"/>
      <c r="L2058" s="1" t="s">
        <v>4038</v>
      </c>
      <c r="M2058" s="1" t="n">
        <v>2</v>
      </c>
      <c r="N2058" s="1"/>
      <c r="O2058" s="1"/>
      <c r="P2058" s="1"/>
      <c r="Q2058" s="1"/>
      <c r="R2058" s="1" t="s">
        <v>689</v>
      </c>
      <c r="S2058" s="1" t="s">
        <v>856</v>
      </c>
      <c r="T2058" s="1"/>
    </row>
    <row r="2059" customFormat="false" ht="15" hidden="false" customHeight="true" outlineLevel="0" collapsed="false">
      <c r="A2059" s="1" t="s">
        <v>4041</v>
      </c>
      <c r="B2059" s="1" t="n">
        <v>1959</v>
      </c>
      <c r="C2059" s="1" t="n">
        <v>6</v>
      </c>
      <c r="D2059" s="1" t="s">
        <v>38</v>
      </c>
      <c r="E2059" s="1" t="s">
        <v>1346</v>
      </c>
      <c r="F2059" s="1" t="n">
        <v>300</v>
      </c>
      <c r="G2059" s="1" t="n">
        <v>90</v>
      </c>
      <c r="H2059" s="2" t="n">
        <v>1250000</v>
      </c>
      <c r="I2059" s="2" t="n">
        <f aca="false">(((H2059 / 800) / IF(ISBLANK(R2059), 1000000, IF(ISNA(VLOOKUP(R2059, Mileages!$A$2:$C$34, 2, 0)), R2059, VLOOKUP(R2059, Mileages!$A$2:$C$34, 2, 0)))) + (F2059 * IF(ISBLANK(P2059), 1, P2059) * IF(ISBLANK(T2059), 0, IF(ISNA(VLOOKUP(T2059, 'Fuel Costs'!$A$2:$C$42, 2, 0)), T2059, VLOOKUP(T2059, 'Fuel Costs'!$A$2:$C$42, 2, 0))) / IF(ISBLANK(O2059), 1, O2059))) * 100</f>
        <v>60.15625</v>
      </c>
      <c r="J2059" s="2" t="n">
        <f aca="false">((H2059 / 800) / (IF(ISBLANK(S2059), 100, IF(ISNA(VLOOKUP(S2059, Lives!$A$2:$C$35, 2, 0)), S2059, VLOOKUP(S2059, Lives!$A$2:$C$35, 2, 0))) * 12) + (IF(ISBLANK(Q2059), 0, IF(ISNA(VLOOKUP(Q2059, Wages!$A$2:$C$17, 2, 0)), Q2059, VLOOKUP(Q2059, Wages!$A$2:$C$17, 2, 0))) * IF(ISBLANK(N2059), 0, IF(ISNA(VLOOKUP(N2059, Crews!$A$2:$C$28, 2, 0)), N2059, VLOOKUP(N2059, Crews!$A$2:$C$28, 2, 0))))) * 400</f>
        <v>7041.666667</v>
      </c>
      <c r="K2059" s="1"/>
      <c r="L2059" s="1" t="s">
        <v>4038</v>
      </c>
      <c r="M2059" s="1" t="n">
        <v>3</v>
      </c>
      <c r="N2059" s="1" t="s">
        <v>1512</v>
      </c>
      <c r="O2059" s="1" t="n">
        <v>1</v>
      </c>
      <c r="P2059" s="1"/>
      <c r="Q2059" s="1" t="str">
        <f aca="false">IF(ISBLANK('Pak128 Britain In'!$N2059),,'Pak128 Britain In'!$N2059)</f>
        <v>ElectricMultipleUnit</v>
      </c>
      <c r="R2059" s="1" t="s">
        <v>1349</v>
      </c>
      <c r="S2059" s="1" t="s">
        <v>1350</v>
      </c>
      <c r="T2059" s="1" t="s">
        <v>3471</v>
      </c>
    </row>
    <row r="2060" customFormat="false" ht="15" hidden="false" customHeight="true" outlineLevel="0" collapsed="false">
      <c r="A2060" s="1" t="s">
        <v>4042</v>
      </c>
      <c r="B2060" s="1" t="n">
        <v>1959</v>
      </c>
      <c r="C2060" s="1" t="n">
        <v>7</v>
      </c>
      <c r="D2060" s="1" t="s">
        <v>2225</v>
      </c>
      <c r="E2060" s="1" t="s">
        <v>3660</v>
      </c>
      <c r="F2060" s="1" t="n">
        <v>11200</v>
      </c>
      <c r="G2060" s="1" t="n">
        <v>602</v>
      </c>
      <c r="H2060" s="2" t="n">
        <v>11250000</v>
      </c>
      <c r="I2060" s="2" t="n">
        <f aca="false">(((H2060 / 800) / IF(ISBLANK(R2060), 1000000, IF(ISNA(VLOOKUP(R2060, Mileages!$A$2:$C$34, 2, 0)), R2060, VLOOKUP(R2060, Mileages!$A$2:$C$34, 2, 0)))) + (F2060 * IF(ISBLANK(P2060), 1, P2060) * IF(ISBLANK(T2060), 0, IF(ISNA(VLOOKUP(T2060, 'Fuel Costs'!$A$2:$C$42, 2, 0)), T2060, VLOOKUP(T2060, 'Fuel Costs'!$A$2:$C$42, 2, 0))) / IF(ISBLANK(O2060), 1, O2060))) * 100</f>
        <v>89.88125</v>
      </c>
      <c r="J2060" s="2" t="n">
        <f aca="false">((H2060 / 800) / (IF(ISBLANK(S2060), 100, IF(ISNA(VLOOKUP(S2060, Lives!$A$2:$C$35, 2, 0)), S2060, VLOOKUP(S2060, Lives!$A$2:$C$35, 2, 0))) * 12) + (IF(ISBLANK(Q2060), 0, IF(ISNA(VLOOKUP(Q2060, Wages!$A$2:$C$17, 2, 0)), Q2060, VLOOKUP(Q2060, Wages!$A$2:$C$17, 2, 0))) * IF(ISBLANK(N2060), 0, IF(ISNA(VLOOKUP(N2060, Crews!$A$2:$C$28, 2, 0)), N2060, VLOOKUP(N2060, Crews!$A$2:$C$28, 2, 0))))) * 400</f>
        <v>57812.5</v>
      </c>
      <c r="K2060" s="3" t="s">
        <v>4043</v>
      </c>
      <c r="L2060" s="1" t="s">
        <v>4044</v>
      </c>
      <c r="M2060" s="1" t="n">
        <v>0</v>
      </c>
      <c r="N2060" s="1" t="s">
        <v>2342</v>
      </c>
      <c r="O2060" s="1"/>
      <c r="P2060" s="1" t="n">
        <v>0.02</v>
      </c>
      <c r="Q2060" s="1" t="s">
        <v>2229</v>
      </c>
      <c r="R2060" s="1" t="s">
        <v>2229</v>
      </c>
      <c r="S2060" s="1" t="s">
        <v>2229</v>
      </c>
      <c r="T2060" s="1" t="s">
        <v>3481</v>
      </c>
    </row>
    <row r="2061" customFormat="false" ht="15" hidden="false" customHeight="true" outlineLevel="0" collapsed="false">
      <c r="A2061" s="1" t="s">
        <v>4045</v>
      </c>
      <c r="B2061" s="1" t="n">
        <v>1959</v>
      </c>
      <c r="C2061" s="1" t="n">
        <v>7</v>
      </c>
      <c r="D2061" s="1" t="s">
        <v>2225</v>
      </c>
      <c r="E2061" s="1" t="s">
        <v>3660</v>
      </c>
      <c r="F2061" s="1" t="n">
        <v>11200</v>
      </c>
      <c r="G2061" s="1" t="n">
        <v>602</v>
      </c>
      <c r="H2061" s="2" t="n">
        <v>11250000</v>
      </c>
      <c r="I2061" s="2" t="n">
        <f aca="false">(((H2061 / 800) / IF(ISBLANK(R2061), 1000000, IF(ISNA(VLOOKUP(R2061, Mileages!$A$2:$C$34, 2, 0)), R2061, VLOOKUP(R2061, Mileages!$A$2:$C$34, 2, 0)))) + (F2061 * IF(ISBLANK(P2061), 1, P2061) * IF(ISBLANK(T2061), 0, IF(ISNA(VLOOKUP(T2061, 'Fuel Costs'!$A$2:$C$42, 2, 0)), T2061, VLOOKUP(T2061, 'Fuel Costs'!$A$2:$C$42, 2, 0))) / IF(ISBLANK(O2061), 1, O2061))) * 100</f>
        <v>89.88125</v>
      </c>
      <c r="J2061" s="2" t="n">
        <f aca="false">((H2061 / 800) / (IF(ISBLANK(S2061), 100, IF(ISNA(VLOOKUP(S2061, Lives!$A$2:$C$35, 2, 0)), S2061, VLOOKUP(S2061, Lives!$A$2:$C$35, 2, 0))) * 12) + (IF(ISBLANK(Q2061), 0, IF(ISNA(VLOOKUP(Q2061, Wages!$A$2:$C$17, 2, 0)), Q2061, VLOOKUP(Q2061, Wages!$A$2:$C$17, 2, 0))) * IF(ISBLANK(N2061), 0, IF(ISNA(VLOOKUP(N2061, Crews!$A$2:$C$28, 2, 0)), N2061, VLOOKUP(N2061, Crews!$A$2:$C$28, 2, 0))))) * 400</f>
        <v>57812.5</v>
      </c>
      <c r="K2061" s="3" t="s">
        <v>4046</v>
      </c>
      <c r="L2061" s="1" t="s">
        <v>4044</v>
      </c>
      <c r="M2061" s="1" t="n">
        <v>1</v>
      </c>
      <c r="N2061" s="1" t="s">
        <v>2342</v>
      </c>
      <c r="O2061" s="1"/>
      <c r="P2061" s="1" t="n">
        <v>0.02</v>
      </c>
      <c r="Q2061" s="1" t="s">
        <v>2229</v>
      </c>
      <c r="R2061" s="1" t="s">
        <v>2229</v>
      </c>
      <c r="S2061" s="1" t="s">
        <v>2229</v>
      </c>
      <c r="T2061" s="1" t="s">
        <v>3481</v>
      </c>
    </row>
    <row r="2062" customFormat="false" ht="15" hidden="false" customHeight="true" outlineLevel="0" collapsed="false">
      <c r="A2062" s="1" t="s">
        <v>4047</v>
      </c>
      <c r="B2062" s="1" t="n">
        <v>1959</v>
      </c>
      <c r="C2062" s="1" t="n">
        <v>7</v>
      </c>
      <c r="D2062" s="1" t="s">
        <v>38</v>
      </c>
      <c r="E2062" s="1" t="s">
        <v>2039</v>
      </c>
      <c r="F2062" s="1" t="n">
        <v>343</v>
      </c>
      <c r="G2062" s="1" t="n">
        <v>112</v>
      </c>
      <c r="H2062" s="2" t="n">
        <v>1340000</v>
      </c>
      <c r="I2062" s="2" t="n">
        <f aca="false">(((H2062 / 800) / IF(ISBLANK(R2062), 1000000, IF(ISNA(VLOOKUP(R2062, Mileages!$A$2:$C$34, 2, 0)), R2062, VLOOKUP(R2062, Mileages!$A$2:$C$34, 2, 0)))) + (F2062 * IF(ISBLANK(P2062), 1, P2062) * IF(ISBLANK(T2062), 0, IF(ISNA(VLOOKUP(T2062, 'Fuel Costs'!$A$2:$C$42, 2, 0)), T2062, VLOOKUP(T2062, 'Fuel Costs'!$A$2:$C$42, 2, 0))) / IF(ISBLANK(O2062), 1, O2062))) * 100</f>
        <v>343.335</v>
      </c>
      <c r="J2062" s="2" t="n">
        <f aca="false">((H2062 / 800) / (IF(ISBLANK(S2062), 100, IF(ISNA(VLOOKUP(S2062, Lives!$A$2:$C$35, 2, 0)), S2062, VLOOKUP(S2062, Lives!$A$2:$C$35, 2, 0))) * 12) + (IF(ISBLANK(Q2062), 0, IF(ISNA(VLOOKUP(Q2062, Wages!$A$2:$C$17, 2, 0)), Q2062, VLOOKUP(Q2062, Wages!$A$2:$C$17, 2, 0))) * IF(ISBLANK(N2062), 0, IF(ISNA(VLOOKUP(N2062, Crews!$A$2:$C$28, 2, 0)), N2062, VLOOKUP(N2062, Crews!$A$2:$C$28, 2, 0))))) * 400</f>
        <v>11395.83333</v>
      </c>
      <c r="K2062" s="1" t="s">
        <v>4048</v>
      </c>
      <c r="L2062" s="1" t="s">
        <v>4049</v>
      </c>
      <c r="M2062" s="1" t="n">
        <v>0</v>
      </c>
      <c r="N2062" s="1" t="s">
        <v>1488</v>
      </c>
      <c r="O2062" s="1" t="n">
        <v>0.5</v>
      </c>
      <c r="P2062" s="1"/>
      <c r="Q2062" s="1" t="s">
        <v>1488</v>
      </c>
      <c r="R2062" s="1" t="s">
        <v>3179</v>
      </c>
      <c r="S2062" s="1" t="s">
        <v>3179</v>
      </c>
      <c r="T2062" s="1" t="s">
        <v>2041</v>
      </c>
    </row>
    <row r="2063" customFormat="false" ht="15" hidden="false" customHeight="true" outlineLevel="0" collapsed="false">
      <c r="A2063" s="1" t="s">
        <v>4050</v>
      </c>
      <c r="B2063" s="1" t="n">
        <v>1959</v>
      </c>
      <c r="C2063" s="1" t="n">
        <v>9</v>
      </c>
      <c r="D2063" s="1" t="s">
        <v>38</v>
      </c>
      <c r="E2063" s="1" t="s">
        <v>2039</v>
      </c>
      <c r="F2063" s="1" t="n">
        <v>298</v>
      </c>
      <c r="G2063" s="1" t="n">
        <v>44</v>
      </c>
      <c r="H2063" s="2" t="n">
        <v>445000</v>
      </c>
      <c r="I2063" s="2" t="n">
        <f aca="false">(((H2063 / 800) / IF(ISBLANK(R2063), 1000000, IF(ISNA(VLOOKUP(R2063, Mileages!$A$2:$C$34, 2, 0)), R2063, VLOOKUP(R2063, Mileages!$A$2:$C$34, 2, 0)))) + (F2063 * IF(ISBLANK(P2063), 1, P2063) * IF(ISBLANK(T2063), 0, IF(ISNA(VLOOKUP(T2063, 'Fuel Costs'!$A$2:$C$42, 2, 0)), T2063, VLOOKUP(T2063, 'Fuel Costs'!$A$2:$C$42, 2, 0))) / IF(ISBLANK(O2063), 1, O2063))) * 100</f>
        <v>298.11125</v>
      </c>
      <c r="J2063" s="2" t="n">
        <f aca="false">((H2063 / 800) / (IF(ISBLANK(S2063), 100, IF(ISNA(VLOOKUP(S2063, Lives!$A$2:$C$35, 2, 0)), S2063, VLOOKUP(S2063, Lives!$A$2:$C$35, 2, 0))) * 12) + (IF(ISBLANK(Q2063), 0, IF(ISNA(VLOOKUP(Q2063, Wages!$A$2:$C$17, 2, 0)), Q2063, VLOOKUP(Q2063, Wages!$A$2:$C$17, 2, 0))) * IF(ISBLANK(N2063), 0, IF(ISNA(VLOOKUP(N2063, Crews!$A$2:$C$28, 2, 0)), N2063, VLOOKUP(N2063, Crews!$A$2:$C$28, 2, 0))))) * 400</f>
        <v>10463.54167</v>
      </c>
      <c r="K2063" s="1" t="s">
        <v>2048</v>
      </c>
      <c r="L2063" s="1" t="s">
        <v>4051</v>
      </c>
      <c r="M2063" s="1" t="n">
        <v>0</v>
      </c>
      <c r="N2063" s="1" t="s">
        <v>1488</v>
      </c>
      <c r="O2063" s="1" t="n">
        <v>0.5</v>
      </c>
      <c r="P2063" s="1"/>
      <c r="Q2063" s="1" t="s">
        <v>1488</v>
      </c>
      <c r="R2063" s="1" t="s">
        <v>3179</v>
      </c>
      <c r="S2063" s="1" t="s">
        <v>3179</v>
      </c>
      <c r="T2063" s="1" t="s">
        <v>2041</v>
      </c>
    </row>
    <row r="2064" customFormat="false" ht="15" hidden="false" customHeight="true" outlineLevel="0" collapsed="false">
      <c r="A2064" s="1" t="s">
        <v>4052</v>
      </c>
      <c r="B2064" s="1" t="n">
        <v>1959</v>
      </c>
      <c r="C2064" s="1" t="n">
        <v>9</v>
      </c>
      <c r="D2064" s="1" t="s">
        <v>38</v>
      </c>
      <c r="E2064" s="1" t="s">
        <v>2039</v>
      </c>
      <c r="F2064" s="1" t="n">
        <v>224</v>
      </c>
      <c r="G2064" s="1" t="n">
        <v>113</v>
      </c>
      <c r="H2064" s="2" t="n">
        <v>1290000</v>
      </c>
      <c r="I2064" s="2" t="n">
        <f aca="false">(((H2064 / 800) / IF(ISBLANK(R2064), 1000000, IF(ISNA(VLOOKUP(R2064, Mileages!$A$2:$C$34, 2, 0)), R2064, VLOOKUP(R2064, Mileages!$A$2:$C$34, 2, 0)))) + (F2064 * IF(ISBLANK(P2064), 1, P2064) * IF(ISBLANK(T2064), 0, IF(ISNA(VLOOKUP(T2064, 'Fuel Costs'!$A$2:$C$42, 2, 0)), T2064, VLOOKUP(T2064, 'Fuel Costs'!$A$2:$C$42, 2, 0))) / IF(ISBLANK(O2064), 1, O2064))) * 100</f>
        <v>224.3225</v>
      </c>
      <c r="J2064" s="2" t="n">
        <f aca="false">((H2064 / 800) / (IF(ISBLANK(S2064), 100, IF(ISNA(VLOOKUP(S2064, Lives!$A$2:$C$35, 2, 0)), S2064, VLOOKUP(S2064, Lives!$A$2:$C$35, 2, 0))) * 12) + (IF(ISBLANK(Q2064), 0, IF(ISNA(VLOOKUP(Q2064, Wages!$A$2:$C$17, 2, 0)), Q2064, VLOOKUP(Q2064, Wages!$A$2:$C$17, 2, 0))) * IF(ISBLANK(N2064), 0, IF(ISNA(VLOOKUP(N2064, Crews!$A$2:$C$28, 2, 0)), N2064, VLOOKUP(N2064, Crews!$A$2:$C$28, 2, 0))))) * 400</f>
        <v>11343.75</v>
      </c>
      <c r="K2064" s="3" t="s">
        <v>4053</v>
      </c>
      <c r="L2064" s="1" t="s">
        <v>4054</v>
      </c>
      <c r="M2064" s="1" t="n">
        <v>0</v>
      </c>
      <c r="N2064" s="1" t="s">
        <v>1488</v>
      </c>
      <c r="O2064" s="1" t="n">
        <v>0.5</v>
      </c>
      <c r="P2064" s="1"/>
      <c r="Q2064" s="1" t="s">
        <v>1488</v>
      </c>
      <c r="R2064" s="1" t="s">
        <v>3179</v>
      </c>
      <c r="S2064" s="1" t="s">
        <v>3179</v>
      </c>
      <c r="T2064" s="1" t="s">
        <v>2041</v>
      </c>
    </row>
    <row r="2065" customFormat="false" ht="15" hidden="false" customHeight="true" outlineLevel="0" collapsed="false">
      <c r="A2065" s="1" t="s">
        <v>4055</v>
      </c>
      <c r="B2065" s="1" t="n">
        <v>1959</v>
      </c>
      <c r="C2065" s="1" t="n">
        <v>9</v>
      </c>
      <c r="D2065" s="1" t="s">
        <v>38</v>
      </c>
      <c r="E2065" s="1"/>
      <c r="F2065" s="1" t="n">
        <v>0</v>
      </c>
      <c r="G2065" s="1" t="n">
        <v>113</v>
      </c>
      <c r="H2065" s="2" t="n">
        <v>605000</v>
      </c>
      <c r="I2065" s="2" t="n">
        <f aca="false">(((H2065 / 800) / IF(ISBLANK(R2065), 1000000, IF(ISNA(VLOOKUP(R2065, Mileages!$A$2:$C$34, 2, 0)), R2065, VLOOKUP(R2065, Mileages!$A$2:$C$34, 2, 0)))) + (F2065 * IF(ISBLANK(P2065), 1, P2065) * IF(ISBLANK(T2065), 0, IF(ISNA(VLOOKUP(T2065, 'Fuel Costs'!$A$2:$C$42, 2, 0)), T2065, VLOOKUP(T2065, 'Fuel Costs'!$A$2:$C$42, 2, 0))) / IF(ISBLANK(O2065), 1, O2065))) * 100</f>
        <v>0.06302083333</v>
      </c>
      <c r="J2065" s="2" t="n">
        <f aca="false">((H2065 / 800) / (IF(ISBLANK(S2065), 100, IF(ISNA(VLOOKUP(S2065, Lives!$A$2:$C$35, 2, 0)), S2065, VLOOKUP(S2065, Lives!$A$2:$C$35, 2, 0))) * 12) + (IF(ISBLANK(Q2065), 0, IF(ISNA(VLOOKUP(Q2065, Wages!$A$2:$C$17, 2, 0)), Q2065, VLOOKUP(Q2065, Wages!$A$2:$C$17, 2, 0))) * IF(ISBLANK(N2065), 0, IF(ISNA(VLOOKUP(N2065, Crews!$A$2:$C$28, 2, 0)), N2065, VLOOKUP(N2065, Crews!$A$2:$C$28, 2, 0))))) * 400</f>
        <v>720.2380952</v>
      </c>
      <c r="K2065" s="3" t="s">
        <v>4056</v>
      </c>
      <c r="L2065" s="1" t="s">
        <v>4054</v>
      </c>
      <c r="M2065" s="1" t="n">
        <v>1</v>
      </c>
      <c r="N2065" s="1"/>
      <c r="O2065" s="1"/>
      <c r="P2065" s="1"/>
      <c r="Q2065" s="1"/>
      <c r="R2065" s="1" t="s">
        <v>689</v>
      </c>
      <c r="S2065" s="1" t="s">
        <v>856</v>
      </c>
      <c r="T2065" s="1"/>
    </row>
    <row r="2066" customFormat="false" ht="15" hidden="false" customHeight="true" outlineLevel="0" collapsed="false">
      <c r="A2066" s="1" t="s">
        <v>4057</v>
      </c>
      <c r="B2066" s="1" t="n">
        <v>1959</v>
      </c>
      <c r="C2066" s="1" t="n">
        <v>9</v>
      </c>
      <c r="D2066" s="1" t="s">
        <v>38</v>
      </c>
      <c r="E2066" s="1" t="s">
        <v>2039</v>
      </c>
      <c r="F2066" s="1" t="n">
        <v>224</v>
      </c>
      <c r="G2066" s="1" t="n">
        <v>113</v>
      </c>
      <c r="H2066" s="2" t="n">
        <v>1290000</v>
      </c>
      <c r="I2066" s="2" t="n">
        <f aca="false">(((H2066 / 800) / IF(ISBLANK(R2066), 1000000, IF(ISNA(VLOOKUP(R2066, Mileages!$A$2:$C$34, 2, 0)), R2066, VLOOKUP(R2066, Mileages!$A$2:$C$34, 2, 0)))) + (F2066 * IF(ISBLANK(P2066), 1, P2066) * IF(ISBLANK(T2066), 0, IF(ISNA(VLOOKUP(T2066, 'Fuel Costs'!$A$2:$C$42, 2, 0)), T2066, VLOOKUP(T2066, 'Fuel Costs'!$A$2:$C$42, 2, 0))) / IF(ISBLANK(O2066), 1, O2066))) * 100</f>
        <v>224.3225</v>
      </c>
      <c r="J2066" s="2" t="n">
        <f aca="false">((H2066 / 800) / (IF(ISBLANK(S2066), 100, IF(ISNA(VLOOKUP(S2066, Lives!$A$2:$C$35, 2, 0)), S2066, VLOOKUP(S2066, Lives!$A$2:$C$35, 2, 0))) * 12) + (IF(ISBLANK(Q2066), 0, IF(ISNA(VLOOKUP(Q2066, Wages!$A$2:$C$17, 2, 0)), Q2066, VLOOKUP(Q2066, Wages!$A$2:$C$17, 2, 0))) * IF(ISBLANK(N2066), 0, IF(ISNA(VLOOKUP(N2066, Crews!$A$2:$C$28, 2, 0)), N2066, VLOOKUP(N2066, Crews!$A$2:$C$28, 2, 0))))) * 400</f>
        <v>11343.75</v>
      </c>
      <c r="K2066" s="3" t="s">
        <v>4058</v>
      </c>
      <c r="L2066" s="1" t="s">
        <v>4054</v>
      </c>
      <c r="M2066" s="1" t="n">
        <v>2</v>
      </c>
      <c r="N2066" s="1" t="s">
        <v>1488</v>
      </c>
      <c r="O2066" s="1" t="n">
        <v>0.5</v>
      </c>
      <c r="P2066" s="1"/>
      <c r="Q2066" s="1" t="s">
        <v>1488</v>
      </c>
      <c r="R2066" s="1" t="s">
        <v>3179</v>
      </c>
      <c r="S2066" s="1" t="s">
        <v>3179</v>
      </c>
      <c r="T2066" s="1" t="s">
        <v>2041</v>
      </c>
    </row>
    <row r="2067" customFormat="false" ht="15" hidden="false" customHeight="true" outlineLevel="0" collapsed="false">
      <c r="A2067" s="1" t="s">
        <v>4059</v>
      </c>
      <c r="B2067" s="1" t="n">
        <v>1959</v>
      </c>
      <c r="C2067" s="1" t="n">
        <v>9</v>
      </c>
      <c r="D2067" s="1" t="s">
        <v>2225</v>
      </c>
      <c r="E2067" s="1" t="s">
        <v>3660</v>
      </c>
      <c r="F2067" s="1" t="n">
        <v>1425</v>
      </c>
      <c r="G2067" s="1" t="n">
        <v>490</v>
      </c>
      <c r="H2067" s="2" t="n">
        <v>9000000</v>
      </c>
      <c r="I2067" s="2" t="n">
        <f aca="false">(((H2067 / 800) / IF(ISBLANK(R2067), 1000000, IF(ISNA(VLOOKUP(R2067, Mileages!$A$2:$C$34, 2, 0)), R2067, VLOOKUP(R2067, Mileages!$A$2:$C$34, 2, 0)))) + (F2067 * IF(ISBLANK(P2067), 1, P2067) * IF(ISBLANK(T2067), 0, IF(ISNA(VLOOKUP(T2067, 'Fuel Costs'!$A$2:$C$42, 2, 0)), T2067, VLOOKUP(T2067, 'Fuel Costs'!$A$2:$C$42, 2, 0))) / IF(ISBLANK(O2067), 1, O2067))) * 100</f>
        <v>11.625</v>
      </c>
      <c r="J2067" s="2" t="n">
        <f aca="false">((H2067 / 800) / (IF(ISBLANK(S2067), 100, IF(ISNA(VLOOKUP(S2067, Lives!$A$2:$C$35, 2, 0)), S2067, VLOOKUP(S2067, Lives!$A$2:$C$35, 2, 0))) * 12) + (IF(ISBLANK(Q2067), 0, IF(ISNA(VLOOKUP(Q2067, Wages!$A$2:$C$17, 2, 0)), Q2067, VLOOKUP(Q2067, Wages!$A$2:$C$17, 2, 0))) * IF(ISBLANK(N2067), 0, IF(ISNA(VLOOKUP(N2067, Crews!$A$2:$C$28, 2, 0)), N2067, VLOOKUP(N2067, Crews!$A$2:$C$28, 2, 0))))) * 400</f>
        <v>56250</v>
      </c>
      <c r="K2067" s="3" t="s">
        <v>4060</v>
      </c>
      <c r="L2067" s="1" t="s">
        <v>4061</v>
      </c>
      <c r="M2067" s="1" t="n">
        <v>0</v>
      </c>
      <c r="N2067" s="1" t="s">
        <v>2342</v>
      </c>
      <c r="O2067" s="1"/>
      <c r="P2067" s="1" t="n">
        <v>0.02</v>
      </c>
      <c r="Q2067" s="1" t="s">
        <v>2229</v>
      </c>
      <c r="R2067" s="1" t="s">
        <v>2229</v>
      </c>
      <c r="S2067" s="1" t="s">
        <v>2229</v>
      </c>
      <c r="T2067" s="1" t="s">
        <v>3481</v>
      </c>
    </row>
    <row r="2068" customFormat="false" ht="15" hidden="false" customHeight="true" outlineLevel="0" collapsed="false">
      <c r="A2068" s="1" t="s">
        <v>4062</v>
      </c>
      <c r="B2068" s="1" t="n">
        <v>1959</v>
      </c>
      <c r="C2068" s="1" t="n">
        <v>11</v>
      </c>
      <c r="D2068" s="1" t="s">
        <v>38</v>
      </c>
      <c r="E2068" s="1" t="s">
        <v>1346</v>
      </c>
      <c r="F2068" s="1" t="n">
        <v>2390</v>
      </c>
      <c r="G2068" s="1" t="n">
        <v>160</v>
      </c>
      <c r="H2068" s="2" t="n">
        <v>8785000</v>
      </c>
      <c r="I2068" s="2" t="n">
        <f aca="false">(((H2068 / 800) / IF(ISBLANK(R2068), 1000000, IF(ISNA(VLOOKUP(R2068, Mileages!$A$2:$C$34, 2, 0)), R2068, VLOOKUP(R2068, Mileages!$A$2:$C$34, 2, 0)))) + (F2068 * IF(ISBLANK(P2068), 1, P2068) * IF(ISBLANK(T2068), 0, IF(ISNA(VLOOKUP(T2068, 'Fuel Costs'!$A$2:$C$42, 2, 0)), T2068, VLOOKUP(T2068, 'Fuel Costs'!$A$2:$C$42, 2, 0))) / IF(ISBLANK(O2068), 1, O2068))) * 100</f>
        <v>479.098125</v>
      </c>
      <c r="J2068" s="2" t="n">
        <f aca="false">((H2068 / 800) / (IF(ISBLANK(S2068), 100, IF(ISNA(VLOOKUP(S2068, Lives!$A$2:$C$35, 2, 0)), S2068, VLOOKUP(S2068, Lives!$A$2:$C$35, 2, 0))) * 12) + (IF(ISBLANK(Q2068), 0, IF(ISNA(VLOOKUP(Q2068, Wages!$A$2:$C$17, 2, 0)), Q2068, VLOOKUP(Q2068, Wages!$A$2:$C$17, 2, 0))) * IF(ISBLANK(N2068), 0, IF(ISNA(VLOOKUP(N2068, Crews!$A$2:$C$28, 2, 0)), N2068, VLOOKUP(N2068, Crews!$A$2:$C$28, 2, 0))))) * 400</f>
        <v>16100.69444</v>
      </c>
      <c r="K2068" s="1" t="s">
        <v>3984</v>
      </c>
      <c r="L2068" s="1" t="s">
        <v>4063</v>
      </c>
      <c r="M2068" s="1" t="n">
        <v>0</v>
      </c>
      <c r="N2068" s="1" t="s">
        <v>1488</v>
      </c>
      <c r="O2068" s="1" t="n">
        <v>1</v>
      </c>
      <c r="P2068" s="1"/>
      <c r="Q2068" s="1" t="str">
        <f aca="false">IF(ISBLANK('Pak128 Britain In'!$N2068),,'Pak128 Britain In'!$N2068)</f>
        <v>ElectricDriverRail</v>
      </c>
      <c r="R2068" s="1" t="s">
        <v>1349</v>
      </c>
      <c r="S2068" s="1" t="s">
        <v>1349</v>
      </c>
      <c r="T2068" s="1" t="s">
        <v>3471</v>
      </c>
    </row>
    <row r="2069" customFormat="false" ht="15" hidden="false" customHeight="true" outlineLevel="0" collapsed="false">
      <c r="A2069" s="1" t="s">
        <v>4064</v>
      </c>
      <c r="B2069" s="1" t="n">
        <v>1959</v>
      </c>
      <c r="C2069" s="1" t="n">
        <v>11</v>
      </c>
      <c r="D2069" s="1" t="s">
        <v>2225</v>
      </c>
      <c r="E2069" s="1" t="s">
        <v>3660</v>
      </c>
      <c r="F2069" s="1" t="n">
        <v>28195</v>
      </c>
      <c r="G2069" s="1" t="n">
        <v>853</v>
      </c>
      <c r="H2069" s="2" t="n">
        <v>14200000</v>
      </c>
      <c r="I2069" s="2" t="n">
        <f aca="false">(((H2069 / 800) / IF(ISBLANK(R2069), 1000000, IF(ISNA(VLOOKUP(R2069, Mileages!$A$2:$C$34, 2, 0)), R2069, VLOOKUP(R2069, Mileages!$A$2:$C$34, 2, 0)))) + (F2069 * IF(ISBLANK(P2069), 1, P2069) * IF(ISBLANK(T2069), 0, IF(ISNA(VLOOKUP(T2069, 'Fuel Costs'!$A$2:$C$42, 2, 0)), T2069, VLOOKUP(T2069, 'Fuel Costs'!$A$2:$C$42, 2, 0))) / IF(ISBLANK(O2069), 1, O2069))) * 100</f>
        <v>225.915</v>
      </c>
      <c r="J2069" s="2" t="n">
        <f aca="false">((H2069 / 800) / (IF(ISBLANK(S2069), 100, IF(ISNA(VLOOKUP(S2069, Lives!$A$2:$C$35, 2, 0)), S2069, VLOOKUP(S2069, Lives!$A$2:$C$35, 2, 0))) * 12) + (IF(ISBLANK(Q2069), 0, IF(ISNA(VLOOKUP(Q2069, Wages!$A$2:$C$17, 2, 0)), Q2069, VLOOKUP(Q2069, Wages!$A$2:$C$17, 2, 0))) * IF(ISBLANK(N2069), 0, IF(ISNA(VLOOKUP(N2069, Crews!$A$2:$C$28, 2, 0)), N2069, VLOOKUP(N2069, Crews!$A$2:$C$28, 2, 0))))) * 400</f>
        <v>59861.11111</v>
      </c>
      <c r="K2069" s="3" t="s">
        <v>4065</v>
      </c>
      <c r="L2069" s="1" t="s">
        <v>4066</v>
      </c>
      <c r="M2069" s="1" t="n">
        <v>0</v>
      </c>
      <c r="N2069" s="1" t="s">
        <v>2342</v>
      </c>
      <c r="O2069" s="1"/>
      <c r="P2069" s="1" t="n">
        <v>0.02</v>
      </c>
      <c r="Q2069" s="1" t="s">
        <v>2229</v>
      </c>
      <c r="R2069" s="1" t="s">
        <v>2229</v>
      </c>
      <c r="S2069" s="1" t="s">
        <v>2229</v>
      </c>
      <c r="T2069" s="1" t="s">
        <v>3481</v>
      </c>
    </row>
    <row r="2070" customFormat="false" ht="15" hidden="false" customHeight="true" outlineLevel="0" collapsed="false">
      <c r="A2070" s="1" t="s">
        <v>4067</v>
      </c>
      <c r="B2070" s="1" t="n">
        <v>1959</v>
      </c>
      <c r="C2070" s="1" t="n">
        <v>11</v>
      </c>
      <c r="D2070" s="1" t="s">
        <v>2225</v>
      </c>
      <c r="E2070" s="1" t="s">
        <v>3660</v>
      </c>
      <c r="F2070" s="1" t="n">
        <v>28195</v>
      </c>
      <c r="G2070" s="1" t="n">
        <v>853</v>
      </c>
      <c r="H2070" s="2" t="n">
        <v>14200000</v>
      </c>
      <c r="I2070" s="2" t="n">
        <f aca="false">(((H2070 / 800) / IF(ISBLANK(R2070), 1000000, IF(ISNA(VLOOKUP(R2070, Mileages!$A$2:$C$34, 2, 0)), R2070, VLOOKUP(R2070, Mileages!$A$2:$C$34, 2, 0)))) + (F2070 * IF(ISBLANK(P2070), 1, P2070) * IF(ISBLANK(T2070), 0, IF(ISNA(VLOOKUP(T2070, 'Fuel Costs'!$A$2:$C$42, 2, 0)), T2070, VLOOKUP(T2070, 'Fuel Costs'!$A$2:$C$42, 2, 0))) / IF(ISBLANK(O2070), 1, O2070))) * 100</f>
        <v>225.915</v>
      </c>
      <c r="J2070" s="2" t="n">
        <f aca="false">((H2070 / 800) / (IF(ISBLANK(S2070), 100, IF(ISNA(VLOOKUP(S2070, Lives!$A$2:$C$35, 2, 0)), S2070, VLOOKUP(S2070, Lives!$A$2:$C$35, 2, 0))) * 12) + (IF(ISBLANK(Q2070), 0, IF(ISNA(VLOOKUP(Q2070, Wages!$A$2:$C$17, 2, 0)), Q2070, VLOOKUP(Q2070, Wages!$A$2:$C$17, 2, 0))) * IF(ISBLANK(N2070), 0, IF(ISNA(VLOOKUP(N2070, Crews!$A$2:$C$28, 2, 0)), N2070, VLOOKUP(N2070, Crews!$A$2:$C$28, 2, 0))))) * 400</f>
        <v>59861.11111</v>
      </c>
      <c r="K2070" s="3" t="s">
        <v>4068</v>
      </c>
      <c r="L2070" s="1" t="s">
        <v>4066</v>
      </c>
      <c r="M2070" s="1" t="n">
        <v>1</v>
      </c>
      <c r="N2070" s="1" t="s">
        <v>2342</v>
      </c>
      <c r="O2070" s="1"/>
      <c r="P2070" s="1" t="n">
        <v>0.02</v>
      </c>
      <c r="Q2070" s="1" t="s">
        <v>2229</v>
      </c>
      <c r="R2070" s="1" t="s">
        <v>2229</v>
      </c>
      <c r="S2070" s="1" t="s">
        <v>2229</v>
      </c>
      <c r="T2070" s="1" t="s">
        <v>3481</v>
      </c>
    </row>
    <row r="2071" customFormat="false" ht="15" hidden="false" customHeight="true" outlineLevel="0" collapsed="false">
      <c r="A2071" s="1" t="s">
        <v>4069</v>
      </c>
      <c r="B2071" s="1" t="n">
        <v>1959</v>
      </c>
      <c r="C2071" s="1" t="n">
        <v>12</v>
      </c>
      <c r="D2071" s="1" t="s">
        <v>38</v>
      </c>
      <c r="E2071" s="1"/>
      <c r="F2071" s="1"/>
      <c r="G2071" s="1" t="n">
        <v>160</v>
      </c>
      <c r="H2071" s="2" t="n">
        <v>1500000</v>
      </c>
      <c r="I2071" s="2" t="n">
        <f aca="false">(((H2071 / 800) / IF(ISBLANK(R2071), 1000000, IF(ISNA(VLOOKUP(R2071, Mileages!$A$2:$C$34, 2, 0)), R2071, VLOOKUP(R2071, Mileages!$A$2:$C$34, 2, 0)))) + (F2071 * IF(ISBLANK(P2071), 1, P2071) * IF(ISBLANK(T2071), 0, IF(ISNA(VLOOKUP(T2071, 'Fuel Costs'!$A$2:$C$42, 2, 0)), T2071, VLOOKUP(T2071, 'Fuel Costs'!$A$2:$C$42, 2, 0))) / IF(ISBLANK(O2071), 1, O2071))) * 100</f>
        <v>0.15625</v>
      </c>
      <c r="J2071" s="2" t="n">
        <f aca="false">((H2071 / 800) / (IF(ISBLANK(S2071), 100, IF(ISNA(VLOOKUP(S2071, Lives!$A$2:$C$35, 2, 0)), S2071, VLOOKUP(S2071, Lives!$A$2:$C$35, 2, 0))) * 12) + (IF(ISBLANK(Q2071), 0, IF(ISNA(VLOOKUP(Q2071, Wages!$A$2:$C$17, 2, 0)), Q2071, VLOOKUP(Q2071, Wages!$A$2:$C$17, 2, 0))) * IF(ISBLANK(N2071), 0, IF(ISNA(VLOOKUP(N2071, Crews!$A$2:$C$28, 2, 0)), N2071, VLOOKUP(N2071, Crews!$A$2:$C$28, 2, 0))))) * 400</f>
        <v>625</v>
      </c>
      <c r="K2071" s="1"/>
      <c r="L2071" s="1" t="s">
        <v>4070</v>
      </c>
      <c r="M2071" s="1" t="n">
        <v>0</v>
      </c>
      <c r="N2071" s="1"/>
      <c r="O2071" s="1"/>
      <c r="P2071" s="1"/>
      <c r="Q2071" s="1"/>
      <c r="R2071" s="1" t="s">
        <v>689</v>
      </c>
      <c r="S2071" s="1" t="s">
        <v>389</v>
      </c>
      <c r="T2071" s="1"/>
    </row>
    <row r="2072" customFormat="false" ht="15" hidden="false" customHeight="true" outlineLevel="0" collapsed="false">
      <c r="A2072" s="1" t="s">
        <v>4071</v>
      </c>
      <c r="B2072" s="1" t="n">
        <v>1960</v>
      </c>
      <c r="C2072" s="1" t="n">
        <v>1</v>
      </c>
      <c r="D2072" s="1" t="s">
        <v>2225</v>
      </c>
      <c r="E2072" s="1" t="s">
        <v>3660</v>
      </c>
      <c r="F2072" s="1" t="n">
        <v>28195</v>
      </c>
      <c r="G2072" s="1" t="n">
        <v>805</v>
      </c>
      <c r="H2072" s="2" t="n">
        <v>14400000</v>
      </c>
      <c r="I2072" s="2" t="n">
        <f aca="false">(((H2072 / 800) / IF(ISBLANK(R2072), 1000000, IF(ISNA(VLOOKUP(R2072, Mileages!$A$2:$C$34, 2, 0)), R2072, VLOOKUP(R2072, Mileages!$A$2:$C$34, 2, 0)))) + (F2072 * IF(ISBLANK(P2072), 1, P2072) * IF(ISBLANK(T2072), 0, IF(ISNA(VLOOKUP(T2072, 'Fuel Costs'!$A$2:$C$42, 2, 0)), T2072, VLOOKUP(T2072, 'Fuel Costs'!$A$2:$C$42, 2, 0))) / IF(ISBLANK(O2072), 1, O2072))) * 100</f>
        <v>169.53</v>
      </c>
      <c r="J2072" s="2" t="n">
        <f aca="false">((H2072 / 800) / (IF(ISBLANK(S2072), 100, IF(ISNA(VLOOKUP(S2072, Lives!$A$2:$C$35, 2, 0)), S2072, VLOOKUP(S2072, Lives!$A$2:$C$35, 2, 0))) * 12) + (IF(ISBLANK(Q2072), 0, IF(ISNA(VLOOKUP(Q2072, Wages!$A$2:$C$17, 2, 0)), Q2072, VLOOKUP(Q2072, Wages!$A$2:$C$17, 2, 0))) * IF(ISBLANK(N2072), 0, IF(ISNA(VLOOKUP(N2072, Crews!$A$2:$C$28, 2, 0)), N2072, VLOOKUP(N2072, Crews!$A$2:$C$28, 2, 0))))) * 400</f>
        <v>60000</v>
      </c>
      <c r="K2072" s="3" t="s">
        <v>4072</v>
      </c>
      <c r="L2072" s="1" t="s">
        <v>4073</v>
      </c>
      <c r="M2072" s="1" t="n">
        <v>0</v>
      </c>
      <c r="N2072" s="1" t="s">
        <v>2342</v>
      </c>
      <c r="O2072" s="1"/>
      <c r="P2072" s="1" t="n">
        <v>0.02</v>
      </c>
      <c r="Q2072" s="1" t="s">
        <v>2229</v>
      </c>
      <c r="R2072" s="1" t="s">
        <v>2229</v>
      </c>
      <c r="S2072" s="1" t="s">
        <v>2229</v>
      </c>
      <c r="T2072" s="1" t="s">
        <v>4074</v>
      </c>
    </row>
    <row r="2073" customFormat="false" ht="15" hidden="false" customHeight="true" outlineLevel="0" collapsed="false">
      <c r="A2073" s="1" t="s">
        <v>4075</v>
      </c>
      <c r="B2073" s="1" t="n">
        <v>1960</v>
      </c>
      <c r="C2073" s="1" t="n">
        <v>1</v>
      </c>
      <c r="D2073" s="1" t="s">
        <v>2225</v>
      </c>
      <c r="E2073" s="1" t="s">
        <v>3660</v>
      </c>
      <c r="F2073" s="1" t="n">
        <v>28195</v>
      </c>
      <c r="G2073" s="1" t="n">
        <v>805</v>
      </c>
      <c r="H2073" s="2" t="n">
        <v>14400000</v>
      </c>
      <c r="I2073" s="2" t="n">
        <f aca="false">(((H2073 / 800) / IF(ISBLANK(R2073), 1000000, IF(ISNA(VLOOKUP(R2073, Mileages!$A$2:$C$34, 2, 0)), R2073, VLOOKUP(R2073, Mileages!$A$2:$C$34, 2, 0)))) + (F2073 * IF(ISBLANK(P2073), 1, P2073) * IF(ISBLANK(T2073), 0, IF(ISNA(VLOOKUP(T2073, 'Fuel Costs'!$A$2:$C$42, 2, 0)), T2073, VLOOKUP(T2073, 'Fuel Costs'!$A$2:$C$42, 2, 0))) / IF(ISBLANK(O2073), 1, O2073))) * 100</f>
        <v>169.53</v>
      </c>
      <c r="J2073" s="2" t="n">
        <f aca="false">((H2073 / 800) / (IF(ISBLANK(S2073), 100, IF(ISNA(VLOOKUP(S2073, Lives!$A$2:$C$35, 2, 0)), S2073, VLOOKUP(S2073, Lives!$A$2:$C$35, 2, 0))) * 12) + (IF(ISBLANK(Q2073), 0, IF(ISNA(VLOOKUP(Q2073, Wages!$A$2:$C$17, 2, 0)), Q2073, VLOOKUP(Q2073, Wages!$A$2:$C$17, 2, 0))) * IF(ISBLANK(N2073), 0, IF(ISNA(VLOOKUP(N2073, Crews!$A$2:$C$28, 2, 0)), N2073, VLOOKUP(N2073, Crews!$A$2:$C$28, 2, 0))))) * 400</f>
        <v>60000</v>
      </c>
      <c r="K2073" s="3" t="s">
        <v>4076</v>
      </c>
      <c r="L2073" s="1" t="s">
        <v>4073</v>
      </c>
      <c r="M2073" s="1" t="n">
        <v>1</v>
      </c>
      <c r="N2073" s="1" t="s">
        <v>2342</v>
      </c>
      <c r="O2073" s="1"/>
      <c r="P2073" s="1" t="n">
        <v>0.02</v>
      </c>
      <c r="Q2073" s="1" t="s">
        <v>2229</v>
      </c>
      <c r="R2073" s="1" t="s">
        <v>2229</v>
      </c>
      <c r="S2073" s="1" t="s">
        <v>2229</v>
      </c>
      <c r="T2073" s="1" t="s">
        <v>4074</v>
      </c>
    </row>
    <row r="2074" customFormat="false" ht="15" hidden="false" customHeight="true" outlineLevel="0" collapsed="false">
      <c r="A2074" s="1" t="s">
        <v>4077</v>
      </c>
      <c r="B2074" s="1" t="n">
        <v>1960</v>
      </c>
      <c r="C2074" s="1" t="n">
        <v>1</v>
      </c>
      <c r="D2074" s="1" t="s">
        <v>21</v>
      </c>
      <c r="E2074" s="1" t="s">
        <v>2039</v>
      </c>
      <c r="F2074" s="1" t="n">
        <v>44</v>
      </c>
      <c r="G2074" s="1" t="n">
        <v>88</v>
      </c>
      <c r="H2074" s="2" t="n">
        <v>100000</v>
      </c>
      <c r="I2074" s="2" t="n">
        <f aca="false">(((H2074 / 800) / IF(ISBLANK(R2074), 1000000, IF(ISNA(VLOOKUP(R2074, Mileages!$A$2:$C$34, 2, 0)), R2074, VLOOKUP(R2074, Mileages!$A$2:$C$34, 2, 0)))) + (F2074 * IF(ISBLANK(P2074), 1, P2074) * IF(ISBLANK(T2074), 0, IF(ISNA(VLOOKUP(T2074, 'Fuel Costs'!$A$2:$C$42, 2, 0)), T2074, VLOOKUP(T2074, 'Fuel Costs'!$A$2:$C$42, 2, 0))) / IF(ISBLANK(O2074), 1, O2074))) * 100</f>
        <v>22.0125</v>
      </c>
      <c r="J2074" s="2" t="n">
        <f aca="false">((H2074 / 800) / (IF(ISBLANK(S2074), 100, IF(ISNA(VLOOKUP(S2074, Lives!$A$2:$C$35, 2, 0)), S2074, VLOOKUP(S2074, Lives!$A$2:$C$35, 2, 0))) * 12) + (IF(ISBLANK(Q2074), 0, IF(ISNA(VLOOKUP(Q2074, Wages!$A$2:$C$17, 2, 0)), Q2074, VLOOKUP(Q2074, Wages!$A$2:$C$17, 2, 0))) * IF(ISBLANK(N2074), 0, IF(ISNA(VLOOKUP(N2074, Crews!$A$2:$C$28, 2, 0)), N2074, VLOOKUP(N2074, Crews!$A$2:$C$28, 2, 0))))) * 400</f>
        <v>8052.083333</v>
      </c>
      <c r="K2074" s="1"/>
      <c r="L2074" s="1" t="s">
        <v>4078</v>
      </c>
      <c r="M2074" s="1" t="n">
        <v>0</v>
      </c>
      <c r="N2074" s="1" t="s">
        <v>1815</v>
      </c>
      <c r="O2074" s="1" t="n">
        <v>0.8</v>
      </c>
      <c r="P2074" s="1"/>
      <c r="Q2074" s="1" t="s">
        <v>1815</v>
      </c>
      <c r="R2074" s="1" t="s">
        <v>1843</v>
      </c>
      <c r="S2074" s="1" t="s">
        <v>1843</v>
      </c>
      <c r="T2074" s="1" t="s">
        <v>4079</v>
      </c>
    </row>
    <row r="2075" customFormat="false" ht="15" hidden="false" customHeight="true" outlineLevel="0" collapsed="false">
      <c r="A2075" s="1" t="s">
        <v>4080</v>
      </c>
      <c r="B2075" s="1" t="n">
        <v>1960</v>
      </c>
      <c r="C2075" s="1" t="n">
        <v>1</v>
      </c>
      <c r="D2075" s="1" t="s">
        <v>21</v>
      </c>
      <c r="E2075" s="1" t="s">
        <v>2039</v>
      </c>
      <c r="F2075" s="1" t="n">
        <v>44</v>
      </c>
      <c r="G2075" s="1" t="n">
        <v>88</v>
      </c>
      <c r="H2075" s="2" t="n">
        <v>100000</v>
      </c>
      <c r="I2075" s="2" t="n">
        <f aca="false">(((H2075 / 800) / IF(ISBLANK(R2075), 1000000, IF(ISNA(VLOOKUP(R2075, Mileages!$A$2:$C$34, 2, 0)), R2075, VLOOKUP(R2075, Mileages!$A$2:$C$34, 2, 0)))) + (F2075 * IF(ISBLANK(P2075), 1, P2075) * IF(ISBLANK(T2075), 0, IF(ISNA(VLOOKUP(T2075, 'Fuel Costs'!$A$2:$C$42, 2, 0)), T2075, VLOOKUP(T2075, 'Fuel Costs'!$A$2:$C$42, 2, 0))) / IF(ISBLANK(O2075), 1, O2075))) * 100</f>
        <v>22.0125</v>
      </c>
      <c r="J2075" s="2" t="n">
        <f aca="false">((H2075 / 800) / (IF(ISBLANK(S2075), 100, IF(ISNA(VLOOKUP(S2075, Lives!$A$2:$C$35, 2, 0)), S2075, VLOOKUP(S2075, Lives!$A$2:$C$35, 2, 0))) * 12) + (IF(ISBLANK(Q2075), 0, IF(ISNA(VLOOKUP(Q2075, Wages!$A$2:$C$17, 2, 0)), Q2075, VLOOKUP(Q2075, Wages!$A$2:$C$17, 2, 0))) * IF(ISBLANK(N2075), 0, IF(ISNA(VLOOKUP(N2075, Crews!$A$2:$C$28, 2, 0)), N2075, VLOOKUP(N2075, Crews!$A$2:$C$28, 2, 0))))) * 400</f>
        <v>8052.083333</v>
      </c>
      <c r="K2075" s="1"/>
      <c r="L2075" s="1" t="s">
        <v>4078</v>
      </c>
      <c r="M2075" s="1" t="n">
        <v>1</v>
      </c>
      <c r="N2075" s="1" t="s">
        <v>1815</v>
      </c>
      <c r="O2075" s="1" t="n">
        <v>0.8</v>
      </c>
      <c r="P2075" s="1"/>
      <c r="Q2075" s="1" t="s">
        <v>1815</v>
      </c>
      <c r="R2075" s="1" t="s">
        <v>1843</v>
      </c>
      <c r="S2075" s="1" t="s">
        <v>1843</v>
      </c>
      <c r="T2075" s="1" t="s">
        <v>4079</v>
      </c>
    </row>
    <row r="2076" customFormat="false" ht="15" hidden="false" customHeight="true" outlineLevel="0" collapsed="false">
      <c r="A2076" s="1" t="s">
        <v>4081</v>
      </c>
      <c r="B2076" s="1" t="n">
        <v>1960</v>
      </c>
      <c r="C2076" s="1" t="n">
        <v>1</v>
      </c>
      <c r="D2076" s="1" t="s">
        <v>21</v>
      </c>
      <c r="E2076" s="1" t="s">
        <v>2039</v>
      </c>
      <c r="F2076" s="1" t="n">
        <v>44</v>
      </c>
      <c r="G2076" s="1" t="n">
        <v>88</v>
      </c>
      <c r="H2076" s="2" t="n">
        <v>100000</v>
      </c>
      <c r="I2076" s="2" t="n">
        <f aca="false">(((H2076 / 800) / IF(ISBLANK(R2076), 1000000, IF(ISNA(VLOOKUP(R2076, Mileages!$A$2:$C$34, 2, 0)), R2076, VLOOKUP(R2076, Mileages!$A$2:$C$34, 2, 0)))) + (F2076 * IF(ISBLANK(P2076), 1, P2076) * IF(ISBLANK(T2076), 0, IF(ISNA(VLOOKUP(T2076, 'Fuel Costs'!$A$2:$C$42, 2, 0)), T2076, VLOOKUP(T2076, 'Fuel Costs'!$A$2:$C$42, 2, 0))) / IF(ISBLANK(O2076), 1, O2076))) * 100</f>
        <v>22.0125</v>
      </c>
      <c r="J2076" s="2" t="n">
        <f aca="false">((H2076 / 800) / (IF(ISBLANK(S2076), 100, IF(ISNA(VLOOKUP(S2076, Lives!$A$2:$C$35, 2, 0)), S2076, VLOOKUP(S2076, Lives!$A$2:$C$35, 2, 0))) * 12) + (IF(ISBLANK(Q2076), 0, IF(ISNA(VLOOKUP(Q2076, Wages!$A$2:$C$17, 2, 0)), Q2076, VLOOKUP(Q2076, Wages!$A$2:$C$17, 2, 0))) * IF(ISBLANK(N2076), 0, IF(ISNA(VLOOKUP(N2076, Crews!$A$2:$C$28, 2, 0)), N2076, VLOOKUP(N2076, Crews!$A$2:$C$28, 2, 0))))) * 400</f>
        <v>8052.083333</v>
      </c>
      <c r="K2076" s="1"/>
      <c r="L2076" s="1" t="s">
        <v>4078</v>
      </c>
      <c r="M2076" s="1" t="n">
        <v>2</v>
      </c>
      <c r="N2076" s="1" t="s">
        <v>1815</v>
      </c>
      <c r="O2076" s="1" t="n">
        <v>0.8</v>
      </c>
      <c r="P2076" s="1"/>
      <c r="Q2076" s="1" t="s">
        <v>1815</v>
      </c>
      <c r="R2076" s="1" t="s">
        <v>1843</v>
      </c>
      <c r="S2076" s="1" t="s">
        <v>1843</v>
      </c>
      <c r="T2076" s="1" t="s">
        <v>4079</v>
      </c>
    </row>
    <row r="2077" customFormat="false" ht="15" hidden="false" customHeight="true" outlineLevel="0" collapsed="false">
      <c r="A2077" s="1" t="s">
        <v>4082</v>
      </c>
      <c r="B2077" s="1" t="n">
        <v>1960</v>
      </c>
      <c r="C2077" s="1" t="n">
        <v>1</v>
      </c>
      <c r="D2077" s="1" t="s">
        <v>21</v>
      </c>
      <c r="E2077" s="1" t="s">
        <v>2039</v>
      </c>
      <c r="F2077" s="1" t="n">
        <v>44</v>
      </c>
      <c r="G2077" s="1" t="n">
        <v>88</v>
      </c>
      <c r="H2077" s="2" t="n">
        <v>100000</v>
      </c>
      <c r="I2077" s="2" t="n">
        <f aca="false">(((H2077 / 800) / IF(ISBLANK(R2077), 1000000, IF(ISNA(VLOOKUP(R2077, Mileages!$A$2:$C$34, 2, 0)), R2077, VLOOKUP(R2077, Mileages!$A$2:$C$34, 2, 0)))) + (F2077 * IF(ISBLANK(P2077), 1, P2077) * IF(ISBLANK(T2077), 0, IF(ISNA(VLOOKUP(T2077, 'Fuel Costs'!$A$2:$C$42, 2, 0)), T2077, VLOOKUP(T2077, 'Fuel Costs'!$A$2:$C$42, 2, 0))) / IF(ISBLANK(O2077), 1, O2077))) * 100</f>
        <v>22.0125</v>
      </c>
      <c r="J2077" s="2" t="n">
        <f aca="false">((H2077 / 800) / (IF(ISBLANK(S2077), 100, IF(ISNA(VLOOKUP(S2077, Lives!$A$2:$C$35, 2, 0)), S2077, VLOOKUP(S2077, Lives!$A$2:$C$35, 2, 0))) * 12) + (IF(ISBLANK(Q2077), 0, IF(ISNA(VLOOKUP(Q2077, Wages!$A$2:$C$17, 2, 0)), Q2077, VLOOKUP(Q2077, Wages!$A$2:$C$17, 2, 0))) * IF(ISBLANK(N2077), 0, IF(ISNA(VLOOKUP(N2077, Crews!$A$2:$C$28, 2, 0)), N2077, VLOOKUP(N2077, Crews!$A$2:$C$28, 2, 0))))) * 400</f>
        <v>8052.083333</v>
      </c>
      <c r="K2077" s="1"/>
      <c r="L2077" s="1" t="s">
        <v>4078</v>
      </c>
      <c r="M2077" s="1" t="n">
        <v>3</v>
      </c>
      <c r="N2077" s="1" t="s">
        <v>1815</v>
      </c>
      <c r="O2077" s="1" t="n">
        <v>0.8</v>
      </c>
      <c r="P2077" s="1"/>
      <c r="Q2077" s="1" t="s">
        <v>1815</v>
      </c>
      <c r="R2077" s="1" t="s">
        <v>1843</v>
      </c>
      <c r="S2077" s="1" t="s">
        <v>1843</v>
      </c>
      <c r="T2077" s="1" t="s">
        <v>4079</v>
      </c>
    </row>
    <row r="2078" customFormat="false" ht="15" hidden="false" customHeight="true" outlineLevel="0" collapsed="false">
      <c r="A2078" s="1" t="s">
        <v>4083</v>
      </c>
      <c r="B2078" s="1" t="n">
        <v>1960</v>
      </c>
      <c r="C2078" s="1" t="n">
        <v>1</v>
      </c>
      <c r="D2078" s="1" t="s">
        <v>21</v>
      </c>
      <c r="E2078" s="1" t="s">
        <v>2039</v>
      </c>
      <c r="F2078" s="1" t="n">
        <v>44</v>
      </c>
      <c r="G2078" s="1" t="n">
        <v>88</v>
      </c>
      <c r="H2078" s="2" t="n">
        <v>100000</v>
      </c>
      <c r="I2078" s="2" t="n">
        <f aca="false">(((H2078 / 800) / IF(ISBLANK(R2078), 1000000, IF(ISNA(VLOOKUP(R2078, Mileages!$A$2:$C$34, 2, 0)), R2078, VLOOKUP(R2078, Mileages!$A$2:$C$34, 2, 0)))) + (F2078 * IF(ISBLANK(P2078), 1, P2078) * IF(ISBLANK(T2078), 0, IF(ISNA(VLOOKUP(T2078, 'Fuel Costs'!$A$2:$C$42, 2, 0)), T2078, VLOOKUP(T2078, 'Fuel Costs'!$A$2:$C$42, 2, 0))) / IF(ISBLANK(O2078), 1, O2078))) * 100</f>
        <v>22.0125</v>
      </c>
      <c r="J2078" s="2" t="n">
        <f aca="false">((H2078 / 800) / (IF(ISBLANK(S2078), 100, IF(ISNA(VLOOKUP(S2078, Lives!$A$2:$C$35, 2, 0)), S2078, VLOOKUP(S2078, Lives!$A$2:$C$35, 2, 0))) * 12) + (IF(ISBLANK(Q2078), 0, IF(ISNA(VLOOKUP(Q2078, Wages!$A$2:$C$17, 2, 0)), Q2078, VLOOKUP(Q2078, Wages!$A$2:$C$17, 2, 0))) * IF(ISBLANK(N2078), 0, IF(ISNA(VLOOKUP(N2078, Crews!$A$2:$C$28, 2, 0)), N2078, VLOOKUP(N2078, Crews!$A$2:$C$28, 2, 0))))) * 400</f>
        <v>8052.083333</v>
      </c>
      <c r="K2078" s="1"/>
      <c r="L2078" s="1" t="s">
        <v>4078</v>
      </c>
      <c r="M2078" s="1" t="n">
        <v>4</v>
      </c>
      <c r="N2078" s="1" t="s">
        <v>1815</v>
      </c>
      <c r="O2078" s="1" t="n">
        <v>0.8</v>
      </c>
      <c r="P2078" s="1"/>
      <c r="Q2078" s="1" t="s">
        <v>1815</v>
      </c>
      <c r="R2078" s="1" t="s">
        <v>1843</v>
      </c>
      <c r="S2078" s="1" t="s">
        <v>1843</v>
      </c>
      <c r="T2078" s="1" t="s">
        <v>4079</v>
      </c>
    </row>
    <row r="2079" customFormat="false" ht="15" hidden="false" customHeight="true" outlineLevel="0" collapsed="false">
      <c r="A2079" s="1" t="s">
        <v>4084</v>
      </c>
      <c r="B2079" s="1" t="n">
        <v>1960</v>
      </c>
      <c r="C2079" s="1" t="n">
        <v>1</v>
      </c>
      <c r="D2079" s="1" t="s">
        <v>21</v>
      </c>
      <c r="E2079" s="1" t="s">
        <v>2039</v>
      </c>
      <c r="F2079" s="1" t="n">
        <v>44</v>
      </c>
      <c r="G2079" s="1" t="n">
        <v>88</v>
      </c>
      <c r="H2079" s="2" t="n">
        <v>100000</v>
      </c>
      <c r="I2079" s="2" t="n">
        <f aca="false">(((H2079 / 800) / IF(ISBLANK(R2079), 1000000, IF(ISNA(VLOOKUP(R2079, Mileages!$A$2:$C$34, 2, 0)), R2079, VLOOKUP(R2079, Mileages!$A$2:$C$34, 2, 0)))) + (F2079 * IF(ISBLANK(P2079), 1, P2079) * IF(ISBLANK(T2079), 0, IF(ISNA(VLOOKUP(T2079, 'Fuel Costs'!$A$2:$C$42, 2, 0)), T2079, VLOOKUP(T2079, 'Fuel Costs'!$A$2:$C$42, 2, 0))) / IF(ISBLANK(O2079), 1, O2079))) * 100</f>
        <v>22.0125</v>
      </c>
      <c r="J2079" s="2" t="n">
        <f aca="false">((H2079 / 800) / (IF(ISBLANK(S2079), 100, IF(ISNA(VLOOKUP(S2079, Lives!$A$2:$C$35, 2, 0)), S2079, VLOOKUP(S2079, Lives!$A$2:$C$35, 2, 0))) * 12) + (IF(ISBLANK(Q2079), 0, IF(ISNA(VLOOKUP(Q2079, Wages!$A$2:$C$17, 2, 0)), Q2079, VLOOKUP(Q2079, Wages!$A$2:$C$17, 2, 0))) * IF(ISBLANK(N2079), 0, IF(ISNA(VLOOKUP(N2079, Crews!$A$2:$C$28, 2, 0)), N2079, VLOOKUP(N2079, Crews!$A$2:$C$28, 2, 0))))) * 400</f>
        <v>8052.083333</v>
      </c>
      <c r="K2079" s="1"/>
      <c r="L2079" s="1" t="s">
        <v>4078</v>
      </c>
      <c r="M2079" s="1" t="n">
        <v>5</v>
      </c>
      <c r="N2079" s="1" t="s">
        <v>1815</v>
      </c>
      <c r="O2079" s="1" t="n">
        <v>0.8</v>
      </c>
      <c r="P2079" s="1"/>
      <c r="Q2079" s="1" t="s">
        <v>1815</v>
      </c>
      <c r="R2079" s="1" t="s">
        <v>1843</v>
      </c>
      <c r="S2079" s="1" t="s">
        <v>1843</v>
      </c>
      <c r="T2079" s="1" t="s">
        <v>4079</v>
      </c>
    </row>
    <row r="2080" customFormat="false" ht="15" hidden="false" customHeight="true" outlineLevel="0" collapsed="false">
      <c r="A2080" s="1" t="s">
        <v>4085</v>
      </c>
      <c r="B2080" s="1" t="n">
        <v>1960</v>
      </c>
      <c r="C2080" s="1" t="n">
        <v>2</v>
      </c>
      <c r="D2080" s="1" t="s">
        <v>38</v>
      </c>
      <c r="E2080" s="1" t="s">
        <v>2039</v>
      </c>
      <c r="F2080" s="1" t="n">
        <v>1156</v>
      </c>
      <c r="G2080" s="1" t="n">
        <v>140</v>
      </c>
      <c r="H2080" s="2" t="n">
        <v>7056000</v>
      </c>
      <c r="I2080" s="2" t="n">
        <f aca="false">(((H2080 / 800) / IF(ISBLANK(R2080), 1000000, IF(ISNA(VLOOKUP(R2080, Mileages!$A$2:$C$34, 2, 0)), R2080, VLOOKUP(R2080, Mileages!$A$2:$C$34, 2, 0)))) + (F2080 * IF(ISBLANK(P2080), 1, P2080) * IF(ISBLANK(T2080), 0, IF(ISNA(VLOOKUP(T2080, 'Fuel Costs'!$A$2:$C$42, 2, 0)), T2080, VLOOKUP(T2080, 'Fuel Costs'!$A$2:$C$42, 2, 0))) / IF(ISBLANK(O2080), 1, O2080))) * 100</f>
        <v>578.882</v>
      </c>
      <c r="J2080" s="2" t="n">
        <f aca="false">((H2080 / 800) / (IF(ISBLANK(S2080), 100, IF(ISNA(VLOOKUP(S2080, Lives!$A$2:$C$35, 2, 0)), S2080, VLOOKUP(S2080, Lives!$A$2:$C$35, 2, 0))) * 12) + (IF(ISBLANK(Q2080), 0, IF(ISNA(VLOOKUP(Q2080, Wages!$A$2:$C$17, 2, 0)), Q2080, VLOOKUP(Q2080, Wages!$A$2:$C$17, 2, 0))) * IF(ISBLANK(N2080), 0, IF(ISNA(VLOOKUP(N2080, Crews!$A$2:$C$28, 2, 0)), N2080, VLOOKUP(N2080, Crews!$A$2:$C$28, 2, 0))))) * 400</f>
        <v>14900</v>
      </c>
      <c r="K2080" s="3" t="s">
        <v>4086</v>
      </c>
      <c r="L2080" s="1" t="s">
        <v>4087</v>
      </c>
      <c r="M2080" s="1" t="n">
        <v>0</v>
      </c>
      <c r="N2080" s="1" t="s">
        <v>1488</v>
      </c>
      <c r="O2080" s="1" t="n">
        <v>0.8</v>
      </c>
      <c r="P2080" s="1"/>
      <c r="Q2080" s="1" t="s">
        <v>1488</v>
      </c>
      <c r="R2080" s="1" t="s">
        <v>4088</v>
      </c>
      <c r="S2080" s="1" t="s">
        <v>4088</v>
      </c>
      <c r="T2080" s="1" t="s">
        <v>4079</v>
      </c>
    </row>
    <row r="2081" customFormat="false" ht="15" hidden="false" customHeight="true" outlineLevel="0" collapsed="false">
      <c r="A2081" s="1" t="s">
        <v>4089</v>
      </c>
      <c r="B2081" s="1" t="n">
        <v>1960</v>
      </c>
      <c r="C2081" s="1" t="n">
        <v>3</v>
      </c>
      <c r="D2081" s="1" t="s">
        <v>38</v>
      </c>
      <c r="E2081" s="1" t="s">
        <v>2039</v>
      </c>
      <c r="F2081" s="1" t="n">
        <v>1864</v>
      </c>
      <c r="G2081" s="1" t="n">
        <v>145</v>
      </c>
      <c r="H2081" s="2" t="n">
        <v>12000000</v>
      </c>
      <c r="I2081" s="2" t="n">
        <f aca="false">(((H2081 / 800) / IF(ISBLANK(R2081), 1000000, IF(ISNA(VLOOKUP(R2081, Mileages!$A$2:$C$34, 2, 0)), R2081, VLOOKUP(R2081, Mileages!$A$2:$C$34, 2, 0)))) + (F2081 * IF(ISBLANK(P2081), 1, P2081) * IF(ISBLANK(T2081), 0, IF(ISNA(VLOOKUP(T2081, 'Fuel Costs'!$A$2:$C$42, 2, 0)), T2081, VLOOKUP(T2081, 'Fuel Costs'!$A$2:$C$42, 2, 0))) / IF(ISBLANK(O2081), 1, O2081))) * 100</f>
        <v>933.5</v>
      </c>
      <c r="J2081" s="2" t="n">
        <f aca="false">((H2081 / 800) / (IF(ISBLANK(S2081), 100, IF(ISNA(VLOOKUP(S2081, Lives!$A$2:$C$35, 2, 0)), S2081, VLOOKUP(S2081, Lives!$A$2:$C$35, 2, 0))) * 12) + (IF(ISBLANK(Q2081), 0, IF(ISNA(VLOOKUP(Q2081, Wages!$A$2:$C$17, 2, 0)), Q2081, VLOOKUP(Q2081, Wages!$A$2:$C$17, 2, 0))) * IF(ISBLANK(N2081), 0, IF(ISNA(VLOOKUP(N2081, Crews!$A$2:$C$28, 2, 0)), N2081, VLOOKUP(N2081, Crews!$A$2:$C$28, 2, 0))))) * 400</f>
        <v>18333.33333</v>
      </c>
      <c r="K2081" s="3" t="s">
        <v>4090</v>
      </c>
      <c r="L2081" s="1" t="s">
        <v>4091</v>
      </c>
      <c r="M2081" s="1" t="n">
        <v>0</v>
      </c>
      <c r="N2081" s="1" t="s">
        <v>1488</v>
      </c>
      <c r="O2081" s="1" t="n">
        <v>0.8</v>
      </c>
      <c r="P2081" s="1"/>
      <c r="Q2081" s="1" t="s">
        <v>1488</v>
      </c>
      <c r="R2081" s="1" t="s">
        <v>4088</v>
      </c>
      <c r="S2081" s="1" t="s">
        <v>4088</v>
      </c>
      <c r="T2081" s="1" t="s">
        <v>4079</v>
      </c>
    </row>
    <row r="2082" customFormat="false" ht="15" hidden="false" customHeight="true" outlineLevel="0" collapsed="false">
      <c r="A2082" s="1" t="s">
        <v>4092</v>
      </c>
      <c r="B2082" s="1" t="n">
        <v>1960</v>
      </c>
      <c r="C2082" s="1" t="n">
        <v>3</v>
      </c>
      <c r="D2082" s="1" t="s">
        <v>2225</v>
      </c>
      <c r="E2082" s="1" t="s">
        <v>3660</v>
      </c>
      <c r="F2082" s="1" t="n">
        <v>54900</v>
      </c>
      <c r="G2082" s="1" t="n">
        <v>885</v>
      </c>
      <c r="H2082" s="2" t="n">
        <v>20000000</v>
      </c>
      <c r="I2082" s="2" t="n">
        <f aca="false">(((H2082 / 800) / IF(ISBLANK(R2082), 1000000, IF(ISNA(VLOOKUP(R2082, Mileages!$A$2:$C$34, 2, 0)), R2082, VLOOKUP(R2082, Mileages!$A$2:$C$34, 2, 0)))) + (F2082 * IF(ISBLANK(P2082), 1, P2082) * IF(ISBLANK(T2082), 0, IF(ISNA(VLOOKUP(T2082, 'Fuel Costs'!$A$2:$C$42, 2, 0)), T2082, VLOOKUP(T2082, 'Fuel Costs'!$A$2:$C$42, 2, 0))) / IF(ISBLANK(O2082), 1, O2082))) * 100</f>
        <v>329.9</v>
      </c>
      <c r="J2082" s="2" t="n">
        <f aca="false">((H2082 / 800) / (IF(ISBLANK(S2082), 100, IF(ISNA(VLOOKUP(S2082, Lives!$A$2:$C$35, 2, 0)), S2082, VLOOKUP(S2082, Lives!$A$2:$C$35, 2, 0))) * 12) + (IF(ISBLANK(Q2082), 0, IF(ISNA(VLOOKUP(Q2082, Wages!$A$2:$C$17, 2, 0)), Q2082, VLOOKUP(Q2082, Wages!$A$2:$C$17, 2, 0))) * IF(ISBLANK(N2082), 0, IF(ISNA(VLOOKUP(N2082, Crews!$A$2:$C$28, 2, 0)), N2082, VLOOKUP(N2082, Crews!$A$2:$C$28, 2, 0))))) * 400</f>
        <v>63888.88889</v>
      </c>
      <c r="K2082" s="3" t="s">
        <v>4093</v>
      </c>
      <c r="L2082" s="1" t="s">
        <v>4094</v>
      </c>
      <c r="M2082" s="1" t="n">
        <v>0</v>
      </c>
      <c r="N2082" s="1" t="s">
        <v>2342</v>
      </c>
      <c r="O2082" s="1"/>
      <c r="P2082" s="1" t="n">
        <v>0.02</v>
      </c>
      <c r="Q2082" s="1" t="s">
        <v>2229</v>
      </c>
      <c r="R2082" s="1" t="s">
        <v>2229</v>
      </c>
      <c r="S2082" s="1" t="s">
        <v>2229</v>
      </c>
      <c r="T2082" s="1" t="s">
        <v>4074</v>
      </c>
    </row>
    <row r="2083" customFormat="false" ht="15" hidden="false" customHeight="true" outlineLevel="0" collapsed="false">
      <c r="A2083" s="1" t="s">
        <v>4095</v>
      </c>
      <c r="B2083" s="1" t="n">
        <v>1960</v>
      </c>
      <c r="C2083" s="1" t="n">
        <v>3</v>
      </c>
      <c r="D2083" s="1" t="s">
        <v>2225</v>
      </c>
      <c r="E2083" s="1" t="s">
        <v>3660</v>
      </c>
      <c r="F2083" s="1" t="n">
        <v>54900</v>
      </c>
      <c r="G2083" s="1" t="n">
        <v>885</v>
      </c>
      <c r="H2083" s="2" t="n">
        <v>20000000</v>
      </c>
      <c r="I2083" s="2" t="n">
        <f aca="false">(((H2083 / 800) / IF(ISBLANK(R2083), 1000000, IF(ISNA(VLOOKUP(R2083, Mileages!$A$2:$C$34, 2, 0)), R2083, VLOOKUP(R2083, Mileages!$A$2:$C$34, 2, 0)))) + (F2083 * IF(ISBLANK(P2083), 1, P2083) * IF(ISBLANK(T2083), 0, IF(ISNA(VLOOKUP(T2083, 'Fuel Costs'!$A$2:$C$42, 2, 0)), T2083, VLOOKUP(T2083, 'Fuel Costs'!$A$2:$C$42, 2, 0))) / IF(ISBLANK(O2083), 1, O2083))) * 100</f>
        <v>329.9</v>
      </c>
      <c r="J2083" s="2" t="n">
        <f aca="false">((H2083 / 800) / (IF(ISBLANK(S2083), 100, IF(ISNA(VLOOKUP(S2083, Lives!$A$2:$C$35, 2, 0)), S2083, VLOOKUP(S2083, Lives!$A$2:$C$35, 2, 0))) * 12) + (IF(ISBLANK(Q2083), 0, IF(ISNA(VLOOKUP(Q2083, Wages!$A$2:$C$17, 2, 0)), Q2083, VLOOKUP(Q2083, Wages!$A$2:$C$17, 2, 0))) * IF(ISBLANK(N2083), 0, IF(ISNA(VLOOKUP(N2083, Crews!$A$2:$C$28, 2, 0)), N2083, VLOOKUP(N2083, Crews!$A$2:$C$28, 2, 0))))) * 400</f>
        <v>63888.88889</v>
      </c>
      <c r="K2083" s="3" t="s">
        <v>4096</v>
      </c>
      <c r="L2083" s="1" t="s">
        <v>4094</v>
      </c>
      <c r="M2083" s="1" t="n">
        <v>1</v>
      </c>
      <c r="N2083" s="1" t="s">
        <v>2342</v>
      </c>
      <c r="O2083" s="1"/>
      <c r="P2083" s="1" t="n">
        <v>0.02</v>
      </c>
      <c r="Q2083" s="1" t="s">
        <v>2229</v>
      </c>
      <c r="R2083" s="1" t="s">
        <v>2229</v>
      </c>
      <c r="S2083" s="1" t="s">
        <v>2229</v>
      </c>
      <c r="T2083" s="1" t="s">
        <v>4074</v>
      </c>
    </row>
    <row r="2084" customFormat="false" ht="15" hidden="false" customHeight="true" outlineLevel="0" collapsed="false">
      <c r="A2084" s="1" t="s">
        <v>4097</v>
      </c>
      <c r="B2084" s="1" t="n">
        <v>1960</v>
      </c>
      <c r="C2084" s="1" t="n">
        <v>4</v>
      </c>
      <c r="D2084" s="1" t="s">
        <v>38</v>
      </c>
      <c r="E2084" s="1" t="s">
        <v>1346</v>
      </c>
      <c r="F2084" s="1" t="n">
        <v>0</v>
      </c>
      <c r="G2084" s="1" t="n">
        <v>120</v>
      </c>
      <c r="H2084" s="2" t="n">
        <v>1890000</v>
      </c>
      <c r="I2084" s="2" t="n">
        <f aca="false">(((H2084 / 800) / IF(ISBLANK(R2084), 1000000, IF(ISNA(VLOOKUP(R2084, Mileages!$A$2:$C$34, 2, 0)), R2084, VLOOKUP(R2084, Mileages!$A$2:$C$34, 2, 0)))) + (F2084 * IF(ISBLANK(P2084), 1, P2084) * IF(ISBLANK(T2084), 0, IF(ISNA(VLOOKUP(T2084, 'Fuel Costs'!$A$2:$C$42, 2, 0)), T2084, VLOOKUP(T2084, 'Fuel Costs'!$A$2:$C$42, 2, 0))) / IF(ISBLANK(O2084), 1, O2084))) * 100</f>
        <v>0.196875</v>
      </c>
      <c r="J2084" s="2" t="n">
        <f aca="false">((H2084 / 800) / (IF(ISBLANK(S2084), 100, IF(ISNA(VLOOKUP(S2084, Lives!$A$2:$C$35, 2, 0)), S2084, VLOOKUP(S2084, Lives!$A$2:$C$35, 2, 0))) * 12) + (IF(ISBLANK(Q2084), 0, IF(ISNA(VLOOKUP(Q2084, Wages!$A$2:$C$17, 2, 0)), Q2084, VLOOKUP(Q2084, Wages!$A$2:$C$17, 2, 0))) * IF(ISBLANK(N2084), 0, IF(ISNA(VLOOKUP(N2084, Crews!$A$2:$C$28, 2, 0)), N2084, VLOOKUP(N2084, Crews!$A$2:$C$28, 2, 0))))) * 400</f>
        <v>2250</v>
      </c>
      <c r="K2084" s="3" t="s">
        <v>3992</v>
      </c>
      <c r="L2084" s="1" t="s">
        <v>4098</v>
      </c>
      <c r="M2084" s="1" t="n">
        <v>0</v>
      </c>
      <c r="N2084" s="1"/>
      <c r="O2084" s="1"/>
      <c r="P2084" s="1"/>
      <c r="Q2084" s="1"/>
      <c r="R2084" s="1" t="s">
        <v>689</v>
      </c>
      <c r="S2084" s="1" t="s">
        <v>856</v>
      </c>
      <c r="T2084" s="1"/>
    </row>
    <row r="2085" customFormat="false" ht="15" hidden="false" customHeight="true" outlineLevel="0" collapsed="false">
      <c r="A2085" s="1" t="s">
        <v>4099</v>
      </c>
      <c r="B2085" s="1" t="n">
        <v>1960</v>
      </c>
      <c r="C2085" s="1" t="n">
        <v>4</v>
      </c>
      <c r="D2085" s="1" t="s">
        <v>38</v>
      </c>
      <c r="E2085" s="1" t="s">
        <v>1346</v>
      </c>
      <c r="F2085" s="1" t="n">
        <v>0</v>
      </c>
      <c r="G2085" s="1" t="n">
        <v>120</v>
      </c>
      <c r="H2085" s="2" t="n">
        <v>1890000</v>
      </c>
      <c r="I2085" s="2" t="n">
        <f aca="false">(((H2085 / 800) / IF(ISBLANK(R2085), 1000000, IF(ISNA(VLOOKUP(R2085, Mileages!$A$2:$C$34, 2, 0)), R2085, VLOOKUP(R2085, Mileages!$A$2:$C$34, 2, 0)))) + (F2085 * IF(ISBLANK(P2085), 1, P2085) * IF(ISBLANK(T2085), 0, IF(ISNA(VLOOKUP(T2085, 'Fuel Costs'!$A$2:$C$42, 2, 0)), T2085, VLOOKUP(T2085, 'Fuel Costs'!$A$2:$C$42, 2, 0))) / IF(ISBLANK(O2085), 1, O2085))) * 100</f>
        <v>0.196875</v>
      </c>
      <c r="J2085" s="2" t="n">
        <f aca="false">((H2085 / 800) / (IF(ISBLANK(S2085), 100, IF(ISNA(VLOOKUP(S2085, Lives!$A$2:$C$35, 2, 0)), S2085, VLOOKUP(S2085, Lives!$A$2:$C$35, 2, 0))) * 12) + (IF(ISBLANK(Q2085), 0, IF(ISNA(VLOOKUP(Q2085, Wages!$A$2:$C$17, 2, 0)), Q2085, VLOOKUP(Q2085, Wages!$A$2:$C$17, 2, 0))) * IF(ISBLANK(N2085), 0, IF(ISNA(VLOOKUP(N2085, Crews!$A$2:$C$28, 2, 0)), N2085, VLOOKUP(N2085, Crews!$A$2:$C$28, 2, 0))))) * 400</f>
        <v>2250</v>
      </c>
      <c r="K2085" s="1"/>
      <c r="L2085" s="1" t="s">
        <v>4098</v>
      </c>
      <c r="M2085" s="1" t="n">
        <v>1</v>
      </c>
      <c r="N2085" s="1"/>
      <c r="O2085" s="1"/>
      <c r="P2085" s="1"/>
      <c r="Q2085" s="1"/>
      <c r="R2085" s="1" t="s">
        <v>689</v>
      </c>
      <c r="S2085" s="1" t="s">
        <v>856</v>
      </c>
      <c r="T2085" s="1"/>
    </row>
    <row r="2086" customFormat="false" ht="15" hidden="false" customHeight="true" outlineLevel="0" collapsed="false">
      <c r="A2086" s="1" t="s">
        <v>4100</v>
      </c>
      <c r="B2086" s="1" t="n">
        <v>1960</v>
      </c>
      <c r="C2086" s="1" t="n">
        <v>4</v>
      </c>
      <c r="D2086" s="1" t="s">
        <v>38</v>
      </c>
      <c r="E2086" s="1" t="s">
        <v>1346</v>
      </c>
      <c r="F2086" s="1" t="n">
        <v>618</v>
      </c>
      <c r="G2086" s="1" t="n">
        <v>120</v>
      </c>
      <c r="H2086" s="2" t="n">
        <v>1890000</v>
      </c>
      <c r="I2086" s="2" t="n">
        <f aca="false">(((H2086 / 800) / IF(ISBLANK(R2086), 1000000, IF(ISNA(VLOOKUP(R2086, Mileages!$A$2:$C$34, 2, 0)), R2086, VLOOKUP(R2086, Mileages!$A$2:$C$34, 2, 0)))) + (F2086 * IF(ISBLANK(P2086), 1, P2086) * IF(ISBLANK(T2086), 0, IF(ISNA(VLOOKUP(T2086, 'Fuel Costs'!$A$2:$C$42, 2, 0)), T2086, VLOOKUP(T2086, 'Fuel Costs'!$A$2:$C$42, 2, 0))) / IF(ISBLANK(O2086), 1, O2086))) * 100</f>
        <v>92.93625</v>
      </c>
      <c r="J2086" s="2" t="n">
        <f aca="false">((H2086 / 800) / (IF(ISBLANK(S2086), 100, IF(ISNA(VLOOKUP(S2086, Lives!$A$2:$C$35, 2, 0)), S2086, VLOOKUP(S2086, Lives!$A$2:$C$35, 2, 0))) * 12) + (IF(ISBLANK(Q2086), 0, IF(ISNA(VLOOKUP(Q2086, Wages!$A$2:$C$17, 2, 0)), Q2086, VLOOKUP(Q2086, Wages!$A$2:$C$17, 2, 0))) * IF(ISBLANK(N2086), 0, IF(ISNA(VLOOKUP(N2086, Crews!$A$2:$C$28, 2, 0)), N2086, VLOOKUP(N2086, Crews!$A$2:$C$28, 2, 0))))) * 400</f>
        <v>1312.5</v>
      </c>
      <c r="K2086" s="1"/>
      <c r="L2086" s="1" t="s">
        <v>4098</v>
      </c>
      <c r="M2086" s="1" t="n">
        <v>2</v>
      </c>
      <c r="N2086" s="1"/>
      <c r="O2086" s="1" t="n">
        <v>1</v>
      </c>
      <c r="P2086" s="1"/>
      <c r="Q2086" s="1"/>
      <c r="R2086" s="1" t="s">
        <v>1349</v>
      </c>
      <c r="S2086" s="1" t="s">
        <v>1349</v>
      </c>
      <c r="T2086" s="1" t="s">
        <v>4101</v>
      </c>
    </row>
    <row r="2087" customFormat="false" ht="15" hidden="false" customHeight="true" outlineLevel="0" collapsed="false">
      <c r="A2087" s="1" t="s">
        <v>4102</v>
      </c>
      <c r="B2087" s="1" t="n">
        <v>1960</v>
      </c>
      <c r="C2087" s="1" t="n">
        <v>4</v>
      </c>
      <c r="D2087" s="1" t="s">
        <v>38</v>
      </c>
      <c r="E2087" s="1" t="s">
        <v>1346</v>
      </c>
      <c r="F2087" s="1" t="n">
        <v>0</v>
      </c>
      <c r="G2087" s="1" t="n">
        <v>120</v>
      </c>
      <c r="H2087" s="2" t="n">
        <v>1890000</v>
      </c>
      <c r="I2087" s="2" t="n">
        <f aca="false">(((H2087 / 800) / IF(ISBLANK(R2087), 1000000, IF(ISNA(VLOOKUP(R2087, Mileages!$A$2:$C$34, 2, 0)), R2087, VLOOKUP(R2087, Mileages!$A$2:$C$34, 2, 0)))) + (F2087 * IF(ISBLANK(P2087), 1, P2087) * IF(ISBLANK(T2087), 0, IF(ISNA(VLOOKUP(T2087, 'Fuel Costs'!$A$2:$C$42, 2, 0)), T2087, VLOOKUP(T2087, 'Fuel Costs'!$A$2:$C$42, 2, 0))) / IF(ISBLANK(O2087), 1, O2087))) * 100</f>
        <v>0.196875</v>
      </c>
      <c r="J2087" s="2" t="n">
        <f aca="false">((H2087 / 800) / (IF(ISBLANK(S2087), 100, IF(ISNA(VLOOKUP(S2087, Lives!$A$2:$C$35, 2, 0)), S2087, VLOOKUP(S2087, Lives!$A$2:$C$35, 2, 0))) * 12) + (IF(ISBLANK(Q2087), 0, IF(ISNA(VLOOKUP(Q2087, Wages!$A$2:$C$17, 2, 0)), Q2087, VLOOKUP(Q2087, Wages!$A$2:$C$17, 2, 0))) * IF(ISBLANK(N2087), 0, IF(ISNA(VLOOKUP(N2087, Crews!$A$2:$C$28, 2, 0)), N2087, VLOOKUP(N2087, Crews!$A$2:$C$28, 2, 0))))) * 400</f>
        <v>2250</v>
      </c>
      <c r="K2087" s="3" t="s">
        <v>3992</v>
      </c>
      <c r="L2087" s="1" t="s">
        <v>4098</v>
      </c>
      <c r="M2087" s="1" t="n">
        <v>3</v>
      </c>
      <c r="N2087" s="1"/>
      <c r="O2087" s="1"/>
      <c r="P2087" s="1"/>
      <c r="Q2087" s="1"/>
      <c r="R2087" s="1" t="s">
        <v>689</v>
      </c>
      <c r="S2087" s="1" t="s">
        <v>856</v>
      </c>
      <c r="T2087" s="1"/>
    </row>
    <row r="2088" customFormat="false" ht="15" hidden="false" customHeight="true" outlineLevel="0" collapsed="false">
      <c r="A2088" s="1" t="s">
        <v>4103</v>
      </c>
      <c r="B2088" s="1" t="n">
        <v>1960</v>
      </c>
      <c r="C2088" s="1" t="n">
        <v>4</v>
      </c>
      <c r="D2088" s="1" t="s">
        <v>38</v>
      </c>
      <c r="E2088" s="1" t="s">
        <v>2039</v>
      </c>
      <c r="F2088" s="1" t="n">
        <v>224</v>
      </c>
      <c r="G2088" s="1" t="n">
        <v>112</v>
      </c>
      <c r="H2088" s="2" t="n">
        <v>1300000</v>
      </c>
      <c r="I2088" s="2" t="n">
        <f aca="false">(((H2088 / 800) / IF(ISBLANK(R2088), 1000000, IF(ISNA(VLOOKUP(R2088, Mileages!$A$2:$C$34, 2, 0)), R2088, VLOOKUP(R2088, Mileages!$A$2:$C$34, 2, 0)))) + (F2088 * IF(ISBLANK(P2088), 1, P2088) * IF(ISBLANK(T2088), 0, IF(ISNA(VLOOKUP(T2088, 'Fuel Costs'!$A$2:$C$42, 2, 0)), T2088, VLOOKUP(T2088, 'Fuel Costs'!$A$2:$C$42, 2, 0))) / IF(ISBLANK(O2088), 1, O2088))) * 100</f>
        <v>112.1625</v>
      </c>
      <c r="J2088" s="2" t="n">
        <f aca="false">((H2088 / 800) / (IF(ISBLANK(S2088), 100, IF(ISNA(VLOOKUP(S2088, Lives!$A$2:$C$35, 2, 0)), S2088, VLOOKUP(S2088, Lives!$A$2:$C$35, 2, 0))) * 12) + (IF(ISBLANK(Q2088), 0, IF(ISNA(VLOOKUP(Q2088, Wages!$A$2:$C$17, 2, 0)), Q2088, VLOOKUP(Q2088, Wages!$A$2:$C$17, 2, 0))) * IF(ISBLANK(N2088), 0, IF(ISNA(VLOOKUP(N2088, Crews!$A$2:$C$28, 2, 0)), N2088, VLOOKUP(N2088, Crews!$A$2:$C$28, 2, 0))))) * 400</f>
        <v>10902.77778</v>
      </c>
      <c r="K2088" s="1" t="s">
        <v>4048</v>
      </c>
      <c r="L2088" s="1" t="s">
        <v>4104</v>
      </c>
      <c r="M2088" s="1" t="n">
        <v>0</v>
      </c>
      <c r="N2088" s="1" t="s">
        <v>1488</v>
      </c>
      <c r="O2088" s="1" t="n">
        <v>0.8</v>
      </c>
      <c r="P2088" s="1"/>
      <c r="Q2088" s="1" t="s">
        <v>1488</v>
      </c>
      <c r="R2088" s="1" t="s">
        <v>4088</v>
      </c>
      <c r="S2088" s="1" t="s">
        <v>4088</v>
      </c>
      <c r="T2088" s="1" t="s">
        <v>4079</v>
      </c>
    </row>
    <row r="2089" customFormat="false" ht="15" hidden="false" customHeight="true" outlineLevel="0" collapsed="false">
      <c r="A2089" s="1" t="s">
        <v>4105</v>
      </c>
      <c r="B2089" s="1" t="n">
        <v>1960</v>
      </c>
      <c r="C2089" s="1" t="n">
        <v>4</v>
      </c>
      <c r="D2089" s="1" t="s">
        <v>21</v>
      </c>
      <c r="E2089" s="1" t="s">
        <v>2039</v>
      </c>
      <c r="F2089" s="1" t="n">
        <v>134</v>
      </c>
      <c r="G2089" s="1" t="n">
        <v>64</v>
      </c>
      <c r="H2089" s="2" t="n">
        <v>3440000</v>
      </c>
      <c r="I2089" s="2" t="n">
        <f aca="false">(((H2089 / 800) / IF(ISBLANK(R2089), 1000000, IF(ISNA(VLOOKUP(R2089, Mileages!$A$2:$C$34, 2, 0)), R2089, VLOOKUP(R2089, Mileages!$A$2:$C$34, 2, 0)))) + (F2089 * IF(ISBLANK(P2089), 1, P2089) * IF(ISBLANK(T2089), 0, IF(ISNA(VLOOKUP(T2089, 'Fuel Costs'!$A$2:$C$42, 2, 0)), T2089, VLOOKUP(T2089, 'Fuel Costs'!$A$2:$C$42, 2, 0))) / IF(ISBLANK(O2089), 1, O2089))) * 100</f>
        <v>67.43</v>
      </c>
      <c r="J2089" s="2" t="n">
        <f aca="false">((H2089 / 800) / (IF(ISBLANK(S2089), 100, IF(ISNA(VLOOKUP(S2089, Lives!$A$2:$C$35, 2, 0)), S2089, VLOOKUP(S2089, Lives!$A$2:$C$35, 2, 0))) * 12) + (IF(ISBLANK(Q2089), 0, IF(ISNA(VLOOKUP(Q2089, Wages!$A$2:$C$17, 2, 0)), Q2089, VLOOKUP(Q2089, Wages!$A$2:$C$17, 2, 0))) * IF(ISBLANK(N2089), 0, IF(ISNA(VLOOKUP(N2089, Crews!$A$2:$C$28, 2, 0)), N2089, VLOOKUP(N2089, Crews!$A$2:$C$28, 2, 0))))) * 400</f>
        <v>9791.666667</v>
      </c>
      <c r="K2089" s="3" t="s">
        <v>4106</v>
      </c>
      <c r="L2089" s="1" t="s">
        <v>4107</v>
      </c>
      <c r="M2089" s="1" t="n">
        <v>0</v>
      </c>
      <c r="N2089" s="1" t="s">
        <v>1815</v>
      </c>
      <c r="O2089" s="1" t="n">
        <v>0.8</v>
      </c>
      <c r="P2089" s="1"/>
      <c r="Q2089" s="1" t="s">
        <v>1815</v>
      </c>
      <c r="R2089" s="1" t="s">
        <v>1843</v>
      </c>
      <c r="S2089" s="1" t="s">
        <v>1843</v>
      </c>
      <c r="T2089" s="1" t="s">
        <v>4079</v>
      </c>
    </row>
    <row r="2090" customFormat="false" ht="15" hidden="false" customHeight="true" outlineLevel="0" collapsed="false">
      <c r="A2090" s="1" t="s">
        <v>4108</v>
      </c>
      <c r="B2090" s="1" t="n">
        <v>1960</v>
      </c>
      <c r="C2090" s="1" t="n">
        <v>5</v>
      </c>
      <c r="D2090" s="1" t="s">
        <v>2225</v>
      </c>
      <c r="E2090" s="1" t="s">
        <v>3660</v>
      </c>
      <c r="F2090" s="1" t="n">
        <v>28771</v>
      </c>
      <c r="G2090" s="1" t="n">
        <v>976</v>
      </c>
      <c r="H2090" s="2" t="n">
        <v>18000000</v>
      </c>
      <c r="I2090" s="2" t="n">
        <f aca="false">(((H2090 / 800) / IF(ISBLANK(R2090), 1000000, IF(ISNA(VLOOKUP(R2090, Mileages!$A$2:$C$34, 2, 0)), R2090, VLOOKUP(R2090, Mileages!$A$2:$C$34, 2, 0)))) + (F2090 * IF(ISBLANK(P2090), 1, P2090) * IF(ISBLANK(T2090), 0, IF(ISNA(VLOOKUP(T2090, 'Fuel Costs'!$A$2:$C$42, 2, 0)), T2090, VLOOKUP(T2090, 'Fuel Costs'!$A$2:$C$42, 2, 0))) / IF(ISBLANK(O2090), 1, O2090))) * 100</f>
        <v>173.076</v>
      </c>
      <c r="J2090" s="2" t="n">
        <f aca="false">((H2090 / 800) / (IF(ISBLANK(S2090), 100, IF(ISNA(VLOOKUP(S2090, Lives!$A$2:$C$35, 2, 0)), S2090, VLOOKUP(S2090, Lives!$A$2:$C$35, 2, 0))) * 12) + (IF(ISBLANK(Q2090), 0, IF(ISNA(VLOOKUP(Q2090, Wages!$A$2:$C$17, 2, 0)), Q2090, VLOOKUP(Q2090, Wages!$A$2:$C$17, 2, 0))) * IF(ISBLANK(N2090), 0, IF(ISNA(VLOOKUP(N2090, Crews!$A$2:$C$28, 2, 0)), N2090, VLOOKUP(N2090, Crews!$A$2:$C$28, 2, 0))))) * 400</f>
        <v>62500</v>
      </c>
      <c r="K2090" s="3" t="s">
        <v>4109</v>
      </c>
      <c r="L2090" s="1" t="s">
        <v>4110</v>
      </c>
      <c r="M2090" s="1" t="n">
        <v>0</v>
      </c>
      <c r="N2090" s="1" t="s">
        <v>2342</v>
      </c>
      <c r="O2090" s="1"/>
      <c r="P2090" s="1" t="n">
        <v>0.02</v>
      </c>
      <c r="Q2090" s="1" t="s">
        <v>2229</v>
      </c>
      <c r="R2090" s="1" t="s">
        <v>2229</v>
      </c>
      <c r="S2090" s="1" t="s">
        <v>2229</v>
      </c>
      <c r="T2090" s="1" t="s">
        <v>4074</v>
      </c>
    </row>
    <row r="2091" customFormat="false" ht="15" hidden="false" customHeight="true" outlineLevel="0" collapsed="false">
      <c r="A2091" s="1" t="s">
        <v>4111</v>
      </c>
      <c r="B2091" s="1" t="n">
        <v>1960</v>
      </c>
      <c r="C2091" s="1" t="n">
        <v>5</v>
      </c>
      <c r="D2091" s="1" t="s">
        <v>2225</v>
      </c>
      <c r="E2091" s="1" t="s">
        <v>3660</v>
      </c>
      <c r="F2091" s="1" t="n">
        <v>28771</v>
      </c>
      <c r="G2091" s="1" t="n">
        <v>976</v>
      </c>
      <c r="H2091" s="2" t="n">
        <v>18000000</v>
      </c>
      <c r="I2091" s="2" t="n">
        <f aca="false">(((H2091 / 800) / IF(ISBLANK(R2091), 1000000, IF(ISNA(VLOOKUP(R2091, Mileages!$A$2:$C$34, 2, 0)), R2091, VLOOKUP(R2091, Mileages!$A$2:$C$34, 2, 0)))) + (F2091 * IF(ISBLANK(P2091), 1, P2091) * IF(ISBLANK(T2091), 0, IF(ISNA(VLOOKUP(T2091, 'Fuel Costs'!$A$2:$C$42, 2, 0)), T2091, VLOOKUP(T2091, 'Fuel Costs'!$A$2:$C$42, 2, 0))) / IF(ISBLANK(O2091), 1, O2091))) * 100</f>
        <v>173.076</v>
      </c>
      <c r="J2091" s="2" t="n">
        <f aca="false">((H2091 / 800) / (IF(ISBLANK(S2091), 100, IF(ISNA(VLOOKUP(S2091, Lives!$A$2:$C$35, 2, 0)), S2091, VLOOKUP(S2091, Lives!$A$2:$C$35, 2, 0))) * 12) + (IF(ISBLANK(Q2091), 0, IF(ISNA(VLOOKUP(Q2091, Wages!$A$2:$C$17, 2, 0)), Q2091, VLOOKUP(Q2091, Wages!$A$2:$C$17, 2, 0))) * IF(ISBLANK(N2091), 0, IF(ISNA(VLOOKUP(N2091, Crews!$A$2:$C$28, 2, 0)), N2091, VLOOKUP(N2091, Crews!$A$2:$C$28, 2, 0))))) * 400</f>
        <v>62500</v>
      </c>
      <c r="K2091" s="3" t="s">
        <v>4112</v>
      </c>
      <c r="L2091" s="1" t="s">
        <v>4110</v>
      </c>
      <c r="M2091" s="1" t="n">
        <v>1</v>
      </c>
      <c r="N2091" s="1" t="s">
        <v>2342</v>
      </c>
      <c r="O2091" s="1"/>
      <c r="P2091" s="1" t="n">
        <v>0.02</v>
      </c>
      <c r="Q2091" s="1" t="s">
        <v>2229</v>
      </c>
      <c r="R2091" s="1" t="s">
        <v>2229</v>
      </c>
      <c r="S2091" s="1" t="s">
        <v>2229</v>
      </c>
      <c r="T2091" s="1" t="s">
        <v>4074</v>
      </c>
    </row>
    <row r="2092" customFormat="false" ht="15" hidden="false" customHeight="true" outlineLevel="0" collapsed="false">
      <c r="A2092" s="1" t="s">
        <v>4113</v>
      </c>
      <c r="B2092" s="1" t="n">
        <v>1960</v>
      </c>
      <c r="C2092" s="1" t="n">
        <v>6</v>
      </c>
      <c r="D2092" s="1" t="s">
        <v>38</v>
      </c>
      <c r="E2092" s="1" t="s">
        <v>2039</v>
      </c>
      <c r="F2092" s="1" t="n">
        <v>1304</v>
      </c>
      <c r="G2092" s="1" t="n">
        <v>145</v>
      </c>
      <c r="H2092" s="2" t="n">
        <v>6048000</v>
      </c>
      <c r="I2092" s="2" t="n">
        <f aca="false">(((H2092 / 800) / IF(ISBLANK(R2092), 1000000, IF(ISNA(VLOOKUP(R2092, Mileages!$A$2:$C$34, 2, 0)), R2092, VLOOKUP(R2092, Mileages!$A$2:$C$34, 2, 0)))) + (F2092 * IF(ISBLANK(P2092), 1, P2092) * IF(ISBLANK(T2092), 0, IF(ISNA(VLOOKUP(T2092, 'Fuel Costs'!$A$2:$C$42, 2, 0)), T2092, VLOOKUP(T2092, 'Fuel Costs'!$A$2:$C$42, 2, 0))) / IF(ISBLANK(O2092), 1, O2092))) * 100</f>
        <v>652.756</v>
      </c>
      <c r="J2092" s="2" t="n">
        <f aca="false">((H2092 / 800) / (IF(ISBLANK(S2092), 100, IF(ISNA(VLOOKUP(S2092, Lives!$A$2:$C$35, 2, 0)), S2092, VLOOKUP(S2092, Lives!$A$2:$C$35, 2, 0))) * 12) + (IF(ISBLANK(Q2092), 0, IF(ISNA(VLOOKUP(Q2092, Wages!$A$2:$C$17, 2, 0)), Q2092, VLOOKUP(Q2092, Wages!$A$2:$C$17, 2, 0))) * IF(ISBLANK(N2092), 0, IF(ISNA(VLOOKUP(N2092, Crews!$A$2:$C$28, 2, 0)), N2092, VLOOKUP(N2092, Crews!$A$2:$C$28, 2, 0))))) * 400</f>
        <v>14200</v>
      </c>
      <c r="K2092" s="1" t="s">
        <v>3895</v>
      </c>
      <c r="L2092" s="1" t="s">
        <v>4114</v>
      </c>
      <c r="M2092" s="1" t="n">
        <v>0</v>
      </c>
      <c r="N2092" s="1" t="s">
        <v>1488</v>
      </c>
      <c r="O2092" s="1" t="n">
        <v>0.8</v>
      </c>
      <c r="P2092" s="1"/>
      <c r="Q2092" s="1" t="s">
        <v>1488</v>
      </c>
      <c r="R2092" s="1" t="s">
        <v>4088</v>
      </c>
      <c r="S2092" s="1" t="s">
        <v>4088</v>
      </c>
      <c r="T2092" s="1" t="s">
        <v>4079</v>
      </c>
    </row>
    <row r="2093" customFormat="false" ht="15" hidden="false" customHeight="true" outlineLevel="0" collapsed="false">
      <c r="A2093" s="1" t="s">
        <v>4115</v>
      </c>
      <c r="B2093" s="1" t="n">
        <v>1960</v>
      </c>
      <c r="C2093" s="1" t="n">
        <v>6</v>
      </c>
      <c r="D2093" s="1" t="s">
        <v>38</v>
      </c>
      <c r="E2093" s="1" t="s">
        <v>1346</v>
      </c>
      <c r="F2093" s="1" t="n">
        <v>335</v>
      </c>
      <c r="G2093" s="1" t="n">
        <v>110</v>
      </c>
      <c r="H2093" s="2" t="n">
        <v>7000000</v>
      </c>
      <c r="I2093" s="2" t="n">
        <f aca="false">(((H2093 / 800) / IF(ISBLANK(R2093), 1000000, IF(ISNA(VLOOKUP(R2093, Mileages!$A$2:$C$34, 2, 0)), R2093, VLOOKUP(R2093, Mileages!$A$2:$C$34, 2, 0)))) + (F2093 * IF(ISBLANK(P2093), 1, P2093) * IF(ISBLANK(T2093), 0, IF(ISNA(VLOOKUP(T2093, 'Fuel Costs'!$A$2:$C$42, 2, 0)), T2093, VLOOKUP(T2093, 'Fuel Costs'!$A$2:$C$42, 2, 0))) / IF(ISBLANK(O2093), 1, O2093))) * 100</f>
        <v>51.125</v>
      </c>
      <c r="J2093" s="2" t="n">
        <f aca="false">((H2093 / 800) / (IF(ISBLANK(S2093), 100, IF(ISNA(VLOOKUP(S2093, Lives!$A$2:$C$35, 2, 0)), S2093, VLOOKUP(S2093, Lives!$A$2:$C$35, 2, 0))) * 12) + (IF(ISBLANK(Q2093), 0, IF(ISNA(VLOOKUP(Q2093, Wages!$A$2:$C$17, 2, 0)), Q2093, VLOOKUP(Q2093, Wages!$A$2:$C$17, 2, 0))) * IF(ISBLANK(N2093), 0, IF(ISNA(VLOOKUP(N2093, Crews!$A$2:$C$28, 2, 0)), N2093, VLOOKUP(N2093, Crews!$A$2:$C$28, 2, 0))))) * 400</f>
        <v>11833.33333</v>
      </c>
      <c r="K2093" s="3" t="s">
        <v>4116</v>
      </c>
      <c r="L2093" s="1" t="s">
        <v>4117</v>
      </c>
      <c r="M2093" s="1" t="n">
        <v>0</v>
      </c>
      <c r="N2093" s="1" t="s">
        <v>1512</v>
      </c>
      <c r="O2093" s="1" t="n">
        <v>1</v>
      </c>
      <c r="P2093" s="1"/>
      <c r="Q2093" s="1" t="str">
        <f aca="false">IF(ISBLANK('Pak128 Britain In'!$N2093),,'Pak128 Britain In'!$N2093)</f>
        <v>ElectricMultipleUnit</v>
      </c>
      <c r="R2093" s="1" t="s">
        <v>1349</v>
      </c>
      <c r="S2093" s="1" t="s">
        <v>1350</v>
      </c>
      <c r="T2093" s="1" t="s">
        <v>4101</v>
      </c>
    </row>
    <row r="2094" customFormat="false" ht="15" hidden="false" customHeight="true" outlineLevel="0" collapsed="false">
      <c r="A2094" s="1" t="s">
        <v>4118</v>
      </c>
      <c r="B2094" s="1" t="n">
        <v>1960</v>
      </c>
      <c r="C2094" s="1" t="n">
        <v>6</v>
      </c>
      <c r="D2094" s="1" t="s">
        <v>38</v>
      </c>
      <c r="E2094" s="1" t="s">
        <v>1346</v>
      </c>
      <c r="F2094" s="1"/>
      <c r="G2094" s="1" t="n">
        <v>110</v>
      </c>
      <c r="H2094" s="2" t="n">
        <v>1400000</v>
      </c>
      <c r="I2094" s="2" t="n">
        <f aca="false">(((H2094 / 800) / IF(ISBLANK(R2094), 1000000, IF(ISNA(VLOOKUP(R2094, Mileages!$A$2:$C$34, 2, 0)), R2094, VLOOKUP(R2094, Mileages!$A$2:$C$34, 2, 0)))) + (F2094 * IF(ISBLANK(P2094), 1, P2094) * IF(ISBLANK(T2094), 0, IF(ISNA(VLOOKUP(T2094, 'Fuel Costs'!$A$2:$C$42, 2, 0)), T2094, VLOOKUP(T2094, 'Fuel Costs'!$A$2:$C$42, 2, 0))) / IF(ISBLANK(O2094), 1, O2094))) * 100</f>
        <v>0.1458333333</v>
      </c>
      <c r="J2094" s="2" t="n">
        <f aca="false">((H2094 / 800) / (IF(ISBLANK(S2094), 100, IF(ISNA(VLOOKUP(S2094, Lives!$A$2:$C$35, 2, 0)), S2094, VLOOKUP(S2094, Lives!$A$2:$C$35, 2, 0))) * 12) + (IF(ISBLANK(Q2094), 0, IF(ISNA(VLOOKUP(Q2094, Wages!$A$2:$C$17, 2, 0)), Q2094, VLOOKUP(Q2094, Wages!$A$2:$C$17, 2, 0))) * IF(ISBLANK(N2094), 0, IF(ISNA(VLOOKUP(N2094, Crews!$A$2:$C$28, 2, 0)), N2094, VLOOKUP(N2094, Crews!$A$2:$C$28, 2, 0))))) * 400</f>
        <v>1666.666667</v>
      </c>
      <c r="K2094" s="1"/>
      <c r="L2094" s="1" t="s">
        <v>4117</v>
      </c>
      <c r="M2094" s="1" t="n">
        <v>1</v>
      </c>
      <c r="N2094" s="1"/>
      <c r="O2094" s="1"/>
      <c r="P2094" s="1"/>
      <c r="Q2094" s="1"/>
      <c r="R2094" s="1" t="s">
        <v>689</v>
      </c>
      <c r="S2094" s="1" t="s">
        <v>856</v>
      </c>
      <c r="T2094" s="1"/>
    </row>
    <row r="2095" customFormat="false" ht="15" hidden="false" customHeight="true" outlineLevel="0" collapsed="false">
      <c r="A2095" s="1" t="s">
        <v>4119</v>
      </c>
      <c r="B2095" s="1" t="n">
        <v>1960</v>
      </c>
      <c r="C2095" s="1" t="n">
        <v>6</v>
      </c>
      <c r="D2095" s="1" t="s">
        <v>38</v>
      </c>
      <c r="E2095" s="1" t="s">
        <v>1346</v>
      </c>
      <c r="F2095" s="1"/>
      <c r="G2095" s="1" t="n">
        <v>110</v>
      </c>
      <c r="H2095" s="2" t="n">
        <v>1400000</v>
      </c>
      <c r="I2095" s="2" t="n">
        <f aca="false">(((H2095 / 800) / IF(ISBLANK(R2095), 1000000, IF(ISNA(VLOOKUP(R2095, Mileages!$A$2:$C$34, 2, 0)), R2095, VLOOKUP(R2095, Mileages!$A$2:$C$34, 2, 0)))) + (F2095 * IF(ISBLANK(P2095), 1, P2095) * IF(ISBLANK(T2095), 0, IF(ISNA(VLOOKUP(T2095, 'Fuel Costs'!$A$2:$C$42, 2, 0)), T2095, VLOOKUP(T2095, 'Fuel Costs'!$A$2:$C$42, 2, 0))) / IF(ISBLANK(O2095), 1, O2095))) * 100</f>
        <v>0.1458333333</v>
      </c>
      <c r="J2095" s="2" t="n">
        <f aca="false">((H2095 / 800) / (IF(ISBLANK(S2095), 100, IF(ISNA(VLOOKUP(S2095, Lives!$A$2:$C$35, 2, 0)), S2095, VLOOKUP(S2095, Lives!$A$2:$C$35, 2, 0))) * 12) + (IF(ISBLANK(Q2095), 0, IF(ISNA(VLOOKUP(Q2095, Wages!$A$2:$C$17, 2, 0)), Q2095, VLOOKUP(Q2095, Wages!$A$2:$C$17, 2, 0))) * IF(ISBLANK(N2095), 0, IF(ISNA(VLOOKUP(N2095, Crews!$A$2:$C$28, 2, 0)), N2095, VLOOKUP(N2095, Crews!$A$2:$C$28, 2, 0))))) * 400</f>
        <v>1666.666667</v>
      </c>
      <c r="K2095" s="1"/>
      <c r="L2095" s="1" t="s">
        <v>4117</v>
      </c>
      <c r="M2095" s="1" t="n">
        <v>2</v>
      </c>
      <c r="N2095" s="1"/>
      <c r="O2095" s="1"/>
      <c r="P2095" s="1"/>
      <c r="Q2095" s="1"/>
      <c r="R2095" s="1" t="s">
        <v>689</v>
      </c>
      <c r="S2095" s="1" t="s">
        <v>856</v>
      </c>
      <c r="T2095" s="1"/>
    </row>
    <row r="2096" customFormat="false" ht="15" hidden="false" customHeight="true" outlineLevel="0" collapsed="false">
      <c r="A2096" s="1" t="s">
        <v>4120</v>
      </c>
      <c r="B2096" s="1" t="n">
        <v>1960</v>
      </c>
      <c r="C2096" s="1" t="n">
        <v>6</v>
      </c>
      <c r="D2096" s="1" t="s">
        <v>38</v>
      </c>
      <c r="E2096" s="1" t="s">
        <v>1346</v>
      </c>
      <c r="F2096" s="1" t="n">
        <v>335</v>
      </c>
      <c r="G2096" s="1" t="n">
        <v>110</v>
      </c>
      <c r="H2096" s="2" t="n">
        <v>7000000</v>
      </c>
      <c r="I2096" s="2" t="n">
        <f aca="false">(((H2096 / 800) / IF(ISBLANK(R2096), 1000000, IF(ISNA(VLOOKUP(R2096, Mileages!$A$2:$C$34, 2, 0)), R2096, VLOOKUP(R2096, Mileages!$A$2:$C$34, 2, 0)))) + (F2096 * IF(ISBLANK(P2096), 1, P2096) * IF(ISBLANK(T2096), 0, IF(ISNA(VLOOKUP(T2096, 'Fuel Costs'!$A$2:$C$42, 2, 0)), T2096, VLOOKUP(T2096, 'Fuel Costs'!$A$2:$C$42, 2, 0))) / IF(ISBLANK(O2096), 1, O2096))) * 100</f>
        <v>51.125</v>
      </c>
      <c r="J2096" s="2" t="n">
        <f aca="false">((H2096 / 800) / (IF(ISBLANK(S2096), 100, IF(ISNA(VLOOKUP(S2096, Lives!$A$2:$C$35, 2, 0)), S2096, VLOOKUP(S2096, Lives!$A$2:$C$35, 2, 0))) * 12) + (IF(ISBLANK(Q2096), 0, IF(ISNA(VLOOKUP(Q2096, Wages!$A$2:$C$17, 2, 0)), Q2096, VLOOKUP(Q2096, Wages!$A$2:$C$17, 2, 0))) * IF(ISBLANK(N2096), 0, IF(ISNA(VLOOKUP(N2096, Crews!$A$2:$C$28, 2, 0)), N2096, VLOOKUP(N2096, Crews!$A$2:$C$28, 2, 0))))) * 400</f>
        <v>11833.33333</v>
      </c>
      <c r="K2096" s="1"/>
      <c r="L2096" s="1" t="s">
        <v>4117</v>
      </c>
      <c r="M2096" s="1" t="n">
        <v>3</v>
      </c>
      <c r="N2096" s="1" t="s">
        <v>1512</v>
      </c>
      <c r="O2096" s="1" t="n">
        <v>1</v>
      </c>
      <c r="P2096" s="1"/>
      <c r="Q2096" s="1" t="str">
        <f aca="false">IF(ISBLANK('Pak128 Britain In'!$N2096),,'Pak128 Britain In'!$N2096)</f>
        <v>ElectricMultipleUnit</v>
      </c>
      <c r="R2096" s="1" t="s">
        <v>1349</v>
      </c>
      <c r="S2096" s="1" t="s">
        <v>1350</v>
      </c>
      <c r="T2096" s="1" t="s">
        <v>4101</v>
      </c>
    </row>
    <row r="2097" customFormat="false" ht="15" hidden="false" customHeight="true" outlineLevel="0" collapsed="false">
      <c r="A2097" s="1" t="s">
        <v>4121</v>
      </c>
      <c r="B2097" s="1" t="n">
        <v>1960</v>
      </c>
      <c r="C2097" s="1" t="n">
        <v>6</v>
      </c>
      <c r="D2097" s="1" t="s">
        <v>21</v>
      </c>
      <c r="E2097" s="1" t="s">
        <v>1839</v>
      </c>
      <c r="F2097" s="1" t="n">
        <v>31</v>
      </c>
      <c r="G2097" s="1" t="n">
        <v>81</v>
      </c>
      <c r="H2097" s="2" t="n">
        <v>97500</v>
      </c>
      <c r="I2097" s="2" t="n">
        <f aca="false">(((H2097 / 800) / IF(ISBLANK(R2097), 1000000, IF(ISNA(VLOOKUP(R2097, Mileages!$A$2:$C$34, 2, 0)), R2097, VLOOKUP(R2097, Mileages!$A$2:$C$34, 2, 0)))) + (F2097 * IF(ISBLANK(P2097), 1, P2097) * IF(ISBLANK(T2097), 0, IF(ISNA(VLOOKUP(T2097, 'Fuel Costs'!$A$2:$C$42, 2, 0)), T2097, VLOOKUP(T2097, 'Fuel Costs'!$A$2:$C$42, 2, 0))) / IF(ISBLANK(O2097), 1, O2097))) * 100</f>
        <v>23.2621875</v>
      </c>
      <c r="J2097" s="2" t="n">
        <f aca="false">((H2097 / 800) / (IF(ISBLANK(S2097), 100, IF(ISNA(VLOOKUP(S2097, Lives!$A$2:$C$35, 2, 0)), S2097, VLOOKUP(S2097, Lives!$A$2:$C$35, 2, 0))) * 12) + (IF(ISBLANK(Q2097), 0, IF(ISNA(VLOOKUP(Q2097, Wages!$A$2:$C$17, 2, 0)), Q2097, VLOOKUP(Q2097, Wages!$A$2:$C$17, 2, 0))) * IF(ISBLANK(N2097), 0, IF(ISNA(VLOOKUP(N2097, Crews!$A$2:$C$28, 2, 0)), N2097, VLOOKUP(N2097, Crews!$A$2:$C$28, 2, 0))))) * 400</f>
        <v>8050.78125</v>
      </c>
      <c r="K2097" s="1" t="s">
        <v>4122</v>
      </c>
      <c r="L2097" s="1" t="s">
        <v>4123</v>
      </c>
      <c r="M2097" s="1" t="n">
        <v>0</v>
      </c>
      <c r="N2097" s="1" t="s">
        <v>25</v>
      </c>
      <c r="O2097" s="1" t="n">
        <v>0.8</v>
      </c>
      <c r="P2097" s="1"/>
      <c r="Q2097" s="1" t="s">
        <v>1815</v>
      </c>
      <c r="R2097" s="1" t="s">
        <v>1843</v>
      </c>
      <c r="S2097" s="1" t="s">
        <v>1843</v>
      </c>
      <c r="T2097" s="1" t="s">
        <v>4124</v>
      </c>
    </row>
    <row r="2098" customFormat="false" ht="15" hidden="false" customHeight="true" outlineLevel="0" collapsed="false">
      <c r="A2098" s="1" t="s">
        <v>4125</v>
      </c>
      <c r="B2098" s="1" t="n">
        <v>1960</v>
      </c>
      <c r="C2098" s="1" t="n">
        <v>6</v>
      </c>
      <c r="D2098" s="1" t="s">
        <v>21</v>
      </c>
      <c r="E2098" s="1" t="s">
        <v>1839</v>
      </c>
      <c r="F2098" s="1" t="n">
        <v>31</v>
      </c>
      <c r="G2098" s="1" t="n">
        <v>81</v>
      </c>
      <c r="H2098" s="2" t="n">
        <v>97500</v>
      </c>
      <c r="I2098" s="2" t="n">
        <f aca="false">(((H2098 / 800) / IF(ISBLANK(R2098), 1000000, IF(ISNA(VLOOKUP(R2098, Mileages!$A$2:$C$34, 2, 0)), R2098, VLOOKUP(R2098, Mileages!$A$2:$C$34, 2, 0)))) + (F2098 * IF(ISBLANK(P2098), 1, P2098) * IF(ISBLANK(T2098), 0, IF(ISNA(VLOOKUP(T2098, 'Fuel Costs'!$A$2:$C$42, 2, 0)), T2098, VLOOKUP(T2098, 'Fuel Costs'!$A$2:$C$42, 2, 0))) / IF(ISBLANK(O2098), 1, O2098))) * 100</f>
        <v>23.2621875</v>
      </c>
      <c r="J2098" s="2" t="n">
        <f aca="false">((H2098 / 800) / (IF(ISBLANK(S2098), 100, IF(ISNA(VLOOKUP(S2098, Lives!$A$2:$C$35, 2, 0)), S2098, VLOOKUP(S2098, Lives!$A$2:$C$35, 2, 0))) * 12) + (IF(ISBLANK(Q2098), 0, IF(ISNA(VLOOKUP(Q2098, Wages!$A$2:$C$17, 2, 0)), Q2098, VLOOKUP(Q2098, Wages!$A$2:$C$17, 2, 0))) * IF(ISBLANK(N2098), 0, IF(ISNA(VLOOKUP(N2098, Crews!$A$2:$C$28, 2, 0)), N2098, VLOOKUP(N2098, Crews!$A$2:$C$28, 2, 0))))) * 400</f>
        <v>8050.78125</v>
      </c>
      <c r="K2098" s="1"/>
      <c r="L2098" s="1" t="s">
        <v>4123</v>
      </c>
      <c r="M2098" s="1" t="n">
        <v>1</v>
      </c>
      <c r="N2098" s="1" t="s">
        <v>25</v>
      </c>
      <c r="O2098" s="1" t="n">
        <v>0.8</v>
      </c>
      <c r="P2098" s="1"/>
      <c r="Q2098" s="1" t="s">
        <v>1815</v>
      </c>
      <c r="R2098" s="1" t="s">
        <v>1843</v>
      </c>
      <c r="S2098" s="1" t="s">
        <v>1843</v>
      </c>
      <c r="T2098" s="1" t="s">
        <v>4124</v>
      </c>
    </row>
    <row r="2099" customFormat="false" ht="15" hidden="false" customHeight="true" outlineLevel="0" collapsed="false">
      <c r="A2099" s="1" t="s">
        <v>4126</v>
      </c>
      <c r="B2099" s="1" t="n">
        <v>1960</v>
      </c>
      <c r="C2099" s="1" t="n">
        <v>6</v>
      </c>
      <c r="D2099" s="1" t="s">
        <v>21</v>
      </c>
      <c r="E2099" s="1" t="s">
        <v>1839</v>
      </c>
      <c r="F2099" s="1" t="n">
        <v>31</v>
      </c>
      <c r="G2099" s="1" t="n">
        <v>81</v>
      </c>
      <c r="H2099" s="2" t="n">
        <v>97500</v>
      </c>
      <c r="I2099" s="2" t="n">
        <f aca="false">(((H2099 / 800) / IF(ISBLANK(R2099), 1000000, IF(ISNA(VLOOKUP(R2099, Mileages!$A$2:$C$34, 2, 0)), R2099, VLOOKUP(R2099, Mileages!$A$2:$C$34, 2, 0)))) + (F2099 * IF(ISBLANK(P2099), 1, P2099) * IF(ISBLANK(T2099), 0, IF(ISNA(VLOOKUP(T2099, 'Fuel Costs'!$A$2:$C$42, 2, 0)), T2099, VLOOKUP(T2099, 'Fuel Costs'!$A$2:$C$42, 2, 0))) / IF(ISBLANK(O2099), 1, O2099))) * 100</f>
        <v>23.2621875</v>
      </c>
      <c r="J2099" s="2" t="n">
        <f aca="false">((H2099 / 800) / (IF(ISBLANK(S2099), 100, IF(ISNA(VLOOKUP(S2099, Lives!$A$2:$C$35, 2, 0)), S2099, VLOOKUP(S2099, Lives!$A$2:$C$35, 2, 0))) * 12) + (IF(ISBLANK(Q2099), 0, IF(ISNA(VLOOKUP(Q2099, Wages!$A$2:$C$17, 2, 0)), Q2099, VLOOKUP(Q2099, Wages!$A$2:$C$17, 2, 0))) * IF(ISBLANK(N2099), 0, IF(ISNA(VLOOKUP(N2099, Crews!$A$2:$C$28, 2, 0)), N2099, VLOOKUP(N2099, Crews!$A$2:$C$28, 2, 0))))) * 400</f>
        <v>8050.78125</v>
      </c>
      <c r="K2099" s="1"/>
      <c r="L2099" s="1" t="s">
        <v>4123</v>
      </c>
      <c r="M2099" s="1" t="n">
        <v>2</v>
      </c>
      <c r="N2099" s="1" t="s">
        <v>25</v>
      </c>
      <c r="O2099" s="1" t="n">
        <v>0.8</v>
      </c>
      <c r="P2099" s="1"/>
      <c r="Q2099" s="1" t="s">
        <v>1815</v>
      </c>
      <c r="R2099" s="1" t="s">
        <v>1843</v>
      </c>
      <c r="S2099" s="1" t="s">
        <v>1843</v>
      </c>
      <c r="T2099" s="1" t="s">
        <v>4124</v>
      </c>
    </row>
    <row r="2100" customFormat="false" ht="15" hidden="false" customHeight="true" outlineLevel="0" collapsed="false">
      <c r="A2100" s="1" t="s">
        <v>4127</v>
      </c>
      <c r="B2100" s="1" t="n">
        <v>1960</v>
      </c>
      <c r="C2100" s="1" t="n">
        <v>7</v>
      </c>
      <c r="D2100" s="1" t="s">
        <v>38</v>
      </c>
      <c r="E2100" s="1" t="s">
        <v>2039</v>
      </c>
      <c r="F2100" s="1" t="n">
        <v>750</v>
      </c>
      <c r="G2100" s="1" t="n">
        <v>145</v>
      </c>
      <c r="H2100" s="2" t="n">
        <v>39980</v>
      </c>
      <c r="I2100" s="2" t="n">
        <f aca="false">(((H2100 / 800) / IF(ISBLANK(R2100), 1000000, IF(ISNA(VLOOKUP(R2100, Mileages!$A$2:$C$34, 2, 0)), R2100, VLOOKUP(R2100, Mileages!$A$2:$C$34, 2, 0)))) + (F2100 * IF(ISBLANK(P2100), 1, P2100) * IF(ISBLANK(T2100), 0, IF(ISNA(VLOOKUP(T2100, 'Fuel Costs'!$A$2:$C$42, 2, 0)), T2100, VLOOKUP(T2100, 'Fuel Costs'!$A$2:$C$42, 2, 0))) / IF(ISBLANK(O2100), 1, O2100))) * 100</f>
        <v>375.0049975</v>
      </c>
      <c r="J2100" s="2" t="n">
        <f aca="false">((H2100 / 800) / (IF(ISBLANK(S2100), 100, IF(ISNA(VLOOKUP(S2100, Lives!$A$2:$C$35, 2, 0)), S2100, VLOOKUP(S2100, Lives!$A$2:$C$35, 2, 0))) * 12) + (IF(ISBLANK(Q2100), 0, IF(ISNA(VLOOKUP(Q2100, Wages!$A$2:$C$17, 2, 0)), Q2100, VLOOKUP(Q2100, Wages!$A$2:$C$17, 2, 0))) * IF(ISBLANK(N2100), 0, IF(ISNA(VLOOKUP(N2100, Crews!$A$2:$C$28, 2, 0)), N2100, VLOOKUP(N2100, Crews!$A$2:$C$28, 2, 0))))) * 400</f>
        <v>6027.763889</v>
      </c>
      <c r="K2100" s="1"/>
      <c r="L2100" s="1" t="s">
        <v>4128</v>
      </c>
      <c r="M2100" s="1" t="n">
        <v>0</v>
      </c>
      <c r="N2100" s="1" t="s">
        <v>1512</v>
      </c>
      <c r="O2100" s="1" t="n">
        <v>0.8</v>
      </c>
      <c r="P2100" s="1"/>
      <c r="Q2100" s="1" t="s">
        <v>1512</v>
      </c>
      <c r="R2100" s="1" t="s">
        <v>4088</v>
      </c>
      <c r="S2100" s="1" t="s">
        <v>4088</v>
      </c>
      <c r="T2100" s="1" t="s">
        <v>4079</v>
      </c>
    </row>
    <row r="2101" customFormat="false" ht="15" hidden="false" customHeight="true" outlineLevel="0" collapsed="false">
      <c r="A2101" s="1" t="s">
        <v>4129</v>
      </c>
      <c r="B2101" s="1" t="n">
        <v>1960</v>
      </c>
      <c r="C2101" s="1" t="n">
        <v>7</v>
      </c>
      <c r="D2101" s="1" t="s">
        <v>38</v>
      </c>
      <c r="E2101" s="1" t="s">
        <v>2039</v>
      </c>
      <c r="F2101" s="1" t="n">
        <v>750</v>
      </c>
      <c r="G2101" s="1" t="n">
        <v>145</v>
      </c>
      <c r="H2101" s="2" t="n">
        <v>39980</v>
      </c>
      <c r="I2101" s="2" t="n">
        <f aca="false">(((H2101 / 800) / IF(ISBLANK(R2101), 1000000, IF(ISNA(VLOOKUP(R2101, Mileages!$A$2:$C$34, 2, 0)), R2101, VLOOKUP(R2101, Mileages!$A$2:$C$34, 2, 0)))) + (F2101 * IF(ISBLANK(P2101), 1, P2101) * IF(ISBLANK(T2101), 0, IF(ISNA(VLOOKUP(T2101, 'Fuel Costs'!$A$2:$C$42, 2, 0)), T2101, VLOOKUP(T2101, 'Fuel Costs'!$A$2:$C$42, 2, 0))) / IF(ISBLANK(O2101), 1, O2101))) * 100</f>
        <v>375.0049975</v>
      </c>
      <c r="J2101" s="2" t="n">
        <f aca="false">((H2101 / 800) / (IF(ISBLANK(S2101), 100, IF(ISNA(VLOOKUP(S2101, Lives!$A$2:$C$35, 2, 0)), S2101, VLOOKUP(S2101, Lives!$A$2:$C$35, 2, 0))) * 12) + (IF(ISBLANK(Q2101), 0, IF(ISNA(VLOOKUP(Q2101, Wages!$A$2:$C$17, 2, 0)), Q2101, VLOOKUP(Q2101, Wages!$A$2:$C$17, 2, 0))) * IF(ISBLANK(N2101), 0, IF(ISNA(VLOOKUP(N2101, Crews!$A$2:$C$28, 2, 0)), N2101, VLOOKUP(N2101, Crews!$A$2:$C$28, 2, 0))))) * 400</f>
        <v>27.76388889</v>
      </c>
      <c r="K2101" s="1"/>
      <c r="L2101" s="1" t="s">
        <v>4128</v>
      </c>
      <c r="M2101" s="1" t="n">
        <v>1</v>
      </c>
      <c r="N2101" s="1"/>
      <c r="O2101" s="1" t="n">
        <v>0.8</v>
      </c>
      <c r="P2101" s="1"/>
      <c r="Q2101" s="1"/>
      <c r="R2101" s="1" t="s">
        <v>4088</v>
      </c>
      <c r="S2101" s="1" t="s">
        <v>4088</v>
      </c>
      <c r="T2101" s="1" t="s">
        <v>4079</v>
      </c>
    </row>
    <row r="2102" customFormat="false" ht="15" hidden="false" customHeight="true" outlineLevel="0" collapsed="false">
      <c r="A2102" s="1" t="s">
        <v>4130</v>
      </c>
      <c r="B2102" s="1" t="n">
        <v>1960</v>
      </c>
      <c r="C2102" s="1" t="n">
        <v>7</v>
      </c>
      <c r="D2102" s="1" t="s">
        <v>38</v>
      </c>
      <c r="E2102" s="1" t="s">
        <v>2039</v>
      </c>
      <c r="F2102" s="1" t="n">
        <v>0</v>
      </c>
      <c r="G2102" s="1" t="n">
        <v>145</v>
      </c>
      <c r="H2102" s="2" t="n">
        <v>1142000</v>
      </c>
      <c r="I2102" s="2" t="n">
        <f aca="false">(((H2102 / 800) / IF(ISBLANK(R2102), 1000000, IF(ISNA(VLOOKUP(R2102, Mileages!$A$2:$C$34, 2, 0)), R2102, VLOOKUP(R2102, Mileages!$A$2:$C$34, 2, 0)))) + (F2102 * IF(ISBLANK(P2102), 1, P2102) * IF(ISBLANK(T2102), 0, IF(ISNA(VLOOKUP(T2102, 'Fuel Costs'!$A$2:$C$42, 2, 0)), T2102, VLOOKUP(T2102, 'Fuel Costs'!$A$2:$C$42, 2, 0))) / IF(ISBLANK(O2102), 1, O2102))) * 100</f>
        <v>0.1189583333</v>
      </c>
      <c r="J2102" s="2" t="n">
        <f aca="false">((H2102 / 800) / (IF(ISBLANK(S2102), 100, IF(ISNA(VLOOKUP(S2102, Lives!$A$2:$C$35, 2, 0)), S2102, VLOOKUP(S2102, Lives!$A$2:$C$35, 2, 0))) * 12) + (IF(ISBLANK(Q2102), 0, IF(ISNA(VLOOKUP(Q2102, Wages!$A$2:$C$17, 2, 0)), Q2102, VLOOKUP(Q2102, Wages!$A$2:$C$17, 2, 0))) * IF(ISBLANK(N2102), 0, IF(ISNA(VLOOKUP(N2102, Crews!$A$2:$C$28, 2, 0)), N2102, VLOOKUP(N2102, Crews!$A$2:$C$28, 2, 0))))) * 400</f>
        <v>1359.52381</v>
      </c>
      <c r="K2102" s="1"/>
      <c r="L2102" s="1" t="s">
        <v>4128</v>
      </c>
      <c r="M2102" s="1" t="n">
        <v>2</v>
      </c>
      <c r="N2102" s="1"/>
      <c r="O2102" s="1"/>
      <c r="P2102" s="1"/>
      <c r="Q2102" s="1"/>
      <c r="R2102" s="1" t="s">
        <v>689</v>
      </c>
      <c r="S2102" s="1" t="s">
        <v>856</v>
      </c>
      <c r="T2102" s="1"/>
    </row>
    <row r="2103" customFormat="false" ht="15" hidden="false" customHeight="true" outlineLevel="0" collapsed="false">
      <c r="A2103" s="1" t="s">
        <v>4131</v>
      </c>
      <c r="B2103" s="1" t="n">
        <v>1960</v>
      </c>
      <c r="C2103" s="1" t="n">
        <v>7</v>
      </c>
      <c r="D2103" s="1" t="s">
        <v>38</v>
      </c>
      <c r="E2103" s="1" t="s">
        <v>2039</v>
      </c>
      <c r="F2103" s="1"/>
      <c r="G2103" s="1" t="n">
        <v>145</v>
      </c>
      <c r="H2103" s="2" t="n">
        <v>1142000</v>
      </c>
      <c r="I2103" s="2" t="n">
        <f aca="false">(((H2103 / 800) / IF(ISBLANK(R2103), 1000000, IF(ISNA(VLOOKUP(R2103, Mileages!$A$2:$C$34, 2, 0)), R2103, VLOOKUP(R2103, Mileages!$A$2:$C$34, 2, 0)))) + (F2103 * IF(ISBLANK(P2103), 1, P2103) * IF(ISBLANK(T2103), 0, IF(ISNA(VLOOKUP(T2103, 'Fuel Costs'!$A$2:$C$42, 2, 0)), T2103, VLOOKUP(T2103, 'Fuel Costs'!$A$2:$C$42, 2, 0))) / IF(ISBLANK(O2103), 1, O2103))) * 100</f>
        <v>0.1189583333</v>
      </c>
      <c r="J2103" s="2" t="n">
        <f aca="false">((H2103 / 800) / (IF(ISBLANK(S2103), 100, IF(ISNA(VLOOKUP(S2103, Lives!$A$2:$C$35, 2, 0)), S2103, VLOOKUP(S2103, Lives!$A$2:$C$35, 2, 0))) * 12) + (IF(ISBLANK(Q2103), 0, IF(ISNA(VLOOKUP(Q2103, Wages!$A$2:$C$17, 2, 0)), Q2103, VLOOKUP(Q2103, Wages!$A$2:$C$17, 2, 0))) * IF(ISBLANK(N2103), 0, IF(ISNA(VLOOKUP(N2103, Crews!$A$2:$C$28, 2, 0)), N2103, VLOOKUP(N2103, Crews!$A$2:$C$28, 2, 0))))) * 400</f>
        <v>1359.52381</v>
      </c>
      <c r="K2103" s="1"/>
      <c r="L2103" s="1" t="s">
        <v>4128</v>
      </c>
      <c r="M2103" s="1" t="n">
        <v>3</v>
      </c>
      <c r="N2103" s="1"/>
      <c r="O2103" s="1"/>
      <c r="P2103" s="1"/>
      <c r="Q2103" s="1"/>
      <c r="R2103" s="1" t="s">
        <v>689</v>
      </c>
      <c r="S2103" s="1" t="s">
        <v>856</v>
      </c>
      <c r="T2103" s="1"/>
    </row>
    <row r="2104" customFormat="false" ht="15" hidden="false" customHeight="true" outlineLevel="0" collapsed="false">
      <c r="A2104" s="1" t="s">
        <v>4132</v>
      </c>
      <c r="B2104" s="1" t="n">
        <v>1960</v>
      </c>
      <c r="C2104" s="1" t="n">
        <v>7</v>
      </c>
      <c r="D2104" s="1" t="s">
        <v>38</v>
      </c>
      <c r="E2104" s="1" t="s">
        <v>2039</v>
      </c>
      <c r="F2104" s="1"/>
      <c r="G2104" s="1" t="n">
        <v>145</v>
      </c>
      <c r="H2104" s="2" t="n">
        <v>1657000</v>
      </c>
      <c r="I2104" s="2" t="n">
        <f aca="false">(((H2104 / 800) / IF(ISBLANK(R2104), 1000000, IF(ISNA(VLOOKUP(R2104, Mileages!$A$2:$C$34, 2, 0)), R2104, VLOOKUP(R2104, Mileages!$A$2:$C$34, 2, 0)))) + (F2104 * IF(ISBLANK(P2104), 1, P2104) * IF(ISBLANK(T2104), 0, IF(ISNA(VLOOKUP(T2104, 'Fuel Costs'!$A$2:$C$42, 2, 0)), T2104, VLOOKUP(T2104, 'Fuel Costs'!$A$2:$C$42, 2, 0))) / IF(ISBLANK(O2104), 1, O2104))) * 100</f>
        <v>0.1726041667</v>
      </c>
      <c r="J2104" s="2" t="n">
        <f aca="false">((H2104 / 800) / (IF(ISBLANK(S2104), 100, IF(ISNA(VLOOKUP(S2104, Lives!$A$2:$C$35, 2, 0)), S2104, VLOOKUP(S2104, Lives!$A$2:$C$35, 2, 0))) * 12) + (IF(ISBLANK(Q2104), 0, IF(ISNA(VLOOKUP(Q2104, Wages!$A$2:$C$17, 2, 0)), Q2104, VLOOKUP(Q2104, Wages!$A$2:$C$17, 2, 0))) * IF(ISBLANK(N2104), 0, IF(ISNA(VLOOKUP(N2104, Crews!$A$2:$C$28, 2, 0)), N2104, VLOOKUP(N2104, Crews!$A$2:$C$28, 2, 0))))) * 400</f>
        <v>19972.61905</v>
      </c>
      <c r="K2104" s="1"/>
      <c r="L2104" s="1" t="s">
        <v>4128</v>
      </c>
      <c r="M2104" s="1" t="n">
        <v>4</v>
      </c>
      <c r="N2104" s="1" t="s">
        <v>1481</v>
      </c>
      <c r="O2104" s="1"/>
      <c r="P2104" s="1"/>
      <c r="Q2104" s="1" t="s">
        <v>1481</v>
      </c>
      <c r="R2104" s="1" t="s">
        <v>689</v>
      </c>
      <c r="S2104" s="1" t="s">
        <v>856</v>
      </c>
      <c r="T2104" s="1"/>
    </row>
    <row r="2105" customFormat="false" ht="15" hidden="false" customHeight="true" outlineLevel="0" collapsed="false">
      <c r="A2105" s="1" t="s">
        <v>4133</v>
      </c>
      <c r="B2105" s="1" t="n">
        <v>1960</v>
      </c>
      <c r="C2105" s="1" t="n">
        <v>7</v>
      </c>
      <c r="D2105" s="1" t="s">
        <v>38</v>
      </c>
      <c r="E2105" s="1" t="s">
        <v>2039</v>
      </c>
      <c r="F2105" s="1" t="n">
        <v>750</v>
      </c>
      <c r="G2105" s="1" t="n">
        <v>145</v>
      </c>
      <c r="H2105" s="2" t="n">
        <v>3998000</v>
      </c>
      <c r="I2105" s="2" t="n">
        <f aca="false">(((H2105 / 800) / IF(ISBLANK(R2105), 1000000, IF(ISNA(VLOOKUP(R2105, Mileages!$A$2:$C$34, 2, 0)), R2105, VLOOKUP(R2105, Mileages!$A$2:$C$34, 2, 0)))) + (F2105 * IF(ISBLANK(P2105), 1, P2105) * IF(ISBLANK(T2105), 0, IF(ISNA(VLOOKUP(T2105, 'Fuel Costs'!$A$2:$C$42, 2, 0)), T2105, VLOOKUP(T2105, 'Fuel Costs'!$A$2:$C$42, 2, 0))) / IF(ISBLANK(O2105), 1, O2105))) * 100</f>
        <v>375.49975</v>
      </c>
      <c r="J2105" s="2" t="n">
        <f aca="false">((H2105 / 800) / (IF(ISBLANK(S2105), 100, IF(ISNA(VLOOKUP(S2105, Lives!$A$2:$C$35, 2, 0)), S2105, VLOOKUP(S2105, Lives!$A$2:$C$35, 2, 0))) * 12) + (IF(ISBLANK(Q2105), 0, IF(ISNA(VLOOKUP(Q2105, Wages!$A$2:$C$17, 2, 0)), Q2105, VLOOKUP(Q2105, Wages!$A$2:$C$17, 2, 0))) * IF(ISBLANK(N2105), 0, IF(ISNA(VLOOKUP(N2105, Crews!$A$2:$C$28, 2, 0)), N2105, VLOOKUP(N2105, Crews!$A$2:$C$28, 2, 0))))) * 400</f>
        <v>8776.388889</v>
      </c>
      <c r="K2105" s="1"/>
      <c r="L2105" s="1" t="s">
        <v>4128</v>
      </c>
      <c r="M2105" s="1" t="n">
        <v>5</v>
      </c>
      <c r="N2105" s="1" t="s">
        <v>1512</v>
      </c>
      <c r="O2105" s="1" t="n">
        <v>0.8</v>
      </c>
      <c r="P2105" s="1"/>
      <c r="Q2105" s="1" t="s">
        <v>1512</v>
      </c>
      <c r="R2105" s="1" t="s">
        <v>4088</v>
      </c>
      <c r="S2105" s="1" t="s">
        <v>4088</v>
      </c>
      <c r="T2105" s="1" t="s">
        <v>4079</v>
      </c>
    </row>
    <row r="2106" customFormat="false" ht="15" hidden="false" customHeight="true" outlineLevel="0" collapsed="false">
      <c r="A2106" s="1" t="s">
        <v>4134</v>
      </c>
      <c r="B2106" s="1" t="n">
        <v>1960</v>
      </c>
      <c r="C2106" s="1" t="n">
        <v>7</v>
      </c>
      <c r="D2106" s="1" t="s">
        <v>38</v>
      </c>
      <c r="E2106" s="1" t="s">
        <v>2039</v>
      </c>
      <c r="F2106" s="1" t="n">
        <v>750</v>
      </c>
      <c r="G2106" s="1" t="n">
        <v>145</v>
      </c>
      <c r="H2106" s="2" t="n">
        <v>3998000</v>
      </c>
      <c r="I2106" s="2" t="n">
        <f aca="false">(((H2106 / 800) / IF(ISBLANK(R2106), 1000000, IF(ISNA(VLOOKUP(R2106, Mileages!$A$2:$C$34, 2, 0)), R2106, VLOOKUP(R2106, Mileages!$A$2:$C$34, 2, 0)))) + (F2106 * IF(ISBLANK(P2106), 1, P2106) * IF(ISBLANK(T2106), 0, IF(ISNA(VLOOKUP(T2106, 'Fuel Costs'!$A$2:$C$42, 2, 0)), T2106, VLOOKUP(T2106, 'Fuel Costs'!$A$2:$C$42, 2, 0))) / IF(ISBLANK(O2106), 1, O2106))) * 100</f>
        <v>375.49975</v>
      </c>
      <c r="J2106" s="2" t="n">
        <f aca="false">((H2106 / 800) / (IF(ISBLANK(S2106), 100, IF(ISNA(VLOOKUP(S2106, Lives!$A$2:$C$35, 2, 0)), S2106, VLOOKUP(S2106, Lives!$A$2:$C$35, 2, 0))) * 12) + (IF(ISBLANK(Q2106), 0, IF(ISNA(VLOOKUP(Q2106, Wages!$A$2:$C$17, 2, 0)), Q2106, VLOOKUP(Q2106, Wages!$A$2:$C$17, 2, 0))) * IF(ISBLANK(N2106), 0, IF(ISNA(VLOOKUP(N2106, Crews!$A$2:$C$28, 2, 0)), N2106, VLOOKUP(N2106, Crews!$A$2:$C$28, 2, 0))))) * 400</f>
        <v>2776.388889</v>
      </c>
      <c r="K2106" s="1"/>
      <c r="L2106" s="1" t="s">
        <v>4128</v>
      </c>
      <c r="M2106" s="1" t="n">
        <v>6</v>
      </c>
      <c r="N2106" s="1"/>
      <c r="O2106" s="1" t="n">
        <v>0.8</v>
      </c>
      <c r="P2106" s="1"/>
      <c r="Q2106" s="1"/>
      <c r="R2106" s="1" t="s">
        <v>4088</v>
      </c>
      <c r="S2106" s="1" t="s">
        <v>4088</v>
      </c>
      <c r="T2106" s="1" t="s">
        <v>4079</v>
      </c>
    </row>
    <row r="2107" customFormat="false" ht="15" hidden="false" customHeight="true" outlineLevel="0" collapsed="false">
      <c r="A2107" s="1" t="s">
        <v>4135</v>
      </c>
      <c r="B2107" s="1" t="n">
        <v>1960</v>
      </c>
      <c r="C2107" s="1" t="n">
        <v>12</v>
      </c>
      <c r="D2107" s="1" t="s">
        <v>2225</v>
      </c>
      <c r="E2107" s="1" t="s">
        <v>3660</v>
      </c>
      <c r="F2107" s="1" t="n">
        <v>8270</v>
      </c>
      <c r="G2107" s="1" t="n">
        <v>675</v>
      </c>
      <c r="H2107" s="2" t="n">
        <v>12000000</v>
      </c>
      <c r="I2107" s="2" t="n">
        <f aca="false">(((H2107 / 800) / IF(ISBLANK(R2107), 1000000, IF(ISNA(VLOOKUP(R2107, Mileages!$A$2:$C$34, 2, 0)), R2107, VLOOKUP(R2107, Mileages!$A$2:$C$34, 2, 0)))) + (F2107 * IF(ISBLANK(P2107), 1, P2107) * IF(ISBLANK(T2107), 0, IF(ISNA(VLOOKUP(T2107, 'Fuel Costs'!$A$2:$C$42, 2, 0)), T2107, VLOOKUP(T2107, 'Fuel Costs'!$A$2:$C$42, 2, 0))) / IF(ISBLANK(O2107), 1, O2107))) * 100</f>
        <v>49.92</v>
      </c>
      <c r="J2107" s="2" t="n">
        <f aca="false">((H2107 / 800) / (IF(ISBLANK(S2107), 100, IF(ISNA(VLOOKUP(S2107, Lives!$A$2:$C$35, 2, 0)), S2107, VLOOKUP(S2107, Lives!$A$2:$C$35, 2, 0))) * 12) + (IF(ISBLANK(Q2107), 0, IF(ISNA(VLOOKUP(Q2107, Wages!$A$2:$C$17, 2, 0)), Q2107, VLOOKUP(Q2107, Wages!$A$2:$C$17, 2, 0))) * IF(ISBLANK(N2107), 0, IF(ISNA(VLOOKUP(N2107, Crews!$A$2:$C$28, 2, 0)), N2107, VLOOKUP(N2107, Crews!$A$2:$C$28, 2, 0))))) * 400</f>
        <v>58333.33333</v>
      </c>
      <c r="K2107" s="3" t="s">
        <v>4136</v>
      </c>
      <c r="L2107" s="1" t="s">
        <v>4137</v>
      </c>
      <c r="M2107" s="1" t="n">
        <v>0</v>
      </c>
      <c r="N2107" s="1" t="s">
        <v>2342</v>
      </c>
      <c r="O2107" s="1"/>
      <c r="P2107" s="1" t="n">
        <v>0.02</v>
      </c>
      <c r="Q2107" s="1" t="s">
        <v>2229</v>
      </c>
      <c r="R2107" s="1" t="s">
        <v>2229</v>
      </c>
      <c r="S2107" s="1" t="s">
        <v>2229</v>
      </c>
      <c r="T2107" s="1" t="s">
        <v>4074</v>
      </c>
    </row>
    <row r="2108" customFormat="false" ht="15" hidden="false" customHeight="true" outlineLevel="0" collapsed="false">
      <c r="A2108" s="1" t="s">
        <v>4138</v>
      </c>
      <c r="B2108" s="1" t="n">
        <v>1960</v>
      </c>
      <c r="C2108" s="1" t="n">
        <v>12</v>
      </c>
      <c r="D2108" s="1" t="s">
        <v>2225</v>
      </c>
      <c r="E2108" s="1" t="s">
        <v>3660</v>
      </c>
      <c r="F2108" s="1" t="n">
        <v>8270</v>
      </c>
      <c r="G2108" s="1" t="n">
        <v>675</v>
      </c>
      <c r="H2108" s="2" t="n">
        <v>12000000</v>
      </c>
      <c r="I2108" s="2" t="n">
        <f aca="false">(((H2108 / 800) / IF(ISBLANK(R2108), 1000000, IF(ISNA(VLOOKUP(R2108, Mileages!$A$2:$C$34, 2, 0)), R2108, VLOOKUP(R2108, Mileages!$A$2:$C$34, 2, 0)))) + (F2108 * IF(ISBLANK(P2108), 1, P2108) * IF(ISBLANK(T2108), 0, IF(ISNA(VLOOKUP(T2108, 'Fuel Costs'!$A$2:$C$42, 2, 0)), T2108, VLOOKUP(T2108, 'Fuel Costs'!$A$2:$C$42, 2, 0))) / IF(ISBLANK(O2108), 1, O2108))) * 100</f>
        <v>49.92</v>
      </c>
      <c r="J2108" s="2" t="n">
        <f aca="false">((H2108 / 800) / (IF(ISBLANK(S2108), 100, IF(ISNA(VLOOKUP(S2108, Lives!$A$2:$C$35, 2, 0)), S2108, VLOOKUP(S2108, Lives!$A$2:$C$35, 2, 0))) * 12) + (IF(ISBLANK(Q2108), 0, IF(ISNA(VLOOKUP(Q2108, Wages!$A$2:$C$17, 2, 0)), Q2108, VLOOKUP(Q2108, Wages!$A$2:$C$17, 2, 0))) * IF(ISBLANK(N2108), 0, IF(ISNA(VLOOKUP(N2108, Crews!$A$2:$C$28, 2, 0)), N2108, VLOOKUP(N2108, Crews!$A$2:$C$28, 2, 0))))) * 400</f>
        <v>18333.33333</v>
      </c>
      <c r="K2108" s="3" t="s">
        <v>4139</v>
      </c>
      <c r="L2108" s="1" t="s">
        <v>4137</v>
      </c>
      <c r="M2108" s="1" t="n">
        <v>1</v>
      </c>
      <c r="N2108" s="1" t="s">
        <v>25</v>
      </c>
      <c r="O2108" s="1"/>
      <c r="P2108" s="1" t="n">
        <v>0.02</v>
      </c>
      <c r="Q2108" s="1" t="s">
        <v>2229</v>
      </c>
      <c r="R2108" s="1" t="s">
        <v>2229</v>
      </c>
      <c r="S2108" s="1" t="s">
        <v>2229</v>
      </c>
      <c r="T2108" s="1" t="s">
        <v>4074</v>
      </c>
    </row>
    <row r="2109" customFormat="false" ht="15" hidden="false" customHeight="true" outlineLevel="0" collapsed="false">
      <c r="A2109" s="1" t="s">
        <v>4140</v>
      </c>
      <c r="B2109" s="1" t="n">
        <v>1960</v>
      </c>
      <c r="C2109" s="1" t="n">
        <v>12</v>
      </c>
      <c r="D2109" s="1" t="s">
        <v>2225</v>
      </c>
      <c r="E2109" s="1" t="s">
        <v>3660</v>
      </c>
      <c r="F2109" s="1" t="n">
        <v>8270</v>
      </c>
      <c r="G2109" s="1" t="n">
        <v>675</v>
      </c>
      <c r="H2109" s="2" t="n">
        <v>12000000</v>
      </c>
      <c r="I2109" s="2" t="n">
        <f aca="false">(((H2109 / 800) / IF(ISBLANK(R2109), 1000000, IF(ISNA(VLOOKUP(R2109, Mileages!$A$2:$C$34, 2, 0)), R2109, VLOOKUP(R2109, Mileages!$A$2:$C$34, 2, 0)))) + (F2109 * IF(ISBLANK(P2109), 1, P2109) * IF(ISBLANK(T2109), 0, IF(ISNA(VLOOKUP(T2109, 'Fuel Costs'!$A$2:$C$42, 2, 0)), T2109, VLOOKUP(T2109, 'Fuel Costs'!$A$2:$C$42, 2, 0))) / IF(ISBLANK(O2109), 1, O2109))) * 100</f>
        <v>49.92</v>
      </c>
      <c r="J2109" s="2" t="n">
        <f aca="false">((H2109 / 800) / (IF(ISBLANK(S2109), 100, IF(ISNA(VLOOKUP(S2109, Lives!$A$2:$C$35, 2, 0)), S2109, VLOOKUP(S2109, Lives!$A$2:$C$35, 2, 0))) * 12) + (IF(ISBLANK(Q2109), 0, IF(ISNA(VLOOKUP(Q2109, Wages!$A$2:$C$17, 2, 0)), Q2109, VLOOKUP(Q2109, Wages!$A$2:$C$17, 2, 0))) * IF(ISBLANK(N2109), 0, IF(ISNA(VLOOKUP(N2109, Crews!$A$2:$C$28, 2, 0)), N2109, VLOOKUP(N2109, Crews!$A$2:$C$28, 2, 0))))) * 400</f>
        <v>18333.33333</v>
      </c>
      <c r="K2109" s="3" t="s">
        <v>4141</v>
      </c>
      <c r="L2109" s="1" t="s">
        <v>4137</v>
      </c>
      <c r="M2109" s="1" t="n">
        <v>2</v>
      </c>
      <c r="N2109" s="1" t="s">
        <v>25</v>
      </c>
      <c r="O2109" s="1"/>
      <c r="P2109" s="1" t="n">
        <v>0.02</v>
      </c>
      <c r="Q2109" s="1" t="s">
        <v>2229</v>
      </c>
      <c r="R2109" s="1" t="s">
        <v>2229</v>
      </c>
      <c r="S2109" s="1" t="s">
        <v>2229</v>
      </c>
      <c r="T2109" s="1" t="s">
        <v>4074</v>
      </c>
    </row>
    <row r="2110" customFormat="false" ht="15" hidden="false" customHeight="true" outlineLevel="0" collapsed="false">
      <c r="A2110" s="1" t="s">
        <v>4142</v>
      </c>
      <c r="B2110" s="1" t="n">
        <v>1961</v>
      </c>
      <c r="C2110" s="1" t="n">
        <v>2</v>
      </c>
      <c r="D2110" s="1" t="s">
        <v>38</v>
      </c>
      <c r="E2110" s="1" t="s">
        <v>2039</v>
      </c>
      <c r="F2110" s="1" t="n">
        <v>1305</v>
      </c>
      <c r="G2110" s="1" t="n">
        <v>145</v>
      </c>
      <c r="H2110" s="2" t="n">
        <v>7056000</v>
      </c>
      <c r="I2110" s="2" t="n">
        <f aca="false">(((H2110 / 800) / IF(ISBLANK(R2110), 1000000, IF(ISNA(VLOOKUP(R2110, Mileages!$A$2:$C$34, 2, 0)), R2110, VLOOKUP(R2110, Mileages!$A$2:$C$34, 2, 0)))) + (F2110 * IF(ISBLANK(P2110), 1, P2110) * IF(ISBLANK(T2110), 0, IF(ISNA(VLOOKUP(T2110, 'Fuel Costs'!$A$2:$C$42, 2, 0)), T2110, VLOOKUP(T2110, 'Fuel Costs'!$A$2:$C$42, 2, 0))) / IF(ISBLANK(O2110), 1, O2110))) * 100</f>
        <v>653.382</v>
      </c>
      <c r="J2110" s="2" t="n">
        <f aca="false">((H2110 / 800) / (IF(ISBLANK(S2110), 100, IF(ISNA(VLOOKUP(S2110, Lives!$A$2:$C$35, 2, 0)), S2110, VLOOKUP(S2110, Lives!$A$2:$C$35, 2, 0))) * 12) + (IF(ISBLANK(Q2110), 0, IF(ISNA(VLOOKUP(Q2110, Wages!$A$2:$C$17, 2, 0)), Q2110, VLOOKUP(Q2110, Wages!$A$2:$C$17, 2, 0))) * IF(ISBLANK(N2110), 0, IF(ISNA(VLOOKUP(N2110, Crews!$A$2:$C$28, 2, 0)), N2110, VLOOKUP(N2110, Crews!$A$2:$C$28, 2, 0))))) * 400</f>
        <v>14900</v>
      </c>
      <c r="K2110" s="1" t="s">
        <v>4143</v>
      </c>
      <c r="L2110" s="1" t="s">
        <v>4144</v>
      </c>
      <c r="M2110" s="1" t="n">
        <v>0</v>
      </c>
      <c r="N2110" s="1" t="s">
        <v>1488</v>
      </c>
      <c r="O2110" s="1" t="n">
        <v>0.8</v>
      </c>
      <c r="P2110" s="1"/>
      <c r="Q2110" s="1" t="s">
        <v>1488</v>
      </c>
      <c r="R2110" s="1" t="s">
        <v>4088</v>
      </c>
      <c r="S2110" s="1" t="s">
        <v>4088</v>
      </c>
      <c r="T2110" s="1" t="s">
        <v>4079</v>
      </c>
    </row>
    <row r="2111" customFormat="false" ht="15" hidden="false" customHeight="true" outlineLevel="0" collapsed="false">
      <c r="A2111" s="1" t="s">
        <v>4145</v>
      </c>
      <c r="B2111" s="1" t="n">
        <v>1961</v>
      </c>
      <c r="C2111" s="1" t="n">
        <v>4</v>
      </c>
      <c r="D2111" s="1" t="s">
        <v>38</v>
      </c>
      <c r="E2111" s="1" t="s">
        <v>2039</v>
      </c>
      <c r="F2111" s="1" t="n">
        <v>932</v>
      </c>
      <c r="G2111" s="1" t="n">
        <v>145</v>
      </c>
      <c r="H2111" s="2" t="n">
        <v>9450000</v>
      </c>
      <c r="I2111" s="2" t="n">
        <f aca="false">(((H2111 / 800) / IF(ISBLANK(R2111), 1000000, IF(ISNA(VLOOKUP(R2111, Mileages!$A$2:$C$34, 2, 0)), R2111, VLOOKUP(R2111, Mileages!$A$2:$C$34, 2, 0)))) + (F2111 * IF(ISBLANK(P2111), 1, P2111) * IF(ISBLANK(T2111), 0, IF(ISNA(VLOOKUP(T2111, 'Fuel Costs'!$A$2:$C$42, 2, 0)), T2111, VLOOKUP(T2111, 'Fuel Costs'!$A$2:$C$42, 2, 0))) / IF(ISBLANK(O2111), 1, O2111))) * 100</f>
        <v>467.18125</v>
      </c>
      <c r="J2111" s="2" t="n">
        <f aca="false">((H2111 / 800) / (IF(ISBLANK(S2111), 100, IF(ISNA(VLOOKUP(S2111, Lives!$A$2:$C$35, 2, 0)), S2111, VLOOKUP(S2111, Lives!$A$2:$C$35, 2, 0))) * 12) + (IF(ISBLANK(Q2111), 0, IF(ISNA(VLOOKUP(Q2111, Wages!$A$2:$C$17, 2, 0)), Q2111, VLOOKUP(Q2111, Wages!$A$2:$C$17, 2, 0))) * IF(ISBLANK(N2111), 0, IF(ISNA(VLOOKUP(N2111, Crews!$A$2:$C$28, 2, 0)), N2111, VLOOKUP(N2111, Crews!$A$2:$C$28, 2, 0))))) * 400</f>
        <v>16562.5</v>
      </c>
      <c r="K2111" s="1" t="s">
        <v>3895</v>
      </c>
      <c r="L2111" s="1" t="s">
        <v>4146</v>
      </c>
      <c r="M2111" s="1" t="n">
        <v>0</v>
      </c>
      <c r="N2111" s="1" t="s">
        <v>1488</v>
      </c>
      <c r="O2111" s="1" t="n">
        <v>0.8</v>
      </c>
      <c r="P2111" s="1"/>
      <c r="Q2111" s="1" t="s">
        <v>1488</v>
      </c>
      <c r="R2111" s="1" t="s">
        <v>4088</v>
      </c>
      <c r="S2111" s="1" t="s">
        <v>4088</v>
      </c>
      <c r="T2111" s="1" t="s">
        <v>4079</v>
      </c>
    </row>
    <row r="2112" customFormat="false" ht="15" hidden="false" customHeight="true" outlineLevel="0" collapsed="false">
      <c r="A2112" s="1" t="s">
        <v>4147</v>
      </c>
      <c r="B2112" s="1" t="n">
        <v>1961</v>
      </c>
      <c r="C2112" s="1" t="n">
        <v>5</v>
      </c>
      <c r="D2112" s="1" t="s">
        <v>21</v>
      </c>
      <c r="E2112" s="1" t="s">
        <v>2039</v>
      </c>
      <c r="F2112" s="1" t="n">
        <v>86</v>
      </c>
      <c r="G2112" s="1" t="n">
        <v>73</v>
      </c>
      <c r="H2112" s="2" t="n">
        <v>2500000</v>
      </c>
      <c r="I2112" s="2" t="n">
        <f aca="false">(((H2112 / 800) / IF(ISBLANK(R2112), 1000000, IF(ISNA(VLOOKUP(R2112, Mileages!$A$2:$C$34, 2, 0)), R2112, VLOOKUP(R2112, Mileages!$A$2:$C$34, 2, 0)))) + (F2112 * IF(ISBLANK(P2112), 1, P2112) * IF(ISBLANK(T2112), 0, IF(ISNA(VLOOKUP(T2112, 'Fuel Costs'!$A$2:$C$42, 2, 0)), T2112, VLOOKUP(T2112, 'Fuel Costs'!$A$2:$C$42, 2, 0))) / IF(ISBLANK(O2112), 1, O2112))) * 100</f>
        <v>43.3125</v>
      </c>
      <c r="J2112" s="2" t="n">
        <f aca="false">((H2112 / 800) / (IF(ISBLANK(S2112), 100, IF(ISNA(VLOOKUP(S2112, Lives!$A$2:$C$35, 2, 0)), S2112, VLOOKUP(S2112, Lives!$A$2:$C$35, 2, 0))) * 12) + (IF(ISBLANK(Q2112), 0, IF(ISNA(VLOOKUP(Q2112, Wages!$A$2:$C$17, 2, 0)), Q2112, VLOOKUP(Q2112, Wages!$A$2:$C$17, 2, 0))) * IF(ISBLANK(N2112), 0, IF(ISNA(VLOOKUP(N2112, Crews!$A$2:$C$28, 2, 0)), N2112, VLOOKUP(N2112, Crews!$A$2:$C$28, 2, 0))))) * 400</f>
        <v>9302.083333</v>
      </c>
      <c r="K2112" s="3" t="s">
        <v>4148</v>
      </c>
      <c r="L2112" s="1" t="s">
        <v>4149</v>
      </c>
      <c r="M2112" s="1" t="n">
        <v>0</v>
      </c>
      <c r="N2112" s="1" t="s">
        <v>1815</v>
      </c>
      <c r="O2112" s="1" t="n">
        <v>0.8</v>
      </c>
      <c r="P2112" s="1"/>
      <c r="Q2112" s="1" t="s">
        <v>1815</v>
      </c>
      <c r="R2112" s="1" t="s">
        <v>1843</v>
      </c>
      <c r="S2112" s="1" t="s">
        <v>1843</v>
      </c>
      <c r="T2112" s="1" t="s">
        <v>4079</v>
      </c>
    </row>
    <row r="2113" customFormat="false" ht="15" hidden="false" customHeight="true" outlineLevel="0" collapsed="false">
      <c r="A2113" s="1" t="s">
        <v>4150</v>
      </c>
      <c r="B2113" s="1" t="n">
        <v>1961</v>
      </c>
      <c r="C2113" s="1" t="n">
        <v>9</v>
      </c>
      <c r="D2113" s="1" t="s">
        <v>38</v>
      </c>
      <c r="E2113" s="1" t="s">
        <v>2039</v>
      </c>
      <c r="F2113" s="1" t="n">
        <v>2025</v>
      </c>
      <c r="G2113" s="1" t="n">
        <v>140</v>
      </c>
      <c r="H2113" s="2" t="n">
        <v>12173000</v>
      </c>
      <c r="I2113" s="2" t="n">
        <f aca="false">(((H2113 / 800) / IF(ISBLANK(R2113), 1000000, IF(ISNA(VLOOKUP(R2113, Mileages!$A$2:$C$34, 2, 0)), R2113, VLOOKUP(R2113, Mileages!$A$2:$C$34, 2, 0)))) + (F2113 * IF(ISBLANK(P2113), 1, P2113) * IF(ISBLANK(T2113), 0, IF(ISNA(VLOOKUP(T2113, 'Fuel Costs'!$A$2:$C$42, 2, 0)), T2113, VLOOKUP(T2113, 'Fuel Costs'!$A$2:$C$42, 2, 0))) / IF(ISBLANK(O2113), 1, O2113))) * 100</f>
        <v>1014.021625</v>
      </c>
      <c r="J2113" s="2" t="n">
        <f aca="false">((H2113 / 800) / (IF(ISBLANK(S2113), 100, IF(ISNA(VLOOKUP(S2113, Lives!$A$2:$C$35, 2, 0)), S2113, VLOOKUP(S2113, Lives!$A$2:$C$35, 2, 0))) * 12) + (IF(ISBLANK(Q2113), 0, IF(ISNA(VLOOKUP(Q2113, Wages!$A$2:$C$17, 2, 0)), Q2113, VLOOKUP(Q2113, Wages!$A$2:$C$17, 2, 0))) * IF(ISBLANK(N2113), 0, IF(ISNA(VLOOKUP(N2113, Crews!$A$2:$C$28, 2, 0)), N2113, VLOOKUP(N2113, Crews!$A$2:$C$28, 2, 0))))) * 400</f>
        <v>18453.47222</v>
      </c>
      <c r="K2113" s="3" t="s">
        <v>4151</v>
      </c>
      <c r="L2113" s="1" t="s">
        <v>4152</v>
      </c>
      <c r="M2113" s="1" t="n">
        <v>0</v>
      </c>
      <c r="N2113" s="1" t="s">
        <v>1488</v>
      </c>
      <c r="O2113" s="1" t="n">
        <v>0.8</v>
      </c>
      <c r="P2113" s="1"/>
      <c r="Q2113" s="1" t="s">
        <v>1488</v>
      </c>
      <c r="R2113" s="1" t="s">
        <v>4088</v>
      </c>
      <c r="S2113" s="1" t="s">
        <v>4088</v>
      </c>
      <c r="T2113" s="1" t="s">
        <v>4079</v>
      </c>
    </row>
    <row r="2114" customFormat="false" ht="15" hidden="false" customHeight="true" outlineLevel="0" collapsed="false">
      <c r="A2114" s="1" t="s">
        <v>4153</v>
      </c>
      <c r="B2114" s="1" t="n">
        <v>1961</v>
      </c>
      <c r="C2114" s="1" t="n">
        <v>9</v>
      </c>
      <c r="D2114" s="1" t="s">
        <v>38</v>
      </c>
      <c r="E2114" s="1" t="s">
        <v>2039</v>
      </c>
      <c r="F2114" s="1" t="n">
        <v>2460</v>
      </c>
      <c r="G2114" s="1" t="n">
        <v>160</v>
      </c>
      <c r="H2114" s="2" t="n">
        <v>13364000</v>
      </c>
      <c r="I2114" s="2" t="n">
        <f aca="false">(((H2114 / 800) / IF(ISBLANK(R2114), 1000000, IF(ISNA(VLOOKUP(R2114, Mileages!$A$2:$C$34, 2, 0)), R2114, VLOOKUP(R2114, Mileages!$A$2:$C$34, 2, 0)))) + (F2114 * IF(ISBLANK(P2114), 1, P2114) * IF(ISBLANK(T2114), 0, IF(ISNA(VLOOKUP(T2114, 'Fuel Costs'!$A$2:$C$42, 2, 0)), T2114, VLOOKUP(T2114, 'Fuel Costs'!$A$2:$C$42, 2, 0))) / IF(ISBLANK(O2114), 1, O2114))) * 100</f>
        <v>1231.6705</v>
      </c>
      <c r="J2114" s="2" t="n">
        <f aca="false">((H2114 / 800) / (IF(ISBLANK(S2114), 100, IF(ISNA(VLOOKUP(S2114, Lives!$A$2:$C$35, 2, 0)), S2114, VLOOKUP(S2114, Lives!$A$2:$C$35, 2, 0))) * 12) + (IF(ISBLANK(Q2114), 0, IF(ISNA(VLOOKUP(Q2114, Wages!$A$2:$C$17, 2, 0)), Q2114, VLOOKUP(Q2114, Wages!$A$2:$C$17, 2, 0))) * IF(ISBLANK(N2114), 0, IF(ISNA(VLOOKUP(N2114, Crews!$A$2:$C$28, 2, 0)), N2114, VLOOKUP(N2114, Crews!$A$2:$C$28, 2, 0))))) * 400</f>
        <v>19280.55556</v>
      </c>
      <c r="K2114" s="3" t="s">
        <v>4154</v>
      </c>
      <c r="L2114" s="1" t="s">
        <v>4155</v>
      </c>
      <c r="M2114" s="1" t="n">
        <v>0</v>
      </c>
      <c r="N2114" s="1" t="s">
        <v>1488</v>
      </c>
      <c r="O2114" s="1" t="n">
        <v>0.8</v>
      </c>
      <c r="P2114" s="1"/>
      <c r="Q2114" s="1" t="s">
        <v>1488</v>
      </c>
      <c r="R2114" s="1" t="s">
        <v>4088</v>
      </c>
      <c r="S2114" s="1" t="s">
        <v>4088</v>
      </c>
      <c r="T2114" s="1" t="s">
        <v>4079</v>
      </c>
    </row>
    <row r="2115" customFormat="false" ht="15" hidden="false" customHeight="true" outlineLevel="0" collapsed="false">
      <c r="A2115" s="1" t="s">
        <v>4156</v>
      </c>
      <c r="B2115" s="1" t="n">
        <v>1961</v>
      </c>
      <c r="C2115" s="1" t="n">
        <v>9</v>
      </c>
      <c r="D2115" s="1" t="s">
        <v>2225</v>
      </c>
      <c r="E2115" s="1" t="s">
        <v>3660</v>
      </c>
      <c r="F2115" s="1" t="n">
        <v>39504</v>
      </c>
      <c r="G2115" s="1" t="n">
        <v>895</v>
      </c>
      <c r="H2115" s="2" t="n">
        <v>18000000</v>
      </c>
      <c r="I2115" s="2" t="n">
        <f aca="false">(((H2115 / 800) / IF(ISBLANK(R2115), 1000000, IF(ISNA(VLOOKUP(R2115, Mileages!$A$2:$C$34, 2, 0)), R2115, VLOOKUP(R2115, Mileages!$A$2:$C$34, 2, 0)))) + (F2115 * IF(ISBLANK(P2115), 1, P2115) * IF(ISBLANK(T2115), 0, IF(ISNA(VLOOKUP(T2115, 'Fuel Costs'!$A$2:$C$42, 2, 0)), T2115, VLOOKUP(T2115, 'Fuel Costs'!$A$2:$C$42, 2, 0))) / IF(ISBLANK(O2115), 1, O2115))) * 100</f>
        <v>237.474</v>
      </c>
      <c r="J2115" s="2" t="n">
        <f aca="false">((H2115 / 800) / (IF(ISBLANK(S2115), 100, IF(ISNA(VLOOKUP(S2115, Lives!$A$2:$C$35, 2, 0)), S2115, VLOOKUP(S2115, Lives!$A$2:$C$35, 2, 0))) * 12) + (IF(ISBLANK(Q2115), 0, IF(ISNA(VLOOKUP(Q2115, Wages!$A$2:$C$17, 2, 0)), Q2115, VLOOKUP(Q2115, Wages!$A$2:$C$17, 2, 0))) * IF(ISBLANK(N2115), 0, IF(ISNA(VLOOKUP(N2115, Crews!$A$2:$C$28, 2, 0)), N2115, VLOOKUP(N2115, Crews!$A$2:$C$28, 2, 0))))) * 400</f>
        <v>62500</v>
      </c>
      <c r="K2115" s="3" t="s">
        <v>4157</v>
      </c>
      <c r="L2115" s="1" t="s">
        <v>4158</v>
      </c>
      <c r="M2115" s="1" t="n">
        <v>0</v>
      </c>
      <c r="N2115" s="1" t="s">
        <v>2342</v>
      </c>
      <c r="O2115" s="1"/>
      <c r="P2115" s="1" t="n">
        <v>0.02</v>
      </c>
      <c r="Q2115" s="1" t="s">
        <v>2229</v>
      </c>
      <c r="R2115" s="1" t="s">
        <v>2229</v>
      </c>
      <c r="S2115" s="1" t="s">
        <v>2229</v>
      </c>
      <c r="T2115" s="1" t="s">
        <v>4074</v>
      </c>
    </row>
    <row r="2116" customFormat="false" ht="15" hidden="false" customHeight="true" outlineLevel="0" collapsed="false">
      <c r="A2116" s="1" t="s">
        <v>4159</v>
      </c>
      <c r="B2116" s="1" t="n">
        <v>1961</v>
      </c>
      <c r="C2116" s="1" t="n">
        <v>9</v>
      </c>
      <c r="D2116" s="1" t="s">
        <v>2225</v>
      </c>
      <c r="E2116" s="1" t="s">
        <v>3660</v>
      </c>
      <c r="F2116" s="1" t="n">
        <v>39504</v>
      </c>
      <c r="G2116" s="1" t="n">
        <v>895</v>
      </c>
      <c r="H2116" s="2" t="n">
        <v>18000000</v>
      </c>
      <c r="I2116" s="2" t="n">
        <f aca="false">(((H2116 / 800) / IF(ISBLANK(R2116), 1000000, IF(ISNA(VLOOKUP(R2116, Mileages!$A$2:$C$34, 2, 0)), R2116, VLOOKUP(R2116, Mileages!$A$2:$C$34, 2, 0)))) + (F2116 * IF(ISBLANK(P2116), 1, P2116) * IF(ISBLANK(T2116), 0, IF(ISNA(VLOOKUP(T2116, 'Fuel Costs'!$A$2:$C$42, 2, 0)), T2116, VLOOKUP(T2116, 'Fuel Costs'!$A$2:$C$42, 2, 0))) / IF(ISBLANK(O2116), 1, O2116))) * 100</f>
        <v>237.474</v>
      </c>
      <c r="J2116" s="2" t="n">
        <f aca="false">((H2116 / 800) / (IF(ISBLANK(S2116), 100, IF(ISNA(VLOOKUP(S2116, Lives!$A$2:$C$35, 2, 0)), S2116, VLOOKUP(S2116, Lives!$A$2:$C$35, 2, 0))) * 12) + (IF(ISBLANK(Q2116), 0, IF(ISNA(VLOOKUP(Q2116, Wages!$A$2:$C$17, 2, 0)), Q2116, VLOOKUP(Q2116, Wages!$A$2:$C$17, 2, 0))) * IF(ISBLANK(N2116), 0, IF(ISNA(VLOOKUP(N2116, Crews!$A$2:$C$28, 2, 0)), N2116, VLOOKUP(N2116, Crews!$A$2:$C$28, 2, 0))))) * 400</f>
        <v>62500</v>
      </c>
      <c r="K2116" s="3" t="s">
        <v>4160</v>
      </c>
      <c r="L2116" s="1" t="s">
        <v>4158</v>
      </c>
      <c r="M2116" s="1" t="n">
        <v>1</v>
      </c>
      <c r="N2116" s="1" t="s">
        <v>2342</v>
      </c>
      <c r="O2116" s="1"/>
      <c r="P2116" s="1" t="n">
        <v>0.02</v>
      </c>
      <c r="Q2116" s="1" t="s">
        <v>2229</v>
      </c>
      <c r="R2116" s="1" t="s">
        <v>2229</v>
      </c>
      <c r="S2116" s="1" t="s">
        <v>2229</v>
      </c>
      <c r="T2116" s="1" t="s">
        <v>4074</v>
      </c>
    </row>
    <row r="2117" customFormat="false" ht="15" hidden="false" customHeight="true" outlineLevel="0" collapsed="false">
      <c r="A2117" s="1" t="s">
        <v>4161</v>
      </c>
      <c r="B2117" s="1" t="n">
        <v>1961</v>
      </c>
      <c r="C2117" s="1" t="n">
        <v>11</v>
      </c>
      <c r="D2117" s="1" t="s">
        <v>21</v>
      </c>
      <c r="E2117" s="1" t="s">
        <v>2039</v>
      </c>
      <c r="F2117" s="1" t="n">
        <v>104</v>
      </c>
      <c r="G2117" s="1" t="n">
        <v>75</v>
      </c>
      <c r="H2117" s="2" t="n">
        <v>552500</v>
      </c>
      <c r="I2117" s="2" t="n">
        <f aca="false">(((H2117 / 800) / IF(ISBLANK(R2117), 1000000, IF(ISNA(VLOOKUP(R2117, Mileages!$A$2:$C$34, 2, 0)), R2117, VLOOKUP(R2117, Mileages!$A$2:$C$34, 2, 0)))) + (F2117 * IF(ISBLANK(P2117), 1, P2117) * IF(ISBLANK(T2117), 0, IF(ISNA(VLOOKUP(T2117, 'Fuel Costs'!$A$2:$C$42, 2, 0)), T2117, VLOOKUP(T2117, 'Fuel Costs'!$A$2:$C$42, 2, 0))) / IF(ISBLANK(O2117), 1, O2117))) * 100</f>
        <v>52.0690625</v>
      </c>
      <c r="J2117" s="2" t="n">
        <f aca="false">((H2117 / 800) / (IF(ISBLANK(S2117), 100, IF(ISNA(VLOOKUP(S2117, Lives!$A$2:$C$35, 2, 0)), S2117, VLOOKUP(S2117, Lives!$A$2:$C$35, 2, 0))) * 12) + (IF(ISBLANK(Q2117), 0, IF(ISNA(VLOOKUP(Q2117, Wages!$A$2:$C$17, 2, 0)), Q2117, VLOOKUP(Q2117, Wages!$A$2:$C$17, 2, 0))) * IF(ISBLANK(N2117), 0, IF(ISNA(VLOOKUP(N2117, Crews!$A$2:$C$28, 2, 0)), N2117, VLOOKUP(N2117, Crews!$A$2:$C$28, 2, 0))))) * 400</f>
        <v>8287.760417</v>
      </c>
      <c r="K2117" s="3" t="s">
        <v>4162</v>
      </c>
      <c r="L2117" s="1" t="s">
        <v>4163</v>
      </c>
      <c r="M2117" s="1" t="n">
        <v>0</v>
      </c>
      <c r="N2117" s="1" t="s">
        <v>1815</v>
      </c>
      <c r="O2117" s="1" t="n">
        <v>0.8</v>
      </c>
      <c r="P2117" s="1"/>
      <c r="Q2117" s="1" t="s">
        <v>1815</v>
      </c>
      <c r="R2117" s="1" t="s">
        <v>1843</v>
      </c>
      <c r="S2117" s="1" t="s">
        <v>1843</v>
      </c>
      <c r="T2117" s="1" t="s">
        <v>4079</v>
      </c>
    </row>
    <row r="2118" customFormat="false" ht="15" hidden="false" customHeight="true" outlineLevel="0" collapsed="false">
      <c r="A2118" s="1" t="s">
        <v>4164</v>
      </c>
      <c r="B2118" s="1" t="n">
        <v>1961</v>
      </c>
      <c r="C2118" s="1" t="n">
        <v>11</v>
      </c>
      <c r="D2118" s="1" t="s">
        <v>38</v>
      </c>
      <c r="E2118" s="1" t="s">
        <v>2039</v>
      </c>
      <c r="F2118" s="1" t="n">
        <v>932</v>
      </c>
      <c r="G2118" s="1" t="n">
        <v>145</v>
      </c>
      <c r="H2118" s="2" t="n">
        <v>8870000</v>
      </c>
      <c r="I2118" s="2" t="n">
        <f aca="false">(((H2118 / 800) / IF(ISBLANK(R2118), 1000000, IF(ISNA(VLOOKUP(R2118, Mileages!$A$2:$C$34, 2, 0)), R2118, VLOOKUP(R2118, Mileages!$A$2:$C$34, 2, 0)))) + (F2118 * IF(ISBLANK(P2118), 1, P2118) * IF(ISBLANK(T2118), 0, IF(ISNA(VLOOKUP(T2118, 'Fuel Costs'!$A$2:$C$42, 2, 0)), T2118, VLOOKUP(T2118, 'Fuel Costs'!$A$2:$C$42, 2, 0))) / IF(ISBLANK(O2118), 1, O2118))) * 100</f>
        <v>467.10875</v>
      </c>
      <c r="J2118" s="2" t="n">
        <f aca="false">((H2118 / 800) / (IF(ISBLANK(S2118), 100, IF(ISNA(VLOOKUP(S2118, Lives!$A$2:$C$35, 2, 0)), S2118, VLOOKUP(S2118, Lives!$A$2:$C$35, 2, 0))) * 12) + (IF(ISBLANK(Q2118), 0, IF(ISNA(VLOOKUP(Q2118, Wages!$A$2:$C$17, 2, 0)), Q2118, VLOOKUP(Q2118, Wages!$A$2:$C$17, 2, 0))) * IF(ISBLANK(N2118), 0, IF(ISNA(VLOOKUP(N2118, Crews!$A$2:$C$28, 2, 0)), N2118, VLOOKUP(N2118, Crews!$A$2:$C$28, 2, 0))))) * 400</f>
        <v>16159.72222</v>
      </c>
      <c r="K2118" s="1" t="s">
        <v>3895</v>
      </c>
      <c r="L2118" s="1" t="s">
        <v>4165</v>
      </c>
      <c r="M2118" s="1" t="n">
        <v>0</v>
      </c>
      <c r="N2118" s="1" t="s">
        <v>1488</v>
      </c>
      <c r="O2118" s="1" t="n">
        <v>0.8</v>
      </c>
      <c r="P2118" s="1"/>
      <c r="Q2118" s="1" t="s">
        <v>1488</v>
      </c>
      <c r="R2118" s="1" t="s">
        <v>4088</v>
      </c>
      <c r="S2118" s="1" t="s">
        <v>4088</v>
      </c>
      <c r="T2118" s="1" t="s">
        <v>4079</v>
      </c>
    </row>
    <row r="2119" customFormat="false" ht="15" hidden="false" customHeight="true" outlineLevel="0" collapsed="false">
      <c r="A2119" s="1" t="s">
        <v>4166</v>
      </c>
      <c r="B2119" s="1" t="n">
        <v>1962</v>
      </c>
      <c r="C2119" s="1" t="n">
        <v>2</v>
      </c>
      <c r="D2119" s="1" t="s">
        <v>38</v>
      </c>
      <c r="E2119" s="1" t="s">
        <v>2039</v>
      </c>
      <c r="F2119" s="1" t="n">
        <v>671</v>
      </c>
      <c r="G2119" s="1" t="n">
        <v>97</v>
      </c>
      <c r="H2119" s="2" t="n">
        <v>7056000</v>
      </c>
      <c r="I2119" s="2" t="n">
        <f aca="false">(((H2119 / 800) / IF(ISBLANK(R2119), 1000000, IF(ISNA(VLOOKUP(R2119, Mileages!$A$2:$C$34, 2, 0)), R2119, VLOOKUP(R2119, Mileages!$A$2:$C$34, 2, 0)))) + (F2119 * IF(ISBLANK(P2119), 1, P2119) * IF(ISBLANK(T2119), 0, IF(ISNA(VLOOKUP(T2119, 'Fuel Costs'!$A$2:$C$42, 2, 0)), T2119, VLOOKUP(T2119, 'Fuel Costs'!$A$2:$C$42, 2, 0))) / IF(ISBLANK(O2119), 1, O2119))) * 100</f>
        <v>336.382</v>
      </c>
      <c r="J2119" s="2" t="n">
        <f aca="false">((H2119 / 800) / (IF(ISBLANK(S2119), 100, IF(ISNA(VLOOKUP(S2119, Lives!$A$2:$C$35, 2, 0)), S2119, VLOOKUP(S2119, Lives!$A$2:$C$35, 2, 0))) * 12) + (IF(ISBLANK(Q2119), 0, IF(ISNA(VLOOKUP(Q2119, Wages!$A$2:$C$17, 2, 0)), Q2119, VLOOKUP(Q2119, Wages!$A$2:$C$17, 2, 0))) * IF(ISBLANK(N2119), 0, IF(ISNA(VLOOKUP(N2119, Crews!$A$2:$C$28, 2, 0)), N2119, VLOOKUP(N2119, Crews!$A$2:$C$28, 2, 0))))) * 400</f>
        <v>14900</v>
      </c>
      <c r="K2119" s="1" t="s">
        <v>4167</v>
      </c>
      <c r="L2119" s="1" t="s">
        <v>4168</v>
      </c>
      <c r="M2119" s="1" t="n">
        <v>0</v>
      </c>
      <c r="N2119" s="1" t="s">
        <v>1488</v>
      </c>
      <c r="O2119" s="1" t="n">
        <v>0.8</v>
      </c>
      <c r="P2119" s="1"/>
      <c r="Q2119" s="1" t="s">
        <v>1488</v>
      </c>
      <c r="R2119" s="1" t="s">
        <v>4088</v>
      </c>
      <c r="S2119" s="1" t="s">
        <v>4088</v>
      </c>
      <c r="T2119" s="1" t="s">
        <v>4079</v>
      </c>
    </row>
    <row r="2120" customFormat="false" ht="15" hidden="false" customHeight="true" outlineLevel="0" collapsed="false">
      <c r="A2120" s="1" t="s">
        <v>4169</v>
      </c>
      <c r="B2120" s="1" t="n">
        <v>1962</v>
      </c>
      <c r="C2120" s="1" t="n">
        <v>8</v>
      </c>
      <c r="D2120" s="1" t="s">
        <v>21</v>
      </c>
      <c r="E2120" s="1" t="s">
        <v>2039</v>
      </c>
      <c r="F2120" s="1" t="n">
        <v>86</v>
      </c>
      <c r="G2120" s="1" t="n">
        <v>90</v>
      </c>
      <c r="H2120" s="2" t="n">
        <v>2610000</v>
      </c>
      <c r="I2120" s="2" t="n">
        <f aca="false">(((H2120 / 800) / IF(ISBLANK(R2120), 1000000, IF(ISNA(VLOOKUP(R2120, Mileages!$A$2:$C$34, 2, 0)), R2120, VLOOKUP(R2120, Mileages!$A$2:$C$34, 2, 0)))) + (F2120 * IF(ISBLANK(P2120), 1, P2120) * IF(ISBLANK(T2120), 0, IF(ISNA(VLOOKUP(T2120, 'Fuel Costs'!$A$2:$C$42, 2, 0)), T2120, VLOOKUP(T2120, 'Fuel Costs'!$A$2:$C$42, 2, 0))) / IF(ISBLANK(O2120), 1, O2120))) * 100</f>
        <v>43.32625</v>
      </c>
      <c r="J2120" s="2" t="n">
        <f aca="false">((H2120 / 800) / (IF(ISBLANK(S2120), 100, IF(ISNA(VLOOKUP(S2120, Lives!$A$2:$C$35, 2, 0)), S2120, VLOOKUP(S2120, Lives!$A$2:$C$35, 2, 0))) * 12) + (IF(ISBLANK(Q2120), 0, IF(ISNA(VLOOKUP(Q2120, Wages!$A$2:$C$17, 2, 0)), Q2120, VLOOKUP(Q2120, Wages!$A$2:$C$17, 2, 0))) * IF(ISBLANK(N2120), 0, IF(ISNA(VLOOKUP(N2120, Crews!$A$2:$C$28, 2, 0)), N2120, VLOOKUP(N2120, Crews!$A$2:$C$28, 2, 0))))) * 400</f>
        <v>9359.375</v>
      </c>
      <c r="K2120" s="3" t="s">
        <v>4170</v>
      </c>
      <c r="L2120" s="1" t="s">
        <v>4171</v>
      </c>
      <c r="M2120" s="1" t="n">
        <v>0</v>
      </c>
      <c r="N2120" s="1" t="s">
        <v>1815</v>
      </c>
      <c r="O2120" s="1" t="n">
        <v>0.8</v>
      </c>
      <c r="P2120" s="1"/>
      <c r="Q2120" s="1" t="s">
        <v>1815</v>
      </c>
      <c r="R2120" s="1" t="s">
        <v>1843</v>
      </c>
      <c r="S2120" s="1" t="s">
        <v>1843</v>
      </c>
      <c r="T2120" s="1" t="s">
        <v>4079</v>
      </c>
    </row>
    <row r="2121" customFormat="false" ht="15" hidden="false" customHeight="true" outlineLevel="0" collapsed="false">
      <c r="A2121" s="1" t="s">
        <v>4172</v>
      </c>
      <c r="B2121" s="1" t="n">
        <v>1962</v>
      </c>
      <c r="C2121" s="1" t="n">
        <v>9</v>
      </c>
      <c r="D2121" s="1" t="s">
        <v>38</v>
      </c>
      <c r="E2121" s="1" t="s">
        <v>2039</v>
      </c>
      <c r="F2121" s="1" t="n">
        <v>1922</v>
      </c>
      <c r="G2121" s="1" t="n">
        <v>153</v>
      </c>
      <c r="H2121" s="2" t="n">
        <v>6912000</v>
      </c>
      <c r="I2121" s="2" t="n">
        <f aca="false">(((H2121 / 800) / IF(ISBLANK(R2121), 1000000, IF(ISNA(VLOOKUP(R2121, Mileages!$A$2:$C$34, 2, 0)), R2121, VLOOKUP(R2121, Mileages!$A$2:$C$34, 2, 0)))) + (F2121 * IF(ISBLANK(P2121), 1, P2121) * IF(ISBLANK(T2121), 0, IF(ISNA(VLOOKUP(T2121, 'Fuel Costs'!$A$2:$C$42, 2, 0)), T2121, VLOOKUP(T2121, 'Fuel Costs'!$A$2:$C$42, 2, 0))) / IF(ISBLANK(O2121), 1, O2121))) * 100</f>
        <v>961.864</v>
      </c>
      <c r="J2121" s="2" t="n">
        <f aca="false">((H2121 / 800) / (IF(ISBLANK(S2121), 100, IF(ISNA(VLOOKUP(S2121, Lives!$A$2:$C$35, 2, 0)), S2121, VLOOKUP(S2121, Lives!$A$2:$C$35, 2, 0))) * 12) + (IF(ISBLANK(Q2121), 0, IF(ISNA(VLOOKUP(Q2121, Wages!$A$2:$C$17, 2, 0)), Q2121, VLOOKUP(Q2121, Wages!$A$2:$C$17, 2, 0))) * IF(ISBLANK(N2121), 0, IF(ISNA(VLOOKUP(N2121, Crews!$A$2:$C$28, 2, 0)), N2121, VLOOKUP(N2121, Crews!$A$2:$C$28, 2, 0))))) * 400</f>
        <v>14800</v>
      </c>
      <c r="K2121" s="1" t="s">
        <v>4173</v>
      </c>
      <c r="L2121" s="1" t="s">
        <v>4174</v>
      </c>
      <c r="M2121" s="1" t="n">
        <v>0</v>
      </c>
      <c r="N2121" s="1" t="s">
        <v>1488</v>
      </c>
      <c r="O2121" s="1" t="n">
        <v>0.8</v>
      </c>
      <c r="P2121" s="1"/>
      <c r="Q2121" s="1" t="s">
        <v>1488</v>
      </c>
      <c r="R2121" s="1" t="s">
        <v>4088</v>
      </c>
      <c r="S2121" s="1" t="s">
        <v>4088</v>
      </c>
      <c r="T2121" s="1" t="s">
        <v>4079</v>
      </c>
    </row>
    <row r="2122" customFormat="false" ht="15" hidden="false" customHeight="true" outlineLevel="0" collapsed="false">
      <c r="A2122" s="1" t="s">
        <v>4175</v>
      </c>
      <c r="B2122" s="1" t="n">
        <v>1962</v>
      </c>
      <c r="C2122" s="1" t="n">
        <v>10</v>
      </c>
      <c r="D2122" s="1" t="s">
        <v>38</v>
      </c>
      <c r="E2122" s="1" t="s">
        <v>1346</v>
      </c>
      <c r="F2122" s="1" t="n">
        <v>846</v>
      </c>
      <c r="G2122" s="1" t="n">
        <v>160</v>
      </c>
      <c r="H2122" s="2" t="n">
        <v>1272000</v>
      </c>
      <c r="I2122" s="2" t="n">
        <f aca="false">(((H2122 / 800) / IF(ISBLANK(R2122), 1000000, IF(ISNA(VLOOKUP(R2122, Mileages!$A$2:$C$34, 2, 0)), R2122, VLOOKUP(R2122, Mileages!$A$2:$C$34, 2, 0)))) + (F2122 * IF(ISBLANK(P2122), 1, P2122) * IF(ISBLANK(T2122), 0, IF(ISNA(VLOOKUP(T2122, 'Fuel Costs'!$A$2:$C$42, 2, 0)), T2122, VLOOKUP(T2122, 'Fuel Costs'!$A$2:$C$42, 2, 0))) / IF(ISBLANK(O2122), 1, O2122))) * 100</f>
        <v>127.059</v>
      </c>
      <c r="J2122" s="2" t="n">
        <f aca="false">((H2122 / 800) / (IF(ISBLANK(S2122), 100, IF(ISNA(VLOOKUP(S2122, Lives!$A$2:$C$35, 2, 0)), S2122, VLOOKUP(S2122, Lives!$A$2:$C$35, 2, 0))) * 12) + (IF(ISBLANK(Q2122), 0, IF(ISNA(VLOOKUP(Q2122, Wages!$A$2:$C$17, 2, 0)), Q2122, VLOOKUP(Q2122, Wages!$A$2:$C$17, 2, 0))) * IF(ISBLANK(N2122), 0, IF(ISNA(VLOOKUP(N2122, Crews!$A$2:$C$28, 2, 0)), N2122, VLOOKUP(N2122, Crews!$A$2:$C$28, 2, 0))))) * 400</f>
        <v>7060</v>
      </c>
      <c r="K2122" s="1"/>
      <c r="L2122" s="1" t="s">
        <v>4176</v>
      </c>
      <c r="M2122" s="1" t="n">
        <v>0</v>
      </c>
      <c r="N2122" s="1" t="s">
        <v>1512</v>
      </c>
      <c r="O2122" s="1" t="n">
        <v>1</v>
      </c>
      <c r="P2122" s="1"/>
      <c r="Q2122" s="1" t="str">
        <f aca="false">IF(ISBLANK('Pak128 Britain In'!$N2122),,'Pak128 Britain In'!$N2122)</f>
        <v>ElectricMultipleUnit</v>
      </c>
      <c r="R2122" s="1" t="s">
        <v>1349</v>
      </c>
      <c r="S2122" s="1" t="s">
        <v>1350</v>
      </c>
      <c r="T2122" s="1" t="s">
        <v>4101</v>
      </c>
    </row>
    <row r="2123" customFormat="false" ht="15" hidden="false" customHeight="true" outlineLevel="0" collapsed="false">
      <c r="A2123" s="1" t="s">
        <v>4177</v>
      </c>
      <c r="B2123" s="1" t="n">
        <v>1962</v>
      </c>
      <c r="C2123" s="1" t="n">
        <v>10</v>
      </c>
      <c r="D2123" s="1" t="s">
        <v>38</v>
      </c>
      <c r="E2123" s="1" t="s">
        <v>1346</v>
      </c>
      <c r="F2123" s="1" t="n">
        <v>0</v>
      </c>
      <c r="G2123" s="1" t="n">
        <v>160</v>
      </c>
      <c r="H2123" s="2" t="n">
        <v>1272000</v>
      </c>
      <c r="I2123" s="2" t="n">
        <f aca="false">(((H2123 / 800) / IF(ISBLANK(R2123), 1000000, IF(ISNA(VLOOKUP(R2123, Mileages!$A$2:$C$34, 2, 0)), R2123, VLOOKUP(R2123, Mileages!$A$2:$C$34, 2, 0)))) + (F2123 * IF(ISBLANK(P2123), 1, P2123) * IF(ISBLANK(T2123), 0, IF(ISNA(VLOOKUP(T2123, 'Fuel Costs'!$A$2:$C$42, 2, 0)), T2123, VLOOKUP(T2123, 'Fuel Costs'!$A$2:$C$42, 2, 0))) / IF(ISBLANK(O2123), 1, O2123))) * 100</f>
        <v>0.1325</v>
      </c>
      <c r="J2123" s="2" t="n">
        <f aca="false">((H2123 / 800) / (IF(ISBLANK(S2123), 100, IF(ISNA(VLOOKUP(S2123, Lives!$A$2:$C$35, 2, 0)), S2123, VLOOKUP(S2123, Lives!$A$2:$C$35, 2, 0))) * 12) + (IF(ISBLANK(Q2123), 0, IF(ISNA(VLOOKUP(Q2123, Wages!$A$2:$C$17, 2, 0)), Q2123, VLOOKUP(Q2123, Wages!$A$2:$C$17, 2, 0))) * IF(ISBLANK(N2123), 0, IF(ISNA(VLOOKUP(N2123, Crews!$A$2:$C$28, 2, 0)), N2123, VLOOKUP(N2123, Crews!$A$2:$C$28, 2, 0))))) * 400</f>
        <v>1514.285714</v>
      </c>
      <c r="K2123" s="1" t="s">
        <v>4178</v>
      </c>
      <c r="L2123" s="1" t="s">
        <v>4176</v>
      </c>
      <c r="M2123" s="1" t="n">
        <v>1</v>
      </c>
      <c r="N2123" s="1"/>
      <c r="O2123" s="1"/>
      <c r="P2123" s="1"/>
      <c r="Q2123" s="1"/>
      <c r="R2123" s="1" t="s">
        <v>689</v>
      </c>
      <c r="S2123" s="1" t="s">
        <v>856</v>
      </c>
      <c r="T2123" s="1"/>
    </row>
    <row r="2124" customFormat="false" ht="15" hidden="false" customHeight="true" outlineLevel="0" collapsed="false">
      <c r="A2124" s="1" t="s">
        <v>4179</v>
      </c>
      <c r="B2124" s="1" t="n">
        <v>1962</v>
      </c>
      <c r="C2124" s="1" t="n">
        <v>10</v>
      </c>
      <c r="D2124" s="1" t="s">
        <v>38</v>
      </c>
      <c r="E2124" s="1" t="s">
        <v>1346</v>
      </c>
      <c r="F2124" s="1"/>
      <c r="G2124" s="1" t="n">
        <v>160</v>
      </c>
      <c r="H2124" s="2" t="n">
        <v>1272000</v>
      </c>
      <c r="I2124" s="2" t="n">
        <f aca="false">(((H2124 / 800) / IF(ISBLANK(R2124), 1000000, IF(ISNA(VLOOKUP(R2124, Mileages!$A$2:$C$34, 2, 0)), R2124, VLOOKUP(R2124, Mileages!$A$2:$C$34, 2, 0)))) + (F2124 * IF(ISBLANK(P2124), 1, P2124) * IF(ISBLANK(T2124), 0, IF(ISNA(VLOOKUP(T2124, 'Fuel Costs'!$A$2:$C$42, 2, 0)), T2124, VLOOKUP(T2124, 'Fuel Costs'!$A$2:$C$42, 2, 0))) / IF(ISBLANK(O2124), 1, O2124))) * 100</f>
        <v>0.1325</v>
      </c>
      <c r="J2124" s="2" t="n">
        <f aca="false">((H2124 / 800) / (IF(ISBLANK(S2124), 100, IF(ISNA(VLOOKUP(S2124, Lives!$A$2:$C$35, 2, 0)), S2124, VLOOKUP(S2124, Lives!$A$2:$C$35, 2, 0))) * 12) + (IF(ISBLANK(Q2124), 0, IF(ISNA(VLOOKUP(Q2124, Wages!$A$2:$C$17, 2, 0)), Q2124, VLOOKUP(Q2124, Wages!$A$2:$C$17, 2, 0))) * IF(ISBLANK(N2124), 0, IF(ISNA(VLOOKUP(N2124, Crews!$A$2:$C$28, 2, 0)), N2124, VLOOKUP(N2124, Crews!$A$2:$C$28, 2, 0))))) * 400</f>
        <v>1514.285714</v>
      </c>
      <c r="K2124" s="1" t="s">
        <v>4180</v>
      </c>
      <c r="L2124" s="1" t="s">
        <v>4176</v>
      </c>
      <c r="M2124" s="1" t="n">
        <v>2</v>
      </c>
      <c r="N2124" s="1"/>
      <c r="O2124" s="1"/>
      <c r="P2124" s="1"/>
      <c r="Q2124" s="1"/>
      <c r="R2124" s="1" t="s">
        <v>689</v>
      </c>
      <c r="S2124" s="1" t="s">
        <v>856</v>
      </c>
      <c r="T2124" s="1"/>
    </row>
    <row r="2125" customFormat="false" ht="15" hidden="false" customHeight="true" outlineLevel="0" collapsed="false">
      <c r="A2125" s="1" t="s">
        <v>4181</v>
      </c>
      <c r="B2125" s="1" t="n">
        <v>1962</v>
      </c>
      <c r="C2125" s="1" t="n">
        <v>10</v>
      </c>
      <c r="D2125" s="1" t="s">
        <v>38</v>
      </c>
      <c r="E2125" s="1" t="s">
        <v>1346</v>
      </c>
      <c r="F2125" s="1"/>
      <c r="G2125" s="1" t="n">
        <v>160</v>
      </c>
      <c r="H2125" s="2" t="n">
        <v>1332000</v>
      </c>
      <c r="I2125" s="2" t="n">
        <f aca="false">(((H2125 / 800) / IF(ISBLANK(R2125), 1000000, IF(ISNA(VLOOKUP(R2125, Mileages!$A$2:$C$34, 2, 0)), R2125, VLOOKUP(R2125, Mileages!$A$2:$C$34, 2, 0)))) + (F2125 * IF(ISBLANK(P2125), 1, P2125) * IF(ISBLANK(T2125), 0, IF(ISNA(VLOOKUP(T2125, 'Fuel Costs'!$A$2:$C$42, 2, 0)), T2125, VLOOKUP(T2125, 'Fuel Costs'!$A$2:$C$42, 2, 0))) / IF(ISBLANK(O2125), 1, O2125))) * 100</f>
        <v>0.13875</v>
      </c>
      <c r="J2125" s="2" t="n">
        <f aca="false">((H2125 / 800) / (IF(ISBLANK(S2125), 100, IF(ISNA(VLOOKUP(S2125, Lives!$A$2:$C$35, 2, 0)), S2125, VLOOKUP(S2125, Lives!$A$2:$C$35, 2, 0))) * 12) + (IF(ISBLANK(Q2125), 0, IF(ISNA(VLOOKUP(Q2125, Wages!$A$2:$C$17, 2, 0)), Q2125, VLOOKUP(Q2125, Wages!$A$2:$C$17, 2, 0))) * IF(ISBLANK(N2125), 0, IF(ISNA(VLOOKUP(N2125, Crews!$A$2:$C$28, 2, 0)), N2125, VLOOKUP(N2125, Crews!$A$2:$C$28, 2, 0))))) * 400</f>
        <v>1585.714286</v>
      </c>
      <c r="K2125" s="1"/>
      <c r="L2125" s="1" t="s">
        <v>4176</v>
      </c>
      <c r="M2125" s="1" t="n">
        <v>3</v>
      </c>
      <c r="N2125" s="1"/>
      <c r="O2125" s="1"/>
      <c r="P2125" s="1"/>
      <c r="Q2125" s="1"/>
      <c r="R2125" s="1" t="s">
        <v>689</v>
      </c>
      <c r="S2125" s="1" t="s">
        <v>856</v>
      </c>
      <c r="T2125" s="1"/>
    </row>
    <row r="2126" customFormat="false" ht="15" hidden="false" customHeight="true" outlineLevel="0" collapsed="false">
      <c r="A2126" s="1" t="s">
        <v>4182</v>
      </c>
      <c r="B2126" s="1" t="n">
        <v>1962</v>
      </c>
      <c r="C2126" s="1" t="n">
        <v>10</v>
      </c>
      <c r="D2126" s="1" t="s">
        <v>38</v>
      </c>
      <c r="E2126" s="1" t="s">
        <v>1346</v>
      </c>
      <c r="F2126" s="1" t="n">
        <v>846</v>
      </c>
      <c r="G2126" s="1" t="n">
        <v>160</v>
      </c>
      <c r="H2126" s="2" t="n">
        <v>1272000</v>
      </c>
      <c r="I2126" s="2" t="n">
        <f aca="false">(((H2126 / 800) / IF(ISBLANK(R2126), 1000000, IF(ISNA(VLOOKUP(R2126, Mileages!$A$2:$C$34, 2, 0)), R2126, VLOOKUP(R2126, Mileages!$A$2:$C$34, 2, 0)))) + (F2126 * IF(ISBLANK(P2126), 1, P2126) * IF(ISBLANK(T2126), 0, IF(ISNA(VLOOKUP(T2126, 'Fuel Costs'!$A$2:$C$42, 2, 0)), T2126, VLOOKUP(T2126, 'Fuel Costs'!$A$2:$C$42, 2, 0))) / IF(ISBLANK(O2126), 1, O2126))) * 100</f>
        <v>127.059</v>
      </c>
      <c r="J2126" s="2" t="n">
        <f aca="false">((H2126 / 800) / (IF(ISBLANK(S2126), 100, IF(ISNA(VLOOKUP(S2126, Lives!$A$2:$C$35, 2, 0)), S2126, VLOOKUP(S2126, Lives!$A$2:$C$35, 2, 0))) * 12) + (IF(ISBLANK(Q2126), 0, IF(ISNA(VLOOKUP(Q2126, Wages!$A$2:$C$17, 2, 0)), Q2126, VLOOKUP(Q2126, Wages!$A$2:$C$17, 2, 0))) * IF(ISBLANK(N2126), 0, IF(ISNA(VLOOKUP(N2126, Crews!$A$2:$C$28, 2, 0)), N2126, VLOOKUP(N2126, Crews!$A$2:$C$28, 2, 0))))) * 400</f>
        <v>7060</v>
      </c>
      <c r="K2126" s="1" t="s">
        <v>4183</v>
      </c>
      <c r="L2126" s="1" t="s">
        <v>4176</v>
      </c>
      <c r="M2126" s="1" t="n">
        <v>4</v>
      </c>
      <c r="N2126" s="1" t="s">
        <v>1512</v>
      </c>
      <c r="O2126" s="1" t="n">
        <v>1</v>
      </c>
      <c r="P2126" s="1"/>
      <c r="Q2126" s="1" t="str">
        <f aca="false">IF(ISBLANK('Pak128 Britain In'!$N2126),,'Pak128 Britain In'!$N2126)</f>
        <v>ElectricMultipleUnit</v>
      </c>
      <c r="R2126" s="1" t="s">
        <v>1349</v>
      </c>
      <c r="S2126" s="1" t="s">
        <v>1350</v>
      </c>
      <c r="T2126" s="1" t="s">
        <v>4101</v>
      </c>
    </row>
    <row r="2127" customFormat="false" ht="15" hidden="false" customHeight="true" outlineLevel="0" collapsed="false">
      <c r="A2127" s="1" t="s">
        <v>4184</v>
      </c>
      <c r="B2127" s="1" t="n">
        <v>1962</v>
      </c>
      <c r="C2127" s="1" t="n">
        <v>10</v>
      </c>
      <c r="D2127" s="1" t="s">
        <v>38</v>
      </c>
      <c r="E2127" s="1" t="s">
        <v>1346</v>
      </c>
      <c r="F2127" s="1" t="n">
        <v>0</v>
      </c>
      <c r="G2127" s="1" t="n">
        <v>160</v>
      </c>
      <c r="H2127" s="2" t="n">
        <v>1272000</v>
      </c>
      <c r="I2127" s="2" t="n">
        <f aca="false">(((H2127 / 800) / IF(ISBLANK(R2127), 1000000, IF(ISNA(VLOOKUP(R2127, Mileages!$A$2:$C$34, 2, 0)), R2127, VLOOKUP(R2127, Mileages!$A$2:$C$34, 2, 0)))) + (F2127 * IF(ISBLANK(P2127), 1, P2127) * IF(ISBLANK(T2127), 0, IF(ISNA(VLOOKUP(T2127, 'Fuel Costs'!$A$2:$C$42, 2, 0)), T2127, VLOOKUP(T2127, 'Fuel Costs'!$A$2:$C$42, 2, 0))) / IF(ISBLANK(O2127), 1, O2127))) * 100</f>
        <v>0.1325</v>
      </c>
      <c r="J2127" s="2" t="n">
        <f aca="false">((H2127 / 800) / (IF(ISBLANK(S2127), 100, IF(ISNA(VLOOKUP(S2127, Lives!$A$2:$C$35, 2, 0)), S2127, VLOOKUP(S2127, Lives!$A$2:$C$35, 2, 0))) * 12) + (IF(ISBLANK(Q2127), 0, IF(ISNA(VLOOKUP(Q2127, Wages!$A$2:$C$17, 2, 0)), Q2127, VLOOKUP(Q2127, Wages!$A$2:$C$17, 2, 0))) * IF(ISBLANK(N2127), 0, IF(ISNA(VLOOKUP(N2127, Crews!$A$2:$C$28, 2, 0)), N2127, VLOOKUP(N2127, Crews!$A$2:$C$28, 2, 0))))) * 400</f>
        <v>1514.285714</v>
      </c>
      <c r="K2127" s="1"/>
      <c r="L2127" s="1" t="s">
        <v>4176</v>
      </c>
      <c r="M2127" s="1" t="n">
        <v>5</v>
      </c>
      <c r="N2127" s="1"/>
      <c r="O2127" s="1"/>
      <c r="P2127" s="1"/>
      <c r="Q2127" s="1"/>
      <c r="R2127" s="1" t="s">
        <v>689</v>
      </c>
      <c r="S2127" s="1" t="s">
        <v>856</v>
      </c>
      <c r="T2127" s="1"/>
    </row>
    <row r="2128" customFormat="false" ht="15" hidden="false" customHeight="true" outlineLevel="0" collapsed="false">
      <c r="A2128" s="1" t="s">
        <v>4185</v>
      </c>
      <c r="B2128" s="1" t="n">
        <v>1962</v>
      </c>
      <c r="C2128" s="1" t="n">
        <v>12</v>
      </c>
      <c r="D2128" s="1" t="s">
        <v>38</v>
      </c>
      <c r="E2128" s="1" t="s">
        <v>1346</v>
      </c>
      <c r="F2128" s="1" t="n">
        <v>1059</v>
      </c>
      <c r="G2128" s="1" t="n">
        <v>145</v>
      </c>
      <c r="H2128" s="2" t="n">
        <v>5040000</v>
      </c>
      <c r="I2128" s="2" t="n">
        <f aca="false">(((H2128 / 800) / IF(ISBLANK(R2128), 1000000, IF(ISNA(VLOOKUP(R2128, Mileages!$A$2:$C$34, 2, 0)), R2128, VLOOKUP(R2128, Mileages!$A$2:$C$34, 2, 0)))) + (F2128 * IF(ISBLANK(P2128), 1, P2128) * IF(ISBLANK(T2128), 0, IF(ISNA(VLOOKUP(T2128, 'Fuel Costs'!$A$2:$C$42, 2, 0)), T2128, VLOOKUP(T2128, 'Fuel Costs'!$A$2:$C$42, 2, 0))) / IF(ISBLANK(O2128), 1, O2128))) * 100</f>
        <v>159.48</v>
      </c>
      <c r="J2128" s="2" t="n">
        <f aca="false">((H2128 / 800) / (IF(ISBLANK(S2128), 100, IF(ISNA(VLOOKUP(S2128, Lives!$A$2:$C$35, 2, 0)), S2128, VLOOKUP(S2128, Lives!$A$2:$C$35, 2, 0))) * 12) + (IF(ISBLANK(Q2128), 0, IF(ISNA(VLOOKUP(Q2128, Wages!$A$2:$C$17, 2, 0)), Q2128, VLOOKUP(Q2128, Wages!$A$2:$C$17, 2, 0))) * IF(ISBLANK(N2128), 0, IF(ISNA(VLOOKUP(N2128, Crews!$A$2:$C$28, 2, 0)), N2128, VLOOKUP(N2128, Crews!$A$2:$C$28, 2, 0))))) * 400</f>
        <v>13500</v>
      </c>
      <c r="K2128" s="3" t="s">
        <v>4186</v>
      </c>
      <c r="L2128" s="1" t="s">
        <v>4187</v>
      </c>
      <c r="M2128" s="1" t="n">
        <v>0</v>
      </c>
      <c r="N2128" s="1" t="s">
        <v>1488</v>
      </c>
      <c r="O2128" s="1" t="n">
        <v>1</v>
      </c>
      <c r="P2128" s="1"/>
      <c r="Q2128" s="1" t="str">
        <f aca="false">IF(ISBLANK('Pak128 Britain In'!$N2128),,'Pak128 Britain In'!$N2128)</f>
        <v>ElectricDriverRail</v>
      </c>
      <c r="R2128" s="1" t="s">
        <v>1349</v>
      </c>
      <c r="S2128" s="1" t="s">
        <v>1349</v>
      </c>
      <c r="T2128" s="1" t="s">
        <v>4101</v>
      </c>
    </row>
    <row r="2129" customFormat="false" ht="15" hidden="false" customHeight="true" outlineLevel="0" collapsed="false">
      <c r="A2129" s="1" t="s">
        <v>4188</v>
      </c>
      <c r="B2129" s="1" t="n">
        <v>1963</v>
      </c>
      <c r="C2129" s="1" t="n">
        <v>1</v>
      </c>
      <c r="D2129" s="1" t="s">
        <v>38</v>
      </c>
      <c r="E2129" s="1" t="s">
        <v>2039</v>
      </c>
      <c r="F2129" s="1" t="n">
        <v>1010</v>
      </c>
      <c r="G2129" s="1" t="n">
        <v>130</v>
      </c>
      <c r="H2129" s="2"/>
      <c r="I2129" s="2" t="n">
        <f aca="false">(((H2129 / 800) / IF(ISBLANK(R2129), 1000000, IF(ISNA(VLOOKUP(R2129, Mileages!$A$2:$C$34, 2, 0)), R2129, VLOOKUP(R2129, Mileages!$A$2:$C$34, 2, 0)))) + (F2129 * IF(ISBLANK(P2129), 1, P2129) * IF(ISBLANK(T2129), 0, IF(ISNA(VLOOKUP(T2129, 'Fuel Costs'!$A$2:$C$42, 2, 0)), T2129, VLOOKUP(T2129, 'Fuel Costs'!$A$2:$C$42, 2, 0))) / IF(ISBLANK(O2129), 1, O2129))) * 100</f>
        <v>505</v>
      </c>
      <c r="J2129" s="2" t="n">
        <f aca="false">((H2129 / 800) / (IF(ISBLANK(S2129), 100, IF(ISNA(VLOOKUP(S2129, Lives!$A$2:$C$35, 2, 0)), S2129, VLOOKUP(S2129, Lives!$A$2:$C$35, 2, 0))) * 12) + (IF(ISBLANK(Q2129), 0, IF(ISNA(VLOOKUP(Q2129, Wages!$A$2:$C$17, 2, 0)), Q2129, VLOOKUP(Q2129, Wages!$A$2:$C$17, 2, 0))) * IF(ISBLANK(N2129), 0, IF(ISNA(VLOOKUP(N2129, Crews!$A$2:$C$28, 2, 0)), N2129, VLOOKUP(N2129, Crews!$A$2:$C$28, 2, 0))))) * 400</f>
        <v>10000</v>
      </c>
      <c r="K2129" s="1" t="s">
        <v>3973</v>
      </c>
      <c r="L2129" s="1" t="s">
        <v>4189</v>
      </c>
      <c r="M2129" s="1" t="n">
        <v>0</v>
      </c>
      <c r="N2129" s="1" t="s">
        <v>1488</v>
      </c>
      <c r="O2129" s="1" t="n">
        <v>0.8</v>
      </c>
      <c r="P2129" s="1"/>
      <c r="Q2129" s="1" t="s">
        <v>1488</v>
      </c>
      <c r="R2129" s="1" t="s">
        <v>4088</v>
      </c>
      <c r="S2129" s="1" t="s">
        <v>4088</v>
      </c>
      <c r="T2129" s="1" t="s">
        <v>4079</v>
      </c>
    </row>
    <row r="2130" customFormat="false" ht="15" hidden="false" customHeight="true" outlineLevel="0" collapsed="false">
      <c r="A2130" s="1" t="s">
        <v>4190</v>
      </c>
      <c r="B2130" s="1" t="n">
        <v>1963</v>
      </c>
      <c r="C2130" s="1" t="n">
        <v>5</v>
      </c>
      <c r="D2130" s="1" t="s">
        <v>38</v>
      </c>
      <c r="E2130" s="1" t="s">
        <v>2039</v>
      </c>
      <c r="F2130" s="1" t="n">
        <v>343</v>
      </c>
      <c r="G2130" s="1" t="n">
        <v>112</v>
      </c>
      <c r="H2130" s="2" t="n">
        <v>1471000</v>
      </c>
      <c r="I2130" s="2" t="n">
        <f aca="false">(((H2130 / 800) / IF(ISBLANK(R2130), 1000000, IF(ISNA(VLOOKUP(R2130, Mileages!$A$2:$C$34, 2, 0)), R2130, VLOOKUP(R2130, Mileages!$A$2:$C$34, 2, 0)))) + (F2130 * IF(ISBLANK(P2130), 1, P2130) * IF(ISBLANK(T2130), 0, IF(ISNA(VLOOKUP(T2130, 'Fuel Costs'!$A$2:$C$42, 2, 0)), T2130, VLOOKUP(T2130, 'Fuel Costs'!$A$2:$C$42, 2, 0))) / IF(ISBLANK(O2130), 1, O2130))) * 100</f>
        <v>171.683875</v>
      </c>
      <c r="J2130" s="2" t="n">
        <f aca="false">((H2130 / 800) / (IF(ISBLANK(S2130), 100, IF(ISNA(VLOOKUP(S2130, Lives!$A$2:$C$35, 2, 0)), S2130, VLOOKUP(S2130, Lives!$A$2:$C$35, 2, 0))) * 12) + (IF(ISBLANK(Q2130), 0, IF(ISNA(VLOOKUP(Q2130, Wages!$A$2:$C$17, 2, 0)), Q2130, VLOOKUP(Q2130, Wages!$A$2:$C$17, 2, 0))) * IF(ISBLANK(N2130), 0, IF(ISNA(VLOOKUP(N2130, Crews!$A$2:$C$28, 2, 0)), N2130, VLOOKUP(N2130, Crews!$A$2:$C$28, 2, 0))))) * 400</f>
        <v>11021.52778</v>
      </c>
      <c r="K2130" s="3" t="s">
        <v>4191</v>
      </c>
      <c r="L2130" s="1" t="s">
        <v>4192</v>
      </c>
      <c r="M2130" s="1" t="n">
        <v>0</v>
      </c>
      <c r="N2130" s="1" t="s">
        <v>1488</v>
      </c>
      <c r="O2130" s="1" t="n">
        <v>0.8</v>
      </c>
      <c r="P2130" s="1"/>
      <c r="Q2130" s="1" t="s">
        <v>1488</v>
      </c>
      <c r="R2130" s="1" t="s">
        <v>4088</v>
      </c>
      <c r="S2130" s="1" t="s">
        <v>4088</v>
      </c>
      <c r="T2130" s="1" t="s">
        <v>4079</v>
      </c>
    </row>
    <row r="2131" customFormat="false" ht="15" hidden="false" customHeight="true" outlineLevel="0" collapsed="false">
      <c r="A2131" s="1" t="s">
        <v>4193</v>
      </c>
      <c r="B2131" s="1" t="n">
        <v>1963</v>
      </c>
      <c r="C2131" s="1" t="n">
        <v>5</v>
      </c>
      <c r="D2131" s="1" t="s">
        <v>38</v>
      </c>
      <c r="E2131" s="1"/>
      <c r="F2131" s="1" t="n">
        <v>0</v>
      </c>
      <c r="G2131" s="1" t="n">
        <v>112</v>
      </c>
      <c r="H2131" s="2" t="n">
        <v>602100</v>
      </c>
      <c r="I2131" s="2" t="n">
        <f aca="false">(((H2131 / 800) / IF(ISBLANK(R2131), 1000000, IF(ISNA(VLOOKUP(R2131, Mileages!$A$2:$C$34, 2, 0)), R2131, VLOOKUP(R2131, Mileages!$A$2:$C$34, 2, 0)))) + (F2131 * IF(ISBLANK(P2131), 1, P2131) * IF(ISBLANK(T2131), 0, IF(ISNA(VLOOKUP(T2131, 'Fuel Costs'!$A$2:$C$42, 2, 0)), T2131, VLOOKUP(T2131, 'Fuel Costs'!$A$2:$C$42, 2, 0))) / IF(ISBLANK(O2131), 1, O2131))) * 100</f>
        <v>0.06271875</v>
      </c>
      <c r="J2131" s="2" t="n">
        <f aca="false">((H2131 / 800) / (IF(ISBLANK(S2131), 100, IF(ISNA(VLOOKUP(S2131, Lives!$A$2:$C$35, 2, 0)), S2131, VLOOKUP(S2131, Lives!$A$2:$C$35, 2, 0))) * 12) + (IF(ISBLANK(Q2131), 0, IF(ISNA(VLOOKUP(Q2131, Wages!$A$2:$C$17, 2, 0)), Q2131, VLOOKUP(Q2131, Wages!$A$2:$C$17, 2, 0))) * IF(ISBLANK(N2131), 0, IF(ISNA(VLOOKUP(N2131, Crews!$A$2:$C$28, 2, 0)), N2131, VLOOKUP(N2131, Crews!$A$2:$C$28, 2, 0))))) * 400</f>
        <v>716.7857143</v>
      </c>
      <c r="K2131" s="1" t="s">
        <v>4048</v>
      </c>
      <c r="L2131" s="1" t="s">
        <v>4192</v>
      </c>
      <c r="M2131" s="1" t="n">
        <v>1</v>
      </c>
      <c r="N2131" s="1"/>
      <c r="O2131" s="1"/>
      <c r="P2131" s="1"/>
      <c r="Q2131" s="1"/>
      <c r="R2131" s="1" t="s">
        <v>689</v>
      </c>
      <c r="S2131" s="1" t="s">
        <v>856</v>
      </c>
      <c r="T2131" s="1"/>
    </row>
    <row r="2132" customFormat="false" ht="15" hidden="false" customHeight="true" outlineLevel="0" collapsed="false">
      <c r="A2132" s="1" t="s">
        <v>4194</v>
      </c>
      <c r="B2132" s="1" t="n">
        <v>1963</v>
      </c>
      <c r="C2132" s="1" t="n">
        <v>5</v>
      </c>
      <c r="D2132" s="1" t="s">
        <v>38</v>
      </c>
      <c r="E2132" s="1"/>
      <c r="F2132" s="1" t="n">
        <v>0</v>
      </c>
      <c r="G2132" s="1" t="n">
        <v>112</v>
      </c>
      <c r="H2132" s="2" t="n">
        <v>602100</v>
      </c>
      <c r="I2132" s="2" t="n">
        <f aca="false">(((H2132 / 800) / IF(ISBLANK(R2132), 1000000, IF(ISNA(VLOOKUP(R2132, Mileages!$A$2:$C$34, 2, 0)), R2132, VLOOKUP(R2132, Mileages!$A$2:$C$34, 2, 0)))) + (F2132 * IF(ISBLANK(P2132), 1, P2132) * IF(ISBLANK(T2132), 0, IF(ISNA(VLOOKUP(T2132, 'Fuel Costs'!$A$2:$C$42, 2, 0)), T2132, VLOOKUP(T2132, 'Fuel Costs'!$A$2:$C$42, 2, 0))) / IF(ISBLANK(O2132), 1, O2132))) * 100</f>
        <v>0.06271875</v>
      </c>
      <c r="J2132" s="2" t="n">
        <f aca="false">((H2132 / 800) / (IF(ISBLANK(S2132), 100, IF(ISNA(VLOOKUP(S2132, Lives!$A$2:$C$35, 2, 0)), S2132, VLOOKUP(S2132, Lives!$A$2:$C$35, 2, 0))) * 12) + (IF(ISBLANK(Q2132), 0, IF(ISNA(VLOOKUP(Q2132, Wages!$A$2:$C$17, 2, 0)), Q2132, VLOOKUP(Q2132, Wages!$A$2:$C$17, 2, 0))) * IF(ISBLANK(N2132), 0, IF(ISNA(VLOOKUP(N2132, Crews!$A$2:$C$28, 2, 0)), N2132, VLOOKUP(N2132, Crews!$A$2:$C$28, 2, 0))))) * 400</f>
        <v>716.7857143</v>
      </c>
      <c r="K2132" s="1" t="s">
        <v>4048</v>
      </c>
      <c r="L2132" s="1" t="s">
        <v>4192</v>
      </c>
      <c r="M2132" s="1" t="n">
        <v>2</v>
      </c>
      <c r="N2132" s="1"/>
      <c r="O2132" s="1"/>
      <c r="P2132" s="1"/>
      <c r="Q2132" s="1"/>
      <c r="R2132" s="1" t="s">
        <v>689</v>
      </c>
      <c r="S2132" s="1" t="s">
        <v>856</v>
      </c>
      <c r="T2132" s="1"/>
    </row>
    <row r="2133" customFormat="false" ht="15" hidden="false" customHeight="true" outlineLevel="0" collapsed="false">
      <c r="A2133" s="1" t="s">
        <v>4195</v>
      </c>
      <c r="B2133" s="1" t="n">
        <v>1963</v>
      </c>
      <c r="C2133" s="1" t="n">
        <v>5</v>
      </c>
      <c r="D2133" s="1" t="s">
        <v>38</v>
      </c>
      <c r="E2133" s="1"/>
      <c r="F2133" s="1" t="n">
        <v>0</v>
      </c>
      <c r="G2133" s="1" t="n">
        <v>112</v>
      </c>
      <c r="H2133" s="2" t="n">
        <v>758000</v>
      </c>
      <c r="I2133" s="2" t="n">
        <f aca="false">(((H2133 / 800) / IF(ISBLANK(R2133), 1000000, IF(ISNA(VLOOKUP(R2133, Mileages!$A$2:$C$34, 2, 0)), R2133, VLOOKUP(R2133, Mileages!$A$2:$C$34, 2, 0)))) + (F2133 * IF(ISBLANK(P2133), 1, P2133) * IF(ISBLANK(T2133), 0, IF(ISNA(VLOOKUP(T2133, 'Fuel Costs'!$A$2:$C$42, 2, 0)), T2133, VLOOKUP(T2133, 'Fuel Costs'!$A$2:$C$42, 2, 0))) / IF(ISBLANK(O2133), 1, O2133))) * 100</f>
        <v>0.07895833333</v>
      </c>
      <c r="J2133" s="2" t="n">
        <f aca="false">((H2133 / 800) / (IF(ISBLANK(S2133), 100, IF(ISNA(VLOOKUP(S2133, Lives!$A$2:$C$35, 2, 0)), S2133, VLOOKUP(S2133, Lives!$A$2:$C$35, 2, 0))) * 12) + (IF(ISBLANK(Q2133), 0, IF(ISNA(VLOOKUP(Q2133, Wages!$A$2:$C$17, 2, 0)), Q2133, VLOOKUP(Q2133, Wages!$A$2:$C$17, 2, 0))) * IF(ISBLANK(N2133), 0, IF(ISNA(VLOOKUP(N2133, Crews!$A$2:$C$28, 2, 0)), N2133, VLOOKUP(N2133, Crews!$A$2:$C$28, 2, 0))))) * 400</f>
        <v>902.3809524</v>
      </c>
      <c r="K2133" s="3" t="s">
        <v>4196</v>
      </c>
      <c r="L2133" s="1" t="s">
        <v>4192</v>
      </c>
      <c r="M2133" s="1" t="n">
        <v>3</v>
      </c>
      <c r="N2133" s="1"/>
      <c r="O2133" s="1"/>
      <c r="P2133" s="1"/>
      <c r="Q2133" s="1"/>
      <c r="R2133" s="1" t="s">
        <v>689</v>
      </c>
      <c r="S2133" s="1" t="s">
        <v>856</v>
      </c>
      <c r="T2133" s="1"/>
    </row>
    <row r="2134" customFormat="false" ht="15" hidden="false" customHeight="true" outlineLevel="0" collapsed="false">
      <c r="A2134" s="1" t="s">
        <v>4197</v>
      </c>
      <c r="B2134" s="1" t="n">
        <v>1963</v>
      </c>
      <c r="C2134" s="1" t="n">
        <v>5</v>
      </c>
      <c r="D2134" s="1" t="s">
        <v>38</v>
      </c>
      <c r="E2134" s="1" t="s">
        <v>2039</v>
      </c>
      <c r="F2134" s="1" t="n">
        <v>343</v>
      </c>
      <c r="G2134" s="1" t="n">
        <v>112</v>
      </c>
      <c r="H2134" s="2" t="n">
        <v>1471000</v>
      </c>
      <c r="I2134" s="2" t="n">
        <f aca="false">(((H2134 / 800) / IF(ISBLANK(R2134), 1000000, IF(ISNA(VLOOKUP(R2134, Mileages!$A$2:$C$34, 2, 0)), R2134, VLOOKUP(R2134, Mileages!$A$2:$C$34, 2, 0)))) + (F2134 * IF(ISBLANK(P2134), 1, P2134) * IF(ISBLANK(T2134), 0, IF(ISNA(VLOOKUP(T2134, 'Fuel Costs'!$A$2:$C$42, 2, 0)), T2134, VLOOKUP(T2134, 'Fuel Costs'!$A$2:$C$42, 2, 0))) / IF(ISBLANK(O2134), 1, O2134))) * 100</f>
        <v>171.683875</v>
      </c>
      <c r="J2134" s="2" t="n">
        <f aca="false">((H2134 / 800) / (IF(ISBLANK(S2134), 100, IF(ISNA(VLOOKUP(S2134, Lives!$A$2:$C$35, 2, 0)), S2134, VLOOKUP(S2134, Lives!$A$2:$C$35, 2, 0))) * 12) + (IF(ISBLANK(Q2134), 0, IF(ISNA(VLOOKUP(Q2134, Wages!$A$2:$C$17, 2, 0)), Q2134, VLOOKUP(Q2134, Wages!$A$2:$C$17, 2, 0))) * IF(ISBLANK(N2134), 0, IF(ISNA(VLOOKUP(N2134, Crews!$A$2:$C$28, 2, 0)), N2134, VLOOKUP(N2134, Crews!$A$2:$C$28, 2, 0))))) * 400</f>
        <v>11021.52778</v>
      </c>
      <c r="K2134" s="1" t="s">
        <v>4048</v>
      </c>
      <c r="L2134" s="1" t="s">
        <v>4192</v>
      </c>
      <c r="M2134" s="1" t="n">
        <v>4</v>
      </c>
      <c r="N2134" s="1" t="s">
        <v>1488</v>
      </c>
      <c r="O2134" s="1" t="n">
        <v>0.8</v>
      </c>
      <c r="P2134" s="1"/>
      <c r="Q2134" s="1" t="s">
        <v>1488</v>
      </c>
      <c r="R2134" s="1" t="s">
        <v>4088</v>
      </c>
      <c r="S2134" s="1" t="s">
        <v>4088</v>
      </c>
      <c r="T2134" s="1" t="s">
        <v>4079</v>
      </c>
    </row>
    <row r="2135" customFormat="false" ht="15" hidden="false" customHeight="true" outlineLevel="0" collapsed="false">
      <c r="A2135" s="1" t="s">
        <v>4198</v>
      </c>
      <c r="B2135" s="1" t="n">
        <v>1964</v>
      </c>
      <c r="C2135" s="1" t="n">
        <v>1</v>
      </c>
      <c r="D2135" s="1" t="s">
        <v>38</v>
      </c>
      <c r="E2135" s="1"/>
      <c r="F2135" s="1"/>
      <c r="G2135" s="1" t="n">
        <v>120</v>
      </c>
      <c r="H2135" s="2" t="n">
        <v>597000</v>
      </c>
      <c r="I2135" s="2" t="n">
        <f aca="false">(((H2135 / 800) / IF(ISBLANK(R2135), 1000000, IF(ISNA(VLOOKUP(R2135, Mileages!$A$2:$C$34, 2, 0)), R2135, VLOOKUP(R2135, Mileages!$A$2:$C$34, 2, 0)))) + (F2135 * IF(ISBLANK(P2135), 1, P2135) * IF(ISBLANK(T2135), 0, IF(ISNA(VLOOKUP(T2135, 'Fuel Costs'!$A$2:$C$42, 2, 0)), T2135, VLOOKUP(T2135, 'Fuel Costs'!$A$2:$C$42, 2, 0))) / IF(ISBLANK(O2135), 1, O2135))) * 100</f>
        <v>0.0621875</v>
      </c>
      <c r="J2135" s="2" t="n">
        <f aca="false">((H2135 / 800) / (IF(ISBLANK(S2135), 100, IF(ISNA(VLOOKUP(S2135, Lives!$A$2:$C$35, 2, 0)), S2135, VLOOKUP(S2135, Lives!$A$2:$C$35, 2, 0))) * 12) + (IF(ISBLANK(Q2135), 0, IF(ISNA(VLOOKUP(Q2135, Wages!$A$2:$C$17, 2, 0)), Q2135, VLOOKUP(Q2135, Wages!$A$2:$C$17, 2, 0))) * IF(ISBLANK(N2135), 0, IF(ISNA(VLOOKUP(N2135, Crews!$A$2:$C$28, 2, 0)), N2135, VLOOKUP(N2135, Crews!$A$2:$C$28, 2, 0))))) * 400</f>
        <v>497.5</v>
      </c>
      <c r="K2135" s="1"/>
      <c r="L2135" s="1" t="s">
        <v>4199</v>
      </c>
      <c r="M2135" s="1" t="n">
        <v>1</v>
      </c>
      <c r="N2135" s="1"/>
      <c r="O2135" s="1"/>
      <c r="P2135" s="1"/>
      <c r="Q2135" s="1"/>
      <c r="R2135" s="1" t="s">
        <v>689</v>
      </c>
      <c r="S2135" s="1" t="s">
        <v>785</v>
      </c>
      <c r="T2135" s="1"/>
    </row>
    <row r="2136" customFormat="false" ht="15" hidden="false" customHeight="true" outlineLevel="0" collapsed="false">
      <c r="A2136" s="1" t="s">
        <v>4200</v>
      </c>
      <c r="B2136" s="1" t="n">
        <v>1964</v>
      </c>
      <c r="C2136" s="1" t="n">
        <v>1</v>
      </c>
      <c r="D2136" s="1" t="s">
        <v>38</v>
      </c>
      <c r="E2136" s="1"/>
      <c r="F2136" s="1"/>
      <c r="G2136" s="1" t="n">
        <v>120</v>
      </c>
      <c r="H2136" s="2" t="n">
        <v>597000</v>
      </c>
      <c r="I2136" s="2" t="n">
        <f aca="false">(((H2136 / 800) / IF(ISBLANK(R2136), 1000000, IF(ISNA(VLOOKUP(R2136, Mileages!$A$2:$C$34, 2, 0)), R2136, VLOOKUP(R2136, Mileages!$A$2:$C$34, 2, 0)))) + (F2136 * IF(ISBLANK(P2136), 1, P2136) * IF(ISBLANK(T2136), 0, IF(ISNA(VLOOKUP(T2136, 'Fuel Costs'!$A$2:$C$42, 2, 0)), T2136, VLOOKUP(T2136, 'Fuel Costs'!$A$2:$C$42, 2, 0))) / IF(ISBLANK(O2136), 1, O2136))) * 100</f>
        <v>0.0621875</v>
      </c>
      <c r="J2136" s="2" t="n">
        <f aca="false">((H2136 / 800) / (IF(ISBLANK(S2136), 100, IF(ISNA(VLOOKUP(S2136, Lives!$A$2:$C$35, 2, 0)), S2136, VLOOKUP(S2136, Lives!$A$2:$C$35, 2, 0))) * 12) + (IF(ISBLANK(Q2136), 0, IF(ISNA(VLOOKUP(Q2136, Wages!$A$2:$C$17, 2, 0)), Q2136, VLOOKUP(Q2136, Wages!$A$2:$C$17, 2, 0))) * IF(ISBLANK(N2136), 0, IF(ISNA(VLOOKUP(N2136, Crews!$A$2:$C$28, 2, 0)), N2136, VLOOKUP(N2136, Crews!$A$2:$C$28, 2, 0))))) * 400</f>
        <v>497.5</v>
      </c>
      <c r="K2136" s="1"/>
      <c r="L2136" s="1" t="s">
        <v>4199</v>
      </c>
      <c r="M2136" s="1" t="n">
        <v>2</v>
      </c>
      <c r="N2136" s="1"/>
      <c r="O2136" s="1"/>
      <c r="P2136" s="1"/>
      <c r="Q2136" s="1"/>
      <c r="R2136" s="1" t="s">
        <v>689</v>
      </c>
      <c r="S2136" s="1" t="s">
        <v>785</v>
      </c>
      <c r="T2136" s="1"/>
    </row>
    <row r="2137" customFormat="false" ht="15" hidden="false" customHeight="true" outlineLevel="0" collapsed="false">
      <c r="A2137" s="1" t="s">
        <v>4201</v>
      </c>
      <c r="B2137" s="1" t="n">
        <v>1964</v>
      </c>
      <c r="C2137" s="1" t="n">
        <v>1</v>
      </c>
      <c r="D2137" s="1" t="s">
        <v>38</v>
      </c>
      <c r="E2137" s="1"/>
      <c r="F2137" s="1"/>
      <c r="G2137" s="1" t="n">
        <v>120</v>
      </c>
      <c r="H2137" s="2" t="n">
        <v>597000</v>
      </c>
      <c r="I2137" s="2" t="n">
        <f aca="false">(((H2137 / 800) / IF(ISBLANK(R2137), 1000000, IF(ISNA(VLOOKUP(R2137, Mileages!$A$2:$C$34, 2, 0)), R2137, VLOOKUP(R2137, Mileages!$A$2:$C$34, 2, 0)))) + (F2137 * IF(ISBLANK(P2137), 1, P2137) * IF(ISBLANK(T2137), 0, IF(ISNA(VLOOKUP(T2137, 'Fuel Costs'!$A$2:$C$42, 2, 0)), T2137, VLOOKUP(T2137, 'Fuel Costs'!$A$2:$C$42, 2, 0))) / IF(ISBLANK(O2137), 1, O2137))) * 100</f>
        <v>0.0621875</v>
      </c>
      <c r="J2137" s="2" t="n">
        <f aca="false">((H2137 / 800) / (IF(ISBLANK(S2137), 100, IF(ISNA(VLOOKUP(S2137, Lives!$A$2:$C$35, 2, 0)), S2137, VLOOKUP(S2137, Lives!$A$2:$C$35, 2, 0))) * 12) + (IF(ISBLANK(Q2137), 0, IF(ISNA(VLOOKUP(Q2137, Wages!$A$2:$C$17, 2, 0)), Q2137, VLOOKUP(Q2137, Wages!$A$2:$C$17, 2, 0))) * IF(ISBLANK(N2137), 0, IF(ISNA(VLOOKUP(N2137, Crews!$A$2:$C$28, 2, 0)), N2137, VLOOKUP(N2137, Crews!$A$2:$C$28, 2, 0))))) * 400</f>
        <v>497.5</v>
      </c>
      <c r="K2137" s="1"/>
      <c r="L2137" s="1" t="s">
        <v>4199</v>
      </c>
      <c r="M2137" s="1" t="n">
        <v>3</v>
      </c>
      <c r="N2137" s="1"/>
      <c r="O2137" s="1"/>
      <c r="P2137" s="1"/>
      <c r="Q2137" s="1"/>
      <c r="R2137" s="1" t="s">
        <v>689</v>
      </c>
      <c r="S2137" s="1" t="s">
        <v>785</v>
      </c>
      <c r="T2137" s="1"/>
    </row>
    <row r="2138" customFormat="false" ht="15" hidden="false" customHeight="true" outlineLevel="0" collapsed="false">
      <c r="A2138" s="1" t="s">
        <v>4202</v>
      </c>
      <c r="B2138" s="1" t="n">
        <v>1964</v>
      </c>
      <c r="C2138" s="1" t="n">
        <v>2</v>
      </c>
      <c r="D2138" s="1" t="s">
        <v>2225</v>
      </c>
      <c r="E2138" s="1" t="s">
        <v>3660</v>
      </c>
      <c r="F2138" s="1" t="n">
        <v>33480</v>
      </c>
      <c r="G2138" s="1" t="n">
        <v>851</v>
      </c>
      <c r="H2138" s="2" t="n">
        <v>45000000</v>
      </c>
      <c r="I2138" s="2" t="n">
        <f aca="false">(((H2138 / 800) / IF(ISBLANK(R2138), 1000000, IF(ISNA(VLOOKUP(R2138, Mileages!$A$2:$C$34, 2, 0)), R2138, VLOOKUP(R2138, Mileages!$A$2:$C$34, 2, 0)))) + (F2138 * IF(ISBLANK(P2138), 1, P2138) * IF(ISBLANK(T2138), 0, IF(ISNA(VLOOKUP(T2138, 'Fuel Costs'!$A$2:$C$42, 2, 0)), T2138, VLOOKUP(T2138, 'Fuel Costs'!$A$2:$C$42, 2, 0))) / IF(ISBLANK(O2138), 1, O2138))) * 100</f>
        <v>202.005</v>
      </c>
      <c r="J2138" s="2" t="n">
        <f aca="false">((H2138 / 800) / (IF(ISBLANK(S2138), 100, IF(ISNA(VLOOKUP(S2138, Lives!$A$2:$C$35, 2, 0)), S2138, VLOOKUP(S2138, Lives!$A$2:$C$35, 2, 0))) * 12) + (IF(ISBLANK(Q2138), 0, IF(ISNA(VLOOKUP(Q2138, Wages!$A$2:$C$17, 2, 0)), Q2138, VLOOKUP(Q2138, Wages!$A$2:$C$17, 2, 0))) * IF(ISBLANK(N2138), 0, IF(ISNA(VLOOKUP(N2138, Crews!$A$2:$C$28, 2, 0)), N2138, VLOOKUP(N2138, Crews!$A$2:$C$28, 2, 0))))) * 400</f>
        <v>51250</v>
      </c>
      <c r="K2138" s="3" t="s">
        <v>4203</v>
      </c>
      <c r="L2138" s="1" t="s">
        <v>4204</v>
      </c>
      <c r="M2138" s="1" t="n">
        <v>0</v>
      </c>
      <c r="N2138" s="1" t="s">
        <v>3570</v>
      </c>
      <c r="O2138" s="1"/>
      <c r="P2138" s="1" t="n">
        <v>0.02</v>
      </c>
      <c r="Q2138" s="1" t="s">
        <v>2229</v>
      </c>
      <c r="R2138" s="1" t="s">
        <v>2229</v>
      </c>
      <c r="S2138" s="1" t="s">
        <v>2229</v>
      </c>
      <c r="T2138" s="1" t="s">
        <v>4074</v>
      </c>
    </row>
    <row r="2139" customFormat="false" ht="15" hidden="false" customHeight="true" outlineLevel="0" collapsed="false">
      <c r="A2139" s="1" t="s">
        <v>4205</v>
      </c>
      <c r="B2139" s="1" t="n">
        <v>1964</v>
      </c>
      <c r="C2139" s="1" t="n">
        <v>2</v>
      </c>
      <c r="D2139" s="1" t="s">
        <v>2225</v>
      </c>
      <c r="E2139" s="1" t="s">
        <v>3660</v>
      </c>
      <c r="F2139" s="1" t="n">
        <v>33480</v>
      </c>
      <c r="G2139" s="1" t="n">
        <v>851</v>
      </c>
      <c r="H2139" s="2" t="n">
        <v>45000000</v>
      </c>
      <c r="I2139" s="2" t="n">
        <f aca="false">(((H2139 / 800) / IF(ISBLANK(R2139), 1000000, IF(ISNA(VLOOKUP(R2139, Mileages!$A$2:$C$34, 2, 0)), R2139, VLOOKUP(R2139, Mileages!$A$2:$C$34, 2, 0)))) + (F2139 * IF(ISBLANK(P2139), 1, P2139) * IF(ISBLANK(T2139), 0, IF(ISNA(VLOOKUP(T2139, 'Fuel Costs'!$A$2:$C$42, 2, 0)), T2139, VLOOKUP(T2139, 'Fuel Costs'!$A$2:$C$42, 2, 0))) / IF(ISBLANK(O2139), 1, O2139))) * 100</f>
        <v>202.005</v>
      </c>
      <c r="J2139" s="2" t="n">
        <f aca="false">((H2139 / 800) / (IF(ISBLANK(S2139), 100, IF(ISNA(VLOOKUP(S2139, Lives!$A$2:$C$35, 2, 0)), S2139, VLOOKUP(S2139, Lives!$A$2:$C$35, 2, 0))) * 12) + (IF(ISBLANK(Q2139), 0, IF(ISNA(VLOOKUP(Q2139, Wages!$A$2:$C$17, 2, 0)), Q2139, VLOOKUP(Q2139, Wages!$A$2:$C$17, 2, 0))) * IF(ISBLANK(N2139), 0, IF(ISNA(VLOOKUP(N2139, Crews!$A$2:$C$28, 2, 0)), N2139, VLOOKUP(N2139, Crews!$A$2:$C$28, 2, 0))))) * 400</f>
        <v>51250</v>
      </c>
      <c r="K2139" s="3" t="s">
        <v>4206</v>
      </c>
      <c r="L2139" s="1" t="s">
        <v>4207</v>
      </c>
      <c r="M2139" s="1" t="n">
        <v>0</v>
      </c>
      <c r="N2139" s="1" t="s">
        <v>3570</v>
      </c>
      <c r="O2139" s="1"/>
      <c r="P2139" s="1" t="n">
        <v>0.02</v>
      </c>
      <c r="Q2139" s="1" t="s">
        <v>2229</v>
      </c>
      <c r="R2139" s="1" t="s">
        <v>2229</v>
      </c>
      <c r="S2139" s="1" t="s">
        <v>2229</v>
      </c>
      <c r="T2139" s="1" t="s">
        <v>4074</v>
      </c>
    </row>
    <row r="2140" customFormat="false" ht="15" hidden="false" customHeight="true" outlineLevel="0" collapsed="false">
      <c r="A2140" s="1" t="s">
        <v>4208</v>
      </c>
      <c r="B2140" s="1" t="n">
        <v>1964</v>
      </c>
      <c r="C2140" s="1" t="n">
        <v>2</v>
      </c>
      <c r="D2140" s="1" t="s">
        <v>2225</v>
      </c>
      <c r="E2140" s="1" t="s">
        <v>3660</v>
      </c>
      <c r="F2140" s="1" t="n">
        <v>33480</v>
      </c>
      <c r="G2140" s="1" t="n">
        <v>851</v>
      </c>
      <c r="H2140" s="2" t="n">
        <v>45000000</v>
      </c>
      <c r="I2140" s="2" t="n">
        <f aca="false">(((H2140 / 800) / IF(ISBLANK(R2140), 1000000, IF(ISNA(VLOOKUP(R2140, Mileages!$A$2:$C$34, 2, 0)), R2140, VLOOKUP(R2140, Mileages!$A$2:$C$34, 2, 0)))) + (F2140 * IF(ISBLANK(P2140), 1, P2140) * IF(ISBLANK(T2140), 0, IF(ISNA(VLOOKUP(T2140, 'Fuel Costs'!$A$2:$C$42, 2, 0)), T2140, VLOOKUP(T2140, 'Fuel Costs'!$A$2:$C$42, 2, 0))) / IF(ISBLANK(O2140), 1, O2140))) * 100</f>
        <v>202.005</v>
      </c>
      <c r="J2140" s="2" t="n">
        <f aca="false">((H2140 / 800) / (IF(ISBLANK(S2140), 100, IF(ISNA(VLOOKUP(S2140, Lives!$A$2:$C$35, 2, 0)), S2140, VLOOKUP(S2140, Lives!$A$2:$C$35, 2, 0))) * 12) + (IF(ISBLANK(Q2140), 0, IF(ISNA(VLOOKUP(Q2140, Wages!$A$2:$C$17, 2, 0)), Q2140, VLOOKUP(Q2140, Wages!$A$2:$C$17, 2, 0))) * IF(ISBLANK(N2140), 0, IF(ISNA(VLOOKUP(N2140, Crews!$A$2:$C$28, 2, 0)), N2140, VLOOKUP(N2140, Crews!$A$2:$C$28, 2, 0))))) * 400</f>
        <v>51250</v>
      </c>
      <c r="K2140" s="3" t="s">
        <v>4206</v>
      </c>
      <c r="L2140" s="1" t="s">
        <v>4207</v>
      </c>
      <c r="M2140" s="1" t="n">
        <v>1</v>
      </c>
      <c r="N2140" s="1" t="s">
        <v>3570</v>
      </c>
      <c r="O2140" s="1"/>
      <c r="P2140" s="1" t="n">
        <v>0.02</v>
      </c>
      <c r="Q2140" s="1" t="s">
        <v>2229</v>
      </c>
      <c r="R2140" s="1" t="s">
        <v>2229</v>
      </c>
      <c r="S2140" s="1" t="s">
        <v>2229</v>
      </c>
      <c r="T2140" s="1" t="s">
        <v>4074</v>
      </c>
    </row>
    <row r="2141" customFormat="false" ht="15" hidden="false" customHeight="true" outlineLevel="0" collapsed="false">
      <c r="A2141" s="1" t="s">
        <v>4209</v>
      </c>
      <c r="B2141" s="1" t="n">
        <v>1964</v>
      </c>
      <c r="C2141" s="1" t="n">
        <v>2</v>
      </c>
      <c r="D2141" s="1" t="s">
        <v>2225</v>
      </c>
      <c r="E2141" s="1" t="s">
        <v>3660</v>
      </c>
      <c r="F2141" s="1" t="n">
        <v>33480</v>
      </c>
      <c r="G2141" s="1" t="n">
        <v>851</v>
      </c>
      <c r="H2141" s="2" t="n">
        <v>48000000</v>
      </c>
      <c r="I2141" s="2" t="n">
        <f aca="false">(((H2141 / 800) / IF(ISBLANK(R2141), 1000000, IF(ISNA(VLOOKUP(R2141, Mileages!$A$2:$C$34, 2, 0)), R2141, VLOOKUP(R2141, Mileages!$A$2:$C$34, 2, 0)))) + (F2141 * IF(ISBLANK(P2141), 1, P2141) * IF(ISBLANK(T2141), 0, IF(ISNA(VLOOKUP(T2141, 'Fuel Costs'!$A$2:$C$42, 2, 0)), T2141, VLOOKUP(T2141, 'Fuel Costs'!$A$2:$C$42, 2, 0))) / IF(ISBLANK(O2141), 1, O2141))) * 100</f>
        <v>202.08</v>
      </c>
      <c r="J2141" s="2" t="n">
        <f aca="false">((H2141 / 800) / (IF(ISBLANK(S2141), 100, IF(ISNA(VLOOKUP(S2141, Lives!$A$2:$C$35, 2, 0)), S2141, VLOOKUP(S2141, Lives!$A$2:$C$35, 2, 0))) * 12) + (IF(ISBLANK(Q2141), 0, IF(ISNA(VLOOKUP(Q2141, Wages!$A$2:$C$17, 2, 0)), Q2141, VLOOKUP(Q2141, Wages!$A$2:$C$17, 2, 0))) * IF(ISBLANK(N2141), 0, IF(ISNA(VLOOKUP(N2141, Crews!$A$2:$C$28, 2, 0)), N2141, VLOOKUP(N2141, Crews!$A$2:$C$28, 2, 0))))) * 400</f>
        <v>83333.33333</v>
      </c>
      <c r="K2141" s="3" t="s">
        <v>4210</v>
      </c>
      <c r="L2141" s="1" t="s">
        <v>4211</v>
      </c>
      <c r="M2141" s="1" t="n">
        <v>0</v>
      </c>
      <c r="N2141" s="1" t="s">
        <v>2342</v>
      </c>
      <c r="O2141" s="1"/>
      <c r="P2141" s="1" t="n">
        <v>0.02</v>
      </c>
      <c r="Q2141" s="1" t="s">
        <v>2229</v>
      </c>
      <c r="R2141" s="1" t="s">
        <v>2229</v>
      </c>
      <c r="S2141" s="1" t="s">
        <v>2229</v>
      </c>
      <c r="T2141" s="1" t="s">
        <v>4074</v>
      </c>
    </row>
    <row r="2142" customFormat="false" ht="15" hidden="false" customHeight="true" outlineLevel="0" collapsed="false">
      <c r="A2142" s="1" t="s">
        <v>4212</v>
      </c>
      <c r="B2142" s="1" t="n">
        <v>1964</v>
      </c>
      <c r="C2142" s="1" t="n">
        <v>2</v>
      </c>
      <c r="D2142" s="1" t="s">
        <v>2225</v>
      </c>
      <c r="E2142" s="1" t="s">
        <v>3660</v>
      </c>
      <c r="F2142" s="1" t="n">
        <v>33480</v>
      </c>
      <c r="G2142" s="1" t="n">
        <v>851</v>
      </c>
      <c r="H2142" s="2" t="n">
        <v>48000000</v>
      </c>
      <c r="I2142" s="2" t="n">
        <f aca="false">(((H2142 / 800) / IF(ISBLANK(R2142), 1000000, IF(ISNA(VLOOKUP(R2142, Mileages!$A$2:$C$34, 2, 0)), R2142, VLOOKUP(R2142, Mileages!$A$2:$C$34, 2, 0)))) + (F2142 * IF(ISBLANK(P2142), 1, P2142) * IF(ISBLANK(T2142), 0, IF(ISNA(VLOOKUP(T2142, 'Fuel Costs'!$A$2:$C$42, 2, 0)), T2142, VLOOKUP(T2142, 'Fuel Costs'!$A$2:$C$42, 2, 0))) / IF(ISBLANK(O2142), 1, O2142))) * 100</f>
        <v>202.08</v>
      </c>
      <c r="J2142" s="2" t="n">
        <f aca="false">((H2142 / 800) / (IF(ISBLANK(S2142), 100, IF(ISNA(VLOOKUP(S2142, Lives!$A$2:$C$35, 2, 0)), S2142, VLOOKUP(S2142, Lives!$A$2:$C$35, 2, 0))) * 12) + (IF(ISBLANK(Q2142), 0, IF(ISNA(VLOOKUP(Q2142, Wages!$A$2:$C$17, 2, 0)), Q2142, VLOOKUP(Q2142, Wages!$A$2:$C$17, 2, 0))) * IF(ISBLANK(N2142), 0, IF(ISNA(VLOOKUP(N2142, Crews!$A$2:$C$28, 2, 0)), N2142, VLOOKUP(N2142, Crews!$A$2:$C$28, 2, 0))))) * 400</f>
        <v>83333.33333</v>
      </c>
      <c r="K2142" s="3" t="s">
        <v>4210</v>
      </c>
      <c r="L2142" s="1" t="s">
        <v>4211</v>
      </c>
      <c r="M2142" s="1" t="n">
        <v>1</v>
      </c>
      <c r="N2142" s="1" t="s">
        <v>2342</v>
      </c>
      <c r="O2142" s="1"/>
      <c r="P2142" s="1" t="n">
        <v>0.02</v>
      </c>
      <c r="Q2142" s="1" t="s">
        <v>2229</v>
      </c>
      <c r="R2142" s="1" t="s">
        <v>2229</v>
      </c>
      <c r="S2142" s="1" t="s">
        <v>2229</v>
      </c>
      <c r="T2142" s="1" t="s">
        <v>4074</v>
      </c>
    </row>
    <row r="2143" customFormat="false" ht="15" hidden="false" customHeight="true" outlineLevel="0" collapsed="false">
      <c r="A2143" s="1" t="s">
        <v>4213</v>
      </c>
      <c r="B2143" s="1" t="n">
        <v>1964</v>
      </c>
      <c r="C2143" s="1" t="n">
        <v>3</v>
      </c>
      <c r="D2143" s="1" t="s">
        <v>38</v>
      </c>
      <c r="E2143" s="1" t="s">
        <v>2039</v>
      </c>
      <c r="F2143" s="1" t="n">
        <v>1097</v>
      </c>
      <c r="G2143" s="1" t="n">
        <v>145</v>
      </c>
      <c r="H2143" s="2" t="n">
        <v>9450000</v>
      </c>
      <c r="I2143" s="2" t="n">
        <f aca="false">(((H2143 / 800) / IF(ISBLANK(R2143), 1000000, IF(ISNA(VLOOKUP(R2143, Mileages!$A$2:$C$34, 2, 0)), R2143, VLOOKUP(R2143, Mileages!$A$2:$C$34, 2, 0)))) + (F2143 * IF(ISBLANK(P2143), 1, P2143) * IF(ISBLANK(T2143), 0, IF(ISNA(VLOOKUP(T2143, 'Fuel Costs'!$A$2:$C$42, 2, 0)), T2143, VLOOKUP(T2143, 'Fuel Costs'!$A$2:$C$42, 2, 0))) / IF(ISBLANK(O2143), 1, O2143))) * 100</f>
        <v>549.68125</v>
      </c>
      <c r="J2143" s="2" t="n">
        <f aca="false">((H2143 / 800) / (IF(ISBLANK(S2143), 100, IF(ISNA(VLOOKUP(S2143, Lives!$A$2:$C$35, 2, 0)), S2143, VLOOKUP(S2143, Lives!$A$2:$C$35, 2, 0))) * 12) + (IF(ISBLANK(Q2143), 0, IF(ISNA(VLOOKUP(Q2143, Wages!$A$2:$C$17, 2, 0)), Q2143, VLOOKUP(Q2143, Wages!$A$2:$C$17, 2, 0))) * IF(ISBLANK(N2143), 0, IF(ISNA(VLOOKUP(N2143, Crews!$A$2:$C$28, 2, 0)), N2143, VLOOKUP(N2143, Crews!$A$2:$C$28, 2, 0))))) * 400</f>
        <v>16562.5</v>
      </c>
      <c r="K2143" s="1" t="s">
        <v>3895</v>
      </c>
      <c r="L2143" s="1" t="s">
        <v>4214</v>
      </c>
      <c r="M2143" s="1" t="n">
        <v>0</v>
      </c>
      <c r="N2143" s="1" t="s">
        <v>1488</v>
      </c>
      <c r="O2143" s="1" t="n">
        <v>0.8</v>
      </c>
      <c r="P2143" s="1"/>
      <c r="Q2143" s="1" t="s">
        <v>1488</v>
      </c>
      <c r="R2143" s="1" t="s">
        <v>4088</v>
      </c>
      <c r="S2143" s="1" t="s">
        <v>4088</v>
      </c>
      <c r="T2143" s="1" t="s">
        <v>4079</v>
      </c>
    </row>
    <row r="2144" customFormat="false" ht="15" hidden="false" customHeight="true" outlineLevel="0" collapsed="false">
      <c r="A2144" s="1" t="s">
        <v>4215</v>
      </c>
      <c r="B2144" s="1" t="n">
        <v>1964</v>
      </c>
      <c r="C2144" s="1" t="n">
        <v>4</v>
      </c>
      <c r="D2144" s="1" t="s">
        <v>2225</v>
      </c>
      <c r="E2144" s="1" t="s">
        <v>3660</v>
      </c>
      <c r="F2144" s="1" t="n">
        <v>24080</v>
      </c>
      <c r="G2144" s="1" t="n">
        <v>848</v>
      </c>
      <c r="H2144" s="2" t="n">
        <v>13500000</v>
      </c>
      <c r="I2144" s="2" t="n">
        <f aca="false">(((H2144 / 800) / IF(ISBLANK(R2144), 1000000, IF(ISNA(VLOOKUP(R2144, Mileages!$A$2:$C$34, 2, 0)), R2144, VLOOKUP(R2144, Mileages!$A$2:$C$34, 2, 0)))) + (F2144 * IF(ISBLANK(P2144), 1, P2144) * IF(ISBLANK(T2144), 0, IF(ISNA(VLOOKUP(T2144, 'Fuel Costs'!$A$2:$C$42, 2, 0)), T2144, VLOOKUP(T2144, 'Fuel Costs'!$A$2:$C$42, 2, 0))) / IF(ISBLANK(O2144), 1, O2144))) * 100</f>
        <v>144.8175</v>
      </c>
      <c r="J2144" s="2" t="n">
        <f aca="false">((H2144 / 800) / (IF(ISBLANK(S2144), 100, IF(ISNA(VLOOKUP(S2144, Lives!$A$2:$C$35, 2, 0)), S2144, VLOOKUP(S2144, Lives!$A$2:$C$35, 2, 0))) * 12) + (IF(ISBLANK(Q2144), 0, IF(ISNA(VLOOKUP(Q2144, Wages!$A$2:$C$17, 2, 0)), Q2144, VLOOKUP(Q2144, Wages!$A$2:$C$17, 2, 0))) * IF(ISBLANK(N2144), 0, IF(ISNA(VLOOKUP(N2144, Crews!$A$2:$C$28, 2, 0)), N2144, VLOOKUP(N2144, Crews!$A$2:$C$28, 2, 0))))) * 400</f>
        <v>59375</v>
      </c>
      <c r="K2144" s="3" t="s">
        <v>4216</v>
      </c>
      <c r="L2144" s="1" t="s">
        <v>4217</v>
      </c>
      <c r="M2144" s="1" t="n">
        <v>0</v>
      </c>
      <c r="N2144" s="1" t="s">
        <v>2342</v>
      </c>
      <c r="O2144" s="1"/>
      <c r="P2144" s="1" t="n">
        <v>0.02</v>
      </c>
      <c r="Q2144" s="1" t="s">
        <v>2229</v>
      </c>
      <c r="R2144" s="1" t="s">
        <v>2229</v>
      </c>
      <c r="S2144" s="1" t="s">
        <v>2229</v>
      </c>
      <c r="T2144" s="1" t="s">
        <v>4074</v>
      </c>
    </row>
    <row r="2145" customFormat="false" ht="15" hidden="false" customHeight="true" outlineLevel="0" collapsed="false">
      <c r="A2145" s="1" t="s">
        <v>4218</v>
      </c>
      <c r="B2145" s="1" t="n">
        <v>1964</v>
      </c>
      <c r="C2145" s="1" t="n">
        <v>4</v>
      </c>
      <c r="D2145" s="1" t="s">
        <v>2225</v>
      </c>
      <c r="E2145" s="1" t="s">
        <v>3660</v>
      </c>
      <c r="F2145" s="1" t="n">
        <v>24080</v>
      </c>
      <c r="G2145" s="1" t="n">
        <v>848</v>
      </c>
      <c r="H2145" s="2" t="n">
        <v>13500000</v>
      </c>
      <c r="I2145" s="2" t="n">
        <f aca="false">(((H2145 / 800) / IF(ISBLANK(R2145), 1000000, IF(ISNA(VLOOKUP(R2145, Mileages!$A$2:$C$34, 2, 0)), R2145, VLOOKUP(R2145, Mileages!$A$2:$C$34, 2, 0)))) + (F2145 * IF(ISBLANK(P2145), 1, P2145) * IF(ISBLANK(T2145), 0, IF(ISNA(VLOOKUP(T2145, 'Fuel Costs'!$A$2:$C$42, 2, 0)), T2145, VLOOKUP(T2145, 'Fuel Costs'!$A$2:$C$42, 2, 0))) / IF(ISBLANK(O2145), 1, O2145))) * 100</f>
        <v>144.8175</v>
      </c>
      <c r="J2145" s="2" t="n">
        <f aca="false">((H2145 / 800) / (IF(ISBLANK(S2145), 100, IF(ISNA(VLOOKUP(S2145, Lives!$A$2:$C$35, 2, 0)), S2145, VLOOKUP(S2145, Lives!$A$2:$C$35, 2, 0))) * 12) + (IF(ISBLANK(Q2145), 0, IF(ISNA(VLOOKUP(Q2145, Wages!$A$2:$C$17, 2, 0)), Q2145, VLOOKUP(Q2145, Wages!$A$2:$C$17, 2, 0))) * IF(ISBLANK(N2145), 0, IF(ISNA(VLOOKUP(N2145, Crews!$A$2:$C$28, 2, 0)), N2145, VLOOKUP(N2145, Crews!$A$2:$C$28, 2, 0))))) * 400</f>
        <v>59375</v>
      </c>
      <c r="K2145" s="3" t="s">
        <v>4219</v>
      </c>
      <c r="L2145" s="1" t="s">
        <v>4217</v>
      </c>
      <c r="M2145" s="1" t="n">
        <v>1</v>
      </c>
      <c r="N2145" s="1" t="s">
        <v>2342</v>
      </c>
      <c r="O2145" s="1"/>
      <c r="P2145" s="1" t="n">
        <v>0.02</v>
      </c>
      <c r="Q2145" s="1" t="s">
        <v>2229</v>
      </c>
      <c r="R2145" s="1" t="s">
        <v>2229</v>
      </c>
      <c r="S2145" s="1" t="s">
        <v>2229</v>
      </c>
      <c r="T2145" s="1" t="s">
        <v>4074</v>
      </c>
    </row>
    <row r="2146" customFormat="false" ht="15" hidden="false" customHeight="true" outlineLevel="0" collapsed="false">
      <c r="A2146" s="1" t="s">
        <v>4220</v>
      </c>
      <c r="B2146" s="1" t="n">
        <v>1964</v>
      </c>
      <c r="C2146" s="1" t="n">
        <v>4</v>
      </c>
      <c r="D2146" s="1" t="s">
        <v>2225</v>
      </c>
      <c r="E2146" s="1" t="s">
        <v>3660</v>
      </c>
      <c r="F2146" s="1" t="n">
        <v>67752</v>
      </c>
      <c r="G2146" s="1" t="n">
        <v>930</v>
      </c>
      <c r="H2146" s="2" t="n">
        <v>25000000</v>
      </c>
      <c r="I2146" s="2" t="n">
        <f aca="false">(((H2146 / 800) / IF(ISBLANK(R2146), 1000000, IF(ISNA(VLOOKUP(R2146, Mileages!$A$2:$C$34, 2, 0)), R2146, VLOOKUP(R2146, Mileages!$A$2:$C$34, 2, 0)))) + (F2146 * IF(ISBLANK(P2146), 1, P2146) * IF(ISBLANK(T2146), 0, IF(ISNA(VLOOKUP(T2146, 'Fuel Costs'!$A$2:$C$42, 2, 0)), T2146, VLOOKUP(T2146, 'Fuel Costs'!$A$2:$C$42, 2, 0))) / IF(ISBLANK(O2146), 1, O2146))) * 100</f>
        <v>407.137</v>
      </c>
      <c r="J2146" s="2" t="n">
        <f aca="false">((H2146 / 800) / (IF(ISBLANK(S2146), 100, IF(ISNA(VLOOKUP(S2146, Lives!$A$2:$C$35, 2, 0)), S2146, VLOOKUP(S2146, Lives!$A$2:$C$35, 2, 0))) * 12) + (IF(ISBLANK(Q2146), 0, IF(ISNA(VLOOKUP(Q2146, Wages!$A$2:$C$17, 2, 0)), Q2146, VLOOKUP(Q2146, Wages!$A$2:$C$17, 2, 0))) * IF(ISBLANK(N2146), 0, IF(ISNA(VLOOKUP(N2146, Crews!$A$2:$C$28, 2, 0)), N2146, VLOOKUP(N2146, Crews!$A$2:$C$28, 2, 0))))) * 400</f>
        <v>67361.11111</v>
      </c>
      <c r="K2146" s="3" t="s">
        <v>4221</v>
      </c>
      <c r="L2146" s="1" t="s">
        <v>4222</v>
      </c>
      <c r="M2146" s="1" t="n">
        <v>0</v>
      </c>
      <c r="N2146" s="1" t="s">
        <v>2342</v>
      </c>
      <c r="O2146" s="1"/>
      <c r="P2146" s="1" t="n">
        <v>0.02</v>
      </c>
      <c r="Q2146" s="1" t="s">
        <v>2229</v>
      </c>
      <c r="R2146" s="1" t="s">
        <v>2229</v>
      </c>
      <c r="S2146" s="1" t="s">
        <v>2229</v>
      </c>
      <c r="T2146" s="1" t="s">
        <v>4074</v>
      </c>
    </row>
    <row r="2147" customFormat="false" ht="15" hidden="false" customHeight="true" outlineLevel="0" collapsed="false">
      <c r="A2147" s="1" t="s">
        <v>4223</v>
      </c>
      <c r="B2147" s="1" t="n">
        <v>1964</v>
      </c>
      <c r="C2147" s="1" t="n">
        <v>4</v>
      </c>
      <c r="D2147" s="1" t="s">
        <v>2225</v>
      </c>
      <c r="E2147" s="1" t="s">
        <v>3660</v>
      </c>
      <c r="F2147" s="1" t="n">
        <v>67752</v>
      </c>
      <c r="G2147" s="1" t="n">
        <v>930</v>
      </c>
      <c r="H2147" s="2" t="n">
        <v>25000000</v>
      </c>
      <c r="I2147" s="2" t="n">
        <f aca="false">(((H2147 / 800) / IF(ISBLANK(R2147), 1000000, IF(ISNA(VLOOKUP(R2147, Mileages!$A$2:$C$34, 2, 0)), R2147, VLOOKUP(R2147, Mileages!$A$2:$C$34, 2, 0)))) + (F2147 * IF(ISBLANK(P2147), 1, P2147) * IF(ISBLANK(T2147), 0, IF(ISNA(VLOOKUP(T2147, 'Fuel Costs'!$A$2:$C$42, 2, 0)), T2147, VLOOKUP(T2147, 'Fuel Costs'!$A$2:$C$42, 2, 0))) / IF(ISBLANK(O2147), 1, O2147))) * 100</f>
        <v>407.137</v>
      </c>
      <c r="J2147" s="2" t="n">
        <f aca="false">((H2147 / 800) / (IF(ISBLANK(S2147), 100, IF(ISNA(VLOOKUP(S2147, Lives!$A$2:$C$35, 2, 0)), S2147, VLOOKUP(S2147, Lives!$A$2:$C$35, 2, 0))) * 12) + (IF(ISBLANK(Q2147), 0, IF(ISNA(VLOOKUP(Q2147, Wages!$A$2:$C$17, 2, 0)), Q2147, VLOOKUP(Q2147, Wages!$A$2:$C$17, 2, 0))) * IF(ISBLANK(N2147), 0, IF(ISNA(VLOOKUP(N2147, Crews!$A$2:$C$28, 2, 0)), N2147, VLOOKUP(N2147, Crews!$A$2:$C$28, 2, 0))))) * 400</f>
        <v>67361.11111</v>
      </c>
      <c r="K2147" s="3" t="s">
        <v>4224</v>
      </c>
      <c r="L2147" s="1" t="s">
        <v>4222</v>
      </c>
      <c r="M2147" s="1" t="n">
        <v>1</v>
      </c>
      <c r="N2147" s="1" t="s">
        <v>2342</v>
      </c>
      <c r="O2147" s="1"/>
      <c r="P2147" s="1" t="n">
        <v>0.02</v>
      </c>
      <c r="Q2147" s="1" t="s">
        <v>2229</v>
      </c>
      <c r="R2147" s="1" t="s">
        <v>2229</v>
      </c>
      <c r="S2147" s="1" t="s">
        <v>2229</v>
      </c>
      <c r="T2147" s="1" t="s">
        <v>4074</v>
      </c>
    </row>
    <row r="2148" customFormat="false" ht="15" hidden="false" customHeight="true" outlineLevel="0" collapsed="false">
      <c r="A2148" s="1" t="s">
        <v>4225</v>
      </c>
      <c r="B2148" s="1" t="n">
        <v>1964</v>
      </c>
      <c r="C2148" s="1" t="n">
        <v>4</v>
      </c>
      <c r="D2148" s="1" t="s">
        <v>38</v>
      </c>
      <c r="E2148" s="1"/>
      <c r="F2148" s="1"/>
      <c r="G2148" s="1" t="n">
        <v>96</v>
      </c>
      <c r="H2148" s="2" t="n">
        <v>200000</v>
      </c>
      <c r="I2148" s="2" t="n">
        <f aca="false">(((H2148 / 800) / IF(ISBLANK(R2148), 1000000, IF(ISNA(VLOOKUP(R2148, Mileages!$A$2:$C$34, 2, 0)), R2148, VLOOKUP(R2148, Mileages!$A$2:$C$34, 2, 0)))) + (F2148 * IF(ISBLANK(P2148), 1, P2148) * IF(ISBLANK(T2148), 0, IF(ISNA(VLOOKUP(T2148, 'Fuel Costs'!$A$2:$C$42, 2, 0)), T2148, VLOOKUP(T2148, 'Fuel Costs'!$A$2:$C$42, 2, 0))) / IF(ISBLANK(O2148), 1, O2148))) * 100</f>
        <v>0.02083333333</v>
      </c>
      <c r="J2148" s="2" t="n">
        <f aca="false">((H2148 / 800) / (IF(ISBLANK(S2148), 100, IF(ISNA(VLOOKUP(S2148, Lives!$A$2:$C$35, 2, 0)), S2148, VLOOKUP(S2148, Lives!$A$2:$C$35, 2, 0))) * 12) + (IF(ISBLANK(Q2148), 0, IF(ISNA(VLOOKUP(Q2148, Wages!$A$2:$C$17, 2, 0)), Q2148, VLOOKUP(Q2148, Wages!$A$2:$C$17, 2, 0))) * IF(ISBLANK(N2148), 0, IF(ISNA(VLOOKUP(N2148, Crews!$A$2:$C$28, 2, 0)), N2148, VLOOKUP(N2148, Crews!$A$2:$C$28, 2, 0))))) * 400</f>
        <v>166.6666667</v>
      </c>
      <c r="K2148" s="1"/>
      <c r="L2148" s="1" t="s">
        <v>4226</v>
      </c>
      <c r="M2148" s="1" t="n">
        <v>0</v>
      </c>
      <c r="N2148" s="1"/>
      <c r="O2148" s="1"/>
      <c r="P2148" s="1"/>
      <c r="Q2148" s="1"/>
      <c r="R2148" s="1" t="s">
        <v>689</v>
      </c>
      <c r="S2148" s="1" t="s">
        <v>785</v>
      </c>
      <c r="T2148" s="1"/>
    </row>
    <row r="2149" customFormat="false" ht="15" hidden="false" customHeight="true" outlineLevel="0" collapsed="false">
      <c r="A2149" s="1" t="s">
        <v>4227</v>
      </c>
      <c r="B2149" s="1" t="n">
        <v>1964</v>
      </c>
      <c r="C2149" s="1" t="n">
        <v>5</v>
      </c>
      <c r="D2149" s="1" t="s">
        <v>157</v>
      </c>
      <c r="E2149" s="1"/>
      <c r="F2149" s="1"/>
      <c r="G2149" s="1" t="n">
        <v>80</v>
      </c>
      <c r="H2149" s="2" t="n">
        <v>595000</v>
      </c>
      <c r="I2149" s="2" t="n">
        <f aca="false">(((H2149 / 800) / IF(ISBLANK(R2149), 1000000, IF(ISNA(VLOOKUP(R2149, Mileages!$A$2:$C$34, 2, 0)), R2149, VLOOKUP(R2149, Mileages!$A$2:$C$34, 2, 0)))) + (F2149 * IF(ISBLANK(P2149), 1, P2149) * IF(ISBLANK(T2149), 0, IF(ISNA(VLOOKUP(T2149, 'Fuel Costs'!$A$2:$C$42, 2, 0)), T2149, VLOOKUP(T2149, 'Fuel Costs'!$A$2:$C$42, 2, 0))) / IF(ISBLANK(O2149), 1, O2149))) * 100</f>
        <v>0.06197916667</v>
      </c>
      <c r="J2149" s="2" t="n">
        <f aca="false">((H2149 / 800) / (IF(ISBLANK(S2149), 100, IF(ISNA(VLOOKUP(S2149, Lives!$A$2:$C$35, 2, 0)), S2149, VLOOKUP(S2149, Lives!$A$2:$C$35, 2, 0))) * 12) + (IF(ISBLANK(Q2149), 0, IF(ISNA(VLOOKUP(Q2149, Wages!$A$2:$C$17, 2, 0)), Q2149, VLOOKUP(Q2149, Wages!$A$2:$C$17, 2, 0))) * IF(ISBLANK(N2149), 0, IF(ISNA(VLOOKUP(N2149, Crews!$A$2:$C$28, 2, 0)), N2149, VLOOKUP(N2149, Crews!$A$2:$C$28, 2, 0))))) * 400</f>
        <v>18708.33333</v>
      </c>
      <c r="K2149" s="3" t="s">
        <v>4228</v>
      </c>
      <c r="L2149" s="1" t="s">
        <v>4229</v>
      </c>
      <c r="M2149" s="1" t="n">
        <v>0</v>
      </c>
      <c r="N2149" s="1" t="s">
        <v>1481</v>
      </c>
      <c r="O2149" s="1"/>
      <c r="P2149" s="1"/>
      <c r="Q2149" s="1" t="s">
        <v>1481</v>
      </c>
      <c r="R2149" s="1" t="s">
        <v>689</v>
      </c>
      <c r="S2149" s="1" t="s">
        <v>856</v>
      </c>
      <c r="T2149" s="1"/>
    </row>
    <row r="2150" customFormat="false" ht="15" hidden="false" customHeight="true" outlineLevel="0" collapsed="false">
      <c r="A2150" s="1" t="s">
        <v>4230</v>
      </c>
      <c r="B2150" s="1" t="n">
        <v>1964</v>
      </c>
      <c r="C2150" s="1" t="n">
        <v>5</v>
      </c>
      <c r="D2150" s="1" t="s">
        <v>157</v>
      </c>
      <c r="E2150" s="1"/>
      <c r="F2150" s="1"/>
      <c r="G2150" s="1" t="n">
        <v>80</v>
      </c>
      <c r="H2150" s="2" t="n">
        <v>570000</v>
      </c>
      <c r="I2150" s="2" t="n">
        <f aca="false">(((H2150 / 800) / IF(ISBLANK(R2150), 1000000, IF(ISNA(VLOOKUP(R2150, Mileages!$A$2:$C$34, 2, 0)), R2150, VLOOKUP(R2150, Mileages!$A$2:$C$34, 2, 0)))) + (F2150 * IF(ISBLANK(P2150), 1, P2150) * IF(ISBLANK(T2150), 0, IF(ISNA(VLOOKUP(T2150, 'Fuel Costs'!$A$2:$C$42, 2, 0)), T2150, VLOOKUP(T2150, 'Fuel Costs'!$A$2:$C$42, 2, 0))) / IF(ISBLANK(O2150), 1, O2150))) * 100</f>
        <v>0.059375</v>
      </c>
      <c r="J2150" s="2" t="n">
        <f aca="false">((H2150 / 800) / (IF(ISBLANK(S2150), 100, IF(ISNA(VLOOKUP(S2150, Lives!$A$2:$C$35, 2, 0)), S2150, VLOOKUP(S2150, Lives!$A$2:$C$35, 2, 0))) * 12) + (IF(ISBLANK(Q2150), 0, IF(ISNA(VLOOKUP(Q2150, Wages!$A$2:$C$17, 2, 0)), Q2150, VLOOKUP(Q2150, Wages!$A$2:$C$17, 2, 0))) * IF(ISBLANK(N2150), 0, IF(ISNA(VLOOKUP(N2150, Crews!$A$2:$C$28, 2, 0)), N2150, VLOOKUP(N2150, Crews!$A$2:$C$28, 2, 0))))) * 400</f>
        <v>5037.5</v>
      </c>
      <c r="K2150" s="3" t="s">
        <v>4231</v>
      </c>
      <c r="L2150" s="1" t="s">
        <v>4232</v>
      </c>
      <c r="M2150" s="1" t="n">
        <v>0</v>
      </c>
      <c r="N2150" s="1" t="s">
        <v>25</v>
      </c>
      <c r="O2150" s="1"/>
      <c r="P2150" s="1"/>
      <c r="Q2150" s="1" t="s">
        <v>378</v>
      </c>
      <c r="R2150" s="1" t="s">
        <v>689</v>
      </c>
      <c r="S2150" s="1" t="s">
        <v>389</v>
      </c>
      <c r="T2150" s="1"/>
    </row>
    <row r="2151" customFormat="false" ht="15" hidden="false" customHeight="true" outlineLevel="0" collapsed="false">
      <c r="A2151" s="1" t="s">
        <v>4233</v>
      </c>
      <c r="B2151" s="1" t="n">
        <v>1964</v>
      </c>
      <c r="C2151" s="1" t="n">
        <v>5</v>
      </c>
      <c r="D2151" s="1" t="s">
        <v>157</v>
      </c>
      <c r="E2151" s="1"/>
      <c r="F2151" s="1"/>
      <c r="G2151" s="1" t="n">
        <v>80</v>
      </c>
      <c r="H2151" s="2" t="n">
        <v>570000</v>
      </c>
      <c r="I2151" s="2" t="n">
        <f aca="false">(((H2151 / 800) / IF(ISBLANK(R2151), 1000000, IF(ISNA(VLOOKUP(R2151, Mileages!$A$2:$C$34, 2, 0)), R2151, VLOOKUP(R2151, Mileages!$A$2:$C$34, 2, 0)))) + (F2151 * IF(ISBLANK(P2151), 1, P2151) * IF(ISBLANK(T2151), 0, IF(ISNA(VLOOKUP(T2151, 'Fuel Costs'!$A$2:$C$42, 2, 0)), T2151, VLOOKUP(T2151, 'Fuel Costs'!$A$2:$C$42, 2, 0))) / IF(ISBLANK(O2151), 1, O2151))) * 100</f>
        <v>0.059375</v>
      </c>
      <c r="J2151" s="2" t="n">
        <f aca="false">((H2151 / 800) / (IF(ISBLANK(S2151), 100, IF(ISNA(VLOOKUP(S2151, Lives!$A$2:$C$35, 2, 0)), S2151, VLOOKUP(S2151, Lives!$A$2:$C$35, 2, 0))) * 12) + (IF(ISBLANK(Q2151), 0, IF(ISNA(VLOOKUP(Q2151, Wages!$A$2:$C$17, 2, 0)), Q2151, VLOOKUP(Q2151, Wages!$A$2:$C$17, 2, 0))) * IF(ISBLANK(N2151), 0, IF(ISNA(VLOOKUP(N2151, Crews!$A$2:$C$28, 2, 0)), N2151, VLOOKUP(N2151, Crews!$A$2:$C$28, 2, 0))))) * 400</f>
        <v>237.5</v>
      </c>
      <c r="K2151" s="3" t="s">
        <v>4234</v>
      </c>
      <c r="L2151" s="1" t="s">
        <v>4235</v>
      </c>
      <c r="M2151" s="1" t="n">
        <v>0</v>
      </c>
      <c r="N2151" s="1"/>
      <c r="O2151" s="1"/>
      <c r="P2151" s="1"/>
      <c r="Q2151" s="1"/>
      <c r="R2151" s="1" t="s">
        <v>689</v>
      </c>
      <c r="S2151" s="1" t="s">
        <v>389</v>
      </c>
      <c r="T2151" s="1"/>
    </row>
    <row r="2152" customFormat="false" ht="15" hidden="false" customHeight="true" outlineLevel="0" collapsed="false">
      <c r="A2152" s="1" t="s">
        <v>4236</v>
      </c>
      <c r="B2152" s="1" t="n">
        <v>1964</v>
      </c>
      <c r="C2152" s="1" t="n">
        <v>5</v>
      </c>
      <c r="D2152" s="1" t="s">
        <v>38</v>
      </c>
      <c r="E2152" s="1" t="s">
        <v>1346</v>
      </c>
      <c r="F2152" s="1"/>
      <c r="G2152" s="1" t="n">
        <v>145</v>
      </c>
      <c r="H2152" s="2" t="n">
        <v>1690000</v>
      </c>
      <c r="I2152" s="2" t="n">
        <f aca="false">(((H2152 / 800) / IF(ISBLANK(R2152), 1000000, IF(ISNA(VLOOKUP(R2152, Mileages!$A$2:$C$34, 2, 0)), R2152, VLOOKUP(R2152, Mileages!$A$2:$C$34, 2, 0)))) + (F2152 * IF(ISBLANK(P2152), 1, P2152) * IF(ISBLANK(T2152), 0, IF(ISNA(VLOOKUP(T2152, 'Fuel Costs'!$A$2:$C$42, 2, 0)), T2152, VLOOKUP(T2152, 'Fuel Costs'!$A$2:$C$42, 2, 0))) / IF(ISBLANK(O2152), 1, O2152))) * 100</f>
        <v>0.1760416667</v>
      </c>
      <c r="J2152" s="2" t="n">
        <f aca="false">((H2152 / 800) / (IF(ISBLANK(S2152), 100, IF(ISNA(VLOOKUP(S2152, Lives!$A$2:$C$35, 2, 0)), S2152, VLOOKUP(S2152, Lives!$A$2:$C$35, 2, 0))) * 12) + (IF(ISBLANK(Q2152), 0, IF(ISNA(VLOOKUP(Q2152, Wages!$A$2:$C$17, 2, 0)), Q2152, VLOOKUP(Q2152, Wages!$A$2:$C$17, 2, 0))) * IF(ISBLANK(N2152), 0, IF(ISNA(VLOOKUP(N2152, Crews!$A$2:$C$28, 2, 0)), N2152, VLOOKUP(N2152, Crews!$A$2:$C$28, 2, 0))))) * 400</f>
        <v>2011.904762</v>
      </c>
      <c r="K2152" s="1"/>
      <c r="L2152" s="1" t="s">
        <v>4237</v>
      </c>
      <c r="M2152" s="1" t="n">
        <v>0</v>
      </c>
      <c r="N2152" s="1"/>
      <c r="O2152" s="1"/>
      <c r="P2152" s="1"/>
      <c r="Q2152" s="1"/>
      <c r="R2152" s="1" t="s">
        <v>689</v>
      </c>
      <c r="S2152" s="1" t="s">
        <v>856</v>
      </c>
      <c r="T2152" s="1"/>
    </row>
    <row r="2153" customFormat="false" ht="15" hidden="false" customHeight="true" outlineLevel="0" collapsed="false">
      <c r="A2153" s="1" t="s">
        <v>4238</v>
      </c>
      <c r="B2153" s="1" t="n">
        <v>1964</v>
      </c>
      <c r="C2153" s="1" t="n">
        <v>5</v>
      </c>
      <c r="D2153" s="1" t="s">
        <v>38</v>
      </c>
      <c r="E2153" s="1" t="s">
        <v>1346</v>
      </c>
      <c r="F2153" s="1" t="n">
        <v>750</v>
      </c>
      <c r="G2153" s="1" t="n">
        <v>145</v>
      </c>
      <c r="H2153" s="2" t="n">
        <v>1690000</v>
      </c>
      <c r="I2153" s="2" t="n">
        <f aca="false">(((H2153 / 800) / IF(ISBLANK(R2153), 1000000, IF(ISNA(VLOOKUP(R2153, Mileages!$A$2:$C$34, 2, 0)), R2153, VLOOKUP(R2153, Mileages!$A$2:$C$34, 2, 0)))) + (F2153 * IF(ISBLANK(P2153), 1, P2153) * IF(ISBLANK(T2153), 0, IF(ISNA(VLOOKUP(T2153, 'Fuel Costs'!$A$2:$C$42, 2, 0)), T2153, VLOOKUP(T2153, 'Fuel Costs'!$A$2:$C$42, 2, 0))) / IF(ISBLANK(O2153), 1, O2153))) * 100</f>
        <v>112.71125</v>
      </c>
      <c r="J2153" s="2" t="n">
        <f aca="false">((H2153 / 800) / (IF(ISBLANK(S2153), 100, IF(ISNA(VLOOKUP(S2153, Lives!$A$2:$C$35, 2, 0)), S2153, VLOOKUP(S2153, Lives!$A$2:$C$35, 2, 0))) * 12) + (IF(ISBLANK(Q2153), 0, IF(ISNA(VLOOKUP(Q2153, Wages!$A$2:$C$17, 2, 0)), Q2153, VLOOKUP(Q2153, Wages!$A$2:$C$17, 2, 0))) * IF(ISBLANK(N2153), 0, IF(ISNA(VLOOKUP(N2153, Crews!$A$2:$C$28, 2, 0)), N2153, VLOOKUP(N2153, Crews!$A$2:$C$28, 2, 0))))) * 400</f>
        <v>11173.61111</v>
      </c>
      <c r="K2153" s="1"/>
      <c r="L2153" s="1" t="s">
        <v>4237</v>
      </c>
      <c r="M2153" s="1" t="n">
        <v>1</v>
      </c>
      <c r="N2153" s="1" t="s">
        <v>1488</v>
      </c>
      <c r="O2153" s="1" t="n">
        <v>1</v>
      </c>
      <c r="P2153" s="1"/>
      <c r="Q2153" s="1" t="str">
        <f aca="false">IF(ISBLANK('Pak128 Britain In'!$N2153),,'Pak128 Britain In'!$N2153)</f>
        <v>ElectricDriverRail</v>
      </c>
      <c r="R2153" s="1" t="s">
        <v>1349</v>
      </c>
      <c r="S2153" s="1" t="s">
        <v>1349</v>
      </c>
      <c r="T2153" s="1" t="s">
        <v>4101</v>
      </c>
    </row>
    <row r="2154" customFormat="false" ht="15" hidden="false" customHeight="true" outlineLevel="0" collapsed="false">
      <c r="A2154" s="1" t="s">
        <v>4239</v>
      </c>
      <c r="B2154" s="1" t="n">
        <v>1964</v>
      </c>
      <c r="C2154" s="1" t="n">
        <v>5</v>
      </c>
      <c r="D2154" s="1" t="s">
        <v>38</v>
      </c>
      <c r="E2154" s="1" t="s">
        <v>1346</v>
      </c>
      <c r="F2154" s="1"/>
      <c r="G2154" s="1" t="n">
        <v>145</v>
      </c>
      <c r="H2154" s="2" t="n">
        <v>1690000</v>
      </c>
      <c r="I2154" s="2" t="n">
        <f aca="false">(((H2154 / 800) / IF(ISBLANK(R2154), 1000000, IF(ISNA(VLOOKUP(R2154, Mileages!$A$2:$C$34, 2, 0)), R2154, VLOOKUP(R2154, Mileages!$A$2:$C$34, 2, 0)))) + (F2154 * IF(ISBLANK(P2154), 1, P2154) * IF(ISBLANK(T2154), 0, IF(ISNA(VLOOKUP(T2154, 'Fuel Costs'!$A$2:$C$42, 2, 0)), T2154, VLOOKUP(T2154, 'Fuel Costs'!$A$2:$C$42, 2, 0))) / IF(ISBLANK(O2154), 1, O2154))) * 100</f>
        <v>0.1760416667</v>
      </c>
      <c r="J2154" s="2" t="n">
        <f aca="false">((H2154 / 800) / (IF(ISBLANK(S2154), 100, IF(ISNA(VLOOKUP(S2154, Lives!$A$2:$C$35, 2, 0)), S2154, VLOOKUP(S2154, Lives!$A$2:$C$35, 2, 0))) * 12) + (IF(ISBLANK(Q2154), 0, IF(ISNA(VLOOKUP(Q2154, Wages!$A$2:$C$17, 2, 0)), Q2154, VLOOKUP(Q2154, Wages!$A$2:$C$17, 2, 0))) * IF(ISBLANK(N2154), 0, IF(ISNA(VLOOKUP(N2154, Crews!$A$2:$C$28, 2, 0)), N2154, VLOOKUP(N2154, Crews!$A$2:$C$28, 2, 0))))) * 400</f>
        <v>2011.904762</v>
      </c>
      <c r="K2154" s="1"/>
      <c r="L2154" s="1" t="s">
        <v>4237</v>
      </c>
      <c r="M2154" s="1" t="n">
        <v>2</v>
      </c>
      <c r="N2154" s="1"/>
      <c r="O2154" s="1"/>
      <c r="P2154" s="1"/>
      <c r="Q2154" s="1"/>
      <c r="R2154" s="1" t="s">
        <v>689</v>
      </c>
      <c r="S2154" s="1" t="s">
        <v>856</v>
      </c>
      <c r="T2154" s="1"/>
    </row>
    <row r="2155" customFormat="false" ht="15" hidden="false" customHeight="true" outlineLevel="0" collapsed="false">
      <c r="A2155" s="1" t="s">
        <v>4240</v>
      </c>
      <c r="B2155" s="1" t="n">
        <v>1964</v>
      </c>
      <c r="C2155" s="1" t="n">
        <v>5</v>
      </c>
      <c r="D2155" s="1" t="s">
        <v>38</v>
      </c>
      <c r="E2155" s="1" t="s">
        <v>1346</v>
      </c>
      <c r="F2155" s="1"/>
      <c r="G2155" s="1" t="n">
        <v>145</v>
      </c>
      <c r="H2155" s="2" t="n">
        <v>1720000</v>
      </c>
      <c r="I2155" s="2" t="n">
        <f aca="false">(((H2155 / 800) / IF(ISBLANK(R2155), 1000000, IF(ISNA(VLOOKUP(R2155, Mileages!$A$2:$C$34, 2, 0)), R2155, VLOOKUP(R2155, Mileages!$A$2:$C$34, 2, 0)))) + (F2155 * IF(ISBLANK(P2155), 1, P2155) * IF(ISBLANK(T2155), 0, IF(ISNA(VLOOKUP(T2155, 'Fuel Costs'!$A$2:$C$42, 2, 0)), T2155, VLOOKUP(T2155, 'Fuel Costs'!$A$2:$C$42, 2, 0))) / IF(ISBLANK(O2155), 1, O2155))) * 100</f>
        <v>0.1791666667</v>
      </c>
      <c r="J2155" s="2" t="n">
        <f aca="false">((H2155 / 800) / (IF(ISBLANK(S2155), 100, IF(ISNA(VLOOKUP(S2155, Lives!$A$2:$C$35, 2, 0)), S2155, VLOOKUP(S2155, Lives!$A$2:$C$35, 2, 0))) * 12) + (IF(ISBLANK(Q2155), 0, IF(ISNA(VLOOKUP(Q2155, Wages!$A$2:$C$17, 2, 0)), Q2155, VLOOKUP(Q2155, Wages!$A$2:$C$17, 2, 0))) * IF(ISBLANK(N2155), 0, IF(ISNA(VLOOKUP(N2155, Crews!$A$2:$C$28, 2, 0)), N2155, VLOOKUP(N2155, Crews!$A$2:$C$28, 2, 0))))) * 400</f>
        <v>20047.61905</v>
      </c>
      <c r="K2155" s="1"/>
      <c r="L2155" s="1" t="s">
        <v>4237</v>
      </c>
      <c r="M2155" s="1" t="n">
        <v>3</v>
      </c>
      <c r="N2155" s="1" t="s">
        <v>1481</v>
      </c>
      <c r="O2155" s="1"/>
      <c r="P2155" s="1"/>
      <c r="Q2155" s="1" t="s">
        <v>1481</v>
      </c>
      <c r="R2155" s="1" t="s">
        <v>689</v>
      </c>
      <c r="S2155" s="1" t="s">
        <v>856</v>
      </c>
      <c r="T2155" s="1"/>
    </row>
    <row r="2156" customFormat="false" ht="15" hidden="false" customHeight="true" outlineLevel="0" collapsed="false">
      <c r="A2156" s="1" t="s">
        <v>4241</v>
      </c>
      <c r="B2156" s="1" t="n">
        <v>1964</v>
      </c>
      <c r="C2156" s="1" t="n">
        <v>5</v>
      </c>
      <c r="D2156" s="1" t="s">
        <v>38</v>
      </c>
      <c r="E2156" s="1" t="s">
        <v>1346</v>
      </c>
      <c r="F2156" s="1"/>
      <c r="G2156" s="1" t="n">
        <v>145</v>
      </c>
      <c r="H2156" s="2" t="n">
        <v>1690000</v>
      </c>
      <c r="I2156" s="2" t="n">
        <f aca="false">(((H2156 / 800) / IF(ISBLANK(R2156), 1000000, IF(ISNA(VLOOKUP(R2156, Mileages!$A$2:$C$34, 2, 0)), R2156, VLOOKUP(R2156, Mileages!$A$2:$C$34, 2, 0)))) + (F2156 * IF(ISBLANK(P2156), 1, P2156) * IF(ISBLANK(T2156), 0, IF(ISNA(VLOOKUP(T2156, 'Fuel Costs'!$A$2:$C$42, 2, 0)), T2156, VLOOKUP(T2156, 'Fuel Costs'!$A$2:$C$42, 2, 0))) / IF(ISBLANK(O2156), 1, O2156))) * 100</f>
        <v>0.1760416667</v>
      </c>
      <c r="J2156" s="2" t="n">
        <f aca="false">((H2156 / 800) / (IF(ISBLANK(S2156), 100, IF(ISNA(VLOOKUP(S2156, Lives!$A$2:$C$35, 2, 0)), S2156, VLOOKUP(S2156, Lives!$A$2:$C$35, 2, 0))) * 12) + (IF(ISBLANK(Q2156), 0, IF(ISNA(VLOOKUP(Q2156, Wages!$A$2:$C$17, 2, 0)), Q2156, VLOOKUP(Q2156, Wages!$A$2:$C$17, 2, 0))) * IF(ISBLANK(N2156), 0, IF(ISNA(VLOOKUP(N2156, Crews!$A$2:$C$28, 2, 0)), N2156, VLOOKUP(N2156, Crews!$A$2:$C$28, 2, 0))))) * 400</f>
        <v>2011.904762</v>
      </c>
      <c r="K2156" s="1"/>
      <c r="L2156" s="1" t="s">
        <v>4237</v>
      </c>
      <c r="M2156" s="1" t="n">
        <v>4</v>
      </c>
      <c r="N2156" s="1"/>
      <c r="O2156" s="1"/>
      <c r="P2156" s="1"/>
      <c r="Q2156" s="1"/>
      <c r="R2156" s="1" t="s">
        <v>689</v>
      </c>
      <c r="S2156" s="1" t="s">
        <v>856</v>
      </c>
      <c r="T2156" s="1"/>
    </row>
    <row r="2157" customFormat="false" ht="15" hidden="false" customHeight="true" outlineLevel="0" collapsed="false">
      <c r="A2157" s="1" t="s">
        <v>4242</v>
      </c>
      <c r="B2157" s="1" t="n">
        <v>1964</v>
      </c>
      <c r="C2157" s="1" t="n">
        <v>5</v>
      </c>
      <c r="D2157" s="1" t="s">
        <v>157</v>
      </c>
      <c r="E2157" s="1"/>
      <c r="F2157" s="1"/>
      <c r="G2157" s="1" t="n">
        <v>80</v>
      </c>
      <c r="H2157" s="2" t="n">
        <v>570000</v>
      </c>
      <c r="I2157" s="2" t="n">
        <f aca="false">(((H2157 / 800) / IF(ISBLANK(R2157), 1000000, IF(ISNA(VLOOKUP(R2157, Mileages!$A$2:$C$34, 2, 0)), R2157, VLOOKUP(R2157, Mileages!$A$2:$C$34, 2, 0)))) + (F2157 * IF(ISBLANK(P2157), 1, P2157) * IF(ISBLANK(T2157), 0, IF(ISNA(VLOOKUP(T2157, 'Fuel Costs'!$A$2:$C$42, 2, 0)), T2157, VLOOKUP(T2157, 'Fuel Costs'!$A$2:$C$42, 2, 0))) / IF(ISBLANK(O2157), 1, O2157))) * 100</f>
        <v>0.059375</v>
      </c>
      <c r="J2157" s="2" t="n">
        <f aca="false">((H2157 / 800) / (IF(ISBLANK(S2157), 100, IF(ISNA(VLOOKUP(S2157, Lives!$A$2:$C$35, 2, 0)), S2157, VLOOKUP(S2157, Lives!$A$2:$C$35, 2, 0))) * 12) + (IF(ISBLANK(Q2157), 0, IF(ISNA(VLOOKUP(Q2157, Wages!$A$2:$C$17, 2, 0)), Q2157, VLOOKUP(Q2157, Wages!$A$2:$C$17, 2, 0))) * IF(ISBLANK(N2157), 0, IF(ISNA(VLOOKUP(N2157, Crews!$A$2:$C$28, 2, 0)), N2157, VLOOKUP(N2157, Crews!$A$2:$C$28, 2, 0))))) * 400</f>
        <v>678.5714286</v>
      </c>
      <c r="K2157" s="3" t="s">
        <v>4243</v>
      </c>
      <c r="L2157" s="1" t="s">
        <v>4244</v>
      </c>
      <c r="M2157" s="1" t="n">
        <v>0</v>
      </c>
      <c r="N2157" s="1"/>
      <c r="O2157" s="1"/>
      <c r="P2157" s="1"/>
      <c r="Q2157" s="1"/>
      <c r="R2157" s="1" t="s">
        <v>689</v>
      </c>
      <c r="S2157" s="1" t="s">
        <v>856</v>
      </c>
      <c r="T2157" s="1"/>
    </row>
    <row r="2158" customFormat="false" ht="15" hidden="false" customHeight="true" outlineLevel="0" collapsed="false">
      <c r="A2158" s="1" t="s">
        <v>4245</v>
      </c>
      <c r="B2158" s="1" t="n">
        <v>1964</v>
      </c>
      <c r="C2158" s="1" t="n">
        <v>6</v>
      </c>
      <c r="D2158" s="1" t="s">
        <v>38</v>
      </c>
      <c r="E2158" s="1"/>
      <c r="F2158" s="1"/>
      <c r="G2158" s="1" t="n">
        <v>120</v>
      </c>
      <c r="H2158" s="2" t="n">
        <v>597000</v>
      </c>
      <c r="I2158" s="2" t="n">
        <f aca="false">(((H2158 / 800) / IF(ISBLANK(R2158), 1000000, IF(ISNA(VLOOKUP(R2158, Mileages!$A$2:$C$34, 2, 0)), R2158, VLOOKUP(R2158, Mileages!$A$2:$C$34, 2, 0)))) + (F2158 * IF(ISBLANK(P2158), 1, P2158) * IF(ISBLANK(T2158), 0, IF(ISNA(VLOOKUP(T2158, 'Fuel Costs'!$A$2:$C$42, 2, 0)), T2158, VLOOKUP(T2158, 'Fuel Costs'!$A$2:$C$42, 2, 0))) / IF(ISBLANK(O2158), 1, O2158))) * 100</f>
        <v>0.0621875</v>
      </c>
      <c r="J2158" s="2" t="n">
        <f aca="false">((H2158 / 800) / (IF(ISBLANK(S2158), 100, IF(ISNA(VLOOKUP(S2158, Lives!$A$2:$C$35, 2, 0)), S2158, VLOOKUP(S2158, Lives!$A$2:$C$35, 2, 0))) * 12) + (IF(ISBLANK(Q2158), 0, IF(ISNA(VLOOKUP(Q2158, Wages!$A$2:$C$17, 2, 0)), Q2158, VLOOKUP(Q2158, Wages!$A$2:$C$17, 2, 0))) * IF(ISBLANK(N2158), 0, IF(ISNA(VLOOKUP(N2158, Crews!$A$2:$C$28, 2, 0)), N2158, VLOOKUP(N2158, Crews!$A$2:$C$28, 2, 0))))) * 400</f>
        <v>497.5</v>
      </c>
      <c r="K2158" s="1"/>
      <c r="L2158" s="1" t="s">
        <v>4199</v>
      </c>
      <c r="M2158" s="1" t="n">
        <v>0</v>
      </c>
      <c r="N2158" s="1"/>
      <c r="O2158" s="1"/>
      <c r="P2158" s="1"/>
      <c r="Q2158" s="1"/>
      <c r="R2158" s="1" t="s">
        <v>689</v>
      </c>
      <c r="S2158" s="1" t="s">
        <v>785</v>
      </c>
      <c r="T2158" s="1"/>
    </row>
    <row r="2159" customFormat="false" ht="15" hidden="false" customHeight="true" outlineLevel="0" collapsed="false">
      <c r="A2159" s="1" t="s">
        <v>4246</v>
      </c>
      <c r="B2159" s="1" t="n">
        <v>1964</v>
      </c>
      <c r="C2159" s="1" t="n">
        <v>8</v>
      </c>
      <c r="D2159" s="1" t="s">
        <v>2225</v>
      </c>
      <c r="E2159" s="1" t="s">
        <v>3660</v>
      </c>
      <c r="F2159" s="1" t="n">
        <v>2040</v>
      </c>
      <c r="G2159" s="1" t="n">
        <v>741</v>
      </c>
      <c r="H2159" s="2" t="n">
        <v>19200000</v>
      </c>
      <c r="I2159" s="2" t="n">
        <f aca="false">(((H2159 / 800) / IF(ISBLANK(R2159), 1000000, IF(ISNA(VLOOKUP(R2159, Mileages!$A$2:$C$34, 2, 0)), R2159, VLOOKUP(R2159, Mileages!$A$2:$C$34, 2, 0)))) + (F2159 * IF(ISBLANK(P2159), 1, P2159) * IF(ISBLANK(T2159), 0, IF(ISNA(VLOOKUP(T2159, 'Fuel Costs'!$A$2:$C$42, 2, 0)), T2159, VLOOKUP(T2159, 'Fuel Costs'!$A$2:$C$42, 2, 0))) / IF(ISBLANK(O2159), 1, O2159))) * 100</f>
        <v>12.72</v>
      </c>
      <c r="J2159" s="2" t="n">
        <f aca="false">((H2159 / 800) / (IF(ISBLANK(S2159), 100, IF(ISNA(VLOOKUP(S2159, Lives!$A$2:$C$35, 2, 0)), S2159, VLOOKUP(S2159, Lives!$A$2:$C$35, 2, 0))) * 12) + (IF(ISBLANK(Q2159), 0, IF(ISNA(VLOOKUP(Q2159, Wages!$A$2:$C$17, 2, 0)), Q2159, VLOOKUP(Q2159, Wages!$A$2:$C$17, 2, 0))) * IF(ISBLANK(N2159), 0, IF(ISNA(VLOOKUP(N2159, Crews!$A$2:$C$28, 2, 0)), N2159, VLOOKUP(N2159, Crews!$A$2:$C$28, 2, 0))))) * 400</f>
        <v>63333.33333</v>
      </c>
      <c r="K2159" s="3" t="s">
        <v>4247</v>
      </c>
      <c r="L2159" s="1" t="s">
        <v>4248</v>
      </c>
      <c r="M2159" s="1" t="n">
        <v>0</v>
      </c>
      <c r="N2159" s="1" t="s">
        <v>2342</v>
      </c>
      <c r="O2159" s="1"/>
      <c r="P2159" s="1" t="n">
        <v>0.02</v>
      </c>
      <c r="Q2159" s="1" t="s">
        <v>2229</v>
      </c>
      <c r="R2159" s="1" t="s">
        <v>2229</v>
      </c>
      <c r="S2159" s="1" t="s">
        <v>2229</v>
      </c>
      <c r="T2159" s="1" t="s">
        <v>4074</v>
      </c>
    </row>
    <row r="2160" customFormat="false" ht="15" hidden="false" customHeight="true" outlineLevel="0" collapsed="false">
      <c r="A2160" s="1" t="s">
        <v>4249</v>
      </c>
      <c r="B2160" s="1" t="n">
        <v>1964</v>
      </c>
      <c r="C2160" s="1" t="n">
        <v>8</v>
      </c>
      <c r="D2160" s="1" t="s">
        <v>2225</v>
      </c>
      <c r="E2160" s="1" t="s">
        <v>3660</v>
      </c>
      <c r="F2160" s="1" t="n">
        <v>2040</v>
      </c>
      <c r="G2160" s="1" t="n">
        <v>741</v>
      </c>
      <c r="H2160" s="2" t="n">
        <v>19200000</v>
      </c>
      <c r="I2160" s="2" t="n">
        <f aca="false">(((H2160 / 800) / IF(ISBLANK(R2160), 1000000, IF(ISNA(VLOOKUP(R2160, Mileages!$A$2:$C$34, 2, 0)), R2160, VLOOKUP(R2160, Mileages!$A$2:$C$34, 2, 0)))) + (F2160 * IF(ISBLANK(P2160), 1, P2160) * IF(ISBLANK(T2160), 0, IF(ISNA(VLOOKUP(T2160, 'Fuel Costs'!$A$2:$C$42, 2, 0)), T2160, VLOOKUP(T2160, 'Fuel Costs'!$A$2:$C$42, 2, 0))) / IF(ISBLANK(O2160), 1, O2160))) * 100</f>
        <v>12.72</v>
      </c>
      <c r="J2160" s="2" t="n">
        <f aca="false">((H2160 / 800) / (IF(ISBLANK(S2160), 100, IF(ISNA(VLOOKUP(S2160, Lives!$A$2:$C$35, 2, 0)), S2160, VLOOKUP(S2160, Lives!$A$2:$C$35, 2, 0))) * 12) + (IF(ISBLANK(Q2160), 0, IF(ISNA(VLOOKUP(Q2160, Wages!$A$2:$C$17, 2, 0)), Q2160, VLOOKUP(Q2160, Wages!$A$2:$C$17, 2, 0))) * IF(ISBLANK(N2160), 0, IF(ISNA(VLOOKUP(N2160, Crews!$A$2:$C$28, 2, 0)), N2160, VLOOKUP(N2160, Crews!$A$2:$C$28, 2, 0))))) * 400</f>
        <v>63333.33333</v>
      </c>
      <c r="K2160" s="3" t="s">
        <v>4250</v>
      </c>
      <c r="L2160" s="1" t="s">
        <v>4248</v>
      </c>
      <c r="M2160" s="1" t="n">
        <v>1</v>
      </c>
      <c r="N2160" s="1" t="s">
        <v>2342</v>
      </c>
      <c r="O2160" s="1"/>
      <c r="P2160" s="1" t="n">
        <v>0.02</v>
      </c>
      <c r="Q2160" s="1" t="s">
        <v>2229</v>
      </c>
      <c r="R2160" s="1" t="s">
        <v>2229</v>
      </c>
      <c r="S2160" s="1" t="s">
        <v>2229</v>
      </c>
      <c r="T2160" s="1" t="s">
        <v>4074</v>
      </c>
    </row>
    <row r="2161" customFormat="false" ht="15" hidden="false" customHeight="true" outlineLevel="0" collapsed="false">
      <c r="A2161" s="1" t="s">
        <v>4251</v>
      </c>
      <c r="B2161" s="1" t="n">
        <v>1964</v>
      </c>
      <c r="C2161" s="1" t="n">
        <v>11</v>
      </c>
      <c r="D2161" s="1" t="s">
        <v>38</v>
      </c>
      <c r="E2161" s="1"/>
      <c r="F2161" s="1"/>
      <c r="G2161" s="1" t="n">
        <v>177</v>
      </c>
      <c r="H2161" s="2" t="n">
        <v>426000</v>
      </c>
      <c r="I2161" s="2" t="n">
        <f aca="false">(((H2161 / 800) / IF(ISBLANK(R2161), 1000000, IF(ISNA(VLOOKUP(R2161, Mileages!$A$2:$C$34, 2, 0)), R2161, VLOOKUP(R2161, Mileages!$A$2:$C$34, 2, 0)))) + (F2161 * IF(ISBLANK(P2161), 1, P2161) * IF(ISBLANK(T2161), 0, IF(ISNA(VLOOKUP(T2161, 'Fuel Costs'!$A$2:$C$42, 2, 0)), T2161, VLOOKUP(T2161, 'Fuel Costs'!$A$2:$C$42, 2, 0))) / IF(ISBLANK(O2161), 1, O2161))) * 100</f>
        <v>0.044375</v>
      </c>
      <c r="J2161" s="2" t="n">
        <f aca="false">((H2161 / 800) / (IF(ISBLANK(S2161), 100, IF(ISNA(VLOOKUP(S2161, Lives!$A$2:$C$35, 2, 0)), S2161, VLOOKUP(S2161, Lives!$A$2:$C$35, 2, 0))) * 12) + (IF(ISBLANK(Q2161), 0, IF(ISNA(VLOOKUP(Q2161, Wages!$A$2:$C$17, 2, 0)), Q2161, VLOOKUP(Q2161, Wages!$A$2:$C$17, 2, 0))) * IF(ISBLANK(N2161), 0, IF(ISNA(VLOOKUP(N2161, Crews!$A$2:$C$28, 2, 0)), N2161, VLOOKUP(N2161, Crews!$A$2:$C$28, 2, 0))))) * 400</f>
        <v>507.1428571</v>
      </c>
      <c r="K2161" s="1"/>
      <c r="L2161" s="1" t="s">
        <v>4252</v>
      </c>
      <c r="M2161" s="1" t="n">
        <v>0</v>
      </c>
      <c r="N2161" s="1"/>
      <c r="O2161" s="1"/>
      <c r="P2161" s="1"/>
      <c r="Q2161" s="1"/>
      <c r="R2161" s="1" t="s">
        <v>689</v>
      </c>
      <c r="S2161" s="1" t="s">
        <v>856</v>
      </c>
      <c r="T2161" s="1"/>
    </row>
    <row r="2162" customFormat="false" ht="15" hidden="false" customHeight="true" outlineLevel="0" collapsed="false">
      <c r="A2162" s="1" t="s">
        <v>4253</v>
      </c>
      <c r="B2162" s="1" t="n">
        <v>1964</v>
      </c>
      <c r="C2162" s="1" t="n">
        <v>11</v>
      </c>
      <c r="D2162" s="1" t="s">
        <v>38</v>
      </c>
      <c r="E2162" s="1"/>
      <c r="F2162" s="1"/>
      <c r="G2162" s="1" t="n">
        <v>177</v>
      </c>
      <c r="H2162" s="2" t="n">
        <v>425000</v>
      </c>
      <c r="I2162" s="2" t="n">
        <f aca="false">(((H2162 / 800) / IF(ISBLANK(R2162), 1000000, IF(ISNA(VLOOKUP(R2162, Mileages!$A$2:$C$34, 2, 0)), R2162, VLOOKUP(R2162, Mileages!$A$2:$C$34, 2, 0)))) + (F2162 * IF(ISBLANK(P2162), 1, P2162) * IF(ISBLANK(T2162), 0, IF(ISNA(VLOOKUP(T2162, 'Fuel Costs'!$A$2:$C$42, 2, 0)), T2162, VLOOKUP(T2162, 'Fuel Costs'!$A$2:$C$42, 2, 0))) / IF(ISBLANK(O2162), 1, O2162))) * 100</f>
        <v>0.04427083333</v>
      </c>
      <c r="J2162" s="2" t="n">
        <f aca="false">((H2162 / 800) / (IF(ISBLANK(S2162), 100, IF(ISNA(VLOOKUP(S2162, Lives!$A$2:$C$35, 2, 0)), S2162, VLOOKUP(S2162, Lives!$A$2:$C$35, 2, 0))) * 12) + (IF(ISBLANK(Q2162), 0, IF(ISNA(VLOOKUP(Q2162, Wages!$A$2:$C$17, 2, 0)), Q2162, VLOOKUP(Q2162, Wages!$A$2:$C$17, 2, 0))) * IF(ISBLANK(N2162), 0, IF(ISNA(VLOOKUP(N2162, Crews!$A$2:$C$28, 2, 0)), N2162, VLOOKUP(N2162, Crews!$A$2:$C$28, 2, 0))))) * 400</f>
        <v>505.952381</v>
      </c>
      <c r="K2162" s="1"/>
      <c r="L2162" s="1" t="s">
        <v>4254</v>
      </c>
      <c r="M2162" s="1" t="n">
        <v>0</v>
      </c>
      <c r="N2162" s="1"/>
      <c r="O2162" s="1"/>
      <c r="P2162" s="1"/>
      <c r="Q2162" s="1"/>
      <c r="R2162" s="1" t="s">
        <v>689</v>
      </c>
      <c r="S2162" s="1" t="s">
        <v>856</v>
      </c>
      <c r="T2162" s="1"/>
    </row>
    <row r="2163" customFormat="false" ht="15" hidden="false" customHeight="true" outlineLevel="0" collapsed="false">
      <c r="A2163" s="1" t="s">
        <v>4255</v>
      </c>
      <c r="B2163" s="1" t="n">
        <v>1964</v>
      </c>
      <c r="C2163" s="1" t="n">
        <v>11</v>
      </c>
      <c r="D2163" s="1" t="s">
        <v>38</v>
      </c>
      <c r="E2163" s="1"/>
      <c r="F2163" s="1"/>
      <c r="G2163" s="1" t="n">
        <v>177</v>
      </c>
      <c r="H2163" s="2" t="n">
        <v>420000</v>
      </c>
      <c r="I2163" s="2" t="n">
        <f aca="false">(((H2163 / 800) / IF(ISBLANK(R2163), 1000000, IF(ISNA(VLOOKUP(R2163, Mileages!$A$2:$C$34, 2, 0)), R2163, VLOOKUP(R2163, Mileages!$A$2:$C$34, 2, 0)))) + (F2163 * IF(ISBLANK(P2163), 1, P2163) * IF(ISBLANK(T2163), 0, IF(ISNA(VLOOKUP(T2163, 'Fuel Costs'!$A$2:$C$42, 2, 0)), T2163, VLOOKUP(T2163, 'Fuel Costs'!$A$2:$C$42, 2, 0))) / IF(ISBLANK(O2163), 1, O2163))) * 100</f>
        <v>0.04375</v>
      </c>
      <c r="J2163" s="2" t="n">
        <f aca="false">((H2163 / 800) / (IF(ISBLANK(S2163), 100, IF(ISNA(VLOOKUP(S2163, Lives!$A$2:$C$35, 2, 0)), S2163, VLOOKUP(S2163, Lives!$A$2:$C$35, 2, 0))) * 12) + (IF(ISBLANK(Q2163), 0, IF(ISNA(VLOOKUP(Q2163, Wages!$A$2:$C$17, 2, 0)), Q2163, VLOOKUP(Q2163, Wages!$A$2:$C$17, 2, 0))) * IF(ISBLANK(N2163), 0, IF(ISNA(VLOOKUP(N2163, Crews!$A$2:$C$28, 2, 0)), N2163, VLOOKUP(N2163, Crews!$A$2:$C$28, 2, 0))))) * 400</f>
        <v>500</v>
      </c>
      <c r="K2163" s="3" t="s">
        <v>4256</v>
      </c>
      <c r="L2163" s="1" t="s">
        <v>4257</v>
      </c>
      <c r="M2163" s="1" t="n">
        <v>0</v>
      </c>
      <c r="N2163" s="1"/>
      <c r="O2163" s="1"/>
      <c r="P2163" s="1"/>
      <c r="Q2163" s="1"/>
      <c r="R2163" s="1" t="s">
        <v>689</v>
      </c>
      <c r="S2163" s="1" t="s">
        <v>856</v>
      </c>
      <c r="T2163" s="1"/>
    </row>
    <row r="2164" customFormat="false" ht="15" hidden="false" customHeight="true" outlineLevel="0" collapsed="false">
      <c r="A2164" s="1" t="s">
        <v>4258</v>
      </c>
      <c r="B2164" s="1" t="n">
        <v>1964</v>
      </c>
      <c r="C2164" s="1" t="n">
        <v>11</v>
      </c>
      <c r="D2164" s="1" t="s">
        <v>38</v>
      </c>
      <c r="E2164" s="1"/>
      <c r="F2164" s="1"/>
      <c r="G2164" s="1" t="n">
        <v>177</v>
      </c>
      <c r="H2164" s="2" t="n">
        <v>425000</v>
      </c>
      <c r="I2164" s="2" t="n">
        <f aca="false">(((H2164 / 800) / IF(ISBLANK(R2164), 1000000, IF(ISNA(VLOOKUP(R2164, Mileages!$A$2:$C$34, 2, 0)), R2164, VLOOKUP(R2164, Mileages!$A$2:$C$34, 2, 0)))) + (F2164 * IF(ISBLANK(P2164), 1, P2164) * IF(ISBLANK(T2164), 0, IF(ISNA(VLOOKUP(T2164, 'Fuel Costs'!$A$2:$C$42, 2, 0)), T2164, VLOOKUP(T2164, 'Fuel Costs'!$A$2:$C$42, 2, 0))) / IF(ISBLANK(O2164), 1, O2164))) * 100</f>
        <v>0.04427083333</v>
      </c>
      <c r="J2164" s="2" t="n">
        <f aca="false">((H2164 / 800) / (IF(ISBLANK(S2164), 100, IF(ISNA(VLOOKUP(S2164, Lives!$A$2:$C$35, 2, 0)), S2164, VLOOKUP(S2164, Lives!$A$2:$C$35, 2, 0))) * 12) + (IF(ISBLANK(Q2164), 0, IF(ISNA(VLOOKUP(Q2164, Wages!$A$2:$C$17, 2, 0)), Q2164, VLOOKUP(Q2164, Wages!$A$2:$C$17, 2, 0))) * IF(ISBLANK(N2164), 0, IF(ISNA(VLOOKUP(N2164, Crews!$A$2:$C$28, 2, 0)), N2164, VLOOKUP(N2164, Crews!$A$2:$C$28, 2, 0))))) * 400</f>
        <v>505.952381</v>
      </c>
      <c r="K2164" s="1"/>
      <c r="L2164" s="1" t="s">
        <v>4259</v>
      </c>
      <c r="M2164" s="1" t="n">
        <v>0</v>
      </c>
      <c r="N2164" s="1"/>
      <c r="O2164" s="1"/>
      <c r="P2164" s="1"/>
      <c r="Q2164" s="1"/>
      <c r="R2164" s="1" t="s">
        <v>689</v>
      </c>
      <c r="S2164" s="1" t="s">
        <v>856</v>
      </c>
      <c r="T2164" s="1"/>
    </row>
    <row r="2165" customFormat="false" ht="15" hidden="false" customHeight="true" outlineLevel="0" collapsed="false">
      <c r="A2165" s="1" t="s">
        <v>4260</v>
      </c>
      <c r="B2165" s="1" t="n">
        <v>1964</v>
      </c>
      <c r="C2165" s="1" t="n">
        <v>11</v>
      </c>
      <c r="D2165" s="1" t="s">
        <v>38</v>
      </c>
      <c r="E2165" s="1"/>
      <c r="F2165" s="1"/>
      <c r="G2165" s="1" t="n">
        <v>177</v>
      </c>
      <c r="H2165" s="2" t="n">
        <v>420000</v>
      </c>
      <c r="I2165" s="2" t="n">
        <f aca="false">(((H2165 / 800) / IF(ISBLANK(R2165), 1000000, IF(ISNA(VLOOKUP(R2165, Mileages!$A$2:$C$34, 2, 0)), R2165, VLOOKUP(R2165, Mileages!$A$2:$C$34, 2, 0)))) + (F2165 * IF(ISBLANK(P2165), 1, P2165) * IF(ISBLANK(T2165), 0, IF(ISNA(VLOOKUP(T2165, 'Fuel Costs'!$A$2:$C$42, 2, 0)), T2165, VLOOKUP(T2165, 'Fuel Costs'!$A$2:$C$42, 2, 0))) / IF(ISBLANK(O2165), 1, O2165))) * 100</f>
        <v>0.04375</v>
      </c>
      <c r="J2165" s="2" t="n">
        <f aca="false">((H2165 / 800) / (IF(ISBLANK(S2165), 100, IF(ISNA(VLOOKUP(S2165, Lives!$A$2:$C$35, 2, 0)), S2165, VLOOKUP(S2165, Lives!$A$2:$C$35, 2, 0))) * 12) + (IF(ISBLANK(Q2165), 0, IF(ISNA(VLOOKUP(Q2165, Wages!$A$2:$C$17, 2, 0)), Q2165, VLOOKUP(Q2165, Wages!$A$2:$C$17, 2, 0))) * IF(ISBLANK(N2165), 0, IF(ISNA(VLOOKUP(N2165, Crews!$A$2:$C$28, 2, 0)), N2165, VLOOKUP(N2165, Crews!$A$2:$C$28, 2, 0))))) * 400</f>
        <v>500</v>
      </c>
      <c r="K2165" s="1"/>
      <c r="L2165" s="1" t="s">
        <v>4261</v>
      </c>
      <c r="M2165" s="1" t="n">
        <v>0</v>
      </c>
      <c r="N2165" s="1"/>
      <c r="O2165" s="1"/>
      <c r="P2165" s="1"/>
      <c r="Q2165" s="1"/>
      <c r="R2165" s="1" t="s">
        <v>689</v>
      </c>
      <c r="S2165" s="1" t="s">
        <v>856</v>
      </c>
      <c r="T2165" s="1"/>
    </row>
    <row r="2166" customFormat="false" ht="15" hidden="false" customHeight="true" outlineLevel="0" collapsed="false">
      <c r="A2166" s="1" t="s">
        <v>4262</v>
      </c>
      <c r="B2166" s="1" t="n">
        <v>1965</v>
      </c>
      <c r="C2166" s="1" t="n">
        <v>2</v>
      </c>
      <c r="D2166" s="1" t="s">
        <v>21</v>
      </c>
      <c r="E2166" s="1" t="s">
        <v>2039</v>
      </c>
      <c r="F2166" s="1" t="n">
        <v>86</v>
      </c>
      <c r="G2166" s="1" t="n">
        <v>90</v>
      </c>
      <c r="H2166" s="2" t="n">
        <v>2650000</v>
      </c>
      <c r="I2166" s="2" t="n">
        <f aca="false">(((H2166 / 800) / IF(ISBLANK(R2166), 1000000, IF(ISNA(VLOOKUP(R2166, Mileages!$A$2:$C$34, 2, 0)), R2166, VLOOKUP(R2166, Mileages!$A$2:$C$34, 2, 0)))) + (F2166 * IF(ISBLANK(P2166), 1, P2166) * IF(ISBLANK(T2166), 0, IF(ISNA(VLOOKUP(T2166, 'Fuel Costs'!$A$2:$C$42, 2, 0)), T2166, VLOOKUP(T2166, 'Fuel Costs'!$A$2:$C$42, 2, 0))) / IF(ISBLANK(O2166), 1, O2166))) * 100</f>
        <v>43.33125</v>
      </c>
      <c r="J2166" s="2" t="n">
        <f aca="false">((H2166 / 800) / (IF(ISBLANK(S2166), 100, IF(ISNA(VLOOKUP(S2166, Lives!$A$2:$C$35, 2, 0)), S2166, VLOOKUP(S2166, Lives!$A$2:$C$35, 2, 0))) * 12) + (IF(ISBLANK(Q2166), 0, IF(ISNA(VLOOKUP(Q2166, Wages!$A$2:$C$17, 2, 0)), Q2166, VLOOKUP(Q2166, Wages!$A$2:$C$17, 2, 0))) * IF(ISBLANK(N2166), 0, IF(ISNA(VLOOKUP(N2166, Crews!$A$2:$C$28, 2, 0)), N2166, VLOOKUP(N2166, Crews!$A$2:$C$28, 2, 0))))) * 400</f>
        <v>9380.208333</v>
      </c>
      <c r="K2166" s="3" t="s">
        <v>4263</v>
      </c>
      <c r="L2166" s="1" t="s">
        <v>4264</v>
      </c>
      <c r="M2166" s="1" t="n">
        <v>0</v>
      </c>
      <c r="N2166" s="1" t="s">
        <v>1815</v>
      </c>
      <c r="O2166" s="1" t="n">
        <v>0.8</v>
      </c>
      <c r="P2166" s="1"/>
      <c r="Q2166" s="1" t="s">
        <v>1815</v>
      </c>
      <c r="R2166" s="1" t="s">
        <v>1843</v>
      </c>
      <c r="S2166" s="1" t="s">
        <v>1843</v>
      </c>
      <c r="T2166" s="1" t="s">
        <v>4079</v>
      </c>
    </row>
    <row r="2167" customFormat="false" ht="15" hidden="false" customHeight="true" outlineLevel="0" collapsed="false">
      <c r="A2167" s="1" t="s">
        <v>4265</v>
      </c>
      <c r="B2167" s="1" t="n">
        <v>1965</v>
      </c>
      <c r="C2167" s="1" t="n">
        <v>3</v>
      </c>
      <c r="D2167" s="1" t="s">
        <v>38</v>
      </c>
      <c r="E2167" s="1"/>
      <c r="F2167" s="1"/>
      <c r="G2167" s="1" t="n">
        <v>95</v>
      </c>
      <c r="H2167" s="2" t="n">
        <v>400000</v>
      </c>
      <c r="I2167" s="2" t="n">
        <f aca="false">(((H2167 / 800) / IF(ISBLANK(R2167), 1000000, IF(ISNA(VLOOKUP(R2167, Mileages!$A$2:$C$34, 2, 0)), R2167, VLOOKUP(R2167, Mileages!$A$2:$C$34, 2, 0)))) + (F2167 * IF(ISBLANK(P2167), 1, P2167) * IF(ISBLANK(T2167), 0, IF(ISNA(VLOOKUP(T2167, 'Fuel Costs'!$A$2:$C$42, 2, 0)), T2167, VLOOKUP(T2167, 'Fuel Costs'!$A$2:$C$42, 2, 0))) / IF(ISBLANK(O2167), 1, O2167))) * 100</f>
        <v>0.04166666667</v>
      </c>
      <c r="J2167" s="2" t="n">
        <f aca="false">((H2167 / 800) / (IF(ISBLANK(S2167), 100, IF(ISNA(VLOOKUP(S2167, Lives!$A$2:$C$35, 2, 0)), S2167, VLOOKUP(S2167, Lives!$A$2:$C$35, 2, 0))) * 12) + (IF(ISBLANK(Q2167), 0, IF(ISNA(VLOOKUP(Q2167, Wages!$A$2:$C$17, 2, 0)), Q2167, VLOOKUP(Q2167, Wages!$A$2:$C$17, 2, 0))) * IF(ISBLANK(N2167), 0, IF(ISNA(VLOOKUP(N2167, Crews!$A$2:$C$28, 2, 0)), N2167, VLOOKUP(N2167, Crews!$A$2:$C$28, 2, 0))))) * 400</f>
        <v>333.3333333</v>
      </c>
      <c r="K2167" s="1"/>
      <c r="L2167" s="1" t="s">
        <v>4266</v>
      </c>
      <c r="M2167" s="1" t="n">
        <v>0</v>
      </c>
      <c r="N2167" s="1"/>
      <c r="O2167" s="1"/>
      <c r="P2167" s="1"/>
      <c r="Q2167" s="1"/>
      <c r="R2167" s="1" t="s">
        <v>689</v>
      </c>
      <c r="S2167" s="1" t="s">
        <v>785</v>
      </c>
      <c r="T2167" s="1"/>
    </row>
    <row r="2168" customFormat="false" ht="15" hidden="false" customHeight="true" outlineLevel="0" collapsed="false">
      <c r="A2168" s="1" t="s">
        <v>4267</v>
      </c>
      <c r="B2168" s="1" t="n">
        <v>1965</v>
      </c>
      <c r="C2168" s="1" t="n">
        <v>6</v>
      </c>
      <c r="D2168" s="1" t="s">
        <v>38</v>
      </c>
      <c r="E2168" s="1" t="s">
        <v>1346</v>
      </c>
      <c r="F2168" s="1" t="n">
        <v>3010</v>
      </c>
      <c r="G2168" s="1" t="n">
        <v>160</v>
      </c>
      <c r="H2168" s="2" t="n">
        <v>8830000</v>
      </c>
      <c r="I2168" s="2" t="n">
        <f aca="false">(((H2168 / 800) / IF(ISBLANK(R2168), 1000000, IF(ISNA(VLOOKUP(R2168, Mileages!$A$2:$C$34, 2, 0)), R2168, VLOOKUP(R2168, Mileages!$A$2:$C$34, 2, 0)))) + (F2168 * IF(ISBLANK(P2168), 1, P2168) * IF(ISBLANK(T2168), 0, IF(ISNA(VLOOKUP(T2168, 'Fuel Costs'!$A$2:$C$42, 2, 0)), T2168, VLOOKUP(T2168, 'Fuel Costs'!$A$2:$C$42, 2, 0))) / IF(ISBLANK(O2168), 1, O2168))) * 100</f>
        <v>452.60375</v>
      </c>
      <c r="J2168" s="2" t="n">
        <f aca="false">((H2168 / 800) / (IF(ISBLANK(S2168), 100, IF(ISNA(VLOOKUP(S2168, Lives!$A$2:$C$35, 2, 0)), S2168, VLOOKUP(S2168, Lives!$A$2:$C$35, 2, 0))) * 12) + (IF(ISBLANK(Q2168), 0, IF(ISNA(VLOOKUP(Q2168, Wages!$A$2:$C$17, 2, 0)), Q2168, VLOOKUP(Q2168, Wages!$A$2:$C$17, 2, 0))) * IF(ISBLANK(N2168), 0, IF(ISNA(VLOOKUP(N2168, Crews!$A$2:$C$28, 2, 0)), N2168, VLOOKUP(N2168, Crews!$A$2:$C$28, 2, 0))))) * 400</f>
        <v>16131.94444</v>
      </c>
      <c r="K2168" s="3" t="s">
        <v>4268</v>
      </c>
      <c r="L2168" s="1" t="s">
        <v>4269</v>
      </c>
      <c r="M2168" s="1" t="n">
        <v>0</v>
      </c>
      <c r="N2168" s="1" t="s">
        <v>1488</v>
      </c>
      <c r="O2168" s="1" t="n">
        <v>1</v>
      </c>
      <c r="P2168" s="1"/>
      <c r="Q2168" s="1" t="str">
        <f aca="false">IF(ISBLANK('Pak128 Britain In'!$N2168),,'Pak128 Britain In'!$N2168)</f>
        <v>ElectricDriverRail</v>
      </c>
      <c r="R2168" s="1" t="s">
        <v>1349</v>
      </c>
      <c r="S2168" s="1" t="s">
        <v>1349</v>
      </c>
      <c r="T2168" s="1" t="s">
        <v>4101</v>
      </c>
    </row>
    <row r="2169" customFormat="false" ht="15" hidden="false" customHeight="true" outlineLevel="0" collapsed="false">
      <c r="A2169" s="1" t="s">
        <v>4270</v>
      </c>
      <c r="B2169" s="1" t="n">
        <v>1965</v>
      </c>
      <c r="C2169" s="1" t="n">
        <v>6</v>
      </c>
      <c r="D2169" s="1" t="s">
        <v>29</v>
      </c>
      <c r="E2169" s="1" t="s">
        <v>2039</v>
      </c>
      <c r="F2169" s="1" t="n">
        <v>780</v>
      </c>
      <c r="G2169" s="1" t="n">
        <v>90</v>
      </c>
      <c r="H2169" s="2" t="n">
        <v>98000000</v>
      </c>
      <c r="I2169" s="2" t="n">
        <f aca="false">(((H2169 / 800) / IF(ISBLANK(R2169), 1000000, IF(ISNA(VLOOKUP(R2169, Mileages!$A$2:$C$34, 2, 0)), R2169, VLOOKUP(R2169, Mileages!$A$2:$C$34, 2, 0)))) + (F2169 * IF(ISBLANK(P2169), 1, P2169) * IF(ISBLANK(T2169), 0, IF(ISNA(VLOOKUP(T2169, 'Fuel Costs'!$A$2:$C$42, 2, 0)), T2169, VLOOKUP(T2169, 'Fuel Costs'!$A$2:$C$42, 2, 0))) / IF(ISBLANK(O2169), 1, O2169))) * 100</f>
        <v>25.625</v>
      </c>
      <c r="J2169" s="2" t="n">
        <f aca="false">((H2169 / 800) / (IF(ISBLANK(S2169), 100, IF(ISNA(VLOOKUP(S2169, Lives!$A$2:$C$35, 2, 0)), S2169, VLOOKUP(S2169, Lives!$A$2:$C$35, 2, 0))) * 12) + (IF(ISBLANK(Q2169), 0, IF(ISNA(VLOOKUP(Q2169, Wages!$A$2:$C$17, 2, 0)), Q2169, VLOOKUP(Q2169, Wages!$A$2:$C$17, 2, 0))) * IF(ISBLANK(N2169), 0, IF(ISNA(VLOOKUP(N2169, Crews!$A$2:$C$28, 2, 0)), N2169, VLOOKUP(N2169, Crews!$A$2:$C$28, 2, 0))))) * 400</f>
        <v>80833.33333</v>
      </c>
      <c r="K2169" s="3" t="s">
        <v>4271</v>
      </c>
      <c r="L2169" s="1" t="s">
        <v>4272</v>
      </c>
      <c r="M2169" s="1" t="n">
        <v>0</v>
      </c>
      <c r="N2169" s="1" t="s">
        <v>4273</v>
      </c>
      <c r="O2169" s="1" t="n">
        <v>0.8</v>
      </c>
      <c r="P2169" s="1" t="n">
        <v>0.05</v>
      </c>
      <c r="Q2169" s="1" t="s">
        <v>34</v>
      </c>
      <c r="R2169" s="1" t="s">
        <v>574</v>
      </c>
      <c r="S2169" s="1" t="s">
        <v>574</v>
      </c>
      <c r="T2169" s="1" t="s">
        <v>4079</v>
      </c>
    </row>
    <row r="2170" customFormat="false" ht="15" hidden="false" customHeight="true" outlineLevel="0" collapsed="false">
      <c r="A2170" s="1" t="s">
        <v>4274</v>
      </c>
      <c r="B2170" s="1" t="n">
        <v>1965</v>
      </c>
      <c r="C2170" s="1" t="n">
        <v>10</v>
      </c>
      <c r="D2170" s="1" t="s">
        <v>2225</v>
      </c>
      <c r="E2170" s="1" t="s">
        <v>3660</v>
      </c>
      <c r="F2170" s="1" t="n">
        <v>16740</v>
      </c>
      <c r="G2170" s="1" t="n">
        <v>815</v>
      </c>
      <c r="H2170" s="2" t="n">
        <v>19000000</v>
      </c>
      <c r="I2170" s="2" t="n">
        <f aca="false">(((H2170 / 800) / IF(ISBLANK(R2170), 1000000, IF(ISNA(VLOOKUP(R2170, Mileages!$A$2:$C$34, 2, 0)), R2170, VLOOKUP(R2170, Mileages!$A$2:$C$34, 2, 0)))) + (F2170 * IF(ISBLANK(P2170), 1, P2170) * IF(ISBLANK(T2170), 0, IF(ISNA(VLOOKUP(T2170, 'Fuel Costs'!$A$2:$C$42, 2, 0)), T2170, VLOOKUP(T2170, 'Fuel Costs'!$A$2:$C$42, 2, 0))) / IF(ISBLANK(O2170), 1, O2170))) * 100</f>
        <v>100.915</v>
      </c>
      <c r="J2170" s="2" t="n">
        <f aca="false">((H2170 / 800) / (IF(ISBLANK(S2170), 100, IF(ISNA(VLOOKUP(S2170, Lives!$A$2:$C$35, 2, 0)), S2170, VLOOKUP(S2170, Lives!$A$2:$C$35, 2, 0))) * 12) + (IF(ISBLANK(Q2170), 0, IF(ISNA(VLOOKUP(Q2170, Wages!$A$2:$C$17, 2, 0)), Q2170, VLOOKUP(Q2170, Wages!$A$2:$C$17, 2, 0))) * IF(ISBLANK(N2170), 0, IF(ISNA(VLOOKUP(N2170, Crews!$A$2:$C$28, 2, 0)), N2170, VLOOKUP(N2170, Crews!$A$2:$C$28, 2, 0))))) * 400</f>
        <v>63194.44444</v>
      </c>
      <c r="K2170" s="3" t="s">
        <v>4275</v>
      </c>
      <c r="L2170" s="1" t="s">
        <v>4276</v>
      </c>
      <c r="M2170" s="1" t="n">
        <v>0</v>
      </c>
      <c r="N2170" s="1" t="s">
        <v>2342</v>
      </c>
      <c r="O2170" s="1"/>
      <c r="P2170" s="1" t="n">
        <v>0.02</v>
      </c>
      <c r="Q2170" s="1" t="s">
        <v>2229</v>
      </c>
      <c r="R2170" s="1" t="s">
        <v>2229</v>
      </c>
      <c r="S2170" s="1" t="s">
        <v>2229</v>
      </c>
      <c r="T2170" s="1" t="s">
        <v>4074</v>
      </c>
    </row>
    <row r="2171" customFormat="false" ht="15" hidden="false" customHeight="true" outlineLevel="0" collapsed="false">
      <c r="A2171" s="1" t="s">
        <v>4277</v>
      </c>
      <c r="B2171" s="1" t="n">
        <v>1965</v>
      </c>
      <c r="C2171" s="1" t="n">
        <v>10</v>
      </c>
      <c r="D2171" s="1" t="s">
        <v>2225</v>
      </c>
      <c r="E2171" s="1" t="s">
        <v>3660</v>
      </c>
      <c r="F2171" s="1" t="n">
        <v>72072</v>
      </c>
      <c r="G2171" s="1" t="n">
        <v>935</v>
      </c>
      <c r="H2171" s="2" t="n">
        <v>26000000</v>
      </c>
      <c r="I2171" s="2" t="n">
        <f aca="false">(((H2171 / 800) / IF(ISBLANK(R2171), 1000000, IF(ISNA(VLOOKUP(R2171, Mileages!$A$2:$C$34, 2, 0)), R2171, VLOOKUP(R2171, Mileages!$A$2:$C$34, 2, 0)))) + (F2171 * IF(ISBLANK(P2171), 1, P2171) * IF(ISBLANK(T2171), 0, IF(ISNA(VLOOKUP(T2171, 'Fuel Costs'!$A$2:$C$42, 2, 0)), T2171, VLOOKUP(T2171, 'Fuel Costs'!$A$2:$C$42, 2, 0))) / IF(ISBLANK(O2171), 1, O2171))) * 100</f>
        <v>433.082</v>
      </c>
      <c r="J2171" s="2" t="n">
        <f aca="false">((H2171 / 800) / (IF(ISBLANK(S2171), 100, IF(ISNA(VLOOKUP(S2171, Lives!$A$2:$C$35, 2, 0)), S2171, VLOOKUP(S2171, Lives!$A$2:$C$35, 2, 0))) * 12) + (IF(ISBLANK(Q2171), 0, IF(ISNA(VLOOKUP(Q2171, Wages!$A$2:$C$17, 2, 0)), Q2171, VLOOKUP(Q2171, Wages!$A$2:$C$17, 2, 0))) * IF(ISBLANK(N2171), 0, IF(ISNA(VLOOKUP(N2171, Crews!$A$2:$C$28, 2, 0)), N2171, VLOOKUP(N2171, Crews!$A$2:$C$28, 2, 0))))) * 400</f>
        <v>68055.55556</v>
      </c>
      <c r="K2171" s="3" t="s">
        <v>4278</v>
      </c>
      <c r="L2171" s="1" t="s">
        <v>4279</v>
      </c>
      <c r="M2171" s="1" t="n">
        <v>0</v>
      </c>
      <c r="N2171" s="1" t="s">
        <v>2342</v>
      </c>
      <c r="O2171" s="1"/>
      <c r="P2171" s="1" t="n">
        <v>0.02</v>
      </c>
      <c r="Q2171" s="1" t="s">
        <v>2229</v>
      </c>
      <c r="R2171" s="1" t="s">
        <v>2229</v>
      </c>
      <c r="S2171" s="1" t="s">
        <v>2229</v>
      </c>
      <c r="T2171" s="1" t="s">
        <v>4074</v>
      </c>
    </row>
    <row r="2172" customFormat="false" ht="15" hidden="false" customHeight="true" outlineLevel="0" collapsed="false">
      <c r="A2172" s="1" t="s">
        <v>4280</v>
      </c>
      <c r="B2172" s="1" t="n">
        <v>1965</v>
      </c>
      <c r="C2172" s="1" t="n">
        <v>10</v>
      </c>
      <c r="D2172" s="1" t="s">
        <v>2225</v>
      </c>
      <c r="E2172" s="1" t="s">
        <v>3660</v>
      </c>
      <c r="F2172" s="1" t="n">
        <v>72072</v>
      </c>
      <c r="G2172" s="1" t="n">
        <v>935</v>
      </c>
      <c r="H2172" s="2" t="n">
        <v>26000000</v>
      </c>
      <c r="I2172" s="2" t="n">
        <f aca="false">(((H2172 / 800) / IF(ISBLANK(R2172), 1000000, IF(ISNA(VLOOKUP(R2172, Mileages!$A$2:$C$34, 2, 0)), R2172, VLOOKUP(R2172, Mileages!$A$2:$C$34, 2, 0)))) + (F2172 * IF(ISBLANK(P2172), 1, P2172) * IF(ISBLANK(T2172), 0, IF(ISNA(VLOOKUP(T2172, 'Fuel Costs'!$A$2:$C$42, 2, 0)), T2172, VLOOKUP(T2172, 'Fuel Costs'!$A$2:$C$42, 2, 0))) / IF(ISBLANK(O2172), 1, O2172))) * 100</f>
        <v>433.082</v>
      </c>
      <c r="J2172" s="2" t="n">
        <f aca="false">((H2172 / 800) / (IF(ISBLANK(S2172), 100, IF(ISNA(VLOOKUP(S2172, Lives!$A$2:$C$35, 2, 0)), S2172, VLOOKUP(S2172, Lives!$A$2:$C$35, 2, 0))) * 12) + (IF(ISBLANK(Q2172), 0, IF(ISNA(VLOOKUP(Q2172, Wages!$A$2:$C$17, 2, 0)), Q2172, VLOOKUP(Q2172, Wages!$A$2:$C$17, 2, 0))) * IF(ISBLANK(N2172), 0, IF(ISNA(VLOOKUP(N2172, Crews!$A$2:$C$28, 2, 0)), N2172, VLOOKUP(N2172, Crews!$A$2:$C$28, 2, 0))))) * 400</f>
        <v>68055.55556</v>
      </c>
      <c r="K2172" s="3" t="s">
        <v>4224</v>
      </c>
      <c r="L2172" s="1" t="s">
        <v>4279</v>
      </c>
      <c r="M2172" s="1" t="n">
        <v>1</v>
      </c>
      <c r="N2172" s="1" t="s">
        <v>2342</v>
      </c>
      <c r="O2172" s="1"/>
      <c r="P2172" s="1" t="n">
        <v>0.02</v>
      </c>
      <c r="Q2172" s="1" t="s">
        <v>2229</v>
      </c>
      <c r="R2172" s="1" t="s">
        <v>2229</v>
      </c>
      <c r="S2172" s="1" t="s">
        <v>2229</v>
      </c>
      <c r="T2172" s="1" t="s">
        <v>4074</v>
      </c>
    </row>
    <row r="2173" customFormat="false" ht="15" hidden="false" customHeight="true" outlineLevel="0" collapsed="false">
      <c r="A2173" s="1" t="s">
        <v>4281</v>
      </c>
      <c r="B2173" s="1" t="n">
        <v>1966</v>
      </c>
      <c r="C2173" s="1" t="n">
        <v>1</v>
      </c>
      <c r="D2173" s="1" t="s">
        <v>21</v>
      </c>
      <c r="E2173" s="1" t="s">
        <v>1346</v>
      </c>
      <c r="F2173" s="1" t="n">
        <v>140</v>
      </c>
      <c r="G2173" s="1" t="n">
        <v>50</v>
      </c>
      <c r="H2173" s="2" t="n">
        <v>48000</v>
      </c>
      <c r="I2173" s="2" t="n">
        <f aca="false">(((H2173 / 800) / IF(ISBLANK(R2173), 1000000, IF(ISNA(VLOOKUP(R2173, Mileages!$A$2:$C$34, 2, 0)), R2173, VLOOKUP(R2173, Mileages!$A$2:$C$34, 2, 0)))) + (F2173 * IF(ISBLANK(P2173), 1, P2173) * IF(ISBLANK(T2173), 0, IF(ISNA(VLOOKUP(T2173, 'Fuel Costs'!$A$2:$C$42, 2, 0)), T2173, VLOOKUP(T2173, 'Fuel Costs'!$A$2:$C$42, 2, 0))) / IF(ISBLANK(O2173), 1, O2173))) * 100</f>
        <v>21.008</v>
      </c>
      <c r="J2173" s="2" t="n">
        <f aca="false">((H2173 / 800) / (IF(ISBLANK(S2173), 100, IF(ISNA(VLOOKUP(S2173, Lives!$A$2:$C$35, 2, 0)), S2173, VLOOKUP(S2173, Lives!$A$2:$C$35, 2, 0))) * 12) + (IF(ISBLANK(Q2173), 0, IF(ISNA(VLOOKUP(Q2173, Wages!$A$2:$C$17, 2, 0)), Q2173, VLOOKUP(Q2173, Wages!$A$2:$C$17, 2, 0))) * IF(ISBLANK(N2173), 0, IF(ISNA(VLOOKUP(N2173, Crews!$A$2:$C$28, 2, 0)), N2173, VLOOKUP(N2173, Crews!$A$2:$C$28, 2, 0))))) * 400</f>
        <v>6050</v>
      </c>
      <c r="K2173" s="3" t="s">
        <v>4282</v>
      </c>
      <c r="L2173" s="1" t="s">
        <v>4283</v>
      </c>
      <c r="M2173" s="1" t="n">
        <v>0</v>
      </c>
      <c r="N2173" s="1" t="s">
        <v>3064</v>
      </c>
      <c r="O2173" s="1"/>
      <c r="P2173" s="1"/>
      <c r="Q2173" s="1" t="s">
        <v>3064</v>
      </c>
      <c r="R2173" s="1" t="s">
        <v>3064</v>
      </c>
      <c r="S2173" s="1" t="s">
        <v>3064</v>
      </c>
      <c r="T2173" s="1" t="s">
        <v>4101</v>
      </c>
    </row>
    <row r="2174" customFormat="false" ht="15" hidden="false" customHeight="true" outlineLevel="0" collapsed="false">
      <c r="A2174" s="1" t="s">
        <v>4284</v>
      </c>
      <c r="B2174" s="1" t="n">
        <v>1966</v>
      </c>
      <c r="C2174" s="1" t="n">
        <v>3</v>
      </c>
      <c r="D2174" s="1" t="s">
        <v>157</v>
      </c>
      <c r="E2174" s="1"/>
      <c r="F2174" s="1"/>
      <c r="G2174" s="1" t="n">
        <v>60</v>
      </c>
      <c r="H2174" s="2" t="n">
        <v>126350</v>
      </c>
      <c r="I2174" s="2" t="n">
        <f aca="false">(((H2174 / 800) / IF(ISBLANK(R2174), 1000000, IF(ISNA(VLOOKUP(R2174, Mileages!$A$2:$C$34, 2, 0)), R2174, VLOOKUP(R2174, Mileages!$A$2:$C$34, 2, 0)))) + (F2174 * IF(ISBLANK(P2174), 1, P2174) * IF(ISBLANK(T2174), 0, IF(ISNA(VLOOKUP(T2174, 'Fuel Costs'!$A$2:$C$42, 2, 0)), T2174, VLOOKUP(T2174, 'Fuel Costs'!$A$2:$C$42, 2, 0))) / IF(ISBLANK(O2174), 1, O2174))) * 100</f>
        <v>0.01316145833</v>
      </c>
      <c r="J2174" s="2" t="n">
        <f aca="false">((H2174 / 800) / (IF(ISBLANK(S2174), 100, IF(ISNA(VLOOKUP(S2174, Lives!$A$2:$C$35, 2, 0)), S2174, VLOOKUP(S2174, Lives!$A$2:$C$35, 2, 0))) * 12) + (IF(ISBLANK(Q2174), 0, IF(ISNA(VLOOKUP(Q2174, Wages!$A$2:$C$17, 2, 0)), Q2174, VLOOKUP(Q2174, Wages!$A$2:$C$17, 2, 0))) * IF(ISBLANK(N2174), 0, IF(ISNA(VLOOKUP(N2174, Crews!$A$2:$C$28, 2, 0)), N2174, VLOOKUP(N2174, Crews!$A$2:$C$28, 2, 0))))) * 400</f>
        <v>70.19444444</v>
      </c>
      <c r="K2174" s="1"/>
      <c r="L2174" s="1" t="s">
        <v>4285</v>
      </c>
      <c r="M2174" s="1" t="n">
        <v>0</v>
      </c>
      <c r="N2174" s="1"/>
      <c r="O2174" s="1"/>
      <c r="P2174" s="1"/>
      <c r="Q2174" s="1"/>
      <c r="R2174" s="1" t="s">
        <v>689</v>
      </c>
      <c r="S2174" s="1" t="s">
        <v>4286</v>
      </c>
      <c r="T2174" s="1"/>
    </row>
    <row r="2175" customFormat="false" ht="15" hidden="false" customHeight="true" outlineLevel="0" collapsed="false">
      <c r="A2175" s="1" t="s">
        <v>4287</v>
      </c>
      <c r="B2175" s="1" t="n">
        <v>1966</v>
      </c>
      <c r="C2175" s="1" t="n">
        <v>3</v>
      </c>
      <c r="D2175" s="1" t="s">
        <v>157</v>
      </c>
      <c r="E2175" s="1"/>
      <c r="F2175" s="1"/>
      <c r="G2175" s="1" t="n">
        <v>60</v>
      </c>
      <c r="H2175" s="2" t="n">
        <v>106400</v>
      </c>
      <c r="I2175" s="2" t="n">
        <f aca="false">(((H2175 / 800) / IF(ISBLANK(R2175), 1000000, IF(ISNA(VLOOKUP(R2175, Mileages!$A$2:$C$34, 2, 0)), R2175, VLOOKUP(R2175, Mileages!$A$2:$C$34, 2, 0)))) + (F2175 * IF(ISBLANK(P2175), 1, P2175) * IF(ISBLANK(T2175), 0, IF(ISNA(VLOOKUP(T2175, 'Fuel Costs'!$A$2:$C$42, 2, 0)), T2175, VLOOKUP(T2175, 'Fuel Costs'!$A$2:$C$42, 2, 0))) / IF(ISBLANK(O2175), 1, O2175))) * 100</f>
        <v>0.01108333333</v>
      </c>
      <c r="J2175" s="2" t="n">
        <f aca="false">((H2175 / 800) / (IF(ISBLANK(S2175), 100, IF(ISNA(VLOOKUP(S2175, Lives!$A$2:$C$35, 2, 0)), S2175, VLOOKUP(S2175, Lives!$A$2:$C$35, 2, 0))) * 12) + (IF(ISBLANK(Q2175), 0, IF(ISNA(VLOOKUP(Q2175, Wages!$A$2:$C$17, 2, 0)), Q2175, VLOOKUP(Q2175, Wages!$A$2:$C$17, 2, 0))) * IF(ISBLANK(N2175), 0, IF(ISNA(VLOOKUP(N2175, Crews!$A$2:$C$28, 2, 0)), N2175, VLOOKUP(N2175, Crews!$A$2:$C$28, 2, 0))))) * 400</f>
        <v>44.33333333</v>
      </c>
      <c r="K2175" s="1"/>
      <c r="L2175" s="1" t="s">
        <v>4288</v>
      </c>
      <c r="M2175" s="1" t="n">
        <v>0</v>
      </c>
      <c r="N2175" s="1"/>
      <c r="O2175" s="1"/>
      <c r="P2175" s="1"/>
      <c r="Q2175" s="1"/>
      <c r="R2175" s="1" t="s">
        <v>689</v>
      </c>
      <c r="S2175" s="1" t="s">
        <v>4289</v>
      </c>
      <c r="T2175" s="1"/>
    </row>
    <row r="2176" customFormat="false" ht="15" hidden="false" customHeight="true" outlineLevel="0" collapsed="false">
      <c r="A2176" s="1" t="s">
        <v>4290</v>
      </c>
      <c r="B2176" s="1" t="n">
        <v>1966</v>
      </c>
      <c r="C2176" s="1" t="n">
        <v>3</v>
      </c>
      <c r="D2176" s="1" t="s">
        <v>157</v>
      </c>
      <c r="E2176" s="1"/>
      <c r="F2176" s="1"/>
      <c r="G2176" s="1" t="n">
        <v>60</v>
      </c>
      <c r="H2176" s="2" t="n">
        <v>106400</v>
      </c>
      <c r="I2176" s="2" t="n">
        <f aca="false">(((H2176 / 800) / IF(ISBLANK(R2176), 1000000, IF(ISNA(VLOOKUP(R2176, Mileages!$A$2:$C$34, 2, 0)), R2176, VLOOKUP(R2176, Mileages!$A$2:$C$34, 2, 0)))) + (F2176 * IF(ISBLANK(P2176), 1, P2176) * IF(ISBLANK(T2176), 0, IF(ISNA(VLOOKUP(T2176, 'Fuel Costs'!$A$2:$C$42, 2, 0)), T2176, VLOOKUP(T2176, 'Fuel Costs'!$A$2:$C$42, 2, 0))) / IF(ISBLANK(O2176), 1, O2176))) * 100</f>
        <v>0.01108333333</v>
      </c>
      <c r="J2176" s="2" t="n">
        <f aca="false">((H2176 / 800) / (IF(ISBLANK(S2176), 100, IF(ISNA(VLOOKUP(S2176, Lives!$A$2:$C$35, 2, 0)), S2176, VLOOKUP(S2176, Lives!$A$2:$C$35, 2, 0))) * 12) + (IF(ISBLANK(Q2176), 0, IF(ISNA(VLOOKUP(Q2176, Wages!$A$2:$C$17, 2, 0)), Q2176, VLOOKUP(Q2176, Wages!$A$2:$C$17, 2, 0))) * IF(ISBLANK(N2176), 0, IF(ISNA(VLOOKUP(N2176, Crews!$A$2:$C$28, 2, 0)), N2176, VLOOKUP(N2176, Crews!$A$2:$C$28, 2, 0))))) * 400</f>
        <v>44.33333333</v>
      </c>
      <c r="K2176" s="1"/>
      <c r="L2176" s="1" t="s">
        <v>4291</v>
      </c>
      <c r="M2176" s="1" t="n">
        <v>0</v>
      </c>
      <c r="N2176" s="1"/>
      <c r="O2176" s="1"/>
      <c r="P2176" s="1"/>
      <c r="Q2176" s="1"/>
      <c r="R2176" s="1" t="s">
        <v>689</v>
      </c>
      <c r="S2176" s="1" t="s">
        <v>4289</v>
      </c>
      <c r="T2176" s="1"/>
    </row>
    <row r="2177" customFormat="false" ht="15" hidden="false" customHeight="true" outlineLevel="0" collapsed="false">
      <c r="A2177" s="1" t="s">
        <v>4292</v>
      </c>
      <c r="B2177" s="1" t="n">
        <v>1966</v>
      </c>
      <c r="C2177" s="1" t="n">
        <v>3</v>
      </c>
      <c r="D2177" s="1" t="s">
        <v>157</v>
      </c>
      <c r="E2177" s="1"/>
      <c r="F2177" s="1"/>
      <c r="G2177" s="1" t="n">
        <v>60</v>
      </c>
      <c r="H2177" s="2" t="n">
        <v>126350</v>
      </c>
      <c r="I2177" s="2" t="n">
        <f aca="false">(((H2177 / 800) / IF(ISBLANK(R2177), 1000000, IF(ISNA(VLOOKUP(R2177, Mileages!$A$2:$C$34, 2, 0)), R2177, VLOOKUP(R2177, Mileages!$A$2:$C$34, 2, 0)))) + (F2177 * IF(ISBLANK(P2177), 1, P2177) * IF(ISBLANK(T2177), 0, IF(ISNA(VLOOKUP(T2177, 'Fuel Costs'!$A$2:$C$42, 2, 0)), T2177, VLOOKUP(T2177, 'Fuel Costs'!$A$2:$C$42, 2, 0))) / IF(ISBLANK(O2177), 1, O2177))) * 100</f>
        <v>0.01316145833</v>
      </c>
      <c r="J2177" s="2" t="n">
        <f aca="false">((H2177 / 800) / (IF(ISBLANK(S2177), 100, IF(ISNA(VLOOKUP(S2177, Lives!$A$2:$C$35, 2, 0)), S2177, VLOOKUP(S2177, Lives!$A$2:$C$35, 2, 0))) * 12) + (IF(ISBLANK(Q2177), 0, IF(ISNA(VLOOKUP(Q2177, Wages!$A$2:$C$17, 2, 0)), Q2177, VLOOKUP(Q2177, Wages!$A$2:$C$17, 2, 0))) * IF(ISBLANK(N2177), 0, IF(ISNA(VLOOKUP(N2177, Crews!$A$2:$C$28, 2, 0)), N2177, VLOOKUP(N2177, Crews!$A$2:$C$28, 2, 0))))) * 400</f>
        <v>70.19444444</v>
      </c>
      <c r="K2177" s="1"/>
      <c r="L2177" s="1" t="s">
        <v>4293</v>
      </c>
      <c r="M2177" s="1" t="n">
        <v>0</v>
      </c>
      <c r="N2177" s="1"/>
      <c r="O2177" s="1"/>
      <c r="P2177" s="1"/>
      <c r="Q2177" s="1"/>
      <c r="R2177" s="1" t="s">
        <v>689</v>
      </c>
      <c r="S2177" s="1" t="s">
        <v>4286</v>
      </c>
      <c r="T2177" s="1"/>
    </row>
    <row r="2178" customFormat="false" ht="15" hidden="false" customHeight="true" outlineLevel="0" collapsed="false">
      <c r="A2178" s="1" t="s">
        <v>4294</v>
      </c>
      <c r="B2178" s="1" t="n">
        <v>1966</v>
      </c>
      <c r="C2178" s="1" t="n">
        <v>3</v>
      </c>
      <c r="D2178" s="1" t="s">
        <v>157</v>
      </c>
      <c r="E2178" s="1"/>
      <c r="F2178" s="1"/>
      <c r="G2178" s="1" t="n">
        <v>60</v>
      </c>
      <c r="H2178" s="2" t="n">
        <v>126350</v>
      </c>
      <c r="I2178" s="2" t="n">
        <f aca="false">(((H2178 / 800) / IF(ISBLANK(R2178), 1000000, IF(ISNA(VLOOKUP(R2178, Mileages!$A$2:$C$34, 2, 0)), R2178, VLOOKUP(R2178, Mileages!$A$2:$C$34, 2, 0)))) + (F2178 * IF(ISBLANK(P2178), 1, P2178) * IF(ISBLANK(T2178), 0, IF(ISNA(VLOOKUP(T2178, 'Fuel Costs'!$A$2:$C$42, 2, 0)), T2178, VLOOKUP(T2178, 'Fuel Costs'!$A$2:$C$42, 2, 0))) / IF(ISBLANK(O2178), 1, O2178))) * 100</f>
        <v>0.01316145833</v>
      </c>
      <c r="J2178" s="2" t="n">
        <f aca="false">((H2178 / 800) / (IF(ISBLANK(S2178), 100, IF(ISNA(VLOOKUP(S2178, Lives!$A$2:$C$35, 2, 0)), S2178, VLOOKUP(S2178, Lives!$A$2:$C$35, 2, 0))) * 12) + (IF(ISBLANK(Q2178), 0, IF(ISNA(VLOOKUP(Q2178, Wages!$A$2:$C$17, 2, 0)), Q2178, VLOOKUP(Q2178, Wages!$A$2:$C$17, 2, 0))) * IF(ISBLANK(N2178), 0, IF(ISNA(VLOOKUP(N2178, Crews!$A$2:$C$28, 2, 0)), N2178, VLOOKUP(N2178, Crews!$A$2:$C$28, 2, 0))))) * 400</f>
        <v>52.64583333</v>
      </c>
      <c r="K2178" s="1"/>
      <c r="L2178" s="1" t="s">
        <v>4295</v>
      </c>
      <c r="M2178" s="1" t="n">
        <v>0</v>
      </c>
      <c r="N2178" s="1"/>
      <c r="O2178" s="1"/>
      <c r="P2178" s="1"/>
      <c r="Q2178" s="1"/>
      <c r="R2178" s="1" t="s">
        <v>689</v>
      </c>
      <c r="S2178" s="1" t="s">
        <v>4289</v>
      </c>
      <c r="T2178" s="1"/>
    </row>
    <row r="2179" customFormat="false" ht="15" hidden="false" customHeight="true" outlineLevel="0" collapsed="false">
      <c r="A2179" s="1" t="s">
        <v>4296</v>
      </c>
      <c r="B2179" s="1" t="n">
        <v>1966</v>
      </c>
      <c r="C2179" s="1" t="n">
        <v>11</v>
      </c>
      <c r="D2179" s="1" t="s">
        <v>38</v>
      </c>
      <c r="E2179" s="1"/>
      <c r="F2179" s="1"/>
      <c r="G2179" s="1" t="n">
        <v>145</v>
      </c>
      <c r="H2179" s="2" t="n">
        <v>1240400</v>
      </c>
      <c r="I2179" s="2" t="n">
        <f aca="false">(((H2179 / 800) / IF(ISBLANK(R2179), 1000000, IF(ISNA(VLOOKUP(R2179, Mileages!$A$2:$C$34, 2, 0)), R2179, VLOOKUP(R2179, Mileages!$A$2:$C$34, 2, 0)))) + (F2179 * IF(ISBLANK(P2179), 1, P2179) * IF(ISBLANK(T2179), 0, IF(ISNA(VLOOKUP(T2179, 'Fuel Costs'!$A$2:$C$42, 2, 0)), T2179, VLOOKUP(T2179, 'Fuel Costs'!$A$2:$C$42, 2, 0))) / IF(ISBLANK(O2179), 1, O2179))) * 100</f>
        <v>0.1292083333</v>
      </c>
      <c r="J2179" s="2" t="n">
        <f aca="false">((H2179 / 800) / (IF(ISBLANK(S2179), 100, IF(ISNA(VLOOKUP(S2179, Lives!$A$2:$C$35, 2, 0)), S2179, VLOOKUP(S2179, Lives!$A$2:$C$35, 2, 0))) * 12) + (IF(ISBLANK(Q2179), 0, IF(ISNA(VLOOKUP(Q2179, Wages!$A$2:$C$17, 2, 0)), Q2179, VLOOKUP(Q2179, Wages!$A$2:$C$17, 2, 0))) * IF(ISBLANK(N2179), 0, IF(ISNA(VLOOKUP(N2179, Crews!$A$2:$C$28, 2, 0)), N2179, VLOOKUP(N2179, Crews!$A$2:$C$28, 2, 0))))) * 400</f>
        <v>1476.666667</v>
      </c>
      <c r="K2179" s="3" t="s">
        <v>4297</v>
      </c>
      <c r="L2179" s="1" t="s">
        <v>4298</v>
      </c>
      <c r="M2179" s="1" t="n">
        <v>0</v>
      </c>
      <c r="N2179" s="1"/>
      <c r="O2179" s="1"/>
      <c r="P2179" s="1"/>
      <c r="Q2179" s="1"/>
      <c r="R2179" s="1" t="s">
        <v>689</v>
      </c>
      <c r="S2179" s="1" t="s">
        <v>856</v>
      </c>
      <c r="T2179" s="1"/>
    </row>
    <row r="2180" customFormat="false" ht="15" hidden="false" customHeight="true" outlineLevel="0" collapsed="false">
      <c r="A2180" s="1" t="s">
        <v>4299</v>
      </c>
      <c r="B2180" s="1" t="n">
        <v>1966</v>
      </c>
      <c r="C2180" s="1" t="n">
        <v>11</v>
      </c>
      <c r="D2180" s="1" t="s">
        <v>38</v>
      </c>
      <c r="E2180" s="1"/>
      <c r="F2180" s="1"/>
      <c r="G2180" s="1" t="n">
        <v>145</v>
      </c>
      <c r="H2180" s="2" t="n">
        <v>1240400</v>
      </c>
      <c r="I2180" s="2" t="n">
        <f aca="false">(((H2180 / 800) / IF(ISBLANK(R2180), 1000000, IF(ISNA(VLOOKUP(R2180, Mileages!$A$2:$C$34, 2, 0)), R2180, VLOOKUP(R2180, Mileages!$A$2:$C$34, 2, 0)))) + (F2180 * IF(ISBLANK(P2180), 1, P2180) * IF(ISBLANK(T2180), 0, IF(ISNA(VLOOKUP(T2180, 'Fuel Costs'!$A$2:$C$42, 2, 0)), T2180, VLOOKUP(T2180, 'Fuel Costs'!$A$2:$C$42, 2, 0))) / IF(ISBLANK(O2180), 1, O2180))) * 100</f>
        <v>0.1292083333</v>
      </c>
      <c r="J2180" s="2" t="n">
        <f aca="false">((H2180 / 800) / (IF(ISBLANK(S2180), 100, IF(ISNA(VLOOKUP(S2180, Lives!$A$2:$C$35, 2, 0)), S2180, VLOOKUP(S2180, Lives!$A$2:$C$35, 2, 0))) * 12) + (IF(ISBLANK(Q2180), 0, IF(ISNA(VLOOKUP(Q2180, Wages!$A$2:$C$17, 2, 0)), Q2180, VLOOKUP(Q2180, Wages!$A$2:$C$17, 2, 0))) * IF(ISBLANK(N2180), 0, IF(ISNA(VLOOKUP(N2180, Crews!$A$2:$C$28, 2, 0)), N2180, VLOOKUP(N2180, Crews!$A$2:$C$28, 2, 0))))) * 400</f>
        <v>1476.666667</v>
      </c>
      <c r="K2180" s="1"/>
      <c r="L2180" s="1" t="s">
        <v>4298</v>
      </c>
      <c r="M2180" s="1" t="n">
        <v>1</v>
      </c>
      <c r="N2180" s="1"/>
      <c r="O2180" s="1"/>
      <c r="P2180" s="1"/>
      <c r="Q2180" s="1"/>
      <c r="R2180" s="1" t="s">
        <v>689</v>
      </c>
      <c r="S2180" s="1" t="s">
        <v>856</v>
      </c>
      <c r="T2180" s="1"/>
    </row>
    <row r="2181" customFormat="false" ht="15" hidden="false" customHeight="true" outlineLevel="0" collapsed="false">
      <c r="A2181" s="1" t="s">
        <v>4300</v>
      </c>
      <c r="B2181" s="1" t="n">
        <v>1966</v>
      </c>
      <c r="C2181" s="1" t="n">
        <v>11</v>
      </c>
      <c r="D2181" s="1" t="s">
        <v>38</v>
      </c>
      <c r="E2181" s="1"/>
      <c r="F2181" s="1"/>
      <c r="G2181" s="1" t="n">
        <v>145</v>
      </c>
      <c r="H2181" s="2" t="n">
        <v>1772000</v>
      </c>
      <c r="I2181" s="2" t="n">
        <f aca="false">(((H2181 / 800) / IF(ISBLANK(R2181), 1000000, IF(ISNA(VLOOKUP(R2181, Mileages!$A$2:$C$34, 2, 0)), R2181, VLOOKUP(R2181, Mileages!$A$2:$C$34, 2, 0)))) + (F2181 * IF(ISBLANK(P2181), 1, P2181) * IF(ISBLANK(T2181), 0, IF(ISNA(VLOOKUP(T2181, 'Fuel Costs'!$A$2:$C$42, 2, 0)), T2181, VLOOKUP(T2181, 'Fuel Costs'!$A$2:$C$42, 2, 0))) / IF(ISBLANK(O2181), 1, O2181))) * 100</f>
        <v>0.1845833333</v>
      </c>
      <c r="J2181" s="2" t="n">
        <f aca="false">((H2181 / 800) / (IF(ISBLANK(S2181), 100, IF(ISNA(VLOOKUP(S2181, Lives!$A$2:$C$35, 2, 0)), S2181, VLOOKUP(S2181, Lives!$A$2:$C$35, 2, 0))) * 12) + (IF(ISBLANK(Q2181), 0, IF(ISNA(VLOOKUP(Q2181, Wages!$A$2:$C$17, 2, 0)), Q2181, VLOOKUP(Q2181, Wages!$A$2:$C$17, 2, 0))) * IF(ISBLANK(N2181), 0, IF(ISNA(VLOOKUP(N2181, Crews!$A$2:$C$28, 2, 0)), N2181, VLOOKUP(N2181, Crews!$A$2:$C$28, 2, 0))))) * 400</f>
        <v>2109.52381</v>
      </c>
      <c r="K2181" s="1"/>
      <c r="L2181" s="1" t="s">
        <v>4298</v>
      </c>
      <c r="M2181" s="1" t="n">
        <v>2</v>
      </c>
      <c r="N2181" s="1"/>
      <c r="O2181" s="1"/>
      <c r="P2181" s="1"/>
      <c r="Q2181" s="1"/>
      <c r="R2181" s="1" t="s">
        <v>689</v>
      </c>
      <c r="S2181" s="1" t="s">
        <v>856</v>
      </c>
      <c r="T2181" s="1"/>
    </row>
    <row r="2182" customFormat="false" ht="15" hidden="false" customHeight="true" outlineLevel="0" collapsed="false">
      <c r="A2182" s="1" t="s">
        <v>4301</v>
      </c>
      <c r="B2182" s="1" t="n">
        <v>1966</v>
      </c>
      <c r="C2182" s="1" t="n">
        <v>11</v>
      </c>
      <c r="D2182" s="1" t="s">
        <v>38</v>
      </c>
      <c r="E2182" s="1"/>
      <c r="F2182" s="1"/>
      <c r="G2182" s="1" t="n">
        <v>145</v>
      </c>
      <c r="H2182" s="2" t="n">
        <v>1795000</v>
      </c>
      <c r="I2182" s="2" t="n">
        <f aca="false">(((H2182 / 800) / IF(ISBLANK(R2182), 1000000, IF(ISNA(VLOOKUP(R2182, Mileages!$A$2:$C$34, 2, 0)), R2182, VLOOKUP(R2182, Mileages!$A$2:$C$34, 2, 0)))) + (F2182 * IF(ISBLANK(P2182), 1, P2182) * IF(ISBLANK(T2182), 0, IF(ISNA(VLOOKUP(T2182, 'Fuel Costs'!$A$2:$C$42, 2, 0)), T2182, VLOOKUP(T2182, 'Fuel Costs'!$A$2:$C$42, 2, 0))) / IF(ISBLANK(O2182), 1, O2182))) * 100</f>
        <v>0.1869791667</v>
      </c>
      <c r="J2182" s="2" t="n">
        <f aca="false">((H2182 / 800) / (IF(ISBLANK(S2182), 100, IF(ISNA(VLOOKUP(S2182, Lives!$A$2:$C$35, 2, 0)), S2182, VLOOKUP(S2182, Lives!$A$2:$C$35, 2, 0))) * 12) + (IF(ISBLANK(Q2182), 0, IF(ISNA(VLOOKUP(Q2182, Wages!$A$2:$C$17, 2, 0)), Q2182, VLOOKUP(Q2182, Wages!$A$2:$C$17, 2, 0))) * IF(ISBLANK(N2182), 0, IF(ISNA(VLOOKUP(N2182, Crews!$A$2:$C$28, 2, 0)), N2182, VLOOKUP(N2182, Crews!$A$2:$C$28, 2, 0))))) * 400</f>
        <v>20136.90476</v>
      </c>
      <c r="K2182" s="1"/>
      <c r="L2182" s="1" t="s">
        <v>4298</v>
      </c>
      <c r="M2182" s="1" t="n">
        <v>3</v>
      </c>
      <c r="N2182" s="1" t="s">
        <v>1481</v>
      </c>
      <c r="O2182" s="1"/>
      <c r="P2182" s="1"/>
      <c r="Q2182" s="1" t="s">
        <v>1481</v>
      </c>
      <c r="R2182" s="1" t="s">
        <v>689</v>
      </c>
      <c r="S2182" s="1" t="s">
        <v>856</v>
      </c>
      <c r="T2182" s="1"/>
    </row>
    <row r="2183" customFormat="false" ht="15" hidden="false" customHeight="true" outlineLevel="0" collapsed="false">
      <c r="A2183" s="1" t="s">
        <v>4302</v>
      </c>
      <c r="B2183" s="1" t="n">
        <v>1966</v>
      </c>
      <c r="C2183" s="1" t="n">
        <v>11</v>
      </c>
      <c r="D2183" s="1" t="s">
        <v>38</v>
      </c>
      <c r="E2183" s="1"/>
      <c r="F2183" s="1"/>
      <c r="G2183" s="1" t="n">
        <v>145</v>
      </c>
      <c r="H2183" s="2" t="n">
        <v>1240400</v>
      </c>
      <c r="I2183" s="2" t="n">
        <f aca="false">(((H2183 / 800) / IF(ISBLANK(R2183), 1000000, IF(ISNA(VLOOKUP(R2183, Mileages!$A$2:$C$34, 2, 0)), R2183, VLOOKUP(R2183, Mileages!$A$2:$C$34, 2, 0)))) + (F2183 * IF(ISBLANK(P2183), 1, P2183) * IF(ISBLANK(T2183), 0, IF(ISNA(VLOOKUP(T2183, 'Fuel Costs'!$A$2:$C$42, 2, 0)), T2183, VLOOKUP(T2183, 'Fuel Costs'!$A$2:$C$42, 2, 0))) / IF(ISBLANK(O2183), 1, O2183))) * 100</f>
        <v>0.1292083333</v>
      </c>
      <c r="J2183" s="2" t="n">
        <f aca="false">((H2183 / 800) / (IF(ISBLANK(S2183), 100, IF(ISNA(VLOOKUP(S2183, Lives!$A$2:$C$35, 2, 0)), S2183, VLOOKUP(S2183, Lives!$A$2:$C$35, 2, 0))) * 12) + (IF(ISBLANK(Q2183), 0, IF(ISNA(VLOOKUP(Q2183, Wages!$A$2:$C$17, 2, 0)), Q2183, VLOOKUP(Q2183, Wages!$A$2:$C$17, 2, 0))) * IF(ISBLANK(N2183), 0, IF(ISNA(VLOOKUP(N2183, Crews!$A$2:$C$28, 2, 0)), N2183, VLOOKUP(N2183, Crews!$A$2:$C$28, 2, 0))))) * 400</f>
        <v>1476.666667</v>
      </c>
      <c r="K2183" s="1"/>
      <c r="L2183" s="1" t="s">
        <v>4298</v>
      </c>
      <c r="M2183" s="1" t="n">
        <v>4</v>
      </c>
      <c r="N2183" s="1"/>
      <c r="O2183" s="1"/>
      <c r="P2183" s="1"/>
      <c r="Q2183" s="1"/>
      <c r="R2183" s="1" t="s">
        <v>689</v>
      </c>
      <c r="S2183" s="1" t="s">
        <v>856</v>
      </c>
      <c r="T2183" s="1"/>
    </row>
    <row r="2184" customFormat="false" ht="15" hidden="false" customHeight="true" outlineLevel="0" collapsed="false">
      <c r="A2184" s="1" t="s">
        <v>4303</v>
      </c>
      <c r="B2184" s="1" t="n">
        <v>1966</v>
      </c>
      <c r="C2184" s="1" t="n">
        <v>11</v>
      </c>
      <c r="D2184" s="1" t="s">
        <v>38</v>
      </c>
      <c r="E2184" s="1" t="s">
        <v>1346</v>
      </c>
      <c r="F2184" s="1" t="n">
        <v>1200</v>
      </c>
      <c r="G2184" s="1" t="n">
        <v>145</v>
      </c>
      <c r="H2184" s="2" t="n">
        <v>1772000</v>
      </c>
      <c r="I2184" s="2" t="n">
        <f aca="false">(((H2184 / 800) / IF(ISBLANK(R2184), 1000000, IF(ISNA(VLOOKUP(R2184, Mileages!$A$2:$C$34, 2, 0)), R2184, VLOOKUP(R2184, Mileages!$A$2:$C$34, 2, 0)))) + (F2184 * IF(ISBLANK(P2184), 1, P2184) * IF(ISBLANK(T2184), 0, IF(ISNA(VLOOKUP(T2184, 'Fuel Costs'!$A$2:$C$42, 2, 0)), T2184, VLOOKUP(T2184, 'Fuel Costs'!$A$2:$C$42, 2, 0))) / IF(ISBLANK(O2184), 1, O2184))) * 100</f>
        <v>180.2215</v>
      </c>
      <c r="J2184" s="2" t="n">
        <f aca="false">((H2184 / 800) / (IF(ISBLANK(S2184), 100, IF(ISNA(VLOOKUP(S2184, Lives!$A$2:$C$35, 2, 0)), S2184, VLOOKUP(S2184, Lives!$A$2:$C$35, 2, 0))) * 12) + (IF(ISBLANK(Q2184), 0, IF(ISNA(VLOOKUP(Q2184, Wages!$A$2:$C$17, 2, 0)), Q2184, VLOOKUP(Q2184, Wages!$A$2:$C$17, 2, 0))) * IF(ISBLANK(N2184), 0, IF(ISNA(VLOOKUP(N2184, Crews!$A$2:$C$28, 2, 0)), N2184, VLOOKUP(N2184, Crews!$A$2:$C$28, 2, 0))))) * 400</f>
        <v>7476.666667</v>
      </c>
      <c r="K2184" s="1" t="s">
        <v>4304</v>
      </c>
      <c r="L2184" s="1" t="s">
        <v>4305</v>
      </c>
      <c r="M2184" s="1" t="n">
        <v>0</v>
      </c>
      <c r="N2184" s="1" t="s">
        <v>1512</v>
      </c>
      <c r="O2184" s="1" t="n">
        <v>1</v>
      </c>
      <c r="P2184" s="1"/>
      <c r="Q2184" s="1" t="str">
        <f aca="false">IF(ISBLANK('Pak128 Britain In'!$N2184),,'Pak128 Britain In'!$N2184)</f>
        <v>ElectricMultipleUnit</v>
      </c>
      <c r="R2184" s="1" t="s">
        <v>1349</v>
      </c>
      <c r="S2184" s="1" t="s">
        <v>1350</v>
      </c>
      <c r="T2184" s="1" t="s">
        <v>4101</v>
      </c>
    </row>
    <row r="2185" customFormat="false" ht="15" hidden="false" customHeight="true" outlineLevel="0" collapsed="false">
      <c r="A2185" s="1" t="s">
        <v>4306</v>
      </c>
      <c r="B2185" s="1" t="n">
        <v>1966</v>
      </c>
      <c r="C2185" s="1" t="n">
        <v>11</v>
      </c>
      <c r="D2185" s="1" t="s">
        <v>38</v>
      </c>
      <c r="E2185" s="1" t="s">
        <v>1346</v>
      </c>
      <c r="F2185" s="1"/>
      <c r="G2185" s="1" t="n">
        <v>145</v>
      </c>
      <c r="H2185" s="2" t="n">
        <v>1240400</v>
      </c>
      <c r="I2185" s="2" t="n">
        <f aca="false">(((H2185 / 800) / IF(ISBLANK(R2185), 1000000, IF(ISNA(VLOOKUP(R2185, Mileages!$A$2:$C$34, 2, 0)), R2185, VLOOKUP(R2185, Mileages!$A$2:$C$34, 2, 0)))) + (F2185 * IF(ISBLANK(P2185), 1, P2185) * IF(ISBLANK(T2185), 0, IF(ISNA(VLOOKUP(T2185, 'Fuel Costs'!$A$2:$C$42, 2, 0)), T2185, VLOOKUP(T2185, 'Fuel Costs'!$A$2:$C$42, 2, 0))) / IF(ISBLANK(O2185), 1, O2185))) * 100</f>
        <v>0.1292083333</v>
      </c>
      <c r="J2185" s="2" t="n">
        <f aca="false">((H2185 / 800) / (IF(ISBLANK(S2185), 100, IF(ISNA(VLOOKUP(S2185, Lives!$A$2:$C$35, 2, 0)), S2185, VLOOKUP(S2185, Lives!$A$2:$C$35, 2, 0))) * 12) + (IF(ISBLANK(Q2185), 0, IF(ISNA(VLOOKUP(Q2185, Wages!$A$2:$C$17, 2, 0)), Q2185, VLOOKUP(Q2185, Wages!$A$2:$C$17, 2, 0))) * IF(ISBLANK(N2185), 0, IF(ISNA(VLOOKUP(N2185, Crews!$A$2:$C$28, 2, 0)), N2185, VLOOKUP(N2185, Crews!$A$2:$C$28, 2, 0))))) * 400</f>
        <v>1476.666667</v>
      </c>
      <c r="K2185" s="1"/>
      <c r="L2185" s="1" t="s">
        <v>4305</v>
      </c>
      <c r="M2185" s="1" t="n">
        <v>1</v>
      </c>
      <c r="N2185" s="1"/>
      <c r="O2185" s="1"/>
      <c r="P2185" s="1"/>
      <c r="Q2185" s="1"/>
      <c r="R2185" s="1" t="s">
        <v>689</v>
      </c>
      <c r="S2185" s="1" t="s">
        <v>856</v>
      </c>
      <c r="T2185" s="1"/>
    </row>
    <row r="2186" customFormat="false" ht="15" hidden="false" customHeight="true" outlineLevel="0" collapsed="false">
      <c r="A2186" s="1" t="s">
        <v>4307</v>
      </c>
      <c r="B2186" s="1" t="n">
        <v>1966</v>
      </c>
      <c r="C2186" s="1" t="n">
        <v>11</v>
      </c>
      <c r="D2186" s="1" t="s">
        <v>38</v>
      </c>
      <c r="E2186" s="1" t="s">
        <v>1346</v>
      </c>
      <c r="F2186" s="1"/>
      <c r="G2186" s="1" t="n">
        <v>145</v>
      </c>
      <c r="H2186" s="2" t="n">
        <v>1240400</v>
      </c>
      <c r="I2186" s="2" t="n">
        <f aca="false">(((H2186 / 800) / IF(ISBLANK(R2186), 1000000, IF(ISNA(VLOOKUP(R2186, Mileages!$A$2:$C$34, 2, 0)), R2186, VLOOKUP(R2186, Mileages!$A$2:$C$34, 2, 0)))) + (F2186 * IF(ISBLANK(P2186), 1, P2186) * IF(ISBLANK(T2186), 0, IF(ISNA(VLOOKUP(T2186, 'Fuel Costs'!$A$2:$C$42, 2, 0)), T2186, VLOOKUP(T2186, 'Fuel Costs'!$A$2:$C$42, 2, 0))) / IF(ISBLANK(O2186), 1, O2186))) * 100</f>
        <v>0.1292083333</v>
      </c>
      <c r="J2186" s="2" t="n">
        <f aca="false">((H2186 / 800) / (IF(ISBLANK(S2186), 100, IF(ISNA(VLOOKUP(S2186, Lives!$A$2:$C$35, 2, 0)), S2186, VLOOKUP(S2186, Lives!$A$2:$C$35, 2, 0))) * 12) + (IF(ISBLANK(Q2186), 0, IF(ISNA(VLOOKUP(Q2186, Wages!$A$2:$C$17, 2, 0)), Q2186, VLOOKUP(Q2186, Wages!$A$2:$C$17, 2, 0))) * IF(ISBLANK(N2186), 0, IF(ISNA(VLOOKUP(N2186, Crews!$A$2:$C$28, 2, 0)), N2186, VLOOKUP(N2186, Crews!$A$2:$C$28, 2, 0))))) * 400</f>
        <v>1476.666667</v>
      </c>
      <c r="K2186" s="1"/>
      <c r="L2186" s="1" t="s">
        <v>4305</v>
      </c>
      <c r="M2186" s="1" t="n">
        <v>2</v>
      </c>
      <c r="N2186" s="1"/>
      <c r="O2186" s="1"/>
      <c r="P2186" s="1"/>
      <c r="Q2186" s="1"/>
      <c r="R2186" s="1" t="s">
        <v>689</v>
      </c>
      <c r="S2186" s="1" t="s">
        <v>856</v>
      </c>
      <c r="T2186" s="1"/>
    </row>
    <row r="2187" customFormat="false" ht="15" hidden="false" customHeight="true" outlineLevel="0" collapsed="false">
      <c r="A2187" s="1" t="s">
        <v>4308</v>
      </c>
      <c r="B2187" s="1" t="n">
        <v>1966</v>
      </c>
      <c r="C2187" s="1" t="n">
        <v>11</v>
      </c>
      <c r="D2187" s="1" t="s">
        <v>38</v>
      </c>
      <c r="E2187" s="1" t="s">
        <v>1346</v>
      </c>
      <c r="F2187" s="1"/>
      <c r="G2187" s="1" t="n">
        <v>145</v>
      </c>
      <c r="H2187" s="2" t="n">
        <v>1795000</v>
      </c>
      <c r="I2187" s="2" t="n">
        <f aca="false">(((H2187 / 800) / IF(ISBLANK(R2187), 1000000, IF(ISNA(VLOOKUP(R2187, Mileages!$A$2:$C$34, 2, 0)), R2187, VLOOKUP(R2187, Mileages!$A$2:$C$34, 2, 0)))) + (F2187 * IF(ISBLANK(P2187), 1, P2187) * IF(ISBLANK(T2187), 0, IF(ISNA(VLOOKUP(T2187, 'Fuel Costs'!$A$2:$C$42, 2, 0)), T2187, VLOOKUP(T2187, 'Fuel Costs'!$A$2:$C$42, 2, 0))) / IF(ISBLANK(O2187), 1, O2187))) * 100</f>
        <v>0.1869791667</v>
      </c>
      <c r="J2187" s="2" t="n">
        <f aca="false">((H2187 / 800) / (IF(ISBLANK(S2187), 100, IF(ISNA(VLOOKUP(S2187, Lives!$A$2:$C$35, 2, 0)), S2187, VLOOKUP(S2187, Lives!$A$2:$C$35, 2, 0))) * 12) + (IF(ISBLANK(Q2187), 0, IF(ISNA(VLOOKUP(Q2187, Wages!$A$2:$C$17, 2, 0)), Q2187, VLOOKUP(Q2187, Wages!$A$2:$C$17, 2, 0))) * IF(ISBLANK(N2187), 0, IF(ISNA(VLOOKUP(N2187, Crews!$A$2:$C$28, 2, 0)), N2187, VLOOKUP(N2187, Crews!$A$2:$C$28, 2, 0))))) * 400</f>
        <v>20136.90476</v>
      </c>
      <c r="K2187" s="1"/>
      <c r="L2187" s="1" t="s">
        <v>4305</v>
      </c>
      <c r="M2187" s="1" t="n">
        <v>3</v>
      </c>
      <c r="N2187" s="1" t="s">
        <v>1481</v>
      </c>
      <c r="O2187" s="1"/>
      <c r="P2187" s="1"/>
      <c r="Q2187" s="1" t="s">
        <v>1481</v>
      </c>
      <c r="R2187" s="1" t="s">
        <v>689</v>
      </c>
      <c r="S2187" s="1" t="s">
        <v>856</v>
      </c>
      <c r="T2187" s="1"/>
    </row>
    <row r="2188" customFormat="false" ht="15" hidden="false" customHeight="true" outlineLevel="0" collapsed="false">
      <c r="A2188" s="1" t="s">
        <v>4309</v>
      </c>
      <c r="B2188" s="1" t="n">
        <v>1966</v>
      </c>
      <c r="C2188" s="1" t="n">
        <v>11</v>
      </c>
      <c r="D2188" s="1" t="s">
        <v>38</v>
      </c>
      <c r="E2188" s="1" t="s">
        <v>1346</v>
      </c>
      <c r="F2188" s="1" t="n">
        <v>1200</v>
      </c>
      <c r="G2188" s="1" t="n">
        <v>145</v>
      </c>
      <c r="H2188" s="2" t="n">
        <v>1772000</v>
      </c>
      <c r="I2188" s="2" t="n">
        <f aca="false">(((H2188 / 800) / IF(ISBLANK(R2188), 1000000, IF(ISNA(VLOOKUP(R2188, Mileages!$A$2:$C$34, 2, 0)), R2188, VLOOKUP(R2188, Mileages!$A$2:$C$34, 2, 0)))) + (F2188 * IF(ISBLANK(P2188), 1, P2188) * IF(ISBLANK(T2188), 0, IF(ISNA(VLOOKUP(T2188, 'Fuel Costs'!$A$2:$C$42, 2, 0)), T2188, VLOOKUP(T2188, 'Fuel Costs'!$A$2:$C$42, 2, 0))) / IF(ISBLANK(O2188), 1, O2188))) * 100</f>
        <v>180.2215</v>
      </c>
      <c r="J2188" s="2" t="n">
        <f aca="false">((H2188 / 800) / (IF(ISBLANK(S2188), 100, IF(ISNA(VLOOKUP(S2188, Lives!$A$2:$C$35, 2, 0)), S2188, VLOOKUP(S2188, Lives!$A$2:$C$35, 2, 0))) * 12) + (IF(ISBLANK(Q2188), 0, IF(ISNA(VLOOKUP(Q2188, Wages!$A$2:$C$17, 2, 0)), Q2188, VLOOKUP(Q2188, Wages!$A$2:$C$17, 2, 0))) * IF(ISBLANK(N2188), 0, IF(ISNA(VLOOKUP(N2188, Crews!$A$2:$C$28, 2, 0)), N2188, VLOOKUP(N2188, Crews!$A$2:$C$28, 2, 0))))) * 400</f>
        <v>7476.666667</v>
      </c>
      <c r="K2188" s="1"/>
      <c r="L2188" s="1" t="s">
        <v>4305</v>
      </c>
      <c r="M2188" s="1" t="n">
        <v>4</v>
      </c>
      <c r="N2188" s="1" t="s">
        <v>1512</v>
      </c>
      <c r="O2188" s="1" t="n">
        <v>1</v>
      </c>
      <c r="P2188" s="1"/>
      <c r="Q2188" s="1" t="str">
        <f aca="false">IF(ISBLANK('Pak128 Britain In'!$N2188),,'Pak128 Britain In'!$N2188)</f>
        <v>ElectricMultipleUnit</v>
      </c>
      <c r="R2188" s="1" t="s">
        <v>1349</v>
      </c>
      <c r="S2188" s="1" t="s">
        <v>1350</v>
      </c>
      <c r="T2188" s="1" t="s">
        <v>4101</v>
      </c>
    </row>
    <row r="2189" customFormat="false" ht="15" hidden="false" customHeight="true" outlineLevel="0" collapsed="false">
      <c r="A2189" s="1" t="s">
        <v>4310</v>
      </c>
      <c r="B2189" s="1" t="n">
        <v>1967</v>
      </c>
      <c r="C2189" s="1" t="n">
        <v>1</v>
      </c>
      <c r="D2189" s="1" t="s">
        <v>38</v>
      </c>
      <c r="E2189" s="1" t="s">
        <v>1346</v>
      </c>
      <c r="F2189" s="1" t="n">
        <v>200</v>
      </c>
      <c r="G2189" s="1" t="n">
        <v>72</v>
      </c>
      <c r="H2189" s="2" t="n">
        <v>1250000</v>
      </c>
      <c r="I2189" s="2" t="n">
        <f aca="false">(((H2189 / 800) / IF(ISBLANK(R2189), 1000000, IF(ISNA(VLOOKUP(R2189, Mileages!$A$2:$C$34, 2, 0)), R2189, VLOOKUP(R2189, Mileages!$A$2:$C$34, 2, 0)))) + (F2189 * IF(ISBLANK(P2189), 1, P2189) * IF(ISBLANK(T2189), 0, IF(ISNA(VLOOKUP(T2189, 'Fuel Costs'!$A$2:$C$42, 2, 0)), T2189, VLOOKUP(T2189, 'Fuel Costs'!$A$2:$C$42, 2, 0))) / IF(ISBLANK(O2189), 1, O2189))) * 100</f>
        <v>30.15625</v>
      </c>
      <c r="J2189" s="2" t="n">
        <f aca="false">((H2189 / 800) / (IF(ISBLANK(S2189), 100, IF(ISNA(VLOOKUP(S2189, Lives!$A$2:$C$35, 2, 0)), S2189, VLOOKUP(S2189, Lives!$A$2:$C$35, 2, 0))) * 12) + (IF(ISBLANK(Q2189), 0, IF(ISNA(VLOOKUP(Q2189, Wages!$A$2:$C$17, 2, 0)), Q2189, VLOOKUP(Q2189, Wages!$A$2:$C$17, 2, 0))) * IF(ISBLANK(N2189), 0, IF(ISNA(VLOOKUP(N2189, Crews!$A$2:$C$28, 2, 0)), N2189, VLOOKUP(N2189, Crews!$A$2:$C$28, 2, 0))))) * 400</f>
        <v>7041.666667</v>
      </c>
      <c r="K2189" s="1"/>
      <c r="L2189" s="1" t="s">
        <v>4311</v>
      </c>
      <c r="M2189" s="1" t="n">
        <v>0</v>
      </c>
      <c r="N2189" s="1" t="s">
        <v>1512</v>
      </c>
      <c r="O2189" s="1" t="n">
        <v>1</v>
      </c>
      <c r="P2189" s="1"/>
      <c r="Q2189" s="1" t="str">
        <f aca="false">IF(ISBLANK('Pak128 Britain In'!$N2189),,'Pak128 Britain In'!$N2189)</f>
        <v>ElectricMultipleUnit</v>
      </c>
      <c r="R2189" s="1" t="s">
        <v>1349</v>
      </c>
      <c r="S2189" s="1" t="s">
        <v>1350</v>
      </c>
      <c r="T2189" s="1" t="s">
        <v>4101</v>
      </c>
    </row>
    <row r="2190" customFormat="false" ht="15" hidden="false" customHeight="true" outlineLevel="0" collapsed="false">
      <c r="A2190" s="1" t="s">
        <v>4312</v>
      </c>
      <c r="B2190" s="1" t="n">
        <v>1967</v>
      </c>
      <c r="C2190" s="1" t="n">
        <v>1</v>
      </c>
      <c r="D2190" s="1" t="s">
        <v>38</v>
      </c>
      <c r="E2190" s="1" t="s">
        <v>1346</v>
      </c>
      <c r="F2190" s="1"/>
      <c r="G2190" s="1" t="n">
        <v>72</v>
      </c>
      <c r="H2190" s="2" t="n">
        <v>750000</v>
      </c>
      <c r="I2190" s="2" t="n">
        <f aca="false">(((H2190 / 800) / IF(ISBLANK(R2190), 1000000, IF(ISNA(VLOOKUP(R2190, Mileages!$A$2:$C$34, 2, 0)), R2190, VLOOKUP(R2190, Mileages!$A$2:$C$34, 2, 0)))) + (F2190 * IF(ISBLANK(P2190), 1, P2190) * IF(ISBLANK(T2190), 0, IF(ISNA(VLOOKUP(T2190, 'Fuel Costs'!$A$2:$C$42, 2, 0)), T2190, VLOOKUP(T2190, 'Fuel Costs'!$A$2:$C$42, 2, 0))) / IF(ISBLANK(O2190), 1, O2190))) * 100</f>
        <v>0.078125</v>
      </c>
      <c r="J2190" s="2" t="n">
        <f aca="false">((H2190 / 800) / (IF(ISBLANK(S2190), 100, IF(ISNA(VLOOKUP(S2190, Lives!$A$2:$C$35, 2, 0)), S2190, VLOOKUP(S2190, Lives!$A$2:$C$35, 2, 0))) * 12) + (IF(ISBLANK(Q2190), 0, IF(ISNA(VLOOKUP(Q2190, Wages!$A$2:$C$17, 2, 0)), Q2190, VLOOKUP(Q2190, Wages!$A$2:$C$17, 2, 0))) * IF(ISBLANK(N2190), 0, IF(ISNA(VLOOKUP(N2190, Crews!$A$2:$C$28, 2, 0)), N2190, VLOOKUP(N2190, Crews!$A$2:$C$28, 2, 0))))) * 400</f>
        <v>892.8571429</v>
      </c>
      <c r="K2190" s="1"/>
      <c r="L2190" s="1" t="s">
        <v>4311</v>
      </c>
      <c r="M2190" s="1" t="n">
        <v>1</v>
      </c>
      <c r="N2190" s="1"/>
      <c r="O2190" s="1"/>
      <c r="P2190" s="1"/>
      <c r="Q2190" s="1"/>
      <c r="R2190" s="1" t="s">
        <v>689</v>
      </c>
      <c r="S2190" s="1" t="s">
        <v>856</v>
      </c>
      <c r="T2190" s="1"/>
    </row>
    <row r="2191" customFormat="false" ht="15" hidden="false" customHeight="true" outlineLevel="0" collapsed="false">
      <c r="A2191" s="1" t="s">
        <v>4313</v>
      </c>
      <c r="B2191" s="1" t="n">
        <v>1967</v>
      </c>
      <c r="C2191" s="1" t="n">
        <v>1</v>
      </c>
      <c r="D2191" s="1" t="s">
        <v>38</v>
      </c>
      <c r="E2191" s="1" t="s">
        <v>1346</v>
      </c>
      <c r="F2191" s="1"/>
      <c r="G2191" s="1" t="n">
        <v>72</v>
      </c>
      <c r="H2191" s="2" t="n">
        <v>750000</v>
      </c>
      <c r="I2191" s="2" t="n">
        <f aca="false">(((H2191 / 800) / IF(ISBLANK(R2191), 1000000, IF(ISNA(VLOOKUP(R2191, Mileages!$A$2:$C$34, 2, 0)), R2191, VLOOKUP(R2191, Mileages!$A$2:$C$34, 2, 0)))) + (F2191 * IF(ISBLANK(P2191), 1, P2191) * IF(ISBLANK(T2191), 0, IF(ISNA(VLOOKUP(T2191, 'Fuel Costs'!$A$2:$C$42, 2, 0)), T2191, VLOOKUP(T2191, 'Fuel Costs'!$A$2:$C$42, 2, 0))) / IF(ISBLANK(O2191), 1, O2191))) * 100</f>
        <v>0.078125</v>
      </c>
      <c r="J2191" s="2" t="n">
        <f aca="false">((H2191 / 800) / (IF(ISBLANK(S2191), 100, IF(ISNA(VLOOKUP(S2191, Lives!$A$2:$C$35, 2, 0)), S2191, VLOOKUP(S2191, Lives!$A$2:$C$35, 2, 0))) * 12) + (IF(ISBLANK(Q2191), 0, IF(ISNA(VLOOKUP(Q2191, Wages!$A$2:$C$17, 2, 0)), Q2191, VLOOKUP(Q2191, Wages!$A$2:$C$17, 2, 0))) * IF(ISBLANK(N2191), 0, IF(ISNA(VLOOKUP(N2191, Crews!$A$2:$C$28, 2, 0)), N2191, VLOOKUP(N2191, Crews!$A$2:$C$28, 2, 0))))) * 400</f>
        <v>892.8571429</v>
      </c>
      <c r="K2191" s="1"/>
      <c r="L2191" s="1" t="s">
        <v>4311</v>
      </c>
      <c r="M2191" s="1" t="n">
        <v>2</v>
      </c>
      <c r="N2191" s="1"/>
      <c r="O2191" s="1"/>
      <c r="P2191" s="1"/>
      <c r="Q2191" s="1"/>
      <c r="R2191" s="1" t="s">
        <v>689</v>
      </c>
      <c r="S2191" s="1" t="s">
        <v>856</v>
      </c>
      <c r="T2191" s="1"/>
    </row>
    <row r="2192" customFormat="false" ht="15" hidden="false" customHeight="true" outlineLevel="0" collapsed="false">
      <c r="A2192" s="1" t="s">
        <v>4314</v>
      </c>
      <c r="B2192" s="1" t="n">
        <v>1967</v>
      </c>
      <c r="C2192" s="1" t="n">
        <v>1</v>
      </c>
      <c r="D2192" s="1" t="s">
        <v>38</v>
      </c>
      <c r="E2192" s="1" t="s">
        <v>1346</v>
      </c>
      <c r="F2192" s="1" t="n">
        <v>200</v>
      </c>
      <c r="G2192" s="1" t="n">
        <v>72</v>
      </c>
      <c r="H2192" s="2" t="n">
        <v>1250000</v>
      </c>
      <c r="I2192" s="2" t="n">
        <f aca="false">(((H2192 / 800) / IF(ISBLANK(R2192), 1000000, IF(ISNA(VLOOKUP(R2192, Mileages!$A$2:$C$34, 2, 0)), R2192, VLOOKUP(R2192, Mileages!$A$2:$C$34, 2, 0)))) + (F2192 * IF(ISBLANK(P2192), 1, P2192) * IF(ISBLANK(T2192), 0, IF(ISNA(VLOOKUP(T2192, 'Fuel Costs'!$A$2:$C$42, 2, 0)), T2192, VLOOKUP(T2192, 'Fuel Costs'!$A$2:$C$42, 2, 0))) / IF(ISBLANK(O2192), 1, O2192))) * 100</f>
        <v>30.15625</v>
      </c>
      <c r="J2192" s="2" t="n">
        <f aca="false">((H2192 / 800) / (IF(ISBLANK(S2192), 100, IF(ISNA(VLOOKUP(S2192, Lives!$A$2:$C$35, 2, 0)), S2192, VLOOKUP(S2192, Lives!$A$2:$C$35, 2, 0))) * 12) + (IF(ISBLANK(Q2192), 0, IF(ISNA(VLOOKUP(Q2192, Wages!$A$2:$C$17, 2, 0)), Q2192, VLOOKUP(Q2192, Wages!$A$2:$C$17, 2, 0))) * IF(ISBLANK(N2192), 0, IF(ISNA(VLOOKUP(N2192, Crews!$A$2:$C$28, 2, 0)), N2192, VLOOKUP(N2192, Crews!$A$2:$C$28, 2, 0))))) * 400</f>
        <v>7041.666667</v>
      </c>
      <c r="K2192" s="1"/>
      <c r="L2192" s="1" t="s">
        <v>4311</v>
      </c>
      <c r="M2192" s="1" t="n">
        <v>3</v>
      </c>
      <c r="N2192" s="1" t="s">
        <v>1512</v>
      </c>
      <c r="O2192" s="1" t="n">
        <v>1</v>
      </c>
      <c r="P2192" s="1"/>
      <c r="Q2192" s="1" t="str">
        <f aca="false">IF(ISBLANK('Pak128 Britain In'!$N2192),,'Pak128 Britain In'!$N2192)</f>
        <v>ElectricMultipleUnit</v>
      </c>
      <c r="R2192" s="1" t="s">
        <v>1349</v>
      </c>
      <c r="S2192" s="1" t="s">
        <v>1350</v>
      </c>
      <c r="T2192" s="1" t="s">
        <v>4101</v>
      </c>
    </row>
    <row r="2193" customFormat="false" ht="15" hidden="false" customHeight="true" outlineLevel="0" collapsed="false">
      <c r="A2193" s="1" t="s">
        <v>4315</v>
      </c>
      <c r="B2193" s="1" t="n">
        <v>1967</v>
      </c>
      <c r="C2193" s="1" t="n">
        <v>1</v>
      </c>
      <c r="D2193" s="1" t="s">
        <v>21</v>
      </c>
      <c r="E2193" s="1" t="s">
        <v>2039</v>
      </c>
      <c r="F2193" s="1" t="n">
        <v>40</v>
      </c>
      <c r="G2193" s="1" t="n">
        <v>80</v>
      </c>
      <c r="H2193" s="2" t="n">
        <v>125000</v>
      </c>
      <c r="I2193" s="2" t="n">
        <f aca="false">(((H2193 / 800) / IF(ISBLANK(R2193), 1000000, IF(ISNA(VLOOKUP(R2193, Mileages!$A$2:$C$34, 2, 0)), R2193, VLOOKUP(R2193, Mileages!$A$2:$C$34, 2, 0)))) + (F2193 * IF(ISBLANK(P2193), 1, P2193) * IF(ISBLANK(T2193), 0, IF(ISNA(VLOOKUP(T2193, 'Fuel Costs'!$A$2:$C$42, 2, 0)), T2193, VLOOKUP(T2193, 'Fuel Costs'!$A$2:$C$42, 2, 0))) / IF(ISBLANK(O2193), 1, O2193))) * 100</f>
        <v>20.015625</v>
      </c>
      <c r="J2193" s="2" t="n">
        <f aca="false">((H2193 / 800) / (IF(ISBLANK(S2193), 100, IF(ISNA(VLOOKUP(S2193, Lives!$A$2:$C$35, 2, 0)), S2193, VLOOKUP(S2193, Lives!$A$2:$C$35, 2, 0))) * 12) + (IF(ISBLANK(Q2193), 0, IF(ISNA(VLOOKUP(Q2193, Wages!$A$2:$C$17, 2, 0)), Q2193, VLOOKUP(Q2193, Wages!$A$2:$C$17, 2, 0))) * IF(ISBLANK(N2193), 0, IF(ISNA(VLOOKUP(N2193, Crews!$A$2:$C$28, 2, 0)), N2193, VLOOKUP(N2193, Crews!$A$2:$C$28, 2, 0))))) * 400</f>
        <v>8065.104167</v>
      </c>
      <c r="K2193" s="1"/>
      <c r="L2193" s="1" t="s">
        <v>3182</v>
      </c>
      <c r="M2193" s="1" t="n">
        <v>2</v>
      </c>
      <c r="N2193" s="1" t="s">
        <v>1815</v>
      </c>
      <c r="O2193" s="1" t="n">
        <v>0.8</v>
      </c>
      <c r="P2193" s="1"/>
      <c r="Q2193" s="1" t="s">
        <v>1815</v>
      </c>
      <c r="R2193" s="1" t="s">
        <v>1843</v>
      </c>
      <c r="S2193" s="1" t="s">
        <v>1843</v>
      </c>
      <c r="T2193" s="1" t="s">
        <v>4079</v>
      </c>
    </row>
    <row r="2194" customFormat="false" ht="15" hidden="false" customHeight="true" outlineLevel="0" collapsed="false">
      <c r="A2194" s="1" t="s">
        <v>4316</v>
      </c>
      <c r="B2194" s="1" t="n">
        <v>1967</v>
      </c>
      <c r="C2194" s="1" t="n">
        <v>5</v>
      </c>
      <c r="D2194" s="1" t="s">
        <v>2225</v>
      </c>
      <c r="E2194" s="1" t="s">
        <v>3660</v>
      </c>
      <c r="F2194" s="1" t="n">
        <v>34920</v>
      </c>
      <c r="G2194" s="1" t="n">
        <v>851</v>
      </c>
      <c r="H2194" s="2" t="n">
        <v>55000000</v>
      </c>
      <c r="I2194" s="2" t="n">
        <f aca="false">(((H2194 / 800) / IF(ISBLANK(R2194), 1000000, IF(ISNA(VLOOKUP(R2194, Mileages!$A$2:$C$34, 2, 0)), R2194, VLOOKUP(R2194, Mileages!$A$2:$C$34, 2, 0)))) + (F2194 * IF(ISBLANK(P2194), 1, P2194) * IF(ISBLANK(T2194), 0, IF(ISNA(VLOOKUP(T2194, 'Fuel Costs'!$A$2:$C$42, 2, 0)), T2194, VLOOKUP(T2194, 'Fuel Costs'!$A$2:$C$42, 2, 0))) / IF(ISBLANK(O2194), 1, O2194))) * 100</f>
        <v>210.895</v>
      </c>
      <c r="J2194" s="2" t="n">
        <f aca="false">((H2194 / 800) / (IF(ISBLANK(S2194), 100, IF(ISNA(VLOOKUP(S2194, Lives!$A$2:$C$35, 2, 0)), S2194, VLOOKUP(S2194, Lives!$A$2:$C$35, 2, 0))) * 12) + (IF(ISBLANK(Q2194), 0, IF(ISNA(VLOOKUP(Q2194, Wages!$A$2:$C$17, 2, 0)), Q2194, VLOOKUP(Q2194, Wages!$A$2:$C$17, 2, 0))) * IF(ISBLANK(N2194), 0, IF(ISNA(VLOOKUP(N2194, Crews!$A$2:$C$28, 2, 0)), N2194, VLOOKUP(N2194, Crews!$A$2:$C$28, 2, 0))))) * 400</f>
        <v>88194.44444</v>
      </c>
      <c r="K2194" s="3" t="s">
        <v>4317</v>
      </c>
      <c r="L2194" s="1" t="s">
        <v>4318</v>
      </c>
      <c r="M2194" s="1" t="n">
        <v>0</v>
      </c>
      <c r="N2194" s="1" t="s">
        <v>2342</v>
      </c>
      <c r="O2194" s="1"/>
      <c r="P2194" s="1" t="n">
        <v>0.02</v>
      </c>
      <c r="Q2194" s="1" t="s">
        <v>2229</v>
      </c>
      <c r="R2194" s="1" t="s">
        <v>2229</v>
      </c>
      <c r="S2194" s="1" t="s">
        <v>2229</v>
      </c>
      <c r="T2194" s="1" t="s">
        <v>4074</v>
      </c>
    </row>
    <row r="2195" customFormat="false" ht="15" hidden="false" customHeight="true" outlineLevel="0" collapsed="false">
      <c r="A2195" s="1" t="s">
        <v>4319</v>
      </c>
      <c r="B2195" s="1" t="n">
        <v>1967</v>
      </c>
      <c r="C2195" s="1" t="n">
        <v>5</v>
      </c>
      <c r="D2195" s="1" t="s">
        <v>2225</v>
      </c>
      <c r="E2195" s="1" t="s">
        <v>3660</v>
      </c>
      <c r="F2195" s="1" t="n">
        <v>34920</v>
      </c>
      <c r="G2195" s="1" t="n">
        <v>851</v>
      </c>
      <c r="H2195" s="2" t="n">
        <v>55000000</v>
      </c>
      <c r="I2195" s="2" t="n">
        <f aca="false">(((H2195 / 800) / IF(ISBLANK(R2195), 1000000, IF(ISNA(VLOOKUP(R2195, Mileages!$A$2:$C$34, 2, 0)), R2195, VLOOKUP(R2195, Mileages!$A$2:$C$34, 2, 0)))) + (F2195 * IF(ISBLANK(P2195), 1, P2195) * IF(ISBLANK(T2195), 0, IF(ISNA(VLOOKUP(T2195, 'Fuel Costs'!$A$2:$C$42, 2, 0)), T2195, VLOOKUP(T2195, 'Fuel Costs'!$A$2:$C$42, 2, 0))) / IF(ISBLANK(O2195), 1, O2195))) * 100</f>
        <v>210.895</v>
      </c>
      <c r="J2195" s="2" t="n">
        <f aca="false">((H2195 / 800) / (IF(ISBLANK(S2195), 100, IF(ISNA(VLOOKUP(S2195, Lives!$A$2:$C$35, 2, 0)), S2195, VLOOKUP(S2195, Lives!$A$2:$C$35, 2, 0))) * 12) + (IF(ISBLANK(Q2195), 0, IF(ISNA(VLOOKUP(Q2195, Wages!$A$2:$C$17, 2, 0)), Q2195, VLOOKUP(Q2195, Wages!$A$2:$C$17, 2, 0))) * IF(ISBLANK(N2195), 0, IF(ISNA(VLOOKUP(N2195, Crews!$A$2:$C$28, 2, 0)), N2195, VLOOKUP(N2195, Crews!$A$2:$C$28, 2, 0))))) * 400</f>
        <v>88194.44444</v>
      </c>
      <c r="K2195" s="3" t="s">
        <v>4317</v>
      </c>
      <c r="L2195" s="1" t="s">
        <v>4318</v>
      </c>
      <c r="M2195" s="1" t="n">
        <v>1</v>
      </c>
      <c r="N2195" s="1" t="s">
        <v>2342</v>
      </c>
      <c r="O2195" s="1"/>
      <c r="P2195" s="1" t="n">
        <v>0.02</v>
      </c>
      <c r="Q2195" s="1" t="s">
        <v>2229</v>
      </c>
      <c r="R2195" s="1" t="s">
        <v>2229</v>
      </c>
      <c r="S2195" s="1" t="s">
        <v>2229</v>
      </c>
      <c r="T2195" s="1" t="s">
        <v>4074</v>
      </c>
    </row>
    <row r="2196" customFormat="false" ht="15" hidden="false" customHeight="true" outlineLevel="0" collapsed="false">
      <c r="A2196" s="1" t="s">
        <v>4320</v>
      </c>
      <c r="B2196" s="1" t="n">
        <v>1967</v>
      </c>
      <c r="C2196" s="1" t="n">
        <v>5</v>
      </c>
      <c r="D2196" s="1" t="s">
        <v>2225</v>
      </c>
      <c r="E2196" s="1" t="s">
        <v>3660</v>
      </c>
      <c r="F2196" s="1" t="n">
        <v>34920</v>
      </c>
      <c r="G2196" s="1" t="n">
        <v>851</v>
      </c>
      <c r="H2196" s="2" t="n">
        <v>50000000</v>
      </c>
      <c r="I2196" s="2" t="n">
        <f aca="false">(((H2196 / 800) / IF(ISBLANK(R2196), 1000000, IF(ISNA(VLOOKUP(R2196, Mileages!$A$2:$C$34, 2, 0)), R2196, VLOOKUP(R2196, Mileages!$A$2:$C$34, 2, 0)))) + (F2196 * IF(ISBLANK(P2196), 1, P2196) * IF(ISBLANK(T2196), 0, IF(ISNA(VLOOKUP(T2196, 'Fuel Costs'!$A$2:$C$42, 2, 0)), T2196, VLOOKUP(T2196, 'Fuel Costs'!$A$2:$C$42, 2, 0))) / IF(ISBLANK(O2196), 1, O2196))) * 100</f>
        <v>210.77</v>
      </c>
      <c r="J2196" s="2" t="n">
        <f aca="false">((H2196 / 800) / (IF(ISBLANK(S2196), 100, IF(ISNA(VLOOKUP(S2196, Lives!$A$2:$C$35, 2, 0)), S2196, VLOOKUP(S2196, Lives!$A$2:$C$35, 2, 0))) * 12) + (IF(ISBLANK(Q2196), 0, IF(ISNA(VLOOKUP(Q2196, Wages!$A$2:$C$17, 2, 0)), Q2196, VLOOKUP(Q2196, Wages!$A$2:$C$17, 2, 0))) * IF(ISBLANK(N2196), 0, IF(ISNA(VLOOKUP(N2196, Crews!$A$2:$C$28, 2, 0)), N2196, VLOOKUP(N2196, Crews!$A$2:$C$28, 2, 0))))) * 400</f>
        <v>54722.22222</v>
      </c>
      <c r="K2196" s="3" t="s">
        <v>4321</v>
      </c>
      <c r="L2196" s="1" t="s">
        <v>4322</v>
      </c>
      <c r="M2196" s="1" t="n">
        <v>0</v>
      </c>
      <c r="N2196" s="1" t="s">
        <v>3570</v>
      </c>
      <c r="O2196" s="1"/>
      <c r="P2196" s="1" t="n">
        <v>0.02</v>
      </c>
      <c r="Q2196" s="1" t="s">
        <v>2229</v>
      </c>
      <c r="R2196" s="1" t="s">
        <v>2229</v>
      </c>
      <c r="S2196" s="1" t="s">
        <v>2229</v>
      </c>
      <c r="T2196" s="1" t="s">
        <v>4074</v>
      </c>
    </row>
    <row r="2197" customFormat="false" ht="15" hidden="false" customHeight="true" outlineLevel="0" collapsed="false">
      <c r="A2197" s="1" t="s">
        <v>4323</v>
      </c>
      <c r="B2197" s="1" t="n">
        <v>1967</v>
      </c>
      <c r="C2197" s="1" t="n">
        <v>5</v>
      </c>
      <c r="D2197" s="1" t="s">
        <v>2225</v>
      </c>
      <c r="E2197" s="1" t="s">
        <v>3660</v>
      </c>
      <c r="F2197" s="1" t="n">
        <v>34920</v>
      </c>
      <c r="G2197" s="1" t="n">
        <v>851</v>
      </c>
      <c r="H2197" s="2" t="n">
        <v>50000000</v>
      </c>
      <c r="I2197" s="2" t="n">
        <f aca="false">(((H2197 / 800) / IF(ISBLANK(R2197), 1000000, IF(ISNA(VLOOKUP(R2197, Mileages!$A$2:$C$34, 2, 0)), R2197, VLOOKUP(R2197, Mileages!$A$2:$C$34, 2, 0)))) + (F2197 * IF(ISBLANK(P2197), 1, P2197) * IF(ISBLANK(T2197), 0, IF(ISNA(VLOOKUP(T2197, 'Fuel Costs'!$A$2:$C$42, 2, 0)), T2197, VLOOKUP(T2197, 'Fuel Costs'!$A$2:$C$42, 2, 0))) / IF(ISBLANK(O2197), 1, O2197))) * 100</f>
        <v>210.77</v>
      </c>
      <c r="J2197" s="2" t="n">
        <f aca="false">((H2197 / 800) / (IF(ISBLANK(S2197), 100, IF(ISNA(VLOOKUP(S2197, Lives!$A$2:$C$35, 2, 0)), S2197, VLOOKUP(S2197, Lives!$A$2:$C$35, 2, 0))) * 12) + (IF(ISBLANK(Q2197), 0, IF(ISNA(VLOOKUP(Q2197, Wages!$A$2:$C$17, 2, 0)), Q2197, VLOOKUP(Q2197, Wages!$A$2:$C$17, 2, 0))) * IF(ISBLANK(N2197), 0, IF(ISNA(VLOOKUP(N2197, Crews!$A$2:$C$28, 2, 0)), N2197, VLOOKUP(N2197, Crews!$A$2:$C$28, 2, 0))))) * 400</f>
        <v>54722.22222</v>
      </c>
      <c r="K2197" s="3" t="s">
        <v>4321</v>
      </c>
      <c r="L2197" s="1" t="s">
        <v>4322</v>
      </c>
      <c r="M2197" s="1" t="n">
        <v>1</v>
      </c>
      <c r="N2197" s="1" t="s">
        <v>3570</v>
      </c>
      <c r="O2197" s="1"/>
      <c r="P2197" s="1" t="n">
        <v>0.02</v>
      </c>
      <c r="Q2197" s="1" t="s">
        <v>2229</v>
      </c>
      <c r="R2197" s="1" t="s">
        <v>2229</v>
      </c>
      <c r="S2197" s="1" t="s">
        <v>2229</v>
      </c>
      <c r="T2197" s="1" t="s">
        <v>4074</v>
      </c>
    </row>
    <row r="2198" customFormat="false" ht="15" hidden="false" customHeight="true" outlineLevel="0" collapsed="false">
      <c r="A2198" s="1" t="s">
        <v>4324</v>
      </c>
      <c r="B2198" s="1" t="n">
        <v>1967</v>
      </c>
      <c r="C2198" s="1" t="n">
        <v>5</v>
      </c>
      <c r="D2198" s="1" t="s">
        <v>21</v>
      </c>
      <c r="E2198" s="1" t="s">
        <v>2039</v>
      </c>
      <c r="F2198" s="1" t="n">
        <v>130</v>
      </c>
      <c r="G2198" s="1" t="n">
        <v>96</v>
      </c>
      <c r="H2198" s="2" t="n">
        <v>5875000</v>
      </c>
      <c r="I2198" s="2" t="n">
        <f aca="false">(((H2198 / 800) / IF(ISBLANK(R2198), 1000000, IF(ISNA(VLOOKUP(R2198, Mileages!$A$2:$C$34, 2, 0)), R2198, VLOOKUP(R2198, Mileages!$A$2:$C$34, 2, 0)))) + (F2198 * IF(ISBLANK(P2198), 1, P2198) * IF(ISBLANK(T2198), 0, IF(ISNA(VLOOKUP(T2198, 'Fuel Costs'!$A$2:$C$42, 2, 0)), T2198, VLOOKUP(T2198, 'Fuel Costs'!$A$2:$C$42, 2, 0))) / IF(ISBLANK(O2198), 1, O2198))) * 100</f>
        <v>65.734375</v>
      </c>
      <c r="J2198" s="2" t="n">
        <f aca="false">((H2198 / 800) / (IF(ISBLANK(S2198), 100, IF(ISNA(VLOOKUP(S2198, Lives!$A$2:$C$35, 2, 0)), S2198, VLOOKUP(S2198, Lives!$A$2:$C$35, 2, 0))) * 12) + (IF(ISBLANK(Q2198), 0, IF(ISNA(VLOOKUP(Q2198, Wages!$A$2:$C$17, 2, 0)), Q2198, VLOOKUP(Q2198, Wages!$A$2:$C$17, 2, 0))) * IF(ISBLANK(N2198), 0, IF(ISNA(VLOOKUP(N2198, Crews!$A$2:$C$28, 2, 0)), N2198, VLOOKUP(N2198, Crews!$A$2:$C$28, 2, 0))))) * 400</f>
        <v>11059.89583</v>
      </c>
      <c r="K2198" s="3" t="s">
        <v>4325</v>
      </c>
      <c r="L2198" s="1" t="s">
        <v>4326</v>
      </c>
      <c r="M2198" s="1" t="n">
        <v>0</v>
      </c>
      <c r="N2198" s="1" t="s">
        <v>1815</v>
      </c>
      <c r="O2198" s="1" t="n">
        <v>0.8</v>
      </c>
      <c r="P2198" s="1"/>
      <c r="Q2198" s="1" t="s">
        <v>1815</v>
      </c>
      <c r="R2198" s="1" t="s">
        <v>1843</v>
      </c>
      <c r="S2198" s="1" t="s">
        <v>1843</v>
      </c>
      <c r="T2198" s="1" t="s">
        <v>4079</v>
      </c>
    </row>
    <row r="2199" customFormat="false" ht="15" hidden="false" customHeight="true" outlineLevel="0" collapsed="false">
      <c r="A2199" s="1" t="s">
        <v>4327</v>
      </c>
      <c r="B2199" s="1" t="n">
        <v>1967</v>
      </c>
      <c r="C2199" s="1" t="n">
        <v>7</v>
      </c>
      <c r="D2199" s="1" t="s">
        <v>38</v>
      </c>
      <c r="E2199" s="1" t="s">
        <v>1346</v>
      </c>
      <c r="F2199" s="1" t="n">
        <v>0</v>
      </c>
      <c r="G2199" s="1" t="n">
        <v>140</v>
      </c>
      <c r="H2199" s="2" t="n">
        <v>1575000</v>
      </c>
      <c r="I2199" s="2" t="n">
        <f aca="false">(((H2199 / 800) / IF(ISBLANK(R2199), 1000000, IF(ISNA(VLOOKUP(R2199, Mileages!$A$2:$C$34, 2, 0)), R2199, VLOOKUP(R2199, Mileages!$A$2:$C$34, 2, 0)))) + (F2199 * IF(ISBLANK(P2199), 1, P2199) * IF(ISBLANK(T2199), 0, IF(ISNA(VLOOKUP(T2199, 'Fuel Costs'!$A$2:$C$42, 2, 0)), T2199, VLOOKUP(T2199, 'Fuel Costs'!$A$2:$C$42, 2, 0))) / IF(ISBLANK(O2199), 1, O2199))) * 100</f>
        <v>0.1640625</v>
      </c>
      <c r="J2199" s="2" t="n">
        <f aca="false">((H2199 / 800) / (IF(ISBLANK(S2199), 100, IF(ISNA(VLOOKUP(S2199, Lives!$A$2:$C$35, 2, 0)), S2199, VLOOKUP(S2199, Lives!$A$2:$C$35, 2, 0))) * 12) + (IF(ISBLANK(Q2199), 0, IF(ISNA(VLOOKUP(Q2199, Wages!$A$2:$C$17, 2, 0)), Q2199, VLOOKUP(Q2199, Wages!$A$2:$C$17, 2, 0))) * IF(ISBLANK(N2199), 0, IF(ISNA(VLOOKUP(N2199, Crews!$A$2:$C$28, 2, 0)), N2199, VLOOKUP(N2199, Crews!$A$2:$C$28, 2, 0))))) * 400</f>
        <v>1875</v>
      </c>
      <c r="K2199" s="1" t="s">
        <v>4328</v>
      </c>
      <c r="L2199" s="1" t="s">
        <v>4329</v>
      </c>
      <c r="M2199" s="1" t="n">
        <v>0</v>
      </c>
      <c r="N2199" s="1"/>
      <c r="O2199" s="1"/>
      <c r="P2199" s="1"/>
      <c r="Q2199" s="1"/>
      <c r="R2199" s="1" t="s">
        <v>689</v>
      </c>
      <c r="S2199" s="1" t="s">
        <v>856</v>
      </c>
      <c r="T2199" s="1"/>
    </row>
    <row r="2200" customFormat="false" ht="15" hidden="false" customHeight="true" outlineLevel="0" collapsed="false">
      <c r="A2200" s="1" t="s">
        <v>4330</v>
      </c>
      <c r="B2200" s="1" t="n">
        <v>1967</v>
      </c>
      <c r="C2200" s="1" t="n">
        <v>7</v>
      </c>
      <c r="D2200" s="1" t="s">
        <v>38</v>
      </c>
      <c r="E2200" s="1" t="s">
        <v>1346</v>
      </c>
      <c r="F2200" s="1" t="n">
        <v>750</v>
      </c>
      <c r="G2200" s="1" t="n">
        <v>140</v>
      </c>
      <c r="H2200" s="2" t="n">
        <v>1575000</v>
      </c>
      <c r="I2200" s="2" t="n">
        <f aca="false">(((H2200 / 800) / IF(ISBLANK(R2200), 1000000, IF(ISNA(VLOOKUP(R2200, Mileages!$A$2:$C$34, 2, 0)), R2200, VLOOKUP(R2200, Mileages!$A$2:$C$34, 2, 0)))) + (F2200 * IF(ISBLANK(P2200), 1, P2200) * IF(ISBLANK(T2200), 0, IF(ISNA(VLOOKUP(T2200, 'Fuel Costs'!$A$2:$C$42, 2, 0)), T2200, VLOOKUP(T2200, 'Fuel Costs'!$A$2:$C$42, 2, 0))) / IF(ISBLANK(O2200), 1, O2200))) * 100</f>
        <v>112.696875</v>
      </c>
      <c r="J2200" s="2" t="n">
        <f aca="false">((H2200 / 800) / (IF(ISBLANK(S2200), 100, IF(ISNA(VLOOKUP(S2200, Lives!$A$2:$C$35, 2, 0)), S2200, VLOOKUP(S2200, Lives!$A$2:$C$35, 2, 0))) * 12) + (IF(ISBLANK(Q2200), 0, IF(ISNA(VLOOKUP(Q2200, Wages!$A$2:$C$17, 2, 0)), Q2200, VLOOKUP(Q2200, Wages!$A$2:$C$17, 2, 0))) * IF(ISBLANK(N2200), 0, IF(ISNA(VLOOKUP(N2200, Crews!$A$2:$C$28, 2, 0)), N2200, VLOOKUP(N2200, Crews!$A$2:$C$28, 2, 0))))) * 400</f>
        <v>11093.75</v>
      </c>
      <c r="K2200" s="1"/>
      <c r="L2200" s="1" t="s">
        <v>4329</v>
      </c>
      <c r="M2200" s="1" t="n">
        <v>1</v>
      </c>
      <c r="N2200" s="1" t="s">
        <v>1488</v>
      </c>
      <c r="O2200" s="1" t="n">
        <v>1</v>
      </c>
      <c r="P2200" s="1"/>
      <c r="Q2200" s="1" t="str">
        <f aca="false">IF(ISBLANK('Pak128 Britain In'!$N2200),,'Pak128 Britain In'!$N2200)</f>
        <v>ElectricDriverRail</v>
      </c>
      <c r="R2200" s="1" t="s">
        <v>1349</v>
      </c>
      <c r="S2200" s="1" t="s">
        <v>1349</v>
      </c>
      <c r="T2200" s="1" t="s">
        <v>4101</v>
      </c>
    </row>
    <row r="2201" customFormat="false" ht="15" hidden="false" customHeight="true" outlineLevel="0" collapsed="false">
      <c r="A2201" s="1" t="s">
        <v>4331</v>
      </c>
      <c r="B2201" s="1" t="n">
        <v>1967</v>
      </c>
      <c r="C2201" s="1" t="n">
        <v>7</v>
      </c>
      <c r="D2201" s="1" t="s">
        <v>38</v>
      </c>
      <c r="E2201" s="1" t="s">
        <v>1346</v>
      </c>
      <c r="F2201" s="1"/>
      <c r="G2201" s="1" t="n">
        <v>140</v>
      </c>
      <c r="H2201" s="2" t="n">
        <v>1575000</v>
      </c>
      <c r="I2201" s="2" t="n">
        <f aca="false">(((H2201 / 800) / IF(ISBLANK(R2201), 1000000, IF(ISNA(VLOOKUP(R2201, Mileages!$A$2:$C$34, 2, 0)), R2201, VLOOKUP(R2201, Mileages!$A$2:$C$34, 2, 0)))) + (F2201 * IF(ISBLANK(P2201), 1, P2201) * IF(ISBLANK(T2201), 0, IF(ISNA(VLOOKUP(T2201, 'Fuel Costs'!$A$2:$C$42, 2, 0)), T2201, VLOOKUP(T2201, 'Fuel Costs'!$A$2:$C$42, 2, 0))) / IF(ISBLANK(O2201), 1, O2201))) * 100</f>
        <v>0.1640625</v>
      </c>
      <c r="J2201" s="2" t="n">
        <f aca="false">((H2201 / 800) / (IF(ISBLANK(S2201), 100, IF(ISNA(VLOOKUP(S2201, Lives!$A$2:$C$35, 2, 0)), S2201, VLOOKUP(S2201, Lives!$A$2:$C$35, 2, 0))) * 12) + (IF(ISBLANK(Q2201), 0, IF(ISNA(VLOOKUP(Q2201, Wages!$A$2:$C$17, 2, 0)), Q2201, VLOOKUP(Q2201, Wages!$A$2:$C$17, 2, 0))) * IF(ISBLANK(N2201), 0, IF(ISNA(VLOOKUP(N2201, Crews!$A$2:$C$28, 2, 0)), N2201, VLOOKUP(N2201, Crews!$A$2:$C$28, 2, 0))))) * 400</f>
        <v>1875</v>
      </c>
      <c r="K2201" s="1"/>
      <c r="L2201" s="1" t="s">
        <v>4329</v>
      </c>
      <c r="M2201" s="1" t="n">
        <v>2</v>
      </c>
      <c r="N2201" s="1"/>
      <c r="O2201" s="1"/>
      <c r="P2201" s="1"/>
      <c r="Q2201" s="1"/>
      <c r="R2201" s="1" t="s">
        <v>689</v>
      </c>
      <c r="S2201" s="1" t="s">
        <v>856</v>
      </c>
      <c r="T2201" s="1"/>
    </row>
    <row r="2202" customFormat="false" ht="15" hidden="false" customHeight="true" outlineLevel="0" collapsed="false">
      <c r="A2202" s="1" t="s">
        <v>4332</v>
      </c>
      <c r="B2202" s="1" t="n">
        <v>1967</v>
      </c>
      <c r="C2202" s="1" t="n">
        <v>7</v>
      </c>
      <c r="D2202" s="1" t="s">
        <v>38</v>
      </c>
      <c r="E2202" s="1" t="s">
        <v>1346</v>
      </c>
      <c r="F2202" s="1" t="n">
        <v>0</v>
      </c>
      <c r="G2202" s="1" t="n">
        <v>140</v>
      </c>
      <c r="H2202" s="2" t="n">
        <v>1575000</v>
      </c>
      <c r="I2202" s="2" t="n">
        <f aca="false">(((H2202 / 800) / IF(ISBLANK(R2202), 1000000, IF(ISNA(VLOOKUP(R2202, Mileages!$A$2:$C$34, 2, 0)), R2202, VLOOKUP(R2202, Mileages!$A$2:$C$34, 2, 0)))) + (F2202 * IF(ISBLANK(P2202), 1, P2202) * IF(ISBLANK(T2202), 0, IF(ISNA(VLOOKUP(T2202, 'Fuel Costs'!$A$2:$C$42, 2, 0)), T2202, VLOOKUP(T2202, 'Fuel Costs'!$A$2:$C$42, 2, 0))) / IF(ISBLANK(O2202), 1, O2202))) * 100</f>
        <v>0.1640625</v>
      </c>
      <c r="J2202" s="2" t="n">
        <f aca="false">((H2202 / 800) / (IF(ISBLANK(S2202), 100, IF(ISNA(VLOOKUP(S2202, Lives!$A$2:$C$35, 2, 0)), S2202, VLOOKUP(S2202, Lives!$A$2:$C$35, 2, 0))) * 12) + (IF(ISBLANK(Q2202), 0, IF(ISNA(VLOOKUP(Q2202, Wages!$A$2:$C$17, 2, 0)), Q2202, VLOOKUP(Q2202, Wages!$A$2:$C$17, 2, 0))) * IF(ISBLANK(N2202), 0, IF(ISNA(VLOOKUP(N2202, Crews!$A$2:$C$28, 2, 0)), N2202, VLOOKUP(N2202, Crews!$A$2:$C$28, 2, 0))))) * 400</f>
        <v>1875</v>
      </c>
      <c r="K2202" s="1"/>
      <c r="L2202" s="1" t="s">
        <v>4329</v>
      </c>
      <c r="M2202" s="1" t="n">
        <v>3</v>
      </c>
      <c r="N2202" s="1"/>
      <c r="O2202" s="1"/>
      <c r="P2202" s="1"/>
      <c r="Q2202" s="1"/>
      <c r="R2202" s="1" t="s">
        <v>689</v>
      </c>
      <c r="S2202" s="1" t="s">
        <v>856</v>
      </c>
      <c r="T2202" s="1"/>
    </row>
    <row r="2203" customFormat="false" ht="15" hidden="false" customHeight="true" outlineLevel="0" collapsed="false">
      <c r="A2203" s="1" t="s">
        <v>4333</v>
      </c>
      <c r="B2203" s="1" t="n">
        <v>1967</v>
      </c>
      <c r="C2203" s="1" t="n">
        <v>10</v>
      </c>
      <c r="D2203" s="1" t="s">
        <v>38</v>
      </c>
      <c r="E2203" s="1" t="s">
        <v>2039</v>
      </c>
      <c r="F2203" s="1" t="n">
        <v>2010</v>
      </c>
      <c r="G2203" s="1" t="n">
        <v>160</v>
      </c>
      <c r="H2203" s="2" t="n">
        <v>7221000</v>
      </c>
      <c r="I2203" s="2" t="n">
        <f aca="false">(((H2203 / 800) / IF(ISBLANK(R2203), 1000000, IF(ISNA(VLOOKUP(R2203, Mileages!$A$2:$C$34, 2, 0)), R2203, VLOOKUP(R2203, Mileages!$A$2:$C$34, 2, 0)))) + (F2203 * IF(ISBLANK(P2203), 1, P2203) * IF(ISBLANK(T2203), 0, IF(ISNA(VLOOKUP(T2203, 'Fuel Costs'!$A$2:$C$42, 2, 0)), T2203, VLOOKUP(T2203, 'Fuel Costs'!$A$2:$C$42, 2, 0))) / IF(ISBLANK(O2203), 1, O2203))) * 100</f>
        <v>1005.902625</v>
      </c>
      <c r="J2203" s="2" t="n">
        <f aca="false">((H2203 / 800) / (IF(ISBLANK(S2203), 100, IF(ISNA(VLOOKUP(S2203, Lives!$A$2:$C$35, 2, 0)), S2203, VLOOKUP(S2203, Lives!$A$2:$C$35, 2, 0))) * 12) + (IF(ISBLANK(Q2203), 0, IF(ISNA(VLOOKUP(Q2203, Wages!$A$2:$C$17, 2, 0)), Q2203, VLOOKUP(Q2203, Wages!$A$2:$C$17, 2, 0))) * IF(ISBLANK(N2203), 0, IF(ISNA(VLOOKUP(N2203, Crews!$A$2:$C$28, 2, 0)), N2203, VLOOKUP(N2203, Crews!$A$2:$C$28, 2, 0))))) * 400</f>
        <v>15014.58333</v>
      </c>
      <c r="K2203" s="1" t="s">
        <v>4334</v>
      </c>
      <c r="L2203" s="1" t="s">
        <v>4335</v>
      </c>
      <c r="M2203" s="1" t="n">
        <v>0</v>
      </c>
      <c r="N2203" s="1" t="s">
        <v>1488</v>
      </c>
      <c r="O2203" s="1" t="n">
        <v>0.8</v>
      </c>
      <c r="P2203" s="1"/>
      <c r="Q2203" s="1" t="s">
        <v>1488</v>
      </c>
      <c r="R2203" s="1" t="s">
        <v>4088</v>
      </c>
      <c r="S2203" s="1" t="s">
        <v>4088</v>
      </c>
      <c r="T2203" s="1" t="s">
        <v>4079</v>
      </c>
    </row>
    <row r="2204" customFormat="false" ht="15" hidden="false" customHeight="true" outlineLevel="0" collapsed="false">
      <c r="A2204" s="1" t="s">
        <v>4336</v>
      </c>
      <c r="B2204" s="1" t="n">
        <v>1967</v>
      </c>
      <c r="C2204" s="1" t="n">
        <v>10</v>
      </c>
      <c r="D2204" s="1" t="s">
        <v>38</v>
      </c>
      <c r="E2204" s="1" t="s">
        <v>1346</v>
      </c>
      <c r="F2204" s="1" t="n">
        <v>400</v>
      </c>
      <c r="G2204" s="1" t="n">
        <v>100</v>
      </c>
      <c r="H2204" s="2" t="n">
        <v>1450000</v>
      </c>
      <c r="I2204" s="2" t="n">
        <f aca="false">(((H2204 / 800) / IF(ISBLANK(R2204), 1000000, IF(ISNA(VLOOKUP(R2204, Mileages!$A$2:$C$34, 2, 0)), R2204, VLOOKUP(R2204, Mileages!$A$2:$C$34, 2, 0)))) + (F2204 * IF(ISBLANK(P2204), 1, P2204) * IF(ISBLANK(T2204), 0, IF(ISNA(VLOOKUP(T2204, 'Fuel Costs'!$A$2:$C$42, 2, 0)), T2204, VLOOKUP(T2204, 'Fuel Costs'!$A$2:$C$42, 2, 0))) / IF(ISBLANK(O2204), 1, O2204))) * 100</f>
        <v>60.18125</v>
      </c>
      <c r="J2204" s="2" t="n">
        <f aca="false">((H2204 / 800) / (IF(ISBLANK(S2204), 100, IF(ISNA(VLOOKUP(S2204, Lives!$A$2:$C$35, 2, 0)), S2204, VLOOKUP(S2204, Lives!$A$2:$C$35, 2, 0))) * 12) + (IF(ISBLANK(Q2204), 0, IF(ISNA(VLOOKUP(Q2204, Wages!$A$2:$C$17, 2, 0)), Q2204, VLOOKUP(Q2204, Wages!$A$2:$C$17, 2, 0))) * IF(ISBLANK(N2204), 0, IF(ISNA(VLOOKUP(N2204, Crews!$A$2:$C$28, 2, 0)), N2204, VLOOKUP(N2204, Crews!$A$2:$C$28, 2, 0))))) * 400</f>
        <v>7208.333333</v>
      </c>
      <c r="K2204" s="1"/>
      <c r="L2204" s="1" t="s">
        <v>4337</v>
      </c>
      <c r="M2204" s="1" t="n">
        <v>0</v>
      </c>
      <c r="N2204" s="1" t="s">
        <v>1512</v>
      </c>
      <c r="O2204" s="1" t="n">
        <v>1</v>
      </c>
      <c r="P2204" s="1"/>
      <c r="Q2204" s="1" t="str">
        <f aca="false">IF(ISBLANK('Pak128 Britain In'!$N2204),,'Pak128 Britain In'!$N2204)</f>
        <v>ElectricMultipleUnit</v>
      </c>
      <c r="R2204" s="1" t="s">
        <v>1349</v>
      </c>
      <c r="S2204" s="1" t="s">
        <v>1350</v>
      </c>
      <c r="T2204" s="1" t="s">
        <v>4101</v>
      </c>
    </row>
    <row r="2205" customFormat="false" ht="15" hidden="false" customHeight="true" outlineLevel="0" collapsed="false">
      <c r="A2205" s="1" t="s">
        <v>4338</v>
      </c>
      <c r="B2205" s="1" t="n">
        <v>1967</v>
      </c>
      <c r="C2205" s="1" t="n">
        <v>10</v>
      </c>
      <c r="D2205" s="1" t="s">
        <v>38</v>
      </c>
      <c r="E2205" s="1" t="s">
        <v>1346</v>
      </c>
      <c r="F2205" s="1"/>
      <c r="G2205" s="1" t="n">
        <v>100</v>
      </c>
      <c r="H2205" s="2" t="n">
        <v>750000</v>
      </c>
      <c r="I2205" s="2" t="n">
        <f aca="false">(((H2205 / 800) / IF(ISBLANK(R2205), 1000000, IF(ISNA(VLOOKUP(R2205, Mileages!$A$2:$C$34, 2, 0)), R2205, VLOOKUP(R2205, Mileages!$A$2:$C$34, 2, 0)))) + (F2205 * IF(ISBLANK(P2205), 1, P2205) * IF(ISBLANK(T2205), 0, IF(ISNA(VLOOKUP(T2205, 'Fuel Costs'!$A$2:$C$42, 2, 0)), T2205, VLOOKUP(T2205, 'Fuel Costs'!$A$2:$C$42, 2, 0))) / IF(ISBLANK(O2205), 1, O2205))) * 100</f>
        <v>0.078125</v>
      </c>
      <c r="J2205" s="2" t="n">
        <f aca="false">((H2205 / 800) / (IF(ISBLANK(S2205), 100, IF(ISNA(VLOOKUP(S2205, Lives!$A$2:$C$35, 2, 0)), S2205, VLOOKUP(S2205, Lives!$A$2:$C$35, 2, 0))) * 12) + (IF(ISBLANK(Q2205), 0, IF(ISNA(VLOOKUP(Q2205, Wages!$A$2:$C$17, 2, 0)), Q2205, VLOOKUP(Q2205, Wages!$A$2:$C$17, 2, 0))) * IF(ISBLANK(N2205), 0, IF(ISNA(VLOOKUP(N2205, Crews!$A$2:$C$28, 2, 0)), N2205, VLOOKUP(N2205, Crews!$A$2:$C$28, 2, 0))))) * 400</f>
        <v>892.8571429</v>
      </c>
      <c r="K2205" s="1"/>
      <c r="L2205" s="1" t="s">
        <v>4337</v>
      </c>
      <c r="M2205" s="1" t="n">
        <v>1</v>
      </c>
      <c r="N2205" s="1"/>
      <c r="O2205" s="1"/>
      <c r="P2205" s="1"/>
      <c r="Q2205" s="1"/>
      <c r="R2205" s="1" t="s">
        <v>689</v>
      </c>
      <c r="S2205" s="1" t="s">
        <v>856</v>
      </c>
      <c r="T2205" s="1"/>
    </row>
    <row r="2206" customFormat="false" ht="15" hidden="false" customHeight="true" outlineLevel="0" collapsed="false">
      <c r="A2206" s="1" t="s">
        <v>4339</v>
      </c>
      <c r="B2206" s="1" t="n">
        <v>1967</v>
      </c>
      <c r="C2206" s="1" t="n">
        <v>10</v>
      </c>
      <c r="D2206" s="1" t="s">
        <v>38</v>
      </c>
      <c r="E2206" s="1" t="s">
        <v>1346</v>
      </c>
      <c r="F2206" s="1" t="n">
        <v>400</v>
      </c>
      <c r="G2206" s="1" t="n">
        <v>100</v>
      </c>
      <c r="H2206" s="2" t="n">
        <v>1450000</v>
      </c>
      <c r="I2206" s="2" t="n">
        <f aca="false">(((H2206 / 800) / IF(ISBLANK(R2206), 1000000, IF(ISNA(VLOOKUP(R2206, Mileages!$A$2:$C$34, 2, 0)), R2206, VLOOKUP(R2206, Mileages!$A$2:$C$34, 2, 0)))) + (F2206 * IF(ISBLANK(P2206), 1, P2206) * IF(ISBLANK(T2206), 0, IF(ISNA(VLOOKUP(T2206, 'Fuel Costs'!$A$2:$C$42, 2, 0)), T2206, VLOOKUP(T2206, 'Fuel Costs'!$A$2:$C$42, 2, 0))) / IF(ISBLANK(O2206), 1, O2206))) * 100</f>
        <v>60.18125</v>
      </c>
      <c r="J2206" s="2" t="n">
        <f aca="false">((H2206 / 800) / (IF(ISBLANK(S2206), 100, IF(ISNA(VLOOKUP(S2206, Lives!$A$2:$C$35, 2, 0)), S2206, VLOOKUP(S2206, Lives!$A$2:$C$35, 2, 0))) * 12) + (IF(ISBLANK(Q2206), 0, IF(ISNA(VLOOKUP(Q2206, Wages!$A$2:$C$17, 2, 0)), Q2206, VLOOKUP(Q2206, Wages!$A$2:$C$17, 2, 0))) * IF(ISBLANK(N2206), 0, IF(ISNA(VLOOKUP(N2206, Crews!$A$2:$C$28, 2, 0)), N2206, VLOOKUP(N2206, Crews!$A$2:$C$28, 2, 0))))) * 400</f>
        <v>1208.333333</v>
      </c>
      <c r="K2206" s="1"/>
      <c r="L2206" s="1" t="s">
        <v>4337</v>
      </c>
      <c r="M2206" s="1" t="n">
        <v>2</v>
      </c>
      <c r="N2206" s="1"/>
      <c r="O2206" s="1" t="n">
        <v>1</v>
      </c>
      <c r="P2206" s="1"/>
      <c r="Q2206" s="1"/>
      <c r="R2206" s="1" t="s">
        <v>1349</v>
      </c>
      <c r="S2206" s="1" t="s">
        <v>1350</v>
      </c>
      <c r="T2206" s="1" t="s">
        <v>4101</v>
      </c>
    </row>
    <row r="2207" customFormat="false" ht="15" hidden="false" customHeight="true" outlineLevel="0" collapsed="false">
      <c r="A2207" s="1" t="s">
        <v>4340</v>
      </c>
      <c r="B2207" s="1" t="n">
        <v>1967</v>
      </c>
      <c r="C2207" s="1" t="n">
        <v>10</v>
      </c>
      <c r="D2207" s="1" t="s">
        <v>38</v>
      </c>
      <c r="E2207" s="1" t="s">
        <v>1346</v>
      </c>
      <c r="F2207" s="1" t="n">
        <v>400</v>
      </c>
      <c r="G2207" s="1" t="n">
        <v>100</v>
      </c>
      <c r="H2207" s="2" t="n">
        <v>1450000</v>
      </c>
      <c r="I2207" s="2" t="n">
        <f aca="false">(((H2207 / 800) / IF(ISBLANK(R2207), 1000000, IF(ISNA(VLOOKUP(R2207, Mileages!$A$2:$C$34, 2, 0)), R2207, VLOOKUP(R2207, Mileages!$A$2:$C$34, 2, 0)))) + (F2207 * IF(ISBLANK(P2207), 1, P2207) * IF(ISBLANK(T2207), 0, IF(ISNA(VLOOKUP(T2207, 'Fuel Costs'!$A$2:$C$42, 2, 0)), T2207, VLOOKUP(T2207, 'Fuel Costs'!$A$2:$C$42, 2, 0))) / IF(ISBLANK(O2207), 1, O2207))) * 100</f>
        <v>60.18125</v>
      </c>
      <c r="J2207" s="2" t="n">
        <f aca="false">((H2207 / 800) / (IF(ISBLANK(S2207), 100, IF(ISNA(VLOOKUP(S2207, Lives!$A$2:$C$35, 2, 0)), S2207, VLOOKUP(S2207, Lives!$A$2:$C$35, 2, 0))) * 12) + (IF(ISBLANK(Q2207), 0, IF(ISNA(VLOOKUP(Q2207, Wages!$A$2:$C$17, 2, 0)), Q2207, VLOOKUP(Q2207, Wages!$A$2:$C$17, 2, 0))) * IF(ISBLANK(N2207), 0, IF(ISNA(VLOOKUP(N2207, Crews!$A$2:$C$28, 2, 0)), N2207, VLOOKUP(N2207, Crews!$A$2:$C$28, 2, 0))))) * 400</f>
        <v>7208.333333</v>
      </c>
      <c r="K2207" s="1"/>
      <c r="L2207" s="1" t="s">
        <v>4337</v>
      </c>
      <c r="M2207" s="1" t="n">
        <v>3</v>
      </c>
      <c r="N2207" s="1" t="s">
        <v>1512</v>
      </c>
      <c r="O2207" s="1" t="n">
        <v>1</v>
      </c>
      <c r="P2207" s="1"/>
      <c r="Q2207" s="1" t="str">
        <f aca="false">IF(ISBLANK('Pak128 Britain In'!$N2207),,'Pak128 Britain In'!$N2207)</f>
        <v>ElectricMultipleUnit</v>
      </c>
      <c r="R2207" s="1" t="s">
        <v>1349</v>
      </c>
      <c r="S2207" s="1" t="s">
        <v>1350</v>
      </c>
      <c r="T2207" s="1" t="s">
        <v>4101</v>
      </c>
    </row>
    <row r="2208" customFormat="false" ht="15" hidden="false" customHeight="true" outlineLevel="0" collapsed="false">
      <c r="A2208" s="1" t="s">
        <v>4341</v>
      </c>
      <c r="B2208" s="1" t="n">
        <v>1967</v>
      </c>
      <c r="C2208" s="1" t="n">
        <v>11</v>
      </c>
      <c r="D2208" s="1" t="s">
        <v>2225</v>
      </c>
      <c r="E2208" s="1" t="s">
        <v>3660</v>
      </c>
      <c r="F2208" s="1" t="n">
        <v>1425</v>
      </c>
      <c r="G2208" s="1" t="n">
        <v>490</v>
      </c>
      <c r="H2208" s="2" t="n">
        <v>9200000</v>
      </c>
      <c r="I2208" s="2" t="n">
        <f aca="false">(((H2208 / 800) / IF(ISBLANK(R2208), 1000000, IF(ISNA(VLOOKUP(R2208, Mileages!$A$2:$C$34, 2, 0)), R2208, VLOOKUP(R2208, Mileages!$A$2:$C$34, 2, 0)))) + (F2208 * IF(ISBLANK(P2208), 1, P2208) * IF(ISBLANK(T2208), 0, IF(ISNA(VLOOKUP(T2208, 'Fuel Costs'!$A$2:$C$42, 2, 0)), T2208, VLOOKUP(T2208, 'Fuel Costs'!$A$2:$C$42, 2, 0))) / IF(ISBLANK(O2208), 1, O2208))) * 100</f>
        <v>8.78</v>
      </c>
      <c r="J2208" s="2" t="n">
        <f aca="false">((H2208 / 800) / (IF(ISBLANK(S2208), 100, IF(ISNA(VLOOKUP(S2208, Lives!$A$2:$C$35, 2, 0)), S2208, VLOOKUP(S2208, Lives!$A$2:$C$35, 2, 0))) * 12) + (IF(ISBLANK(Q2208), 0, IF(ISNA(VLOOKUP(Q2208, Wages!$A$2:$C$17, 2, 0)), Q2208, VLOOKUP(Q2208, Wages!$A$2:$C$17, 2, 0))) * IF(ISBLANK(N2208), 0, IF(ISNA(VLOOKUP(N2208, Crews!$A$2:$C$28, 2, 0)), N2208, VLOOKUP(N2208, Crews!$A$2:$C$28, 2, 0))))) * 400</f>
        <v>56388.88889</v>
      </c>
      <c r="K2208" s="3" t="s">
        <v>4342</v>
      </c>
      <c r="L2208" s="1" t="s">
        <v>4343</v>
      </c>
      <c r="M2208" s="1" t="n">
        <v>0</v>
      </c>
      <c r="N2208" s="1" t="s">
        <v>2342</v>
      </c>
      <c r="O2208" s="1"/>
      <c r="P2208" s="1" t="n">
        <v>0.02</v>
      </c>
      <c r="Q2208" s="1" t="s">
        <v>2229</v>
      </c>
      <c r="R2208" s="1" t="s">
        <v>2229</v>
      </c>
      <c r="S2208" s="1" t="s">
        <v>2229</v>
      </c>
      <c r="T2208" s="1" t="s">
        <v>4074</v>
      </c>
    </row>
    <row r="2209" customFormat="false" ht="15" hidden="false" customHeight="true" outlineLevel="0" collapsed="false">
      <c r="A2209" s="1" t="s">
        <v>4344</v>
      </c>
      <c r="B2209" s="1" t="n">
        <v>1967</v>
      </c>
      <c r="C2209" s="1" t="n">
        <v>11</v>
      </c>
      <c r="D2209" s="1" t="s">
        <v>2225</v>
      </c>
      <c r="E2209" s="1" t="s">
        <v>3660</v>
      </c>
      <c r="F2209" s="1" t="n">
        <v>1425</v>
      </c>
      <c r="G2209" s="1" t="n">
        <v>490</v>
      </c>
      <c r="H2209" s="2" t="n">
        <v>9200000</v>
      </c>
      <c r="I2209" s="2" t="n">
        <f aca="false">(((H2209 / 800) / IF(ISBLANK(R2209), 1000000, IF(ISNA(VLOOKUP(R2209, Mileages!$A$2:$C$34, 2, 0)), R2209, VLOOKUP(R2209, Mileages!$A$2:$C$34, 2, 0)))) + (F2209 * IF(ISBLANK(P2209), 1, P2209) * IF(ISBLANK(T2209), 0, IF(ISNA(VLOOKUP(T2209, 'Fuel Costs'!$A$2:$C$42, 2, 0)), T2209, VLOOKUP(T2209, 'Fuel Costs'!$A$2:$C$42, 2, 0))) / IF(ISBLANK(O2209), 1, O2209))) * 100</f>
        <v>8.78</v>
      </c>
      <c r="J2209" s="2" t="n">
        <f aca="false">((H2209 / 800) / (IF(ISBLANK(S2209), 100, IF(ISNA(VLOOKUP(S2209, Lives!$A$2:$C$35, 2, 0)), S2209, VLOOKUP(S2209, Lives!$A$2:$C$35, 2, 0))) * 12) + (IF(ISBLANK(Q2209), 0, IF(ISNA(VLOOKUP(Q2209, Wages!$A$2:$C$17, 2, 0)), Q2209, VLOOKUP(Q2209, Wages!$A$2:$C$17, 2, 0))) * IF(ISBLANK(N2209), 0, IF(ISNA(VLOOKUP(N2209, Crews!$A$2:$C$28, 2, 0)), N2209, VLOOKUP(N2209, Crews!$A$2:$C$28, 2, 0))))) * 400</f>
        <v>56388.88889</v>
      </c>
      <c r="K2209" s="3" t="s">
        <v>4345</v>
      </c>
      <c r="L2209" s="1" t="s">
        <v>4343</v>
      </c>
      <c r="M2209" s="1" t="n">
        <v>1</v>
      </c>
      <c r="N2209" s="1" t="s">
        <v>2342</v>
      </c>
      <c r="O2209" s="1"/>
      <c r="P2209" s="1" t="n">
        <v>0.02</v>
      </c>
      <c r="Q2209" s="1" t="s">
        <v>2229</v>
      </c>
      <c r="R2209" s="1" t="s">
        <v>2229</v>
      </c>
      <c r="S2209" s="1" t="s">
        <v>2229</v>
      </c>
      <c r="T2209" s="1" t="s">
        <v>4074</v>
      </c>
    </row>
    <row r="2210" customFormat="false" ht="15" hidden="false" customHeight="true" outlineLevel="0" collapsed="false">
      <c r="A2210" s="1" t="s">
        <v>4346</v>
      </c>
      <c r="B2210" s="1" t="n">
        <v>1967</v>
      </c>
      <c r="C2210" s="1" t="n">
        <v>12</v>
      </c>
      <c r="D2210" s="1" t="s">
        <v>2225</v>
      </c>
      <c r="E2210" s="1" t="s">
        <v>3660</v>
      </c>
      <c r="F2210" s="1" t="n">
        <v>22320</v>
      </c>
      <c r="G2210" s="1" t="n">
        <v>778</v>
      </c>
      <c r="H2210" s="2" t="n">
        <v>3800000</v>
      </c>
      <c r="I2210" s="2" t="n">
        <f aca="false">(((H2210 / 800) / IF(ISBLANK(R2210), 1000000, IF(ISNA(VLOOKUP(R2210, Mileages!$A$2:$C$34, 2, 0)), R2210, VLOOKUP(R2210, Mileages!$A$2:$C$34, 2, 0)))) + (F2210 * IF(ISBLANK(P2210), 1, P2210) * IF(ISBLANK(T2210), 0, IF(ISNA(VLOOKUP(T2210, 'Fuel Costs'!$A$2:$C$42, 2, 0)), T2210, VLOOKUP(T2210, 'Fuel Costs'!$A$2:$C$42, 2, 0))) / IF(ISBLANK(O2210), 1, O2210))) * 100</f>
        <v>134.015</v>
      </c>
      <c r="J2210" s="2" t="n">
        <f aca="false">((H2210 / 800) / (IF(ISBLANK(S2210), 100, IF(ISNA(VLOOKUP(S2210, Lives!$A$2:$C$35, 2, 0)), S2210, VLOOKUP(S2210, Lives!$A$2:$C$35, 2, 0))) * 12) + (IF(ISBLANK(Q2210), 0, IF(ISNA(VLOOKUP(Q2210, Wages!$A$2:$C$17, 2, 0)), Q2210, VLOOKUP(Q2210, Wages!$A$2:$C$17, 2, 0))) * IF(ISBLANK(N2210), 0, IF(ISNA(VLOOKUP(N2210, Crews!$A$2:$C$28, 2, 0)), N2210, VLOOKUP(N2210, Crews!$A$2:$C$28, 2, 0))))) * 400</f>
        <v>52638.88889</v>
      </c>
      <c r="K2210" s="3" t="s">
        <v>4347</v>
      </c>
      <c r="L2210" s="1" t="s">
        <v>4348</v>
      </c>
      <c r="M2210" s="1" t="n">
        <v>0</v>
      </c>
      <c r="N2210" s="1" t="s">
        <v>2342</v>
      </c>
      <c r="O2210" s="1"/>
      <c r="P2210" s="1" t="n">
        <v>0.02</v>
      </c>
      <c r="Q2210" s="1" t="s">
        <v>2229</v>
      </c>
      <c r="R2210" s="1" t="s">
        <v>2229</v>
      </c>
      <c r="S2210" s="1" t="s">
        <v>2229</v>
      </c>
      <c r="T2210" s="1" t="s">
        <v>4074</v>
      </c>
    </row>
    <row r="2211" customFormat="false" ht="15" hidden="false" customHeight="true" outlineLevel="0" collapsed="false">
      <c r="A2211" s="1" t="s">
        <v>4349</v>
      </c>
      <c r="B2211" s="1" t="n">
        <v>1967</v>
      </c>
      <c r="C2211" s="1" t="n">
        <v>12</v>
      </c>
      <c r="D2211" s="1" t="s">
        <v>2225</v>
      </c>
      <c r="E2211" s="1" t="s">
        <v>3660</v>
      </c>
      <c r="F2211" s="1" t="n">
        <v>22320</v>
      </c>
      <c r="G2211" s="1" t="n">
        <v>778</v>
      </c>
      <c r="H2211" s="2" t="n">
        <v>3800000</v>
      </c>
      <c r="I2211" s="2" t="n">
        <f aca="false">(((H2211 / 800) / IF(ISBLANK(R2211), 1000000, IF(ISNA(VLOOKUP(R2211, Mileages!$A$2:$C$34, 2, 0)), R2211, VLOOKUP(R2211, Mileages!$A$2:$C$34, 2, 0)))) + (F2211 * IF(ISBLANK(P2211), 1, P2211) * IF(ISBLANK(T2211), 0, IF(ISNA(VLOOKUP(T2211, 'Fuel Costs'!$A$2:$C$42, 2, 0)), T2211, VLOOKUP(T2211, 'Fuel Costs'!$A$2:$C$42, 2, 0))) / IF(ISBLANK(O2211), 1, O2211))) * 100</f>
        <v>134.015</v>
      </c>
      <c r="J2211" s="2" t="n">
        <f aca="false">((H2211 / 800) / (IF(ISBLANK(S2211), 100, IF(ISNA(VLOOKUP(S2211, Lives!$A$2:$C$35, 2, 0)), S2211, VLOOKUP(S2211, Lives!$A$2:$C$35, 2, 0))) * 12) + (IF(ISBLANK(Q2211), 0, IF(ISNA(VLOOKUP(Q2211, Wages!$A$2:$C$17, 2, 0)), Q2211, VLOOKUP(Q2211, Wages!$A$2:$C$17, 2, 0))) * IF(ISBLANK(N2211), 0, IF(ISNA(VLOOKUP(N2211, Crews!$A$2:$C$28, 2, 0)), N2211, VLOOKUP(N2211, Crews!$A$2:$C$28, 2, 0))))) * 400</f>
        <v>52638.88889</v>
      </c>
      <c r="K2211" s="3" t="s">
        <v>4350</v>
      </c>
      <c r="L2211" s="1" t="s">
        <v>4348</v>
      </c>
      <c r="M2211" s="1" t="n">
        <v>1</v>
      </c>
      <c r="N2211" s="1" t="s">
        <v>2342</v>
      </c>
      <c r="O2211" s="1"/>
      <c r="P2211" s="1" t="n">
        <v>0.02</v>
      </c>
      <c r="Q2211" s="1" t="s">
        <v>2229</v>
      </c>
      <c r="R2211" s="1" t="s">
        <v>2229</v>
      </c>
      <c r="S2211" s="1" t="s">
        <v>2229</v>
      </c>
      <c r="T2211" s="1" t="s">
        <v>4074</v>
      </c>
    </row>
    <row r="2212" customFormat="false" ht="15" hidden="false" customHeight="true" outlineLevel="0" collapsed="false">
      <c r="A2212" s="1" t="s">
        <v>4351</v>
      </c>
      <c r="B2212" s="1" t="n">
        <v>1968</v>
      </c>
      <c r="C2212" s="1" t="n">
        <v>2</v>
      </c>
      <c r="D2212" s="1" t="s">
        <v>21</v>
      </c>
      <c r="E2212" s="1"/>
      <c r="F2212" s="1"/>
      <c r="G2212" s="1" t="n">
        <v>84</v>
      </c>
      <c r="H2212" s="2" t="n">
        <v>55000</v>
      </c>
      <c r="I2212" s="2" t="n">
        <f aca="false">(((H2212 / 800) / IF(ISBLANK(R2212), 1000000, IF(ISNA(VLOOKUP(R2212, Mileages!$A$2:$C$34, 2, 0)), R2212, VLOOKUP(R2212, Mileages!$A$2:$C$34, 2, 0)))) + (F2212 * IF(ISBLANK(P2212), 1, P2212) * IF(ISBLANK(T2212), 0, IF(ISNA(VLOOKUP(T2212, 'Fuel Costs'!$A$2:$C$42, 2, 0)), T2212, VLOOKUP(T2212, 'Fuel Costs'!$A$2:$C$42, 2, 0))) / IF(ISBLANK(O2212), 1, O2212))) * 100</f>
        <v>0.005729166667</v>
      </c>
      <c r="J2212" s="2" t="n">
        <f aca="false">((H2212 / 800) / (IF(ISBLANK(S2212), 100, IF(ISNA(VLOOKUP(S2212, Lives!$A$2:$C$35, 2, 0)), S2212, VLOOKUP(S2212, Lives!$A$2:$C$35, 2, 0))) * 12) + (IF(ISBLANK(Q2212), 0, IF(ISNA(VLOOKUP(Q2212, Wages!$A$2:$C$17, 2, 0)), Q2212, VLOOKUP(Q2212, Wages!$A$2:$C$17, 2, 0))) * IF(ISBLANK(N2212), 0, IF(ISNA(VLOOKUP(N2212, Crews!$A$2:$C$28, 2, 0)), N2212, VLOOKUP(N2212, Crews!$A$2:$C$28, 2, 0))))) * 400</f>
        <v>28.64583333</v>
      </c>
      <c r="K2212" s="1"/>
      <c r="L2212" s="1" t="s">
        <v>4352</v>
      </c>
      <c r="M2212" s="1" t="n">
        <v>4</v>
      </c>
      <c r="N2212" s="1"/>
      <c r="O2212" s="1"/>
      <c r="P2212" s="1"/>
      <c r="Q2212" s="1"/>
      <c r="R2212" s="1" t="s">
        <v>829</v>
      </c>
      <c r="S2212" s="1" t="s">
        <v>829</v>
      </c>
      <c r="T2212" s="1"/>
    </row>
    <row r="2213" customFormat="false" ht="15" hidden="false" customHeight="true" outlineLevel="0" collapsed="false">
      <c r="A2213" s="1" t="s">
        <v>4353</v>
      </c>
      <c r="B2213" s="1" t="n">
        <v>1968</v>
      </c>
      <c r="C2213" s="1" t="n">
        <v>2</v>
      </c>
      <c r="D2213" s="1" t="s">
        <v>2225</v>
      </c>
      <c r="E2213" s="1" t="s">
        <v>3660</v>
      </c>
      <c r="F2213" s="1" t="n">
        <v>25560</v>
      </c>
      <c r="G2213" s="1" t="n">
        <v>778</v>
      </c>
      <c r="H2213" s="2" t="n">
        <v>40000000</v>
      </c>
      <c r="I2213" s="2" t="n">
        <f aca="false">(((H2213 / 800) / IF(ISBLANK(R2213), 1000000, IF(ISNA(VLOOKUP(R2213, Mileages!$A$2:$C$34, 2, 0)), R2213, VLOOKUP(R2213, Mileages!$A$2:$C$34, 2, 0)))) + (F2213 * IF(ISBLANK(P2213), 1, P2213) * IF(ISBLANK(T2213), 0, IF(ISNA(VLOOKUP(T2213, 'Fuel Costs'!$A$2:$C$42, 2, 0)), T2213, VLOOKUP(T2213, 'Fuel Costs'!$A$2:$C$42, 2, 0))) / IF(ISBLANK(O2213), 1, O2213))) * 100</f>
        <v>154.36</v>
      </c>
      <c r="J2213" s="2" t="n">
        <f aca="false">((H2213 / 800) / (IF(ISBLANK(S2213), 100, IF(ISNA(VLOOKUP(S2213, Lives!$A$2:$C$35, 2, 0)), S2213, VLOOKUP(S2213, Lives!$A$2:$C$35, 2, 0))) * 12) + (IF(ISBLANK(Q2213), 0, IF(ISNA(VLOOKUP(Q2213, Wages!$A$2:$C$17, 2, 0)), Q2213, VLOOKUP(Q2213, Wages!$A$2:$C$17, 2, 0))) * IF(ISBLANK(N2213), 0, IF(ISNA(VLOOKUP(N2213, Crews!$A$2:$C$28, 2, 0)), N2213, VLOOKUP(N2213, Crews!$A$2:$C$28, 2, 0))))) * 400</f>
        <v>77777.77778</v>
      </c>
      <c r="K2213" s="3" t="s">
        <v>4354</v>
      </c>
      <c r="L2213" s="1" t="s">
        <v>4355</v>
      </c>
      <c r="M2213" s="1" t="n">
        <v>0</v>
      </c>
      <c r="N2213" s="1" t="s">
        <v>2342</v>
      </c>
      <c r="O2213" s="1"/>
      <c r="P2213" s="1" t="n">
        <v>0.02</v>
      </c>
      <c r="Q2213" s="1" t="s">
        <v>2229</v>
      </c>
      <c r="R2213" s="1" t="s">
        <v>2229</v>
      </c>
      <c r="S2213" s="1" t="s">
        <v>2229</v>
      </c>
      <c r="T2213" s="1" t="s">
        <v>4074</v>
      </c>
    </row>
    <row r="2214" customFormat="false" ht="15" hidden="false" customHeight="true" outlineLevel="0" collapsed="false">
      <c r="A2214" s="1" t="s">
        <v>4356</v>
      </c>
      <c r="B2214" s="1" t="n">
        <v>1968</v>
      </c>
      <c r="C2214" s="1" t="n">
        <v>2</v>
      </c>
      <c r="D2214" s="1" t="s">
        <v>2225</v>
      </c>
      <c r="E2214" s="1" t="s">
        <v>3660</v>
      </c>
      <c r="F2214" s="1" t="n">
        <v>25560</v>
      </c>
      <c r="G2214" s="1" t="n">
        <v>778</v>
      </c>
      <c r="H2214" s="2" t="n">
        <v>40000000</v>
      </c>
      <c r="I2214" s="2" t="n">
        <f aca="false">(((H2214 / 800) / IF(ISBLANK(R2214), 1000000, IF(ISNA(VLOOKUP(R2214, Mileages!$A$2:$C$34, 2, 0)), R2214, VLOOKUP(R2214, Mileages!$A$2:$C$34, 2, 0)))) + (F2214 * IF(ISBLANK(P2214), 1, P2214) * IF(ISBLANK(T2214), 0, IF(ISNA(VLOOKUP(T2214, 'Fuel Costs'!$A$2:$C$42, 2, 0)), T2214, VLOOKUP(T2214, 'Fuel Costs'!$A$2:$C$42, 2, 0))) / IF(ISBLANK(O2214), 1, O2214))) * 100</f>
        <v>154.36</v>
      </c>
      <c r="J2214" s="2" t="n">
        <f aca="false">((H2214 / 800) / (IF(ISBLANK(S2214), 100, IF(ISNA(VLOOKUP(S2214, Lives!$A$2:$C$35, 2, 0)), S2214, VLOOKUP(S2214, Lives!$A$2:$C$35, 2, 0))) * 12) + (IF(ISBLANK(Q2214), 0, IF(ISNA(VLOOKUP(Q2214, Wages!$A$2:$C$17, 2, 0)), Q2214, VLOOKUP(Q2214, Wages!$A$2:$C$17, 2, 0))) * IF(ISBLANK(N2214), 0, IF(ISNA(VLOOKUP(N2214, Crews!$A$2:$C$28, 2, 0)), N2214, VLOOKUP(N2214, Crews!$A$2:$C$28, 2, 0))))) * 400</f>
        <v>77777.77778</v>
      </c>
      <c r="K2214" s="3" t="s">
        <v>4357</v>
      </c>
      <c r="L2214" s="1" t="s">
        <v>4355</v>
      </c>
      <c r="M2214" s="1" t="n">
        <v>1</v>
      </c>
      <c r="N2214" s="1" t="s">
        <v>2342</v>
      </c>
      <c r="O2214" s="1"/>
      <c r="P2214" s="1" t="n">
        <v>0.02</v>
      </c>
      <c r="Q2214" s="1" t="s">
        <v>2229</v>
      </c>
      <c r="R2214" s="1" t="s">
        <v>2229</v>
      </c>
      <c r="S2214" s="1" t="s">
        <v>2229</v>
      </c>
      <c r="T2214" s="1" t="s">
        <v>4074</v>
      </c>
    </row>
    <row r="2215" customFormat="false" ht="15" hidden="false" customHeight="true" outlineLevel="0" collapsed="false">
      <c r="A2215" s="1" t="s">
        <v>4358</v>
      </c>
      <c r="B2215" s="1" t="n">
        <v>1968</v>
      </c>
      <c r="C2215" s="1" t="n">
        <v>4</v>
      </c>
      <c r="D2215" s="1" t="s">
        <v>2225</v>
      </c>
      <c r="E2215" s="1" t="s">
        <v>3660</v>
      </c>
      <c r="F2215" s="1" t="n">
        <v>27849</v>
      </c>
      <c r="G2215" s="1" t="n">
        <v>848</v>
      </c>
      <c r="H2215" s="2" t="n">
        <v>13500000</v>
      </c>
      <c r="I2215" s="2" t="n">
        <f aca="false">(((H2215 / 800) / IF(ISBLANK(R2215), 1000000, IF(ISNA(VLOOKUP(R2215, Mileages!$A$2:$C$34, 2, 0)), R2215, VLOOKUP(R2215, Mileages!$A$2:$C$34, 2, 0)))) + (F2215 * IF(ISBLANK(P2215), 1, P2215) * IF(ISBLANK(T2215), 0, IF(ISNA(VLOOKUP(T2215, 'Fuel Costs'!$A$2:$C$42, 2, 0)), T2215, VLOOKUP(T2215, 'Fuel Costs'!$A$2:$C$42, 2, 0))) / IF(ISBLANK(O2215), 1, O2215))) * 100</f>
        <v>167.4315</v>
      </c>
      <c r="J2215" s="2" t="n">
        <f aca="false">((H2215 / 800) / (IF(ISBLANK(S2215), 100, IF(ISNA(VLOOKUP(S2215, Lives!$A$2:$C$35, 2, 0)), S2215, VLOOKUP(S2215, Lives!$A$2:$C$35, 2, 0))) * 12) + (IF(ISBLANK(Q2215), 0, IF(ISNA(VLOOKUP(Q2215, Wages!$A$2:$C$17, 2, 0)), Q2215, VLOOKUP(Q2215, Wages!$A$2:$C$17, 2, 0))) * IF(ISBLANK(N2215), 0, IF(ISNA(VLOOKUP(N2215, Crews!$A$2:$C$28, 2, 0)), N2215, VLOOKUP(N2215, Crews!$A$2:$C$28, 2, 0))))) * 400</f>
        <v>59375</v>
      </c>
      <c r="K2215" s="3" t="s">
        <v>4359</v>
      </c>
      <c r="L2215" s="1" t="s">
        <v>4360</v>
      </c>
      <c r="M2215" s="1" t="n">
        <v>0</v>
      </c>
      <c r="N2215" s="1" t="s">
        <v>2342</v>
      </c>
      <c r="O2215" s="1"/>
      <c r="P2215" s="1" t="n">
        <v>0.02</v>
      </c>
      <c r="Q2215" s="1" t="s">
        <v>2229</v>
      </c>
      <c r="R2215" s="1" t="s">
        <v>2229</v>
      </c>
      <c r="S2215" s="1" t="s">
        <v>2229</v>
      </c>
      <c r="T2215" s="1" t="s">
        <v>4074</v>
      </c>
    </row>
    <row r="2216" customFormat="false" ht="15" hidden="false" customHeight="true" outlineLevel="0" collapsed="false">
      <c r="A2216" s="1" t="s">
        <v>4361</v>
      </c>
      <c r="B2216" s="1" t="n">
        <v>1968</v>
      </c>
      <c r="C2216" s="1" t="n">
        <v>4</v>
      </c>
      <c r="D2216" s="1" t="s">
        <v>2225</v>
      </c>
      <c r="E2216" s="1" t="s">
        <v>3660</v>
      </c>
      <c r="F2216" s="1" t="n">
        <v>27849</v>
      </c>
      <c r="G2216" s="1" t="n">
        <v>848</v>
      </c>
      <c r="H2216" s="2" t="n">
        <v>13500000</v>
      </c>
      <c r="I2216" s="2" t="n">
        <f aca="false">(((H2216 / 800) / IF(ISBLANK(R2216), 1000000, IF(ISNA(VLOOKUP(R2216, Mileages!$A$2:$C$34, 2, 0)), R2216, VLOOKUP(R2216, Mileages!$A$2:$C$34, 2, 0)))) + (F2216 * IF(ISBLANK(P2216), 1, P2216) * IF(ISBLANK(T2216), 0, IF(ISNA(VLOOKUP(T2216, 'Fuel Costs'!$A$2:$C$42, 2, 0)), T2216, VLOOKUP(T2216, 'Fuel Costs'!$A$2:$C$42, 2, 0))) / IF(ISBLANK(O2216), 1, O2216))) * 100</f>
        <v>167.4315</v>
      </c>
      <c r="J2216" s="2" t="n">
        <f aca="false">((H2216 / 800) / (IF(ISBLANK(S2216), 100, IF(ISNA(VLOOKUP(S2216, Lives!$A$2:$C$35, 2, 0)), S2216, VLOOKUP(S2216, Lives!$A$2:$C$35, 2, 0))) * 12) + (IF(ISBLANK(Q2216), 0, IF(ISNA(VLOOKUP(Q2216, Wages!$A$2:$C$17, 2, 0)), Q2216, VLOOKUP(Q2216, Wages!$A$2:$C$17, 2, 0))) * IF(ISBLANK(N2216), 0, IF(ISNA(VLOOKUP(N2216, Crews!$A$2:$C$28, 2, 0)), N2216, VLOOKUP(N2216, Crews!$A$2:$C$28, 2, 0))))) * 400</f>
        <v>59375</v>
      </c>
      <c r="K2216" s="3" t="s">
        <v>4359</v>
      </c>
      <c r="L2216" s="1" t="s">
        <v>4360</v>
      </c>
      <c r="M2216" s="1" t="n">
        <v>1</v>
      </c>
      <c r="N2216" s="1" t="s">
        <v>2342</v>
      </c>
      <c r="O2216" s="1"/>
      <c r="P2216" s="1" t="n">
        <v>0.02</v>
      </c>
      <c r="Q2216" s="1" t="s">
        <v>2229</v>
      </c>
      <c r="R2216" s="1" t="s">
        <v>2229</v>
      </c>
      <c r="S2216" s="1" t="s">
        <v>2229</v>
      </c>
      <c r="T2216" s="1" t="s">
        <v>4074</v>
      </c>
    </row>
    <row r="2217" customFormat="false" ht="15" hidden="false" customHeight="true" outlineLevel="0" collapsed="false">
      <c r="A2217" s="1" t="s">
        <v>4362</v>
      </c>
      <c r="B2217" s="1" t="n">
        <v>1968</v>
      </c>
      <c r="C2217" s="1" t="n">
        <v>4</v>
      </c>
      <c r="D2217" s="1" t="s">
        <v>38</v>
      </c>
      <c r="E2217" s="1" t="s">
        <v>2039</v>
      </c>
      <c r="F2217" s="1" t="n">
        <v>1230</v>
      </c>
      <c r="G2217" s="1" t="n">
        <v>120</v>
      </c>
      <c r="H2217" s="2" t="n">
        <v>4500000</v>
      </c>
      <c r="I2217" s="2" t="n">
        <f aca="false">(((H2217 / 800) / IF(ISBLANK(R2217), 1000000, IF(ISNA(VLOOKUP(R2217, Mileages!$A$2:$C$34, 2, 0)), R2217, VLOOKUP(R2217, Mileages!$A$2:$C$34, 2, 0)))) + (F2217 * IF(ISBLANK(P2217), 1, P2217) * IF(ISBLANK(T2217), 0, IF(ISNA(VLOOKUP(T2217, 'Fuel Costs'!$A$2:$C$42, 2, 0)), T2217, VLOOKUP(T2217, 'Fuel Costs'!$A$2:$C$42, 2, 0))) / IF(ISBLANK(O2217), 1, O2217))) * 100</f>
        <v>615.5625</v>
      </c>
      <c r="J2217" s="2" t="n">
        <f aca="false">((H2217 / 800) / (IF(ISBLANK(S2217), 100, IF(ISNA(VLOOKUP(S2217, Lives!$A$2:$C$35, 2, 0)), S2217, VLOOKUP(S2217, Lives!$A$2:$C$35, 2, 0))) * 12) + (IF(ISBLANK(Q2217), 0, IF(ISNA(VLOOKUP(Q2217, Wages!$A$2:$C$17, 2, 0)), Q2217, VLOOKUP(Q2217, Wages!$A$2:$C$17, 2, 0))) * IF(ISBLANK(N2217), 0, IF(ISNA(VLOOKUP(N2217, Crews!$A$2:$C$28, 2, 0)), N2217, VLOOKUP(N2217, Crews!$A$2:$C$28, 2, 0))))) * 400</f>
        <v>13125</v>
      </c>
      <c r="K2217" s="3" t="s">
        <v>4363</v>
      </c>
      <c r="L2217" s="1" t="s">
        <v>3980</v>
      </c>
      <c r="M2217" s="1" t="n">
        <v>1</v>
      </c>
      <c r="N2217" s="1" t="s">
        <v>1488</v>
      </c>
      <c r="O2217" s="1" t="n">
        <v>0.8</v>
      </c>
      <c r="P2217" s="1"/>
      <c r="Q2217" s="1" t="s">
        <v>1488</v>
      </c>
      <c r="R2217" s="1" t="s">
        <v>4088</v>
      </c>
      <c r="S2217" s="1" t="s">
        <v>4088</v>
      </c>
      <c r="T2217" s="1" t="s">
        <v>4079</v>
      </c>
    </row>
    <row r="2218" customFormat="false" ht="15" hidden="false" customHeight="true" outlineLevel="0" collapsed="false">
      <c r="A2218" s="1" t="s">
        <v>4364</v>
      </c>
      <c r="B2218" s="1" t="n">
        <v>1968</v>
      </c>
      <c r="C2218" s="1" t="n">
        <v>5</v>
      </c>
      <c r="D2218" s="1" t="s">
        <v>38</v>
      </c>
      <c r="E2218" s="1"/>
      <c r="F2218" s="1"/>
      <c r="G2218" s="1" t="n">
        <v>120</v>
      </c>
      <c r="H2218" s="2" t="n">
        <v>600000</v>
      </c>
      <c r="I2218" s="2" t="n">
        <f aca="false">(((H2218 / 800) / IF(ISBLANK(R2218), 1000000, IF(ISNA(VLOOKUP(R2218, Mileages!$A$2:$C$34, 2, 0)), R2218, VLOOKUP(R2218, Mileages!$A$2:$C$34, 2, 0)))) + (F2218 * IF(ISBLANK(P2218), 1, P2218) * IF(ISBLANK(T2218), 0, IF(ISNA(VLOOKUP(T2218, 'Fuel Costs'!$A$2:$C$42, 2, 0)), T2218, VLOOKUP(T2218, 'Fuel Costs'!$A$2:$C$42, 2, 0))) / IF(ISBLANK(O2218), 1, O2218))) * 100</f>
        <v>0.0625</v>
      </c>
      <c r="J2218" s="2" t="n">
        <f aca="false">((H2218 / 800) / (IF(ISBLANK(S2218), 100, IF(ISNA(VLOOKUP(S2218, Lives!$A$2:$C$35, 2, 0)), S2218, VLOOKUP(S2218, Lives!$A$2:$C$35, 2, 0))) * 12) + (IF(ISBLANK(Q2218), 0, IF(ISNA(VLOOKUP(Q2218, Wages!$A$2:$C$17, 2, 0)), Q2218, VLOOKUP(Q2218, Wages!$A$2:$C$17, 2, 0))) * IF(ISBLANK(N2218), 0, IF(ISNA(VLOOKUP(N2218, Crews!$A$2:$C$28, 2, 0)), N2218, VLOOKUP(N2218, Crews!$A$2:$C$28, 2, 0))))) * 400</f>
        <v>333.3333333</v>
      </c>
      <c r="K2218" s="1" t="s">
        <v>4365</v>
      </c>
      <c r="L2218" s="1" t="s">
        <v>4366</v>
      </c>
      <c r="M2218" s="1" t="n">
        <v>0</v>
      </c>
      <c r="N2218" s="1"/>
      <c r="O2218" s="1"/>
      <c r="P2218" s="1"/>
      <c r="Q2218" s="1"/>
      <c r="R2218" s="1" t="s">
        <v>689</v>
      </c>
      <c r="S2218" s="1" t="s">
        <v>4286</v>
      </c>
      <c r="T2218" s="1"/>
    </row>
    <row r="2219" customFormat="false" ht="15" hidden="false" customHeight="true" outlineLevel="0" collapsed="false">
      <c r="A2219" s="1" t="s">
        <v>4367</v>
      </c>
      <c r="B2219" s="1" t="n">
        <v>1968</v>
      </c>
      <c r="C2219" s="1" t="n">
        <v>6</v>
      </c>
      <c r="D2219" s="1" t="s">
        <v>157</v>
      </c>
      <c r="E2219" s="1" t="s">
        <v>2039</v>
      </c>
      <c r="F2219" s="1" t="n">
        <v>265</v>
      </c>
      <c r="G2219" s="1" t="n">
        <v>60</v>
      </c>
      <c r="H2219" s="2" t="n">
        <v>13490385</v>
      </c>
      <c r="I2219" s="2" t="n">
        <f aca="false">(((H2219 / 800) / IF(ISBLANK(R2219), 1000000, IF(ISNA(VLOOKUP(R2219, Mileages!$A$2:$C$34, 2, 0)), R2219, VLOOKUP(R2219, Mileages!$A$2:$C$34, 2, 0)))) + (F2219 * IF(ISBLANK(P2219), 1, P2219) * IF(ISBLANK(T2219), 0, IF(ISNA(VLOOKUP(T2219, 'Fuel Costs'!$A$2:$C$42, 2, 0)), T2219, VLOOKUP(T2219, 'Fuel Costs'!$A$2:$C$42, 2, 0))) / IF(ISBLANK(O2219), 1, O2219))) * 100</f>
        <v>134.1862981</v>
      </c>
      <c r="J2219" s="2" t="n">
        <f aca="false">((H2219 / 800) / (IF(ISBLANK(S2219), 100, IF(ISNA(VLOOKUP(S2219, Lives!$A$2:$C$35, 2, 0)), S2219, VLOOKUP(S2219, Lives!$A$2:$C$35, 2, 0))) * 12) + (IF(ISBLANK(Q2219), 0, IF(ISNA(VLOOKUP(Q2219, Wages!$A$2:$C$17, 2, 0)), Q2219, VLOOKUP(Q2219, Wages!$A$2:$C$17, 2, 0))) * IF(ISBLANK(N2219), 0, IF(ISNA(VLOOKUP(N2219, Crews!$A$2:$C$28, 2, 0)), N2219, VLOOKUP(N2219, Crews!$A$2:$C$28, 2, 0))))) * 400</f>
        <v>19368.32292</v>
      </c>
      <c r="K2219" s="3" t="s">
        <v>4368</v>
      </c>
      <c r="L2219" s="1" t="s">
        <v>4369</v>
      </c>
      <c r="M2219" s="1" t="n">
        <v>0</v>
      </c>
      <c r="N2219" s="1" t="s">
        <v>1488</v>
      </c>
      <c r="O2219" s="1" t="n">
        <v>0.8</v>
      </c>
      <c r="P2219" s="1"/>
      <c r="Q2219" s="1" t="s">
        <v>1488</v>
      </c>
      <c r="R2219" s="1" t="s">
        <v>4088</v>
      </c>
      <c r="S2219" s="1" t="s">
        <v>4088</v>
      </c>
      <c r="T2219" s="1" t="s">
        <v>4079</v>
      </c>
    </row>
    <row r="2220" customFormat="false" ht="15" hidden="false" customHeight="true" outlineLevel="0" collapsed="false">
      <c r="A2220" s="1" t="s">
        <v>4370</v>
      </c>
      <c r="B2220" s="1" t="n">
        <v>1968</v>
      </c>
      <c r="C2220" s="1" t="n">
        <v>6</v>
      </c>
      <c r="D2220" s="1" t="s">
        <v>38</v>
      </c>
      <c r="E2220" s="1"/>
      <c r="F2220" s="1"/>
      <c r="G2220" s="1" t="n">
        <v>120</v>
      </c>
      <c r="H2220" s="2" t="n">
        <v>600000</v>
      </c>
      <c r="I2220" s="2" t="n">
        <f aca="false">(((H2220 / 800) / IF(ISBLANK(R2220), 1000000, IF(ISNA(VLOOKUP(R2220, Mileages!$A$2:$C$34, 2, 0)), R2220, VLOOKUP(R2220, Mileages!$A$2:$C$34, 2, 0)))) + (F2220 * IF(ISBLANK(P2220), 1, P2220) * IF(ISBLANK(T2220), 0, IF(ISNA(VLOOKUP(T2220, 'Fuel Costs'!$A$2:$C$42, 2, 0)), T2220, VLOOKUP(T2220, 'Fuel Costs'!$A$2:$C$42, 2, 0))) / IF(ISBLANK(O2220), 1, O2220))) * 100</f>
        <v>0.0625</v>
      </c>
      <c r="J2220" s="2" t="n">
        <f aca="false">((H2220 / 800) / (IF(ISBLANK(S2220), 100, IF(ISNA(VLOOKUP(S2220, Lives!$A$2:$C$35, 2, 0)), S2220, VLOOKUP(S2220, Lives!$A$2:$C$35, 2, 0))) * 12) + (IF(ISBLANK(Q2220), 0, IF(ISNA(VLOOKUP(Q2220, Wages!$A$2:$C$17, 2, 0)), Q2220, VLOOKUP(Q2220, Wages!$A$2:$C$17, 2, 0))) * IF(ISBLANK(N2220), 0, IF(ISNA(VLOOKUP(N2220, Crews!$A$2:$C$28, 2, 0)), N2220, VLOOKUP(N2220, Crews!$A$2:$C$28, 2, 0))))) * 400</f>
        <v>333.3333333</v>
      </c>
      <c r="K2220" s="3" t="s">
        <v>1766</v>
      </c>
      <c r="L2220" s="1" t="s">
        <v>4371</v>
      </c>
      <c r="M2220" s="1" t="n">
        <v>0</v>
      </c>
      <c r="N2220" s="1"/>
      <c r="O2220" s="1"/>
      <c r="P2220" s="1"/>
      <c r="Q2220" s="1"/>
      <c r="R2220" s="1" t="s">
        <v>689</v>
      </c>
      <c r="S2220" s="1" t="s">
        <v>4286</v>
      </c>
      <c r="T2220" s="1"/>
    </row>
    <row r="2221" customFormat="false" ht="15" hidden="false" customHeight="true" outlineLevel="0" collapsed="false">
      <c r="A2221" s="1" t="s">
        <v>4372</v>
      </c>
      <c r="B2221" s="1" t="n">
        <v>1968</v>
      </c>
      <c r="C2221" s="1" t="n">
        <v>7</v>
      </c>
      <c r="D2221" s="1" t="s">
        <v>29</v>
      </c>
      <c r="E2221" s="1" t="s">
        <v>2039</v>
      </c>
      <c r="F2221" s="1" t="n">
        <v>9800</v>
      </c>
      <c r="G2221" s="1" t="n">
        <v>110</v>
      </c>
      <c r="H2221" s="2" t="n">
        <v>117000000</v>
      </c>
      <c r="I2221" s="2" t="n">
        <f aca="false">(((H2221 / 800) / IF(ISBLANK(R2221), 1000000, IF(ISNA(VLOOKUP(R2221, Mileages!$A$2:$C$34, 2, 0)), R2221, VLOOKUP(R2221, Mileages!$A$2:$C$34, 2, 0)))) + (F2221 * IF(ISBLANK(P2221), 1, P2221) * IF(ISBLANK(T2221), 0, IF(ISNA(VLOOKUP(T2221, 'Fuel Costs'!$A$2:$C$42, 2, 0)), T2221, VLOOKUP(T2221, 'Fuel Costs'!$A$2:$C$42, 2, 0))) / IF(ISBLANK(O2221), 1, O2221))) * 100</f>
        <v>252.3125</v>
      </c>
      <c r="J2221" s="2" t="n">
        <f aca="false">((H2221 / 800) / (IF(ISBLANK(S2221), 100, IF(ISNA(VLOOKUP(S2221, Lives!$A$2:$C$35, 2, 0)), S2221, VLOOKUP(S2221, Lives!$A$2:$C$35, 2, 0))) * 12) + (IF(ISBLANK(Q2221), 0, IF(ISNA(VLOOKUP(Q2221, Wages!$A$2:$C$17, 2, 0)), Q2221, VLOOKUP(Q2221, Wages!$A$2:$C$17, 2, 0))) * IF(ISBLANK(N2221), 0, IF(ISNA(VLOOKUP(N2221, Crews!$A$2:$C$28, 2, 0)), N2221, VLOOKUP(N2221, Crews!$A$2:$C$28, 2, 0))))) * 400</f>
        <v>248750</v>
      </c>
      <c r="K2221" s="3" t="s">
        <v>4271</v>
      </c>
      <c r="L2221" s="1" t="s">
        <v>4373</v>
      </c>
      <c r="M2221" s="1" t="n">
        <v>0</v>
      </c>
      <c r="N2221" s="1" t="s">
        <v>323</v>
      </c>
      <c r="O2221" s="1" t="n">
        <v>0.8</v>
      </c>
      <c r="P2221" s="1" t="n">
        <v>0.05</v>
      </c>
      <c r="Q2221" s="1" t="s">
        <v>34</v>
      </c>
      <c r="R2221" s="1" t="s">
        <v>574</v>
      </c>
      <c r="S2221" s="1" t="s">
        <v>574</v>
      </c>
      <c r="T2221" s="1" t="s">
        <v>4079</v>
      </c>
    </row>
    <row r="2222" customFormat="false" ht="15" hidden="false" customHeight="true" outlineLevel="0" collapsed="false">
      <c r="A2222" s="1" t="s">
        <v>4374</v>
      </c>
      <c r="B2222" s="1" t="n">
        <v>1968</v>
      </c>
      <c r="C2222" s="1" t="n">
        <v>7</v>
      </c>
      <c r="D2222" s="1" t="s">
        <v>38</v>
      </c>
      <c r="E2222" s="1"/>
      <c r="F2222" s="1"/>
      <c r="G2222" s="1" t="n">
        <v>145</v>
      </c>
      <c r="H2222" s="2" t="n">
        <v>600000</v>
      </c>
      <c r="I2222" s="2" t="n">
        <f aca="false">(((H2222 / 800) / IF(ISBLANK(R2222), 1000000, IF(ISNA(VLOOKUP(R2222, Mileages!$A$2:$C$34, 2, 0)), R2222, VLOOKUP(R2222, Mileages!$A$2:$C$34, 2, 0)))) + (F2222 * IF(ISBLANK(P2222), 1, P2222) * IF(ISBLANK(T2222), 0, IF(ISNA(VLOOKUP(T2222, 'Fuel Costs'!$A$2:$C$42, 2, 0)), T2222, VLOOKUP(T2222, 'Fuel Costs'!$A$2:$C$42, 2, 0))) / IF(ISBLANK(O2222), 1, O2222))) * 100</f>
        <v>0.0625</v>
      </c>
      <c r="J2222" s="2" t="n">
        <f aca="false">((H2222 / 800) / (IF(ISBLANK(S2222), 100, IF(ISNA(VLOOKUP(S2222, Lives!$A$2:$C$35, 2, 0)), S2222, VLOOKUP(S2222, Lives!$A$2:$C$35, 2, 0))) * 12) + (IF(ISBLANK(Q2222), 0, IF(ISNA(VLOOKUP(Q2222, Wages!$A$2:$C$17, 2, 0)), Q2222, VLOOKUP(Q2222, Wages!$A$2:$C$17, 2, 0))) * IF(ISBLANK(N2222), 0, IF(ISNA(VLOOKUP(N2222, Crews!$A$2:$C$28, 2, 0)), N2222, VLOOKUP(N2222, Crews!$A$2:$C$28, 2, 0))))) * 400</f>
        <v>714.2857143</v>
      </c>
      <c r="K2222" s="3" t="s">
        <v>4375</v>
      </c>
      <c r="L2222" s="1" t="s">
        <v>4376</v>
      </c>
      <c r="M2222" s="1" t="n">
        <v>0</v>
      </c>
      <c r="N2222" s="1"/>
      <c r="O2222" s="1"/>
      <c r="P2222" s="1"/>
      <c r="Q2222" s="1"/>
      <c r="R2222" s="1" t="s">
        <v>689</v>
      </c>
      <c r="S2222" s="1" t="s">
        <v>856</v>
      </c>
      <c r="T2222" s="1"/>
    </row>
    <row r="2223" customFormat="false" ht="15" hidden="false" customHeight="true" outlineLevel="0" collapsed="false">
      <c r="A2223" s="1" t="s">
        <v>4377</v>
      </c>
      <c r="B2223" s="1" t="n">
        <v>1968</v>
      </c>
      <c r="C2223" s="1" t="n">
        <v>7</v>
      </c>
      <c r="D2223" s="1" t="s">
        <v>21</v>
      </c>
      <c r="E2223" s="1" t="s">
        <v>1839</v>
      </c>
      <c r="F2223" s="1" t="n">
        <v>50</v>
      </c>
      <c r="G2223" s="1" t="n">
        <v>82</v>
      </c>
      <c r="H2223" s="2" t="n">
        <v>97500</v>
      </c>
      <c r="I2223" s="2" t="n">
        <f aca="false">(((H2223 / 800) / IF(ISBLANK(R2223), 1000000, IF(ISNA(VLOOKUP(R2223, Mileages!$A$2:$C$34, 2, 0)), R2223, VLOOKUP(R2223, Mileages!$A$2:$C$34, 2, 0)))) + (F2223 * IF(ISBLANK(P2223), 1, P2223) * IF(ISBLANK(T2223), 0, IF(ISNA(VLOOKUP(T2223, 'Fuel Costs'!$A$2:$C$42, 2, 0)), T2223, VLOOKUP(T2223, 'Fuel Costs'!$A$2:$C$42, 2, 0))) / IF(ISBLANK(O2223), 1, O2223))) * 100</f>
        <v>37.5121875</v>
      </c>
      <c r="J2223" s="2" t="n">
        <f aca="false">((H2223 / 800) / (IF(ISBLANK(S2223), 100, IF(ISNA(VLOOKUP(S2223, Lives!$A$2:$C$35, 2, 0)), S2223, VLOOKUP(S2223, Lives!$A$2:$C$35, 2, 0))) * 12) + (IF(ISBLANK(Q2223), 0, IF(ISNA(VLOOKUP(Q2223, Wages!$A$2:$C$17, 2, 0)), Q2223, VLOOKUP(Q2223, Wages!$A$2:$C$17, 2, 0))) * IF(ISBLANK(N2223), 0, IF(ISNA(VLOOKUP(N2223, Crews!$A$2:$C$28, 2, 0)), N2223, VLOOKUP(N2223, Crews!$A$2:$C$28, 2, 0))))) * 400</f>
        <v>8050.78125</v>
      </c>
      <c r="K2223" s="1"/>
      <c r="L2223" s="1" t="s">
        <v>4378</v>
      </c>
      <c r="M2223" s="1" t="n">
        <v>0</v>
      </c>
      <c r="N2223" s="1" t="s">
        <v>25</v>
      </c>
      <c r="O2223" s="1" t="n">
        <v>0.8</v>
      </c>
      <c r="P2223" s="1"/>
      <c r="Q2223" s="1" t="s">
        <v>1815</v>
      </c>
      <c r="R2223" s="1" t="s">
        <v>1843</v>
      </c>
      <c r="S2223" s="1" t="s">
        <v>1843</v>
      </c>
      <c r="T2223" s="1" t="s">
        <v>4124</v>
      </c>
    </row>
    <row r="2224" customFormat="false" ht="15" hidden="false" customHeight="true" outlineLevel="0" collapsed="false">
      <c r="A2224" s="1" t="s">
        <v>4379</v>
      </c>
      <c r="B2224" s="1" t="n">
        <v>1968</v>
      </c>
      <c r="C2224" s="1" t="n">
        <v>7</v>
      </c>
      <c r="D2224" s="1" t="s">
        <v>21</v>
      </c>
      <c r="E2224" s="1" t="s">
        <v>1839</v>
      </c>
      <c r="F2224" s="1" t="n">
        <v>50</v>
      </c>
      <c r="G2224" s="1" t="n">
        <v>82</v>
      </c>
      <c r="H2224" s="2" t="n">
        <v>97500</v>
      </c>
      <c r="I2224" s="2" t="n">
        <f aca="false">(((H2224 / 800) / IF(ISBLANK(R2224), 1000000, IF(ISNA(VLOOKUP(R2224, Mileages!$A$2:$C$34, 2, 0)), R2224, VLOOKUP(R2224, Mileages!$A$2:$C$34, 2, 0)))) + (F2224 * IF(ISBLANK(P2224), 1, P2224) * IF(ISBLANK(T2224), 0, IF(ISNA(VLOOKUP(T2224, 'Fuel Costs'!$A$2:$C$42, 2, 0)), T2224, VLOOKUP(T2224, 'Fuel Costs'!$A$2:$C$42, 2, 0))) / IF(ISBLANK(O2224), 1, O2224))) * 100</f>
        <v>37.5121875</v>
      </c>
      <c r="J2224" s="2" t="n">
        <f aca="false">((H2224 / 800) / (IF(ISBLANK(S2224), 100, IF(ISNA(VLOOKUP(S2224, Lives!$A$2:$C$35, 2, 0)), S2224, VLOOKUP(S2224, Lives!$A$2:$C$35, 2, 0))) * 12) + (IF(ISBLANK(Q2224), 0, IF(ISNA(VLOOKUP(Q2224, Wages!$A$2:$C$17, 2, 0)), Q2224, VLOOKUP(Q2224, Wages!$A$2:$C$17, 2, 0))) * IF(ISBLANK(N2224), 0, IF(ISNA(VLOOKUP(N2224, Crews!$A$2:$C$28, 2, 0)), N2224, VLOOKUP(N2224, Crews!$A$2:$C$28, 2, 0))))) * 400</f>
        <v>8050.78125</v>
      </c>
      <c r="K2224" s="1"/>
      <c r="L2224" s="1" t="s">
        <v>4378</v>
      </c>
      <c r="M2224" s="1" t="n">
        <v>1</v>
      </c>
      <c r="N2224" s="1" t="s">
        <v>25</v>
      </c>
      <c r="O2224" s="1" t="n">
        <v>0.8</v>
      </c>
      <c r="P2224" s="1"/>
      <c r="Q2224" s="1" t="s">
        <v>1815</v>
      </c>
      <c r="R2224" s="1" t="s">
        <v>1843</v>
      </c>
      <c r="S2224" s="1" t="s">
        <v>1843</v>
      </c>
      <c r="T2224" s="1" t="s">
        <v>4124</v>
      </c>
    </row>
    <row r="2225" customFormat="false" ht="15" hidden="false" customHeight="true" outlineLevel="0" collapsed="false">
      <c r="A2225" s="1" t="s">
        <v>4380</v>
      </c>
      <c r="B2225" s="1" t="n">
        <v>1968</v>
      </c>
      <c r="C2225" s="1" t="n">
        <v>7</v>
      </c>
      <c r="D2225" s="1" t="s">
        <v>21</v>
      </c>
      <c r="E2225" s="1" t="s">
        <v>1839</v>
      </c>
      <c r="F2225" s="1" t="n">
        <v>50</v>
      </c>
      <c r="G2225" s="1" t="n">
        <v>82</v>
      </c>
      <c r="H2225" s="2" t="n">
        <v>97500</v>
      </c>
      <c r="I2225" s="2" t="n">
        <f aca="false">(((H2225 / 800) / IF(ISBLANK(R2225), 1000000, IF(ISNA(VLOOKUP(R2225, Mileages!$A$2:$C$34, 2, 0)), R2225, VLOOKUP(R2225, Mileages!$A$2:$C$34, 2, 0)))) + (F2225 * IF(ISBLANK(P2225), 1, P2225) * IF(ISBLANK(T2225), 0, IF(ISNA(VLOOKUP(T2225, 'Fuel Costs'!$A$2:$C$42, 2, 0)), T2225, VLOOKUP(T2225, 'Fuel Costs'!$A$2:$C$42, 2, 0))) / IF(ISBLANK(O2225), 1, O2225))) * 100</f>
        <v>37.5121875</v>
      </c>
      <c r="J2225" s="2" t="n">
        <f aca="false">((H2225 / 800) / (IF(ISBLANK(S2225), 100, IF(ISNA(VLOOKUP(S2225, Lives!$A$2:$C$35, 2, 0)), S2225, VLOOKUP(S2225, Lives!$A$2:$C$35, 2, 0))) * 12) + (IF(ISBLANK(Q2225), 0, IF(ISNA(VLOOKUP(Q2225, Wages!$A$2:$C$17, 2, 0)), Q2225, VLOOKUP(Q2225, Wages!$A$2:$C$17, 2, 0))) * IF(ISBLANK(N2225), 0, IF(ISNA(VLOOKUP(N2225, Crews!$A$2:$C$28, 2, 0)), N2225, VLOOKUP(N2225, Crews!$A$2:$C$28, 2, 0))))) * 400</f>
        <v>8050.78125</v>
      </c>
      <c r="K2225" s="1"/>
      <c r="L2225" s="1" t="s">
        <v>4378</v>
      </c>
      <c r="M2225" s="1" t="n">
        <v>2</v>
      </c>
      <c r="N2225" s="1" t="s">
        <v>25</v>
      </c>
      <c r="O2225" s="1" t="n">
        <v>0.8</v>
      </c>
      <c r="P2225" s="1"/>
      <c r="Q2225" s="1" t="s">
        <v>1815</v>
      </c>
      <c r="R2225" s="1" t="s">
        <v>1843</v>
      </c>
      <c r="S2225" s="1" t="s">
        <v>1843</v>
      </c>
      <c r="T2225" s="1" t="s">
        <v>4124</v>
      </c>
    </row>
    <row r="2226" customFormat="false" ht="15" hidden="false" customHeight="true" outlineLevel="0" collapsed="false">
      <c r="A2226" s="1" t="s">
        <v>4381</v>
      </c>
      <c r="B2226" s="1" t="n">
        <v>1968</v>
      </c>
      <c r="C2226" s="1" t="n">
        <v>8</v>
      </c>
      <c r="D2226" s="1" t="s">
        <v>21</v>
      </c>
      <c r="E2226" s="1" t="s">
        <v>2039</v>
      </c>
      <c r="F2226" s="1" t="n">
        <v>227</v>
      </c>
      <c r="G2226" s="1" t="n">
        <v>84</v>
      </c>
      <c r="H2226" s="2" t="n">
        <v>125000</v>
      </c>
      <c r="I2226" s="2" t="n">
        <f aca="false">(((H2226 / 800) / IF(ISBLANK(R2226), 1000000, IF(ISNA(VLOOKUP(R2226, Mileages!$A$2:$C$34, 2, 0)), R2226, VLOOKUP(R2226, Mileages!$A$2:$C$34, 2, 0)))) + (F2226 * IF(ISBLANK(P2226), 1, P2226) * IF(ISBLANK(T2226), 0, IF(ISNA(VLOOKUP(T2226, 'Fuel Costs'!$A$2:$C$42, 2, 0)), T2226, VLOOKUP(T2226, 'Fuel Costs'!$A$2:$C$42, 2, 0))) / IF(ISBLANK(O2226), 1, O2226))) * 100</f>
        <v>113.515625</v>
      </c>
      <c r="J2226" s="2" t="n">
        <f aca="false">((H2226 / 800) / (IF(ISBLANK(S2226), 100, IF(ISNA(VLOOKUP(S2226, Lives!$A$2:$C$35, 2, 0)), S2226, VLOOKUP(S2226, Lives!$A$2:$C$35, 2, 0))) * 12) + (IF(ISBLANK(Q2226), 0, IF(ISNA(VLOOKUP(Q2226, Wages!$A$2:$C$17, 2, 0)), Q2226, VLOOKUP(Q2226, Wages!$A$2:$C$17, 2, 0))) * IF(ISBLANK(N2226), 0, IF(ISNA(VLOOKUP(N2226, Crews!$A$2:$C$28, 2, 0)), N2226, VLOOKUP(N2226, Crews!$A$2:$C$28, 2, 0))))) * 400</f>
        <v>8065.104167</v>
      </c>
      <c r="K2226" s="3" t="s">
        <v>4382</v>
      </c>
      <c r="L2226" s="1" t="s">
        <v>4352</v>
      </c>
      <c r="M2226" s="1" t="n">
        <v>0</v>
      </c>
      <c r="N2226" s="1" t="s">
        <v>1815</v>
      </c>
      <c r="O2226" s="1" t="n">
        <v>0.8</v>
      </c>
      <c r="P2226" s="1"/>
      <c r="Q2226" s="1" t="s">
        <v>1815</v>
      </c>
      <c r="R2226" s="1" t="s">
        <v>1843</v>
      </c>
      <c r="S2226" s="1" t="s">
        <v>1843</v>
      </c>
      <c r="T2226" s="1" t="s">
        <v>4079</v>
      </c>
    </row>
    <row r="2227" customFormat="false" ht="15" hidden="false" customHeight="true" outlineLevel="0" collapsed="false">
      <c r="A2227" s="1" t="s">
        <v>4383</v>
      </c>
      <c r="B2227" s="1" t="n">
        <v>1968</v>
      </c>
      <c r="C2227" s="1" t="n">
        <v>8</v>
      </c>
      <c r="D2227" s="1" t="s">
        <v>21</v>
      </c>
      <c r="E2227" s="1"/>
      <c r="F2227" s="1"/>
      <c r="G2227" s="1" t="n">
        <v>84</v>
      </c>
      <c r="H2227" s="2" t="n">
        <v>65000</v>
      </c>
      <c r="I2227" s="2" t="n">
        <f aca="false">(((H2227 / 800) / IF(ISBLANK(R2227), 1000000, IF(ISNA(VLOOKUP(R2227, Mileages!$A$2:$C$34, 2, 0)), R2227, VLOOKUP(R2227, Mileages!$A$2:$C$34, 2, 0)))) + (F2227 * IF(ISBLANK(P2227), 1, P2227) * IF(ISBLANK(T2227), 0, IF(ISNA(VLOOKUP(T2227, 'Fuel Costs'!$A$2:$C$42, 2, 0)), T2227, VLOOKUP(T2227, 'Fuel Costs'!$A$2:$C$42, 2, 0))) / IF(ISBLANK(O2227), 1, O2227))) * 100</f>
        <v>0.006770833333</v>
      </c>
      <c r="J2227" s="2" t="n">
        <f aca="false">((H2227 / 800) / (IF(ISBLANK(S2227), 100, IF(ISNA(VLOOKUP(S2227, Lives!$A$2:$C$35, 2, 0)), S2227, VLOOKUP(S2227, Lives!$A$2:$C$35, 2, 0))) * 12) + (IF(ISBLANK(Q2227), 0, IF(ISNA(VLOOKUP(Q2227, Wages!$A$2:$C$17, 2, 0)), Q2227, VLOOKUP(Q2227, Wages!$A$2:$C$17, 2, 0))) * IF(ISBLANK(N2227), 0, IF(ISNA(VLOOKUP(N2227, Crews!$A$2:$C$28, 2, 0)), N2227, VLOOKUP(N2227, Crews!$A$2:$C$28, 2, 0))))) * 400</f>
        <v>33.85416667</v>
      </c>
      <c r="K2227" s="1"/>
      <c r="L2227" s="1" t="s">
        <v>4352</v>
      </c>
      <c r="M2227" s="1" t="n">
        <v>1</v>
      </c>
      <c r="N2227" s="1"/>
      <c r="O2227" s="1"/>
      <c r="P2227" s="1"/>
      <c r="Q2227" s="1"/>
      <c r="R2227" s="1" t="s">
        <v>829</v>
      </c>
      <c r="S2227" s="1" t="s">
        <v>829</v>
      </c>
      <c r="T2227" s="1"/>
    </row>
    <row r="2228" customFormat="false" ht="15" hidden="false" customHeight="true" outlineLevel="0" collapsed="false">
      <c r="A2228" s="1" t="s">
        <v>4384</v>
      </c>
      <c r="B2228" s="1" t="n">
        <v>1968</v>
      </c>
      <c r="C2228" s="1" t="n">
        <v>8</v>
      </c>
      <c r="D2228" s="1" t="s">
        <v>21</v>
      </c>
      <c r="E2228" s="1"/>
      <c r="F2228" s="1"/>
      <c r="G2228" s="1" t="n">
        <v>84</v>
      </c>
      <c r="H2228" s="2" t="n">
        <v>55000</v>
      </c>
      <c r="I2228" s="2" t="n">
        <f aca="false">(((H2228 / 800) / IF(ISBLANK(R2228), 1000000, IF(ISNA(VLOOKUP(R2228, Mileages!$A$2:$C$34, 2, 0)), R2228, VLOOKUP(R2228, Mileages!$A$2:$C$34, 2, 0)))) + (F2228 * IF(ISBLANK(P2228), 1, P2228) * IF(ISBLANK(T2228), 0, IF(ISNA(VLOOKUP(T2228, 'Fuel Costs'!$A$2:$C$42, 2, 0)), T2228, VLOOKUP(T2228, 'Fuel Costs'!$A$2:$C$42, 2, 0))) / IF(ISBLANK(O2228), 1, O2228))) * 100</f>
        <v>0.005729166667</v>
      </c>
      <c r="J2228" s="2" t="n">
        <f aca="false">((H2228 / 800) / (IF(ISBLANK(S2228), 100, IF(ISNA(VLOOKUP(S2228, Lives!$A$2:$C$35, 2, 0)), S2228, VLOOKUP(S2228, Lives!$A$2:$C$35, 2, 0))) * 12) + (IF(ISBLANK(Q2228), 0, IF(ISNA(VLOOKUP(Q2228, Wages!$A$2:$C$17, 2, 0)), Q2228, VLOOKUP(Q2228, Wages!$A$2:$C$17, 2, 0))) * IF(ISBLANK(N2228), 0, IF(ISNA(VLOOKUP(N2228, Crews!$A$2:$C$28, 2, 0)), N2228, VLOOKUP(N2228, Crews!$A$2:$C$28, 2, 0))))) * 400</f>
        <v>28.64583333</v>
      </c>
      <c r="K2228" s="1"/>
      <c r="L2228" s="1" t="s">
        <v>4352</v>
      </c>
      <c r="M2228" s="1" t="n">
        <v>2</v>
      </c>
      <c r="N2228" s="1"/>
      <c r="O2228" s="1"/>
      <c r="P2228" s="1"/>
      <c r="Q2228" s="1"/>
      <c r="R2228" s="1" t="s">
        <v>829</v>
      </c>
      <c r="S2228" s="1" t="s">
        <v>829</v>
      </c>
      <c r="T2228" s="1"/>
    </row>
    <row r="2229" customFormat="false" ht="15" hidden="false" customHeight="true" outlineLevel="0" collapsed="false">
      <c r="A2229" s="1" t="s">
        <v>4385</v>
      </c>
      <c r="B2229" s="1" t="n">
        <v>1968</v>
      </c>
      <c r="C2229" s="1" t="n">
        <v>8</v>
      </c>
      <c r="D2229" s="1" t="s">
        <v>21</v>
      </c>
      <c r="E2229" s="1"/>
      <c r="F2229" s="1"/>
      <c r="G2229" s="1" t="n">
        <v>84</v>
      </c>
      <c r="H2229" s="2" t="n">
        <v>55000</v>
      </c>
      <c r="I2229" s="2" t="n">
        <f aca="false">(((H2229 / 800) / IF(ISBLANK(R2229), 1000000, IF(ISNA(VLOOKUP(R2229, Mileages!$A$2:$C$34, 2, 0)), R2229, VLOOKUP(R2229, Mileages!$A$2:$C$34, 2, 0)))) + (F2229 * IF(ISBLANK(P2229), 1, P2229) * IF(ISBLANK(T2229), 0, IF(ISNA(VLOOKUP(T2229, 'Fuel Costs'!$A$2:$C$42, 2, 0)), T2229, VLOOKUP(T2229, 'Fuel Costs'!$A$2:$C$42, 2, 0))) / IF(ISBLANK(O2229), 1, O2229))) * 100</f>
        <v>0.005729166667</v>
      </c>
      <c r="J2229" s="2" t="n">
        <f aca="false">((H2229 / 800) / (IF(ISBLANK(S2229), 100, IF(ISNA(VLOOKUP(S2229, Lives!$A$2:$C$35, 2, 0)), S2229, VLOOKUP(S2229, Lives!$A$2:$C$35, 2, 0))) * 12) + (IF(ISBLANK(Q2229), 0, IF(ISNA(VLOOKUP(Q2229, Wages!$A$2:$C$17, 2, 0)), Q2229, VLOOKUP(Q2229, Wages!$A$2:$C$17, 2, 0))) * IF(ISBLANK(N2229), 0, IF(ISNA(VLOOKUP(N2229, Crews!$A$2:$C$28, 2, 0)), N2229, VLOOKUP(N2229, Crews!$A$2:$C$28, 2, 0))))) * 400</f>
        <v>28.64583333</v>
      </c>
      <c r="K2229" s="1"/>
      <c r="L2229" s="1" t="s">
        <v>4352</v>
      </c>
      <c r="M2229" s="1" t="n">
        <v>3</v>
      </c>
      <c r="N2229" s="1"/>
      <c r="O2229" s="1"/>
      <c r="P2229" s="1"/>
      <c r="Q2229" s="1"/>
      <c r="R2229" s="1" t="s">
        <v>829</v>
      </c>
      <c r="S2229" s="1" t="s">
        <v>829</v>
      </c>
      <c r="T2229" s="1"/>
    </row>
    <row r="2230" customFormat="false" ht="15" hidden="false" customHeight="true" outlineLevel="0" collapsed="false">
      <c r="A2230" s="1" t="s">
        <v>4386</v>
      </c>
      <c r="B2230" s="1" t="n">
        <v>1968</v>
      </c>
      <c r="C2230" s="1" t="n">
        <v>8</v>
      </c>
      <c r="D2230" s="1" t="s">
        <v>21</v>
      </c>
      <c r="E2230" s="1"/>
      <c r="F2230" s="1"/>
      <c r="G2230" s="1" t="n">
        <v>84</v>
      </c>
      <c r="H2230" s="2" t="n">
        <v>55000</v>
      </c>
      <c r="I2230" s="2" t="n">
        <f aca="false">(((H2230 / 800) / IF(ISBLANK(R2230), 1000000, IF(ISNA(VLOOKUP(R2230, Mileages!$A$2:$C$34, 2, 0)), R2230, VLOOKUP(R2230, Mileages!$A$2:$C$34, 2, 0)))) + (F2230 * IF(ISBLANK(P2230), 1, P2230) * IF(ISBLANK(T2230), 0, IF(ISNA(VLOOKUP(T2230, 'Fuel Costs'!$A$2:$C$42, 2, 0)), T2230, VLOOKUP(T2230, 'Fuel Costs'!$A$2:$C$42, 2, 0))) / IF(ISBLANK(O2230), 1, O2230))) * 100</f>
        <v>0.005729166667</v>
      </c>
      <c r="J2230" s="2" t="n">
        <f aca="false">((H2230 / 800) / (IF(ISBLANK(S2230), 100, IF(ISNA(VLOOKUP(S2230, Lives!$A$2:$C$35, 2, 0)), S2230, VLOOKUP(S2230, Lives!$A$2:$C$35, 2, 0))) * 12) + (IF(ISBLANK(Q2230), 0, IF(ISNA(VLOOKUP(Q2230, Wages!$A$2:$C$17, 2, 0)), Q2230, VLOOKUP(Q2230, Wages!$A$2:$C$17, 2, 0))) * IF(ISBLANK(N2230), 0, IF(ISNA(VLOOKUP(N2230, Crews!$A$2:$C$28, 2, 0)), N2230, VLOOKUP(N2230, Crews!$A$2:$C$28, 2, 0))))) * 400</f>
        <v>28.64583333</v>
      </c>
      <c r="K2230" s="1"/>
      <c r="L2230" s="1" t="s">
        <v>4352</v>
      </c>
      <c r="M2230" s="1" t="n">
        <v>5</v>
      </c>
      <c r="N2230" s="1"/>
      <c r="O2230" s="1"/>
      <c r="P2230" s="1"/>
      <c r="Q2230" s="1"/>
      <c r="R2230" s="1" t="s">
        <v>829</v>
      </c>
      <c r="S2230" s="1" t="s">
        <v>829</v>
      </c>
      <c r="T2230" s="1"/>
    </row>
    <row r="2231" customFormat="false" ht="15" hidden="false" customHeight="true" outlineLevel="0" collapsed="false">
      <c r="A2231" s="1" t="s">
        <v>4387</v>
      </c>
      <c r="B2231" s="1" t="n">
        <v>1968</v>
      </c>
      <c r="C2231" s="1" t="n">
        <v>8</v>
      </c>
      <c r="D2231" s="1" t="s">
        <v>21</v>
      </c>
      <c r="E2231" s="1"/>
      <c r="F2231" s="1"/>
      <c r="G2231" s="1" t="n">
        <v>84</v>
      </c>
      <c r="H2231" s="2" t="n">
        <v>55000</v>
      </c>
      <c r="I2231" s="2" t="n">
        <f aca="false">(((H2231 / 800) / IF(ISBLANK(R2231), 1000000, IF(ISNA(VLOOKUP(R2231, Mileages!$A$2:$C$34, 2, 0)), R2231, VLOOKUP(R2231, Mileages!$A$2:$C$34, 2, 0)))) + (F2231 * IF(ISBLANK(P2231), 1, P2231) * IF(ISBLANK(T2231), 0, IF(ISNA(VLOOKUP(T2231, 'Fuel Costs'!$A$2:$C$42, 2, 0)), T2231, VLOOKUP(T2231, 'Fuel Costs'!$A$2:$C$42, 2, 0))) / IF(ISBLANK(O2231), 1, O2231))) * 100</f>
        <v>0.005729166667</v>
      </c>
      <c r="J2231" s="2" t="n">
        <f aca="false">((H2231 / 800) / (IF(ISBLANK(S2231), 100, IF(ISNA(VLOOKUP(S2231, Lives!$A$2:$C$35, 2, 0)), S2231, VLOOKUP(S2231, Lives!$A$2:$C$35, 2, 0))) * 12) + (IF(ISBLANK(Q2231), 0, IF(ISNA(VLOOKUP(Q2231, Wages!$A$2:$C$17, 2, 0)), Q2231, VLOOKUP(Q2231, Wages!$A$2:$C$17, 2, 0))) * IF(ISBLANK(N2231), 0, IF(ISNA(VLOOKUP(N2231, Crews!$A$2:$C$28, 2, 0)), N2231, VLOOKUP(N2231, Crews!$A$2:$C$28, 2, 0))))) * 400</f>
        <v>28.64583333</v>
      </c>
      <c r="K2231" s="1"/>
      <c r="L2231" s="1" t="s">
        <v>4352</v>
      </c>
      <c r="M2231" s="1" t="n">
        <v>6</v>
      </c>
      <c r="N2231" s="1"/>
      <c r="O2231" s="1"/>
      <c r="P2231" s="1"/>
      <c r="Q2231" s="1"/>
      <c r="R2231" s="1" t="s">
        <v>829</v>
      </c>
      <c r="S2231" s="1" t="s">
        <v>829</v>
      </c>
      <c r="T2231" s="1"/>
    </row>
    <row r="2232" customFormat="false" ht="15" hidden="false" customHeight="true" outlineLevel="0" collapsed="false">
      <c r="A2232" s="1" t="s">
        <v>4388</v>
      </c>
      <c r="B2232" s="1" t="n">
        <v>1968</v>
      </c>
      <c r="C2232" s="1" t="n">
        <v>8</v>
      </c>
      <c r="D2232" s="1" t="s">
        <v>21</v>
      </c>
      <c r="E2232" s="1"/>
      <c r="F2232" s="1"/>
      <c r="G2232" s="1" t="n">
        <v>84</v>
      </c>
      <c r="H2232" s="2" t="n">
        <v>55000</v>
      </c>
      <c r="I2232" s="2" t="n">
        <f aca="false">(((H2232 / 800) / IF(ISBLANK(R2232), 1000000, IF(ISNA(VLOOKUP(R2232, Mileages!$A$2:$C$34, 2, 0)), R2232, VLOOKUP(R2232, Mileages!$A$2:$C$34, 2, 0)))) + (F2232 * IF(ISBLANK(P2232), 1, P2232) * IF(ISBLANK(T2232), 0, IF(ISNA(VLOOKUP(T2232, 'Fuel Costs'!$A$2:$C$42, 2, 0)), T2232, VLOOKUP(T2232, 'Fuel Costs'!$A$2:$C$42, 2, 0))) / IF(ISBLANK(O2232), 1, O2232))) * 100</f>
        <v>0.005729166667</v>
      </c>
      <c r="J2232" s="2" t="n">
        <f aca="false">((H2232 / 800) / (IF(ISBLANK(S2232), 100, IF(ISNA(VLOOKUP(S2232, Lives!$A$2:$C$35, 2, 0)), S2232, VLOOKUP(S2232, Lives!$A$2:$C$35, 2, 0))) * 12) + (IF(ISBLANK(Q2232), 0, IF(ISNA(VLOOKUP(Q2232, Wages!$A$2:$C$17, 2, 0)), Q2232, VLOOKUP(Q2232, Wages!$A$2:$C$17, 2, 0))) * IF(ISBLANK(N2232), 0, IF(ISNA(VLOOKUP(N2232, Crews!$A$2:$C$28, 2, 0)), N2232, VLOOKUP(N2232, Crews!$A$2:$C$28, 2, 0))))) * 400</f>
        <v>28.64583333</v>
      </c>
      <c r="K2232" s="1"/>
      <c r="L2232" s="1" t="s">
        <v>4352</v>
      </c>
      <c r="M2232" s="1" t="n">
        <v>7</v>
      </c>
      <c r="N2232" s="1"/>
      <c r="O2232" s="1"/>
      <c r="P2232" s="1"/>
      <c r="Q2232" s="1"/>
      <c r="R2232" s="1" t="s">
        <v>829</v>
      </c>
      <c r="S2232" s="1" t="s">
        <v>829</v>
      </c>
      <c r="T2232" s="1"/>
    </row>
    <row r="2233" customFormat="false" ht="15" hidden="false" customHeight="true" outlineLevel="0" collapsed="false">
      <c r="A2233" s="1" t="s">
        <v>4389</v>
      </c>
      <c r="B2233" s="1" t="n">
        <v>1968</v>
      </c>
      <c r="C2233" s="1" t="n">
        <v>8</v>
      </c>
      <c r="D2233" s="1" t="s">
        <v>2225</v>
      </c>
      <c r="E2233" s="1" t="s">
        <v>3660</v>
      </c>
      <c r="F2233" s="1" t="n">
        <v>20160</v>
      </c>
      <c r="G2233" s="1" t="n">
        <v>742</v>
      </c>
      <c r="H2233" s="2" t="n">
        <v>23000000</v>
      </c>
      <c r="I2233" s="2" t="n">
        <f aca="false">(((H2233 / 800) / IF(ISBLANK(R2233), 1000000, IF(ISNA(VLOOKUP(R2233, Mileages!$A$2:$C$34, 2, 0)), R2233, VLOOKUP(R2233, Mileages!$A$2:$C$34, 2, 0)))) + (F2233 * IF(ISBLANK(P2233), 1, P2233) * IF(ISBLANK(T2233), 0, IF(ISNA(VLOOKUP(T2233, 'Fuel Costs'!$A$2:$C$42, 2, 0)), T2233, VLOOKUP(T2233, 'Fuel Costs'!$A$2:$C$42, 2, 0))) / IF(ISBLANK(O2233), 1, O2233))) * 100</f>
        <v>121.535</v>
      </c>
      <c r="J2233" s="2" t="n">
        <f aca="false">((H2233 / 800) / (IF(ISBLANK(S2233), 100, IF(ISNA(VLOOKUP(S2233, Lives!$A$2:$C$35, 2, 0)), S2233, VLOOKUP(S2233, Lives!$A$2:$C$35, 2, 0))) * 12) + (IF(ISBLANK(Q2233), 0, IF(ISNA(VLOOKUP(Q2233, Wages!$A$2:$C$17, 2, 0)), Q2233, VLOOKUP(Q2233, Wages!$A$2:$C$17, 2, 0))) * IF(ISBLANK(N2233), 0, IF(ISNA(VLOOKUP(N2233, Crews!$A$2:$C$28, 2, 0)), N2233, VLOOKUP(N2233, Crews!$A$2:$C$28, 2, 0))))) * 400</f>
        <v>65972.22222</v>
      </c>
      <c r="K2233" s="3" t="s">
        <v>4390</v>
      </c>
      <c r="L2233" s="1" t="s">
        <v>4391</v>
      </c>
      <c r="M2233" s="1" t="n">
        <v>0</v>
      </c>
      <c r="N2233" s="1" t="s">
        <v>2342</v>
      </c>
      <c r="O2233" s="1"/>
      <c r="P2233" s="1" t="n">
        <v>0.02</v>
      </c>
      <c r="Q2233" s="1" t="s">
        <v>2229</v>
      </c>
      <c r="R2233" s="1" t="s">
        <v>2229</v>
      </c>
      <c r="S2233" s="1" t="s">
        <v>2229</v>
      </c>
      <c r="T2233" s="1" t="s">
        <v>4074</v>
      </c>
    </row>
    <row r="2234" customFormat="false" ht="15" hidden="false" customHeight="true" outlineLevel="0" collapsed="false">
      <c r="A2234" s="1" t="s">
        <v>4392</v>
      </c>
      <c r="B2234" s="1" t="n">
        <v>1969</v>
      </c>
      <c r="C2234" s="1" t="n">
        <v>1</v>
      </c>
      <c r="D2234" s="1" t="s">
        <v>2225</v>
      </c>
      <c r="E2234" s="1" t="s">
        <v>3660</v>
      </c>
      <c r="F2234" s="1" t="n">
        <v>7853</v>
      </c>
      <c r="G2234" s="1" t="n">
        <v>634</v>
      </c>
      <c r="H2234" s="2" t="n">
        <v>11500000</v>
      </c>
      <c r="I2234" s="2" t="n">
        <f aca="false">(((H2234 / 800) / IF(ISBLANK(R2234), 1000000, IF(ISNA(VLOOKUP(R2234, Mileages!$A$2:$C$34, 2, 0)), R2234, VLOOKUP(R2234, Mileages!$A$2:$C$34, 2, 0)))) + (F2234 * IF(ISBLANK(P2234), 1, P2234) * IF(ISBLANK(T2234), 0, IF(ISNA(VLOOKUP(T2234, 'Fuel Costs'!$A$2:$C$42, 2, 0)), T2234, VLOOKUP(T2234, 'Fuel Costs'!$A$2:$C$42, 2, 0))) / IF(ISBLANK(O2234), 1, O2234))) * 100</f>
        <v>47.4055</v>
      </c>
      <c r="J2234" s="2" t="n">
        <f aca="false">((H2234 / 800) / (IF(ISBLANK(S2234), 100, IF(ISNA(VLOOKUP(S2234, Lives!$A$2:$C$35, 2, 0)), S2234, VLOOKUP(S2234, Lives!$A$2:$C$35, 2, 0))) * 12) + (IF(ISBLANK(Q2234), 0, IF(ISNA(VLOOKUP(Q2234, Wages!$A$2:$C$17, 2, 0)), Q2234, VLOOKUP(Q2234, Wages!$A$2:$C$17, 2, 0))) * IF(ISBLANK(N2234), 0, IF(ISNA(VLOOKUP(N2234, Crews!$A$2:$C$28, 2, 0)), N2234, VLOOKUP(N2234, Crews!$A$2:$C$28, 2, 0))))) * 400</f>
        <v>17986.11111</v>
      </c>
      <c r="K2234" s="3" t="s">
        <v>4393</v>
      </c>
      <c r="L2234" s="1" t="s">
        <v>4394</v>
      </c>
      <c r="M2234" s="1" t="n">
        <v>0</v>
      </c>
      <c r="N2234" s="1" t="s">
        <v>25</v>
      </c>
      <c r="O2234" s="1"/>
      <c r="P2234" s="1" t="n">
        <v>0.02</v>
      </c>
      <c r="Q2234" s="1" t="s">
        <v>2229</v>
      </c>
      <c r="R2234" s="1" t="s">
        <v>2229</v>
      </c>
      <c r="S2234" s="1" t="s">
        <v>2229</v>
      </c>
      <c r="T2234" s="1" t="s">
        <v>4074</v>
      </c>
    </row>
    <row r="2235" customFormat="false" ht="15" hidden="false" customHeight="true" outlineLevel="0" collapsed="false">
      <c r="A2235" s="1" t="s">
        <v>4395</v>
      </c>
      <c r="B2235" s="1" t="n">
        <v>1969</v>
      </c>
      <c r="C2235" s="1" t="n">
        <v>1</v>
      </c>
      <c r="D2235" s="1" t="s">
        <v>2225</v>
      </c>
      <c r="E2235" s="1" t="s">
        <v>3660</v>
      </c>
      <c r="F2235" s="1" t="n">
        <v>7853</v>
      </c>
      <c r="G2235" s="1" t="n">
        <v>634</v>
      </c>
      <c r="H2235" s="2" t="n">
        <v>11500000</v>
      </c>
      <c r="I2235" s="2" t="n">
        <f aca="false">(((H2235 / 800) / IF(ISBLANK(R2235), 1000000, IF(ISNA(VLOOKUP(R2235, Mileages!$A$2:$C$34, 2, 0)), R2235, VLOOKUP(R2235, Mileages!$A$2:$C$34, 2, 0)))) + (F2235 * IF(ISBLANK(P2235), 1, P2235) * IF(ISBLANK(T2235), 0, IF(ISNA(VLOOKUP(T2235, 'Fuel Costs'!$A$2:$C$42, 2, 0)), T2235, VLOOKUP(T2235, 'Fuel Costs'!$A$2:$C$42, 2, 0))) / IF(ISBLANK(O2235), 1, O2235))) * 100</f>
        <v>47.4055</v>
      </c>
      <c r="J2235" s="2" t="n">
        <f aca="false">((H2235 / 800) / (IF(ISBLANK(S2235), 100, IF(ISNA(VLOOKUP(S2235, Lives!$A$2:$C$35, 2, 0)), S2235, VLOOKUP(S2235, Lives!$A$2:$C$35, 2, 0))) * 12) + (IF(ISBLANK(Q2235), 0, IF(ISNA(VLOOKUP(Q2235, Wages!$A$2:$C$17, 2, 0)), Q2235, VLOOKUP(Q2235, Wages!$A$2:$C$17, 2, 0))) * IF(ISBLANK(N2235), 0, IF(ISNA(VLOOKUP(N2235, Crews!$A$2:$C$28, 2, 0)), N2235, VLOOKUP(N2235, Crews!$A$2:$C$28, 2, 0))))) * 400</f>
        <v>17986.11111</v>
      </c>
      <c r="K2235" s="3" t="s">
        <v>4396</v>
      </c>
      <c r="L2235" s="1" t="s">
        <v>4394</v>
      </c>
      <c r="M2235" s="1" t="n">
        <v>1</v>
      </c>
      <c r="N2235" s="1" t="s">
        <v>25</v>
      </c>
      <c r="O2235" s="1"/>
      <c r="P2235" s="1" t="n">
        <v>0.02</v>
      </c>
      <c r="Q2235" s="1" t="s">
        <v>2229</v>
      </c>
      <c r="R2235" s="1" t="s">
        <v>2229</v>
      </c>
      <c r="S2235" s="1" t="s">
        <v>2229</v>
      </c>
      <c r="T2235" s="1" t="s">
        <v>4074</v>
      </c>
    </row>
    <row r="2236" customFormat="false" ht="15" hidden="false" customHeight="true" outlineLevel="0" collapsed="false">
      <c r="A2236" s="1" t="s">
        <v>4397</v>
      </c>
      <c r="B2236" s="1" t="n">
        <v>1969</v>
      </c>
      <c r="C2236" s="1" t="n">
        <v>2</v>
      </c>
      <c r="D2236" s="1" t="s">
        <v>38</v>
      </c>
      <c r="E2236" s="1" t="s">
        <v>1346</v>
      </c>
      <c r="F2236" s="1" t="n">
        <v>350</v>
      </c>
      <c r="G2236" s="1" t="n">
        <v>90</v>
      </c>
      <c r="H2236" s="2" t="n">
        <v>7000000</v>
      </c>
      <c r="I2236" s="2" t="n">
        <f aca="false">(((H2236 / 800) / IF(ISBLANK(R2236), 1000000, IF(ISNA(VLOOKUP(R2236, Mileages!$A$2:$C$34, 2, 0)), R2236, VLOOKUP(R2236, Mileages!$A$2:$C$34, 2, 0)))) + (F2236 * IF(ISBLANK(P2236), 1, P2236) * IF(ISBLANK(T2236), 0, IF(ISNA(VLOOKUP(T2236, 'Fuel Costs'!$A$2:$C$42, 2, 0)), T2236, VLOOKUP(T2236, 'Fuel Costs'!$A$2:$C$42, 2, 0))) / IF(ISBLANK(O2236), 1, O2236))) * 100</f>
        <v>53.375</v>
      </c>
      <c r="J2236" s="2" t="n">
        <f aca="false">((H2236 / 800) / (IF(ISBLANK(S2236), 100, IF(ISNA(VLOOKUP(S2236, Lives!$A$2:$C$35, 2, 0)), S2236, VLOOKUP(S2236, Lives!$A$2:$C$35, 2, 0))) * 12) + (IF(ISBLANK(Q2236), 0, IF(ISNA(VLOOKUP(Q2236, Wages!$A$2:$C$17, 2, 0)), Q2236, VLOOKUP(Q2236, Wages!$A$2:$C$17, 2, 0))) * IF(ISBLANK(N2236), 0, IF(ISNA(VLOOKUP(N2236, Crews!$A$2:$C$28, 2, 0)), N2236, VLOOKUP(N2236, Crews!$A$2:$C$28, 2, 0))))) * 400</f>
        <v>11833.33333</v>
      </c>
      <c r="K2236" s="3" t="s">
        <v>4398</v>
      </c>
      <c r="L2236" s="1" t="s">
        <v>4399</v>
      </c>
      <c r="M2236" s="1" t="n">
        <v>0</v>
      </c>
      <c r="N2236" s="1" t="s">
        <v>1512</v>
      </c>
      <c r="O2236" s="1" t="n">
        <v>1</v>
      </c>
      <c r="P2236" s="1"/>
      <c r="Q2236" s="1" t="str">
        <f aca="false">IF(ISBLANK('Pak128 Britain In'!$N2236),,'Pak128 Britain In'!$N2236)</f>
        <v>ElectricMultipleUnit</v>
      </c>
      <c r="R2236" s="1" t="s">
        <v>1349</v>
      </c>
      <c r="S2236" s="1" t="s">
        <v>1350</v>
      </c>
      <c r="T2236" s="1" t="s">
        <v>4101</v>
      </c>
    </row>
    <row r="2237" customFormat="false" ht="15" hidden="false" customHeight="true" outlineLevel="0" collapsed="false">
      <c r="A2237" s="1" t="s">
        <v>4400</v>
      </c>
      <c r="B2237" s="1" t="n">
        <v>1969</v>
      </c>
      <c r="C2237" s="1" t="n">
        <v>2</v>
      </c>
      <c r="D2237" s="1" t="s">
        <v>38</v>
      </c>
      <c r="E2237" s="1" t="s">
        <v>1346</v>
      </c>
      <c r="F2237" s="1"/>
      <c r="G2237" s="1" t="n">
        <v>90</v>
      </c>
      <c r="H2237" s="2" t="n">
        <v>1400000</v>
      </c>
      <c r="I2237" s="2" t="n">
        <f aca="false">(((H2237 / 800) / IF(ISBLANK(R2237), 1000000, IF(ISNA(VLOOKUP(R2237, Mileages!$A$2:$C$34, 2, 0)), R2237, VLOOKUP(R2237, Mileages!$A$2:$C$34, 2, 0)))) + (F2237 * IF(ISBLANK(P2237), 1, P2237) * IF(ISBLANK(T2237), 0, IF(ISNA(VLOOKUP(T2237, 'Fuel Costs'!$A$2:$C$42, 2, 0)), T2237, VLOOKUP(T2237, 'Fuel Costs'!$A$2:$C$42, 2, 0))) / IF(ISBLANK(O2237), 1, O2237))) * 100</f>
        <v>0.1458333333</v>
      </c>
      <c r="J2237" s="2" t="n">
        <f aca="false">((H2237 / 800) / (IF(ISBLANK(S2237), 100, IF(ISNA(VLOOKUP(S2237, Lives!$A$2:$C$35, 2, 0)), S2237, VLOOKUP(S2237, Lives!$A$2:$C$35, 2, 0))) * 12) + (IF(ISBLANK(Q2237), 0, IF(ISNA(VLOOKUP(Q2237, Wages!$A$2:$C$17, 2, 0)), Q2237, VLOOKUP(Q2237, Wages!$A$2:$C$17, 2, 0))) * IF(ISBLANK(N2237), 0, IF(ISNA(VLOOKUP(N2237, Crews!$A$2:$C$28, 2, 0)), N2237, VLOOKUP(N2237, Crews!$A$2:$C$28, 2, 0))))) * 400</f>
        <v>1666.666667</v>
      </c>
      <c r="K2237" s="1"/>
      <c r="L2237" s="1" t="s">
        <v>4399</v>
      </c>
      <c r="M2237" s="1" t="n">
        <v>1</v>
      </c>
      <c r="N2237" s="1"/>
      <c r="O2237" s="1"/>
      <c r="P2237" s="1"/>
      <c r="Q2237" s="1"/>
      <c r="R2237" s="1" t="s">
        <v>689</v>
      </c>
      <c r="S2237" s="1" t="s">
        <v>856</v>
      </c>
      <c r="T2237" s="1"/>
    </row>
    <row r="2238" customFormat="false" ht="15" hidden="false" customHeight="true" outlineLevel="0" collapsed="false">
      <c r="A2238" s="1" t="s">
        <v>4401</v>
      </c>
      <c r="B2238" s="1" t="n">
        <v>1969</v>
      </c>
      <c r="C2238" s="1" t="n">
        <v>2</v>
      </c>
      <c r="D2238" s="1" t="s">
        <v>38</v>
      </c>
      <c r="E2238" s="1" t="s">
        <v>1346</v>
      </c>
      <c r="F2238" s="1"/>
      <c r="G2238" s="1" t="n">
        <v>90</v>
      </c>
      <c r="H2238" s="2" t="n">
        <v>1400000</v>
      </c>
      <c r="I2238" s="2" t="n">
        <f aca="false">(((H2238 / 800) / IF(ISBLANK(R2238), 1000000, IF(ISNA(VLOOKUP(R2238, Mileages!$A$2:$C$34, 2, 0)), R2238, VLOOKUP(R2238, Mileages!$A$2:$C$34, 2, 0)))) + (F2238 * IF(ISBLANK(P2238), 1, P2238) * IF(ISBLANK(T2238), 0, IF(ISNA(VLOOKUP(T2238, 'Fuel Costs'!$A$2:$C$42, 2, 0)), T2238, VLOOKUP(T2238, 'Fuel Costs'!$A$2:$C$42, 2, 0))) / IF(ISBLANK(O2238), 1, O2238))) * 100</f>
        <v>0.1458333333</v>
      </c>
      <c r="J2238" s="2" t="n">
        <f aca="false">((H2238 / 800) / (IF(ISBLANK(S2238), 100, IF(ISNA(VLOOKUP(S2238, Lives!$A$2:$C$35, 2, 0)), S2238, VLOOKUP(S2238, Lives!$A$2:$C$35, 2, 0))) * 12) + (IF(ISBLANK(Q2238), 0, IF(ISNA(VLOOKUP(Q2238, Wages!$A$2:$C$17, 2, 0)), Q2238, VLOOKUP(Q2238, Wages!$A$2:$C$17, 2, 0))) * IF(ISBLANK(N2238), 0, IF(ISNA(VLOOKUP(N2238, Crews!$A$2:$C$28, 2, 0)), N2238, VLOOKUP(N2238, Crews!$A$2:$C$28, 2, 0))))) * 400</f>
        <v>1666.666667</v>
      </c>
      <c r="K2238" s="1"/>
      <c r="L2238" s="1" t="s">
        <v>4399</v>
      </c>
      <c r="M2238" s="1" t="n">
        <v>2</v>
      </c>
      <c r="N2238" s="1"/>
      <c r="O2238" s="1"/>
      <c r="P2238" s="1"/>
      <c r="Q2238" s="1"/>
      <c r="R2238" s="1" t="s">
        <v>689</v>
      </c>
      <c r="S2238" s="1" t="s">
        <v>856</v>
      </c>
      <c r="T2238" s="1"/>
    </row>
    <row r="2239" customFormat="false" ht="15" hidden="false" customHeight="true" outlineLevel="0" collapsed="false">
      <c r="A2239" s="1" t="s">
        <v>4402</v>
      </c>
      <c r="B2239" s="1" t="n">
        <v>1969</v>
      </c>
      <c r="C2239" s="1" t="n">
        <v>2</v>
      </c>
      <c r="D2239" s="1" t="s">
        <v>38</v>
      </c>
      <c r="E2239" s="1" t="s">
        <v>1346</v>
      </c>
      <c r="F2239" s="1" t="n">
        <v>350</v>
      </c>
      <c r="G2239" s="1" t="n">
        <v>90</v>
      </c>
      <c r="H2239" s="2" t="n">
        <v>7000000</v>
      </c>
      <c r="I2239" s="2" t="n">
        <f aca="false">(((H2239 / 800) / IF(ISBLANK(R2239), 1000000, IF(ISNA(VLOOKUP(R2239, Mileages!$A$2:$C$34, 2, 0)), R2239, VLOOKUP(R2239, Mileages!$A$2:$C$34, 2, 0)))) + (F2239 * IF(ISBLANK(P2239), 1, P2239) * IF(ISBLANK(T2239), 0, IF(ISNA(VLOOKUP(T2239, 'Fuel Costs'!$A$2:$C$42, 2, 0)), T2239, VLOOKUP(T2239, 'Fuel Costs'!$A$2:$C$42, 2, 0))) / IF(ISBLANK(O2239), 1, O2239))) * 100</f>
        <v>53.375</v>
      </c>
      <c r="J2239" s="2" t="n">
        <f aca="false">((H2239 / 800) / (IF(ISBLANK(S2239), 100, IF(ISNA(VLOOKUP(S2239, Lives!$A$2:$C$35, 2, 0)), S2239, VLOOKUP(S2239, Lives!$A$2:$C$35, 2, 0))) * 12) + (IF(ISBLANK(Q2239), 0, IF(ISNA(VLOOKUP(Q2239, Wages!$A$2:$C$17, 2, 0)), Q2239, VLOOKUP(Q2239, Wages!$A$2:$C$17, 2, 0))) * IF(ISBLANK(N2239), 0, IF(ISNA(VLOOKUP(N2239, Crews!$A$2:$C$28, 2, 0)), N2239, VLOOKUP(N2239, Crews!$A$2:$C$28, 2, 0))))) * 400</f>
        <v>11833.33333</v>
      </c>
      <c r="K2239" s="1"/>
      <c r="L2239" s="1" t="s">
        <v>4399</v>
      </c>
      <c r="M2239" s="1" t="n">
        <v>3</v>
      </c>
      <c r="N2239" s="1" t="s">
        <v>1512</v>
      </c>
      <c r="O2239" s="1" t="n">
        <v>1</v>
      </c>
      <c r="P2239" s="1"/>
      <c r="Q2239" s="1" t="str">
        <f aca="false">IF(ISBLANK('Pak128 Britain In'!$N2239),,'Pak128 Britain In'!$N2239)</f>
        <v>ElectricMultipleUnit</v>
      </c>
      <c r="R2239" s="1" t="s">
        <v>1349</v>
      </c>
      <c r="S2239" s="1" t="s">
        <v>1350</v>
      </c>
      <c r="T2239" s="1" t="s">
        <v>4101</v>
      </c>
    </row>
    <row r="2240" customFormat="false" ht="15" hidden="false" customHeight="true" outlineLevel="0" collapsed="false">
      <c r="A2240" s="1" t="s">
        <v>4403</v>
      </c>
      <c r="B2240" s="1" t="n">
        <v>1969</v>
      </c>
      <c r="C2240" s="1" t="n">
        <v>7</v>
      </c>
      <c r="D2240" s="1" t="s">
        <v>2225</v>
      </c>
      <c r="E2240" s="1" t="s">
        <v>3660</v>
      </c>
      <c r="F2240" s="1" t="n">
        <v>920</v>
      </c>
      <c r="G2240" s="1" t="n">
        <v>278</v>
      </c>
      <c r="H2240" s="2" t="n">
        <v>2700000</v>
      </c>
      <c r="I2240" s="2" t="n">
        <f aca="false">(((H2240 / 800) / IF(ISBLANK(R2240), 1000000, IF(ISNA(VLOOKUP(R2240, Mileages!$A$2:$C$34, 2, 0)), R2240, VLOOKUP(R2240, Mileages!$A$2:$C$34, 2, 0)))) + (F2240 * IF(ISBLANK(P2240), 1, P2240) * IF(ISBLANK(T2240), 0, IF(ISNA(VLOOKUP(T2240, 'Fuel Costs'!$A$2:$C$42, 2, 0)), T2240, VLOOKUP(T2240, 'Fuel Costs'!$A$2:$C$42, 2, 0))) / IF(ISBLANK(O2240), 1, O2240))) * 100</f>
        <v>5.5875</v>
      </c>
      <c r="J2240" s="2" t="n">
        <f aca="false">((H2240 / 800) / (IF(ISBLANK(S2240), 100, IF(ISNA(VLOOKUP(S2240, Lives!$A$2:$C$35, 2, 0)), S2240, VLOOKUP(S2240, Lives!$A$2:$C$35, 2, 0))) * 12) + (IF(ISBLANK(Q2240), 0, IF(ISNA(VLOOKUP(Q2240, Wages!$A$2:$C$17, 2, 0)), Q2240, VLOOKUP(Q2240, Wages!$A$2:$C$17, 2, 0))) * IF(ISBLANK(N2240), 0, IF(ISNA(VLOOKUP(N2240, Crews!$A$2:$C$28, 2, 0)), N2240, VLOOKUP(N2240, Crews!$A$2:$C$28, 2, 0))))) * 400</f>
        <v>51875</v>
      </c>
      <c r="K2240" s="3" t="s">
        <v>4404</v>
      </c>
      <c r="L2240" s="1" t="s">
        <v>4405</v>
      </c>
      <c r="M2240" s="1" t="n">
        <v>0</v>
      </c>
      <c r="N2240" s="1" t="s">
        <v>2342</v>
      </c>
      <c r="O2240" s="1"/>
      <c r="P2240" s="1" t="n">
        <v>0.02</v>
      </c>
      <c r="Q2240" s="1" t="s">
        <v>2229</v>
      </c>
      <c r="R2240" s="1" t="s">
        <v>2229</v>
      </c>
      <c r="S2240" s="1" t="s">
        <v>2229</v>
      </c>
      <c r="T2240" s="1" t="s">
        <v>4074</v>
      </c>
    </row>
    <row r="2241" customFormat="false" ht="15" hidden="false" customHeight="true" outlineLevel="0" collapsed="false">
      <c r="A2241" s="1" t="s">
        <v>4406</v>
      </c>
      <c r="B2241" s="1" t="n">
        <v>1969</v>
      </c>
      <c r="C2241" s="1" t="n">
        <v>11</v>
      </c>
      <c r="D2241" s="1" t="s">
        <v>21</v>
      </c>
      <c r="E2241" s="1" t="s">
        <v>2039</v>
      </c>
      <c r="F2241" s="1" t="n">
        <v>85</v>
      </c>
      <c r="G2241" s="1" t="n">
        <v>72</v>
      </c>
      <c r="H2241" s="2" t="n">
        <v>2700000</v>
      </c>
      <c r="I2241" s="2" t="n">
        <f aca="false">(((H2241 / 800) / IF(ISBLANK(R2241), 1000000, IF(ISNA(VLOOKUP(R2241, Mileages!$A$2:$C$34, 2, 0)), R2241, VLOOKUP(R2241, Mileages!$A$2:$C$34, 2, 0)))) + (F2241 * IF(ISBLANK(P2241), 1, P2241) * IF(ISBLANK(T2241), 0, IF(ISNA(VLOOKUP(T2241, 'Fuel Costs'!$A$2:$C$42, 2, 0)), T2241, VLOOKUP(T2241, 'Fuel Costs'!$A$2:$C$42, 2, 0))) / IF(ISBLANK(O2241), 1, O2241))) * 100</f>
        <v>42.8375</v>
      </c>
      <c r="J2241" s="2" t="n">
        <f aca="false">((H2241 / 800) / (IF(ISBLANK(S2241), 100, IF(ISNA(VLOOKUP(S2241, Lives!$A$2:$C$35, 2, 0)), S2241, VLOOKUP(S2241, Lives!$A$2:$C$35, 2, 0))) * 12) + (IF(ISBLANK(Q2241), 0, IF(ISNA(VLOOKUP(Q2241, Wages!$A$2:$C$17, 2, 0)), Q2241, VLOOKUP(Q2241, Wages!$A$2:$C$17, 2, 0))) * IF(ISBLANK(N2241), 0, IF(ISNA(VLOOKUP(N2241, Crews!$A$2:$C$28, 2, 0)), N2241, VLOOKUP(N2241, Crews!$A$2:$C$28, 2, 0))))) * 400</f>
        <v>9406.25</v>
      </c>
      <c r="K2241" s="3" t="s">
        <v>4407</v>
      </c>
      <c r="L2241" s="1" t="s">
        <v>4408</v>
      </c>
      <c r="M2241" s="1" t="n">
        <v>0</v>
      </c>
      <c r="N2241" s="1" t="s">
        <v>1815</v>
      </c>
      <c r="O2241" s="1" t="n">
        <v>0.8</v>
      </c>
      <c r="P2241" s="1"/>
      <c r="Q2241" s="1" t="s">
        <v>1815</v>
      </c>
      <c r="R2241" s="1" t="s">
        <v>1843</v>
      </c>
      <c r="S2241" s="1" t="s">
        <v>1843</v>
      </c>
      <c r="T2241" s="1" t="s">
        <v>4079</v>
      </c>
    </row>
    <row r="2242" customFormat="false" ht="15" hidden="false" customHeight="true" outlineLevel="0" collapsed="false">
      <c r="A2242" s="1" t="s">
        <v>4409</v>
      </c>
      <c r="B2242" s="1" t="n">
        <v>1970</v>
      </c>
      <c r="C2242" s="1" t="n">
        <v>1</v>
      </c>
      <c r="D2242" s="1" t="s">
        <v>2225</v>
      </c>
      <c r="E2242" s="1" t="s">
        <v>3660</v>
      </c>
      <c r="F2242" s="1" t="n">
        <v>139320</v>
      </c>
      <c r="G2242" s="1" t="n">
        <v>907</v>
      </c>
      <c r="H2242" s="2" t="n">
        <v>100000000</v>
      </c>
      <c r="I2242" s="2" t="n">
        <f aca="false">(((H2242 / 800) / IF(ISBLANK(R2242), 1000000, IF(ISNA(VLOOKUP(R2242, Mileages!$A$2:$C$34, 2, 0)), R2242, VLOOKUP(R2242, Mileages!$A$2:$C$34, 2, 0)))) + (F2242 * IF(ISBLANK(P2242), 1, P2242) * IF(ISBLANK(T2242), 0, IF(ISNA(VLOOKUP(T2242, 'Fuel Costs'!$A$2:$C$42, 2, 0)), T2242, VLOOKUP(T2242, 'Fuel Costs'!$A$2:$C$42, 2, 0))) / IF(ISBLANK(O2242), 1, O2242))) * 100</f>
        <v>836.3366667</v>
      </c>
      <c r="J2242" s="2" t="n">
        <f aca="false">((H2242 / 800) / (IF(ISBLANK(S2242), 100, IF(ISNA(VLOOKUP(S2242, Lives!$A$2:$C$35, 2, 0)), S2242, VLOOKUP(S2242, Lives!$A$2:$C$35, 2, 0))) * 12) + (IF(ISBLANK(Q2242), 0, IF(ISNA(VLOOKUP(Q2242, Wages!$A$2:$C$17, 2, 0)), Q2242, VLOOKUP(Q2242, Wages!$A$2:$C$17, 2, 0))) * IF(ISBLANK(N2242), 0, IF(ISNA(VLOOKUP(N2242, Crews!$A$2:$C$28, 2, 0)), N2242, VLOOKUP(N2242, Crews!$A$2:$C$28, 2, 0))))) * 400</f>
        <v>139444.4444</v>
      </c>
      <c r="K2242" s="3" t="s">
        <v>4410</v>
      </c>
      <c r="L2242" s="1" t="s">
        <v>4411</v>
      </c>
      <c r="M2242" s="1" t="n">
        <v>0</v>
      </c>
      <c r="N2242" s="1" t="s">
        <v>4412</v>
      </c>
      <c r="O2242" s="1"/>
      <c r="P2242" s="1" t="n">
        <v>0.02</v>
      </c>
      <c r="Q2242" s="1" t="s">
        <v>2229</v>
      </c>
      <c r="R2242" s="1" t="s">
        <v>4413</v>
      </c>
      <c r="S2242" s="1" t="s">
        <v>2229</v>
      </c>
      <c r="T2242" s="1" t="s">
        <v>4074</v>
      </c>
    </row>
    <row r="2243" customFormat="false" ht="15" hidden="false" customHeight="true" outlineLevel="0" collapsed="false">
      <c r="A2243" s="1" t="s">
        <v>4414</v>
      </c>
      <c r="B2243" s="1" t="n">
        <v>1970</v>
      </c>
      <c r="C2243" s="1" t="n">
        <v>1</v>
      </c>
      <c r="D2243" s="1" t="s">
        <v>2225</v>
      </c>
      <c r="E2243" s="1" t="s">
        <v>3660</v>
      </c>
      <c r="F2243" s="1" t="n">
        <v>139320</v>
      </c>
      <c r="G2243" s="1" t="n">
        <v>907</v>
      </c>
      <c r="H2243" s="2" t="n">
        <v>100000000</v>
      </c>
      <c r="I2243" s="2" t="n">
        <f aca="false">(((H2243 / 800) / IF(ISBLANK(R2243), 1000000, IF(ISNA(VLOOKUP(R2243, Mileages!$A$2:$C$34, 2, 0)), R2243, VLOOKUP(R2243, Mileages!$A$2:$C$34, 2, 0)))) + (F2243 * IF(ISBLANK(P2243), 1, P2243) * IF(ISBLANK(T2243), 0, IF(ISNA(VLOOKUP(T2243, 'Fuel Costs'!$A$2:$C$42, 2, 0)), T2243, VLOOKUP(T2243, 'Fuel Costs'!$A$2:$C$42, 2, 0))) / IF(ISBLANK(O2243), 1, O2243))) * 100</f>
        <v>836.3366667</v>
      </c>
      <c r="J2243" s="2" t="n">
        <f aca="false">((H2243 / 800) / (IF(ISBLANK(S2243), 100, IF(ISNA(VLOOKUP(S2243, Lives!$A$2:$C$35, 2, 0)), S2243, VLOOKUP(S2243, Lives!$A$2:$C$35, 2, 0))) * 12) + (IF(ISBLANK(Q2243), 0, IF(ISNA(VLOOKUP(Q2243, Wages!$A$2:$C$17, 2, 0)), Q2243, VLOOKUP(Q2243, Wages!$A$2:$C$17, 2, 0))) * IF(ISBLANK(N2243), 0, IF(ISNA(VLOOKUP(N2243, Crews!$A$2:$C$28, 2, 0)), N2243, VLOOKUP(N2243, Crews!$A$2:$C$28, 2, 0))))) * 400</f>
        <v>139444.4444</v>
      </c>
      <c r="K2243" s="3" t="s">
        <v>4415</v>
      </c>
      <c r="L2243" s="1" t="s">
        <v>4411</v>
      </c>
      <c r="M2243" s="1" t="n">
        <v>1</v>
      </c>
      <c r="N2243" s="1" t="s">
        <v>4412</v>
      </c>
      <c r="O2243" s="1"/>
      <c r="P2243" s="1" t="n">
        <v>0.02</v>
      </c>
      <c r="Q2243" s="1" t="s">
        <v>2229</v>
      </c>
      <c r="R2243" s="1" t="s">
        <v>4413</v>
      </c>
      <c r="S2243" s="1" t="s">
        <v>2229</v>
      </c>
      <c r="T2243" s="1" t="s">
        <v>4074</v>
      </c>
    </row>
    <row r="2244" customFormat="false" ht="15" hidden="false" customHeight="true" outlineLevel="0" collapsed="false">
      <c r="A2244" s="1" t="s">
        <v>4416</v>
      </c>
      <c r="B2244" s="1" t="n">
        <v>1970</v>
      </c>
      <c r="C2244" s="1" t="n">
        <v>2</v>
      </c>
      <c r="D2244" s="1" t="s">
        <v>38</v>
      </c>
      <c r="E2244" s="1"/>
      <c r="F2244" s="1"/>
      <c r="G2244" s="1" t="n">
        <v>96</v>
      </c>
      <c r="H2244" s="2" t="n">
        <v>340000</v>
      </c>
      <c r="I2244" s="2" t="n">
        <f aca="false">(((H2244 / 800) / IF(ISBLANK(R2244), 1000000, IF(ISNA(VLOOKUP(R2244, Mileages!$A$2:$C$34, 2, 0)), R2244, VLOOKUP(R2244, Mileages!$A$2:$C$34, 2, 0)))) + (F2244 * IF(ISBLANK(P2244), 1, P2244) * IF(ISBLANK(T2244), 0, IF(ISNA(VLOOKUP(T2244, 'Fuel Costs'!$A$2:$C$42, 2, 0)), T2244, VLOOKUP(T2244, 'Fuel Costs'!$A$2:$C$42, 2, 0))) / IF(ISBLANK(O2244), 1, O2244))) * 100</f>
        <v>0.01770833333</v>
      </c>
      <c r="J2244" s="2" t="n">
        <f aca="false">((H2244 / 800) / (IF(ISBLANK(S2244), 100, IF(ISNA(VLOOKUP(S2244, Lives!$A$2:$C$35, 2, 0)), S2244, VLOOKUP(S2244, Lives!$A$2:$C$35, 2, 0))) * 12) + (IF(ISBLANK(Q2244), 0, IF(ISNA(VLOOKUP(Q2244, Wages!$A$2:$C$17, 2, 0)), Q2244, VLOOKUP(Q2244, Wages!$A$2:$C$17, 2, 0))) * IF(ISBLANK(N2244), 0, IF(ISNA(VLOOKUP(N2244, Crews!$A$2:$C$28, 2, 0)), N2244, VLOOKUP(N2244, Crews!$A$2:$C$28, 2, 0))))) * 400</f>
        <v>141.6666667</v>
      </c>
      <c r="K2244" s="3" t="s">
        <v>4417</v>
      </c>
      <c r="L2244" s="1" t="s">
        <v>4418</v>
      </c>
      <c r="M2244" s="1" t="n">
        <v>0</v>
      </c>
      <c r="N2244" s="1"/>
      <c r="O2244" s="1"/>
      <c r="P2244" s="1"/>
      <c r="Q2244" s="1"/>
      <c r="R2244" s="1" t="s">
        <v>4419</v>
      </c>
      <c r="S2244" s="1" t="s">
        <v>4289</v>
      </c>
      <c r="T2244" s="1"/>
    </row>
    <row r="2245" customFormat="false" ht="15" hidden="false" customHeight="true" outlineLevel="0" collapsed="false">
      <c r="A2245" s="1" t="s">
        <v>4420</v>
      </c>
      <c r="B2245" s="1" t="n">
        <v>1971</v>
      </c>
      <c r="C2245" s="1" t="n">
        <v>1</v>
      </c>
      <c r="D2245" s="1" t="s">
        <v>2225</v>
      </c>
      <c r="E2245" s="1" t="s">
        <v>3660</v>
      </c>
      <c r="F2245" s="1" t="n">
        <v>155520</v>
      </c>
      <c r="G2245" s="1" t="n">
        <v>907</v>
      </c>
      <c r="H2245" s="2" t="n">
        <v>100000000</v>
      </c>
      <c r="I2245" s="2" t="n">
        <f aca="false">(((H2245 / 800) / IF(ISBLANK(R2245), 1000000, IF(ISNA(VLOOKUP(R2245, Mileages!$A$2:$C$34, 2, 0)), R2245, VLOOKUP(R2245, Mileages!$A$2:$C$34, 2, 0)))) + (F2245 * IF(ISBLANK(P2245), 1, P2245) * IF(ISBLANK(T2245), 0, IF(ISNA(VLOOKUP(T2245, 'Fuel Costs'!$A$2:$C$42, 2, 0)), T2245, VLOOKUP(T2245, 'Fuel Costs'!$A$2:$C$42, 2, 0))) / IF(ISBLANK(O2245), 1, O2245))) * 100</f>
        <v>933.5366667</v>
      </c>
      <c r="J2245" s="2" t="n">
        <f aca="false">((H2245 / 800) / (IF(ISBLANK(S2245), 100, IF(ISNA(VLOOKUP(S2245, Lives!$A$2:$C$35, 2, 0)), S2245, VLOOKUP(S2245, Lives!$A$2:$C$35, 2, 0))) * 12) + (IF(ISBLANK(Q2245), 0, IF(ISNA(VLOOKUP(Q2245, Wages!$A$2:$C$17, 2, 0)), Q2245, VLOOKUP(Q2245, Wages!$A$2:$C$17, 2, 0))) * IF(ISBLANK(N2245), 0, IF(ISNA(VLOOKUP(N2245, Crews!$A$2:$C$28, 2, 0)), N2245, VLOOKUP(N2245, Crews!$A$2:$C$28, 2, 0))))) * 400</f>
        <v>139444.4444</v>
      </c>
      <c r="K2245" s="3" t="s">
        <v>4421</v>
      </c>
      <c r="L2245" s="1" t="s">
        <v>4422</v>
      </c>
      <c r="M2245" s="1" t="n">
        <v>0</v>
      </c>
      <c r="N2245" s="1" t="s">
        <v>4412</v>
      </c>
      <c r="O2245" s="1"/>
      <c r="P2245" s="1" t="n">
        <v>0.02</v>
      </c>
      <c r="Q2245" s="1" t="s">
        <v>2229</v>
      </c>
      <c r="R2245" s="1" t="s">
        <v>4413</v>
      </c>
      <c r="S2245" s="1" t="s">
        <v>2229</v>
      </c>
      <c r="T2245" s="1" t="s">
        <v>4074</v>
      </c>
    </row>
    <row r="2246" customFormat="false" ht="15" hidden="false" customHeight="true" outlineLevel="0" collapsed="false">
      <c r="A2246" s="1" t="s">
        <v>4423</v>
      </c>
      <c r="B2246" s="1" t="n">
        <v>1971</v>
      </c>
      <c r="C2246" s="1" t="n">
        <v>1</v>
      </c>
      <c r="D2246" s="1" t="s">
        <v>2225</v>
      </c>
      <c r="E2246" s="1" t="s">
        <v>3660</v>
      </c>
      <c r="F2246" s="1" t="n">
        <v>155520</v>
      </c>
      <c r="G2246" s="1" t="n">
        <v>907</v>
      </c>
      <c r="H2246" s="2" t="n">
        <v>100000000</v>
      </c>
      <c r="I2246" s="2" t="n">
        <f aca="false">(((H2246 / 800) / IF(ISBLANK(R2246), 1000000, IF(ISNA(VLOOKUP(R2246, Mileages!$A$2:$C$34, 2, 0)), R2246, VLOOKUP(R2246, Mileages!$A$2:$C$34, 2, 0)))) + (F2246 * IF(ISBLANK(P2246), 1, P2246) * IF(ISBLANK(T2246), 0, IF(ISNA(VLOOKUP(T2246, 'Fuel Costs'!$A$2:$C$42, 2, 0)), T2246, VLOOKUP(T2246, 'Fuel Costs'!$A$2:$C$42, 2, 0))) / IF(ISBLANK(O2246), 1, O2246))) * 100</f>
        <v>933.5366667</v>
      </c>
      <c r="J2246" s="2" t="n">
        <f aca="false">((H2246 / 800) / (IF(ISBLANK(S2246), 100, IF(ISNA(VLOOKUP(S2246, Lives!$A$2:$C$35, 2, 0)), S2246, VLOOKUP(S2246, Lives!$A$2:$C$35, 2, 0))) * 12) + (IF(ISBLANK(Q2246), 0, IF(ISNA(VLOOKUP(Q2246, Wages!$A$2:$C$17, 2, 0)), Q2246, VLOOKUP(Q2246, Wages!$A$2:$C$17, 2, 0))) * IF(ISBLANK(N2246), 0, IF(ISNA(VLOOKUP(N2246, Crews!$A$2:$C$28, 2, 0)), N2246, VLOOKUP(N2246, Crews!$A$2:$C$28, 2, 0))))) * 400</f>
        <v>139444.4444</v>
      </c>
      <c r="K2246" s="3" t="s">
        <v>4421</v>
      </c>
      <c r="L2246" s="1" t="s">
        <v>4422</v>
      </c>
      <c r="M2246" s="1" t="n">
        <v>1</v>
      </c>
      <c r="N2246" s="1" t="s">
        <v>4412</v>
      </c>
      <c r="O2246" s="1"/>
      <c r="P2246" s="1" t="n">
        <v>0.02</v>
      </c>
      <c r="Q2246" s="1" t="s">
        <v>2229</v>
      </c>
      <c r="R2246" s="1" t="s">
        <v>4413</v>
      </c>
      <c r="S2246" s="1" t="s">
        <v>2229</v>
      </c>
      <c r="T2246" s="1" t="s">
        <v>4074</v>
      </c>
    </row>
    <row r="2247" customFormat="false" ht="15" hidden="false" customHeight="true" outlineLevel="0" collapsed="false">
      <c r="A2247" s="1" t="s">
        <v>4424</v>
      </c>
      <c r="B2247" s="1" t="n">
        <v>1971</v>
      </c>
      <c r="C2247" s="1" t="n">
        <v>1</v>
      </c>
      <c r="D2247" s="1" t="s">
        <v>38</v>
      </c>
      <c r="E2247" s="1" t="s">
        <v>2039</v>
      </c>
      <c r="F2247" s="1" t="n">
        <v>3000</v>
      </c>
      <c r="G2247" s="1" t="n">
        <v>175</v>
      </c>
      <c r="H2247" s="2" t="n">
        <v>1620000</v>
      </c>
      <c r="I2247" s="2" t="n">
        <f aca="false">(((H2247 / 800) / IF(ISBLANK(R2247), 1000000, IF(ISNA(VLOOKUP(R2247, Mileages!$A$2:$C$34, 2, 0)), R2247, VLOOKUP(R2247, Mileages!$A$2:$C$34, 2, 0)))) + (F2247 * IF(ISBLANK(P2247), 1, P2247) * IF(ISBLANK(T2247), 0, IF(ISNA(VLOOKUP(T2247, 'Fuel Costs'!$A$2:$C$42, 2, 0)), T2247, VLOOKUP(T2247, 'Fuel Costs'!$A$2:$C$42, 2, 0))) / IF(ISBLANK(O2247), 1, O2247))) * 100</f>
        <v>1500.2025</v>
      </c>
      <c r="J2247" s="2" t="n">
        <f aca="false">((H2247 / 800) / (IF(ISBLANK(S2247), 100, IF(ISNA(VLOOKUP(S2247, Lives!$A$2:$C$35, 2, 0)), S2247, VLOOKUP(S2247, Lives!$A$2:$C$35, 2, 0))) * 12) + (IF(ISBLANK(Q2247), 0, IF(ISNA(VLOOKUP(Q2247, Wages!$A$2:$C$17, 2, 0)), Q2247, VLOOKUP(Q2247, Wages!$A$2:$C$17, 2, 0))) * IF(ISBLANK(N2247), 0, IF(ISNA(VLOOKUP(N2247, Crews!$A$2:$C$28, 2, 0)), N2247, VLOOKUP(N2247, Crews!$A$2:$C$28, 2, 0))))) * 400</f>
        <v>11125</v>
      </c>
      <c r="K2247" s="3" t="s">
        <v>4425</v>
      </c>
      <c r="L2247" s="1" t="s">
        <v>4426</v>
      </c>
      <c r="M2247" s="1" t="n">
        <v>0</v>
      </c>
      <c r="N2247" s="1" t="s">
        <v>1488</v>
      </c>
      <c r="O2247" s="1" t="n">
        <v>0.8</v>
      </c>
      <c r="P2247" s="1"/>
      <c r="Q2247" s="1" t="s">
        <v>1488</v>
      </c>
      <c r="R2247" s="1" t="s">
        <v>4088</v>
      </c>
      <c r="S2247" s="1" t="s">
        <v>4088</v>
      </c>
      <c r="T2247" s="1" t="s">
        <v>4079</v>
      </c>
    </row>
    <row r="2248" customFormat="false" ht="15" hidden="false" customHeight="true" outlineLevel="0" collapsed="false">
      <c r="A2248" s="1" t="s">
        <v>4427</v>
      </c>
      <c r="B2248" s="1" t="n">
        <v>1971</v>
      </c>
      <c r="C2248" s="1" t="n">
        <v>4</v>
      </c>
      <c r="D2248" s="1" t="s">
        <v>2225</v>
      </c>
      <c r="E2248" s="1" t="s">
        <v>3660</v>
      </c>
      <c r="F2248" s="1" t="n">
        <v>27849</v>
      </c>
      <c r="G2248" s="1" t="n">
        <v>830</v>
      </c>
      <c r="H2248" s="2" t="n">
        <v>14500000</v>
      </c>
      <c r="I2248" s="2" t="n">
        <f aca="false">(((H2248 / 800) / IF(ISBLANK(R2248), 1000000, IF(ISNA(VLOOKUP(R2248, Mileages!$A$2:$C$34, 2, 0)), R2248, VLOOKUP(R2248, Mileages!$A$2:$C$34, 2, 0)))) + (F2248 * IF(ISBLANK(P2248), 1, P2248) * IF(ISBLANK(T2248), 0, IF(ISNA(VLOOKUP(T2248, 'Fuel Costs'!$A$2:$C$42, 2, 0)), T2248, VLOOKUP(T2248, 'Fuel Costs'!$A$2:$C$42, 2, 0))) / IF(ISBLANK(O2248), 1, O2248))) * 100</f>
        <v>167.1544167</v>
      </c>
      <c r="J2248" s="2" t="n">
        <f aca="false">((H2248 / 800) / (IF(ISBLANK(S2248), 100, IF(ISNA(VLOOKUP(S2248, Lives!$A$2:$C$35, 2, 0)), S2248, VLOOKUP(S2248, Lives!$A$2:$C$35, 2, 0))) * 12) + (IF(ISBLANK(Q2248), 0, IF(ISNA(VLOOKUP(Q2248, Wages!$A$2:$C$17, 2, 0)), Q2248, VLOOKUP(Q2248, Wages!$A$2:$C$17, 2, 0))) * IF(ISBLANK(N2248), 0, IF(ISNA(VLOOKUP(N2248, Crews!$A$2:$C$28, 2, 0)), N2248, VLOOKUP(N2248, Crews!$A$2:$C$28, 2, 0))))) * 400</f>
        <v>60069.44444</v>
      </c>
      <c r="K2248" s="3" t="s">
        <v>4428</v>
      </c>
      <c r="L2248" s="1" t="s">
        <v>4429</v>
      </c>
      <c r="M2248" s="1" t="n">
        <v>0</v>
      </c>
      <c r="N2248" s="1" t="s">
        <v>2342</v>
      </c>
      <c r="O2248" s="1"/>
      <c r="P2248" s="1" t="n">
        <v>0.02</v>
      </c>
      <c r="Q2248" s="1" t="s">
        <v>2229</v>
      </c>
      <c r="R2248" s="1" t="s">
        <v>4413</v>
      </c>
      <c r="S2248" s="1" t="s">
        <v>2229</v>
      </c>
      <c r="T2248" s="1" t="s">
        <v>4074</v>
      </c>
    </row>
    <row r="2249" customFormat="false" ht="15" hidden="false" customHeight="true" outlineLevel="0" collapsed="false">
      <c r="A2249" s="1" t="s">
        <v>4430</v>
      </c>
      <c r="B2249" s="1" t="n">
        <v>1971</v>
      </c>
      <c r="C2249" s="1" t="n">
        <v>4</v>
      </c>
      <c r="D2249" s="1" t="s">
        <v>2225</v>
      </c>
      <c r="E2249" s="1" t="s">
        <v>3660</v>
      </c>
      <c r="F2249" s="1" t="n">
        <v>27849</v>
      </c>
      <c r="G2249" s="1" t="n">
        <v>830</v>
      </c>
      <c r="H2249" s="2" t="n">
        <v>14500000</v>
      </c>
      <c r="I2249" s="2" t="n">
        <f aca="false">(((H2249 / 800) / IF(ISBLANK(R2249), 1000000, IF(ISNA(VLOOKUP(R2249, Mileages!$A$2:$C$34, 2, 0)), R2249, VLOOKUP(R2249, Mileages!$A$2:$C$34, 2, 0)))) + (F2249 * IF(ISBLANK(P2249), 1, P2249) * IF(ISBLANK(T2249), 0, IF(ISNA(VLOOKUP(T2249, 'Fuel Costs'!$A$2:$C$42, 2, 0)), T2249, VLOOKUP(T2249, 'Fuel Costs'!$A$2:$C$42, 2, 0))) / IF(ISBLANK(O2249), 1, O2249))) * 100</f>
        <v>167.1544167</v>
      </c>
      <c r="J2249" s="2" t="n">
        <f aca="false">((H2249 / 800) / (IF(ISBLANK(S2249), 100, IF(ISNA(VLOOKUP(S2249, Lives!$A$2:$C$35, 2, 0)), S2249, VLOOKUP(S2249, Lives!$A$2:$C$35, 2, 0))) * 12) + (IF(ISBLANK(Q2249), 0, IF(ISNA(VLOOKUP(Q2249, Wages!$A$2:$C$17, 2, 0)), Q2249, VLOOKUP(Q2249, Wages!$A$2:$C$17, 2, 0))) * IF(ISBLANK(N2249), 0, IF(ISNA(VLOOKUP(N2249, Crews!$A$2:$C$28, 2, 0)), N2249, VLOOKUP(N2249, Crews!$A$2:$C$28, 2, 0))))) * 400</f>
        <v>60069.44444</v>
      </c>
      <c r="K2249" s="3" t="s">
        <v>4431</v>
      </c>
      <c r="L2249" s="1" t="s">
        <v>4429</v>
      </c>
      <c r="M2249" s="1" t="n">
        <v>1</v>
      </c>
      <c r="N2249" s="1" t="s">
        <v>2342</v>
      </c>
      <c r="O2249" s="1"/>
      <c r="P2249" s="1" t="n">
        <v>0.02</v>
      </c>
      <c r="Q2249" s="1" t="s">
        <v>2229</v>
      </c>
      <c r="R2249" s="1" t="s">
        <v>4413</v>
      </c>
      <c r="S2249" s="1" t="s">
        <v>2229</v>
      </c>
      <c r="T2249" s="1" t="s">
        <v>4074</v>
      </c>
    </row>
    <row r="2250" customFormat="false" ht="15" hidden="false" customHeight="true" outlineLevel="0" collapsed="false">
      <c r="A2250" s="1" t="s">
        <v>4432</v>
      </c>
      <c r="B2250" s="1" t="n">
        <v>1971</v>
      </c>
      <c r="C2250" s="1" t="n">
        <v>5</v>
      </c>
      <c r="D2250" s="1" t="s">
        <v>2225</v>
      </c>
      <c r="E2250" s="1" t="s">
        <v>3660</v>
      </c>
      <c r="F2250" s="1" t="n">
        <v>38520</v>
      </c>
      <c r="G2250" s="1" t="n">
        <v>851</v>
      </c>
      <c r="H2250" s="2" t="n">
        <v>55000000</v>
      </c>
      <c r="I2250" s="2" t="n">
        <f aca="false">(((H2250 / 800) / IF(ISBLANK(R2250), 1000000, IF(ISNA(VLOOKUP(R2250, Mileages!$A$2:$C$34, 2, 0)), R2250, VLOOKUP(R2250, Mileages!$A$2:$C$34, 2, 0)))) + (F2250 * IF(ISBLANK(P2250), 1, P2250) * IF(ISBLANK(T2250), 0, IF(ISNA(VLOOKUP(T2250, 'Fuel Costs'!$A$2:$C$42, 2, 0)), T2250, VLOOKUP(T2250, 'Fuel Costs'!$A$2:$C$42, 2, 0))) / IF(ISBLANK(O2250), 1, O2250))) * 100</f>
        <v>231.3491667</v>
      </c>
      <c r="J2250" s="2" t="n">
        <f aca="false">((H2250 / 800) / (IF(ISBLANK(S2250), 100, IF(ISNA(VLOOKUP(S2250, Lives!$A$2:$C$35, 2, 0)), S2250, VLOOKUP(S2250, Lives!$A$2:$C$35, 2, 0))) * 12) + (IF(ISBLANK(Q2250), 0, IF(ISNA(VLOOKUP(Q2250, Wages!$A$2:$C$17, 2, 0)), Q2250, VLOOKUP(Q2250, Wages!$A$2:$C$17, 2, 0))) * IF(ISBLANK(N2250), 0, IF(ISNA(VLOOKUP(N2250, Crews!$A$2:$C$28, 2, 0)), N2250, VLOOKUP(N2250, Crews!$A$2:$C$28, 2, 0))))) * 400</f>
        <v>58194.44444</v>
      </c>
      <c r="K2250" s="3" t="s">
        <v>4433</v>
      </c>
      <c r="L2250" s="1" t="s">
        <v>4434</v>
      </c>
      <c r="M2250" s="1" t="n">
        <v>0</v>
      </c>
      <c r="N2250" s="1" t="s">
        <v>3570</v>
      </c>
      <c r="O2250" s="1"/>
      <c r="P2250" s="1" t="n">
        <v>0.02</v>
      </c>
      <c r="Q2250" s="1" t="s">
        <v>2229</v>
      </c>
      <c r="R2250" s="1" t="s">
        <v>4413</v>
      </c>
      <c r="S2250" s="1" t="s">
        <v>2229</v>
      </c>
      <c r="T2250" s="1" t="s">
        <v>4074</v>
      </c>
    </row>
    <row r="2251" customFormat="false" ht="15" hidden="false" customHeight="true" outlineLevel="0" collapsed="false">
      <c r="A2251" s="1" t="s">
        <v>4435</v>
      </c>
      <c r="B2251" s="1" t="n">
        <v>1971</v>
      </c>
      <c r="C2251" s="1" t="n">
        <v>7</v>
      </c>
      <c r="D2251" s="1" t="s">
        <v>38</v>
      </c>
      <c r="E2251" s="1"/>
      <c r="F2251" s="1"/>
      <c r="G2251" s="1" t="n">
        <v>120</v>
      </c>
      <c r="H2251" s="2" t="n">
        <v>520000</v>
      </c>
      <c r="I2251" s="2" t="n">
        <f aca="false">(((H2251 / 800) / IF(ISBLANK(R2251), 1000000, IF(ISNA(VLOOKUP(R2251, Mileages!$A$2:$C$34, 2, 0)), R2251, VLOOKUP(R2251, Mileages!$A$2:$C$34, 2, 0)))) + (F2251 * IF(ISBLANK(P2251), 1, P2251) * IF(ISBLANK(T2251), 0, IF(ISNA(VLOOKUP(T2251, 'Fuel Costs'!$A$2:$C$42, 2, 0)), T2251, VLOOKUP(T2251, 'Fuel Costs'!$A$2:$C$42, 2, 0))) / IF(ISBLANK(O2251), 1, O2251))) * 100</f>
        <v>0.02708333333</v>
      </c>
      <c r="J2251" s="2" t="n">
        <f aca="false">((H2251 / 800) / (IF(ISBLANK(S2251), 100, IF(ISNA(VLOOKUP(S2251, Lives!$A$2:$C$35, 2, 0)), S2251, VLOOKUP(S2251, Lives!$A$2:$C$35, 2, 0))) * 12) + (IF(ISBLANK(Q2251), 0, IF(ISNA(VLOOKUP(Q2251, Wages!$A$2:$C$17, 2, 0)), Q2251, VLOOKUP(Q2251, Wages!$A$2:$C$17, 2, 0))) * IF(ISBLANK(N2251), 0, IF(ISNA(VLOOKUP(N2251, Crews!$A$2:$C$28, 2, 0)), N2251, VLOOKUP(N2251, Crews!$A$2:$C$28, 2, 0))))) * 400</f>
        <v>216.6666667</v>
      </c>
      <c r="K2251" s="3" t="s">
        <v>4436</v>
      </c>
      <c r="L2251" s="1" t="s">
        <v>4437</v>
      </c>
      <c r="M2251" s="1" t="n">
        <v>0</v>
      </c>
      <c r="N2251" s="1"/>
      <c r="O2251" s="1"/>
      <c r="P2251" s="1"/>
      <c r="Q2251" s="1"/>
      <c r="R2251" s="1" t="s">
        <v>4419</v>
      </c>
      <c r="S2251" s="1" t="s">
        <v>4289</v>
      </c>
      <c r="T2251" s="1"/>
    </row>
    <row r="2252" customFormat="false" ht="15" hidden="false" customHeight="true" outlineLevel="0" collapsed="false">
      <c r="A2252" s="1" t="s">
        <v>4438</v>
      </c>
      <c r="B2252" s="1" t="n">
        <v>1972</v>
      </c>
      <c r="C2252" s="1" t="n">
        <v>2</v>
      </c>
      <c r="D2252" s="1" t="s">
        <v>21</v>
      </c>
      <c r="E2252" s="1" t="s">
        <v>2039</v>
      </c>
      <c r="F2252" s="1" t="n">
        <v>127</v>
      </c>
      <c r="G2252" s="1" t="n">
        <v>75</v>
      </c>
      <c r="H2252" s="2" t="n">
        <v>7200000</v>
      </c>
      <c r="I2252" s="2" t="n">
        <f aca="false">(((H2252 / 800) / IF(ISBLANK(R2252), 1000000, IF(ISNA(VLOOKUP(R2252, Mileages!$A$2:$C$34, 2, 0)), R2252, VLOOKUP(R2252, Mileages!$A$2:$C$34, 2, 0)))) + (F2252 * IF(ISBLANK(P2252), 1, P2252) * IF(ISBLANK(T2252), 0, IF(ISNA(VLOOKUP(T2252, 'Fuel Costs'!$A$2:$C$42, 2, 0)), T2252, VLOOKUP(T2252, 'Fuel Costs'!$A$2:$C$42, 2, 0))) / IF(ISBLANK(O2252), 1, O2252))) * 100</f>
        <v>64.4</v>
      </c>
      <c r="J2252" s="2" t="n">
        <f aca="false">((H2252 / 800) / (IF(ISBLANK(S2252), 100, IF(ISNA(VLOOKUP(S2252, Lives!$A$2:$C$35, 2, 0)), S2252, VLOOKUP(S2252, Lives!$A$2:$C$35, 2, 0))) * 12) + (IF(ISBLANK(Q2252), 0, IF(ISNA(VLOOKUP(Q2252, Wages!$A$2:$C$17, 2, 0)), Q2252, VLOOKUP(Q2252, Wages!$A$2:$C$17, 2, 0))) * IF(ISBLANK(N2252), 0, IF(ISNA(VLOOKUP(N2252, Crews!$A$2:$C$28, 2, 0)), N2252, VLOOKUP(N2252, Crews!$A$2:$C$28, 2, 0))))) * 400</f>
        <v>11750</v>
      </c>
      <c r="K2252" s="3" t="s">
        <v>4439</v>
      </c>
      <c r="L2252" s="1" t="s">
        <v>4440</v>
      </c>
      <c r="M2252" s="1" t="n">
        <v>0</v>
      </c>
      <c r="N2252" s="1" t="s">
        <v>1815</v>
      </c>
      <c r="O2252" s="1" t="n">
        <v>0.8</v>
      </c>
      <c r="P2252" s="1"/>
      <c r="Q2252" s="1" t="s">
        <v>1815</v>
      </c>
      <c r="R2252" s="1" t="s">
        <v>1843</v>
      </c>
      <c r="S2252" s="1" t="s">
        <v>1843</v>
      </c>
      <c r="T2252" s="1" t="s">
        <v>4079</v>
      </c>
    </row>
    <row r="2253" customFormat="false" ht="15" hidden="false" customHeight="true" outlineLevel="0" collapsed="false">
      <c r="A2253" s="1" t="s">
        <v>4441</v>
      </c>
      <c r="B2253" s="1" t="n">
        <v>1972</v>
      </c>
      <c r="C2253" s="1" t="n">
        <v>2</v>
      </c>
      <c r="D2253" s="1" t="s">
        <v>21</v>
      </c>
      <c r="E2253" s="1" t="s">
        <v>2039</v>
      </c>
      <c r="F2253" s="1" t="n">
        <v>127</v>
      </c>
      <c r="G2253" s="1" t="n">
        <v>75</v>
      </c>
      <c r="H2253" s="2" t="n">
        <v>7415000</v>
      </c>
      <c r="I2253" s="2" t="n">
        <f aca="false">(((H2253 / 800) / IF(ISBLANK(R2253), 1000000, IF(ISNA(VLOOKUP(R2253, Mileages!$A$2:$C$34, 2, 0)), R2253, VLOOKUP(R2253, Mileages!$A$2:$C$34, 2, 0)))) + (F2253 * IF(ISBLANK(P2253), 1, P2253) * IF(ISBLANK(T2253), 0, IF(ISNA(VLOOKUP(T2253, 'Fuel Costs'!$A$2:$C$42, 2, 0)), T2253, VLOOKUP(T2253, 'Fuel Costs'!$A$2:$C$42, 2, 0))) / IF(ISBLANK(O2253), 1, O2253))) * 100</f>
        <v>64.73583333</v>
      </c>
      <c r="J2253" s="2" t="n">
        <f aca="false">((H2253 / 800) / (IF(ISBLANK(S2253), 100, IF(ISNA(VLOOKUP(S2253, Lives!$A$2:$C$35, 2, 0)), S2253, VLOOKUP(S2253, Lives!$A$2:$C$35, 2, 0))) * 12) + (IF(ISBLANK(Q2253), 0, IF(ISNA(VLOOKUP(Q2253, Wages!$A$2:$C$17, 2, 0)), Q2253, VLOOKUP(Q2253, Wages!$A$2:$C$17, 2, 0))) * IF(ISBLANK(N2253), 0, IF(ISNA(VLOOKUP(N2253, Crews!$A$2:$C$28, 2, 0)), N2253, VLOOKUP(N2253, Crews!$A$2:$C$28, 2, 0))))) * 400</f>
        <v>13723.95833</v>
      </c>
      <c r="K2253" s="3" t="s">
        <v>4442</v>
      </c>
      <c r="L2253" s="1" t="s">
        <v>4440</v>
      </c>
      <c r="M2253" s="1" t="n">
        <v>1</v>
      </c>
      <c r="N2253" s="1" t="s">
        <v>3064</v>
      </c>
      <c r="O2253" s="1" t="n">
        <v>0.8</v>
      </c>
      <c r="P2253" s="1"/>
      <c r="Q2253" s="1" t="s">
        <v>3064</v>
      </c>
      <c r="R2253" s="1" t="s">
        <v>3064</v>
      </c>
      <c r="S2253" s="1" t="s">
        <v>3064</v>
      </c>
      <c r="T2253" s="1" t="s">
        <v>4079</v>
      </c>
    </row>
    <row r="2254" customFormat="false" ht="15" hidden="false" customHeight="true" outlineLevel="0" collapsed="false">
      <c r="A2254" s="1" t="s">
        <v>4443</v>
      </c>
      <c r="B2254" s="1" t="n">
        <v>1972</v>
      </c>
      <c r="C2254" s="1" t="n">
        <v>2</v>
      </c>
      <c r="D2254" s="1" t="s">
        <v>2225</v>
      </c>
      <c r="E2254" s="1" t="s">
        <v>3660</v>
      </c>
      <c r="F2254" s="1" t="n">
        <v>1491</v>
      </c>
      <c r="G2254" s="1" t="n">
        <v>515</v>
      </c>
      <c r="H2254" s="2" t="n">
        <v>3000000</v>
      </c>
      <c r="I2254" s="2" t="n">
        <f aca="false">(((H2254 / 800) / IF(ISBLANK(R2254), 1000000, IF(ISNA(VLOOKUP(R2254, Mileages!$A$2:$C$34, 2, 0)), R2254, VLOOKUP(R2254, Mileages!$A$2:$C$34, 2, 0)))) + (F2254 * IF(ISBLANK(P2254), 1, P2254) * IF(ISBLANK(T2254), 0, IF(ISNA(VLOOKUP(T2254, 'Fuel Costs'!$A$2:$C$42, 2, 0)), T2254, VLOOKUP(T2254, 'Fuel Costs'!$A$2:$C$42, 2, 0))) / IF(ISBLANK(O2254), 1, O2254))) * 100</f>
        <v>8.9585</v>
      </c>
      <c r="J2254" s="2" t="n">
        <f aca="false">((H2254 / 800) / (IF(ISBLANK(S2254), 100, IF(ISNA(VLOOKUP(S2254, Lives!$A$2:$C$35, 2, 0)), S2254, VLOOKUP(S2254, Lives!$A$2:$C$35, 2, 0))) * 12) + (IF(ISBLANK(Q2254), 0, IF(ISNA(VLOOKUP(Q2254, Wages!$A$2:$C$17, 2, 0)), Q2254, VLOOKUP(Q2254, Wages!$A$2:$C$17, 2, 0))) * IF(ISBLANK(N2254), 0, IF(ISNA(VLOOKUP(N2254, Crews!$A$2:$C$28, 2, 0)), N2254, VLOOKUP(N2254, Crews!$A$2:$C$28, 2, 0))))) * 400</f>
        <v>52083.33333</v>
      </c>
      <c r="K2254" s="3" t="s">
        <v>4444</v>
      </c>
      <c r="L2254" s="1" t="s">
        <v>4445</v>
      </c>
      <c r="M2254" s="1" t="n">
        <v>0</v>
      </c>
      <c r="N2254" s="1" t="s">
        <v>2342</v>
      </c>
      <c r="O2254" s="1"/>
      <c r="P2254" s="1" t="n">
        <v>0.02</v>
      </c>
      <c r="Q2254" s="1" t="s">
        <v>2229</v>
      </c>
      <c r="R2254" s="1" t="s">
        <v>4413</v>
      </c>
      <c r="S2254" s="1" t="s">
        <v>2229</v>
      </c>
      <c r="T2254" s="1" t="s">
        <v>4074</v>
      </c>
    </row>
    <row r="2255" customFormat="false" ht="15" hidden="false" customHeight="true" outlineLevel="0" collapsed="false">
      <c r="A2255" s="1" t="s">
        <v>4446</v>
      </c>
      <c r="B2255" s="1" t="n">
        <v>1972</v>
      </c>
      <c r="C2255" s="1" t="n">
        <v>2</v>
      </c>
      <c r="D2255" s="1" t="s">
        <v>2225</v>
      </c>
      <c r="E2255" s="1" t="s">
        <v>3660</v>
      </c>
      <c r="F2255" s="1" t="n">
        <v>1491</v>
      </c>
      <c r="G2255" s="1" t="n">
        <v>515</v>
      </c>
      <c r="H2255" s="2" t="n">
        <v>3000000</v>
      </c>
      <c r="I2255" s="2" t="n">
        <f aca="false">(((H2255 / 800) / IF(ISBLANK(R2255), 1000000, IF(ISNA(VLOOKUP(R2255, Mileages!$A$2:$C$34, 2, 0)), R2255, VLOOKUP(R2255, Mileages!$A$2:$C$34, 2, 0)))) + (F2255 * IF(ISBLANK(P2255), 1, P2255) * IF(ISBLANK(T2255), 0, IF(ISNA(VLOOKUP(T2255, 'Fuel Costs'!$A$2:$C$42, 2, 0)), T2255, VLOOKUP(T2255, 'Fuel Costs'!$A$2:$C$42, 2, 0))) / IF(ISBLANK(O2255), 1, O2255))) * 100</f>
        <v>8.9585</v>
      </c>
      <c r="J2255" s="2" t="n">
        <f aca="false">((H2255 / 800) / (IF(ISBLANK(S2255), 100, IF(ISNA(VLOOKUP(S2255, Lives!$A$2:$C$35, 2, 0)), S2255, VLOOKUP(S2255, Lives!$A$2:$C$35, 2, 0))) * 12) + (IF(ISBLANK(Q2255), 0, IF(ISNA(VLOOKUP(Q2255, Wages!$A$2:$C$17, 2, 0)), Q2255, VLOOKUP(Q2255, Wages!$A$2:$C$17, 2, 0))) * IF(ISBLANK(N2255), 0, IF(ISNA(VLOOKUP(N2255, Crews!$A$2:$C$28, 2, 0)), N2255, VLOOKUP(N2255, Crews!$A$2:$C$28, 2, 0))))) * 400</f>
        <v>22083.33333</v>
      </c>
      <c r="K2255" s="3" t="s">
        <v>4447</v>
      </c>
      <c r="L2255" s="1" t="s">
        <v>4445</v>
      </c>
      <c r="M2255" s="1" t="n">
        <v>1</v>
      </c>
      <c r="N2255" s="1" t="s">
        <v>3570</v>
      </c>
      <c r="O2255" s="1"/>
      <c r="P2255" s="1" t="n">
        <v>0.02</v>
      </c>
      <c r="Q2255" s="1" t="s">
        <v>2229</v>
      </c>
      <c r="R2255" s="1" t="s">
        <v>4413</v>
      </c>
      <c r="S2255" s="1" t="s">
        <v>2229</v>
      </c>
      <c r="T2255" s="1" t="s">
        <v>4074</v>
      </c>
    </row>
    <row r="2256" customFormat="false" ht="15" hidden="false" customHeight="true" outlineLevel="0" collapsed="false">
      <c r="A2256" s="1" t="s">
        <v>4448</v>
      </c>
      <c r="B2256" s="1" t="n">
        <v>1972</v>
      </c>
      <c r="C2256" s="1" t="n">
        <v>2</v>
      </c>
      <c r="D2256" s="1" t="s">
        <v>2225</v>
      </c>
      <c r="E2256" s="1" t="s">
        <v>3660</v>
      </c>
      <c r="F2256" s="1" t="n">
        <v>1491</v>
      </c>
      <c r="G2256" s="1" t="n">
        <v>515</v>
      </c>
      <c r="H2256" s="2" t="n">
        <v>3000000</v>
      </c>
      <c r="I2256" s="2" t="n">
        <f aca="false">(((H2256 / 800) / IF(ISBLANK(R2256), 1000000, IF(ISNA(VLOOKUP(R2256, Mileages!$A$2:$C$34, 2, 0)), R2256, VLOOKUP(R2256, Mileages!$A$2:$C$34, 2, 0)))) + (F2256 * IF(ISBLANK(P2256), 1, P2256) * IF(ISBLANK(T2256), 0, IF(ISNA(VLOOKUP(T2256, 'Fuel Costs'!$A$2:$C$42, 2, 0)), T2256, VLOOKUP(T2256, 'Fuel Costs'!$A$2:$C$42, 2, 0))) / IF(ISBLANK(O2256), 1, O2256))) * 100</f>
        <v>8.9585</v>
      </c>
      <c r="J2256" s="2" t="n">
        <f aca="false">((H2256 / 800) / (IF(ISBLANK(S2256), 100, IF(ISNA(VLOOKUP(S2256, Lives!$A$2:$C$35, 2, 0)), S2256, VLOOKUP(S2256, Lives!$A$2:$C$35, 2, 0))) * 12) + (IF(ISBLANK(Q2256), 0, IF(ISNA(VLOOKUP(Q2256, Wages!$A$2:$C$17, 2, 0)), Q2256, VLOOKUP(Q2256, Wages!$A$2:$C$17, 2, 0))) * IF(ISBLANK(N2256), 0, IF(ISNA(VLOOKUP(N2256, Crews!$A$2:$C$28, 2, 0)), N2256, VLOOKUP(N2256, Crews!$A$2:$C$28, 2, 0))))) * 400</f>
        <v>12083.33333</v>
      </c>
      <c r="K2256" s="3" t="s">
        <v>4449</v>
      </c>
      <c r="L2256" s="1" t="s">
        <v>4445</v>
      </c>
      <c r="M2256" s="1" t="n">
        <v>2</v>
      </c>
      <c r="N2256" s="1" t="s">
        <v>25</v>
      </c>
      <c r="O2256" s="1"/>
      <c r="P2256" s="1" t="n">
        <v>0.02</v>
      </c>
      <c r="Q2256" s="1" t="s">
        <v>2229</v>
      </c>
      <c r="R2256" s="1" t="s">
        <v>4413</v>
      </c>
      <c r="S2256" s="1" t="s">
        <v>2229</v>
      </c>
      <c r="T2256" s="1" t="s">
        <v>4074</v>
      </c>
    </row>
    <row r="2257" customFormat="false" ht="15" hidden="false" customHeight="true" outlineLevel="0" collapsed="false">
      <c r="A2257" s="1" t="s">
        <v>4450</v>
      </c>
      <c r="B2257" s="1" t="n">
        <v>1972</v>
      </c>
      <c r="C2257" s="1" t="n">
        <v>2</v>
      </c>
      <c r="D2257" s="1" t="s">
        <v>2225</v>
      </c>
      <c r="E2257" s="1" t="s">
        <v>3660</v>
      </c>
      <c r="F2257" s="1" t="n">
        <v>1491</v>
      </c>
      <c r="G2257" s="1" t="n">
        <v>515</v>
      </c>
      <c r="H2257" s="2" t="n">
        <v>3000000</v>
      </c>
      <c r="I2257" s="2" t="n">
        <f aca="false">(((H2257 / 800) / IF(ISBLANK(R2257), 1000000, IF(ISNA(VLOOKUP(R2257, Mileages!$A$2:$C$34, 2, 0)), R2257, VLOOKUP(R2257, Mileages!$A$2:$C$34, 2, 0)))) + (F2257 * IF(ISBLANK(P2257), 1, P2257) * IF(ISBLANK(T2257), 0, IF(ISNA(VLOOKUP(T2257, 'Fuel Costs'!$A$2:$C$42, 2, 0)), T2257, VLOOKUP(T2257, 'Fuel Costs'!$A$2:$C$42, 2, 0))) / IF(ISBLANK(O2257), 1, O2257))) * 100</f>
        <v>8.9585</v>
      </c>
      <c r="J2257" s="2" t="n">
        <f aca="false">((H2257 / 800) / (IF(ISBLANK(S2257), 100, IF(ISNA(VLOOKUP(S2257, Lives!$A$2:$C$35, 2, 0)), S2257, VLOOKUP(S2257, Lives!$A$2:$C$35, 2, 0))) * 12) + (IF(ISBLANK(Q2257), 0, IF(ISNA(VLOOKUP(Q2257, Wages!$A$2:$C$17, 2, 0)), Q2257, VLOOKUP(Q2257, Wages!$A$2:$C$17, 2, 0))) * IF(ISBLANK(N2257), 0, IF(ISNA(VLOOKUP(N2257, Crews!$A$2:$C$28, 2, 0)), N2257, VLOOKUP(N2257, Crews!$A$2:$C$28, 2, 0))))) * 400</f>
        <v>12083.33333</v>
      </c>
      <c r="K2257" s="3" t="s">
        <v>4449</v>
      </c>
      <c r="L2257" s="1" t="s">
        <v>4445</v>
      </c>
      <c r="M2257" s="1" t="n">
        <v>3</v>
      </c>
      <c r="N2257" s="1" t="s">
        <v>25</v>
      </c>
      <c r="O2257" s="1"/>
      <c r="P2257" s="1" t="n">
        <v>0.02</v>
      </c>
      <c r="Q2257" s="1" t="s">
        <v>2229</v>
      </c>
      <c r="R2257" s="1" t="s">
        <v>4413</v>
      </c>
      <c r="S2257" s="1" t="s">
        <v>2229</v>
      </c>
      <c r="T2257" s="1" t="s">
        <v>4074</v>
      </c>
    </row>
    <row r="2258" customFormat="false" ht="15" hidden="false" customHeight="true" outlineLevel="0" collapsed="false">
      <c r="A2258" s="1" t="s">
        <v>4451</v>
      </c>
      <c r="B2258" s="1" t="n">
        <v>1972</v>
      </c>
      <c r="C2258" s="1" t="n">
        <v>3</v>
      </c>
      <c r="D2258" s="1" t="s">
        <v>2225</v>
      </c>
      <c r="E2258" s="1" t="s">
        <v>3660</v>
      </c>
      <c r="F2258" s="1" t="n">
        <v>160200</v>
      </c>
      <c r="G2258" s="1" t="n">
        <v>907</v>
      </c>
      <c r="H2258" s="2" t="n">
        <v>90000000</v>
      </c>
      <c r="I2258" s="2" t="n">
        <f aca="false">(((H2258 / 800) / IF(ISBLANK(R2258), 1000000, IF(ISNA(VLOOKUP(R2258, Mileages!$A$2:$C$34, 2, 0)), R2258, VLOOKUP(R2258, Mileages!$A$2:$C$34, 2, 0)))) + (F2258 * IF(ISBLANK(P2258), 1, P2258) * IF(ISBLANK(T2258), 0, IF(ISNA(VLOOKUP(T2258, 'Fuel Costs'!$A$2:$C$42, 2, 0)), T2258, VLOOKUP(T2258, 'Fuel Costs'!$A$2:$C$42, 2, 0))) / IF(ISBLANK(O2258), 1, O2258))) * 100</f>
        <v>961.575</v>
      </c>
      <c r="J2258" s="2" t="n">
        <f aca="false">((H2258 / 800) / (IF(ISBLANK(S2258), 100, IF(ISNA(VLOOKUP(S2258, Lives!$A$2:$C$35, 2, 0)), S2258, VLOOKUP(S2258, Lives!$A$2:$C$35, 2, 0))) * 12) + (IF(ISBLANK(Q2258), 0, IF(ISNA(VLOOKUP(Q2258, Wages!$A$2:$C$17, 2, 0)), Q2258, VLOOKUP(Q2258, Wages!$A$2:$C$17, 2, 0))) * IF(ISBLANK(N2258), 0, IF(ISNA(VLOOKUP(N2258, Crews!$A$2:$C$28, 2, 0)), N2258, VLOOKUP(N2258, Crews!$A$2:$C$28, 2, 0))))) * 400</f>
        <v>82500</v>
      </c>
      <c r="K2258" s="3" t="s">
        <v>4452</v>
      </c>
      <c r="L2258" s="1" t="s">
        <v>4453</v>
      </c>
      <c r="M2258" s="1" t="n">
        <v>0</v>
      </c>
      <c r="N2258" s="1" t="s">
        <v>3570</v>
      </c>
      <c r="O2258" s="1"/>
      <c r="P2258" s="1" t="n">
        <v>0.02</v>
      </c>
      <c r="Q2258" s="1" t="s">
        <v>2229</v>
      </c>
      <c r="R2258" s="1" t="s">
        <v>4413</v>
      </c>
      <c r="S2258" s="1" t="s">
        <v>2229</v>
      </c>
      <c r="T2258" s="1" t="s">
        <v>4074</v>
      </c>
    </row>
    <row r="2259" customFormat="false" ht="15" hidden="false" customHeight="true" outlineLevel="0" collapsed="false">
      <c r="A2259" s="1" t="s">
        <v>4454</v>
      </c>
      <c r="B2259" s="1" t="n">
        <v>1972</v>
      </c>
      <c r="C2259" s="1" t="n">
        <v>3</v>
      </c>
      <c r="D2259" s="1" t="s">
        <v>2225</v>
      </c>
      <c r="E2259" s="1" t="s">
        <v>3660</v>
      </c>
      <c r="F2259" s="1" t="n">
        <v>160200</v>
      </c>
      <c r="G2259" s="1" t="n">
        <v>907</v>
      </c>
      <c r="H2259" s="2" t="n">
        <v>90000000</v>
      </c>
      <c r="I2259" s="2" t="n">
        <f aca="false">(((H2259 / 800) / IF(ISBLANK(R2259), 1000000, IF(ISNA(VLOOKUP(R2259, Mileages!$A$2:$C$34, 2, 0)), R2259, VLOOKUP(R2259, Mileages!$A$2:$C$34, 2, 0)))) + (F2259 * IF(ISBLANK(P2259), 1, P2259) * IF(ISBLANK(T2259), 0, IF(ISNA(VLOOKUP(T2259, 'Fuel Costs'!$A$2:$C$42, 2, 0)), T2259, VLOOKUP(T2259, 'Fuel Costs'!$A$2:$C$42, 2, 0))) / IF(ISBLANK(O2259), 1, O2259))) * 100</f>
        <v>961.575</v>
      </c>
      <c r="J2259" s="2" t="n">
        <f aca="false">((H2259 / 800) / (IF(ISBLANK(S2259), 100, IF(ISNA(VLOOKUP(S2259, Lives!$A$2:$C$35, 2, 0)), S2259, VLOOKUP(S2259, Lives!$A$2:$C$35, 2, 0))) * 12) + (IF(ISBLANK(Q2259), 0, IF(ISNA(VLOOKUP(Q2259, Wages!$A$2:$C$17, 2, 0)), Q2259, VLOOKUP(Q2259, Wages!$A$2:$C$17, 2, 0))) * IF(ISBLANK(N2259), 0, IF(ISNA(VLOOKUP(N2259, Crews!$A$2:$C$28, 2, 0)), N2259, VLOOKUP(N2259, Crews!$A$2:$C$28, 2, 0))))) * 400</f>
        <v>82500</v>
      </c>
      <c r="K2259" s="3" t="s">
        <v>4452</v>
      </c>
      <c r="L2259" s="1" t="s">
        <v>4453</v>
      </c>
      <c r="M2259" s="1" t="n">
        <v>1</v>
      </c>
      <c r="N2259" s="1" t="s">
        <v>3570</v>
      </c>
      <c r="O2259" s="1"/>
      <c r="P2259" s="1" t="n">
        <v>0.02</v>
      </c>
      <c r="Q2259" s="1" t="s">
        <v>2229</v>
      </c>
      <c r="R2259" s="1" t="s">
        <v>4413</v>
      </c>
      <c r="S2259" s="1" t="s">
        <v>2229</v>
      </c>
      <c r="T2259" s="1" t="s">
        <v>4074</v>
      </c>
    </row>
    <row r="2260" customFormat="false" ht="15" hidden="false" customHeight="true" outlineLevel="0" collapsed="false">
      <c r="A2260" s="1" t="s">
        <v>4455</v>
      </c>
      <c r="B2260" s="1" t="n">
        <v>1972</v>
      </c>
      <c r="C2260" s="1" t="n">
        <v>3</v>
      </c>
      <c r="D2260" s="1" t="s">
        <v>2225</v>
      </c>
      <c r="E2260" s="1" t="s">
        <v>3660</v>
      </c>
      <c r="F2260" s="1" t="n">
        <v>160200</v>
      </c>
      <c r="G2260" s="1" t="n">
        <v>907</v>
      </c>
      <c r="H2260" s="2" t="n">
        <v>90000000</v>
      </c>
      <c r="I2260" s="2" t="n">
        <f aca="false">(((H2260 / 800) / IF(ISBLANK(R2260), 1000000, IF(ISNA(VLOOKUP(R2260, Mileages!$A$2:$C$34, 2, 0)), R2260, VLOOKUP(R2260, Mileages!$A$2:$C$34, 2, 0)))) + (F2260 * IF(ISBLANK(P2260), 1, P2260) * IF(ISBLANK(T2260), 0, IF(ISNA(VLOOKUP(T2260, 'Fuel Costs'!$A$2:$C$42, 2, 0)), T2260, VLOOKUP(T2260, 'Fuel Costs'!$A$2:$C$42, 2, 0))) / IF(ISBLANK(O2260), 1, O2260))) * 100</f>
        <v>961.575</v>
      </c>
      <c r="J2260" s="2" t="n">
        <f aca="false">((H2260 / 800) / (IF(ISBLANK(S2260), 100, IF(ISNA(VLOOKUP(S2260, Lives!$A$2:$C$35, 2, 0)), S2260, VLOOKUP(S2260, Lives!$A$2:$C$35, 2, 0))) * 12) + (IF(ISBLANK(Q2260), 0, IF(ISNA(VLOOKUP(Q2260, Wages!$A$2:$C$17, 2, 0)), Q2260, VLOOKUP(Q2260, Wages!$A$2:$C$17, 2, 0))) * IF(ISBLANK(N2260), 0, IF(ISNA(VLOOKUP(N2260, Crews!$A$2:$C$28, 2, 0)), N2260, VLOOKUP(N2260, Crews!$A$2:$C$28, 2, 0))))) * 400</f>
        <v>82500</v>
      </c>
      <c r="K2260" s="3" t="s">
        <v>4452</v>
      </c>
      <c r="L2260" s="1" t="s">
        <v>4453</v>
      </c>
      <c r="M2260" s="1" t="n">
        <v>2</v>
      </c>
      <c r="N2260" s="1" t="s">
        <v>3570</v>
      </c>
      <c r="O2260" s="1"/>
      <c r="P2260" s="1" t="n">
        <v>0.02</v>
      </c>
      <c r="Q2260" s="1" t="s">
        <v>2229</v>
      </c>
      <c r="R2260" s="1" t="s">
        <v>4413</v>
      </c>
      <c r="S2260" s="1" t="s">
        <v>2229</v>
      </c>
      <c r="T2260" s="1" t="s">
        <v>4074</v>
      </c>
    </row>
    <row r="2261" customFormat="false" ht="15" hidden="false" customHeight="true" outlineLevel="0" collapsed="false">
      <c r="A2261" s="1" t="s">
        <v>4456</v>
      </c>
      <c r="B2261" s="1" t="n">
        <v>1972</v>
      </c>
      <c r="C2261" s="1" t="n">
        <v>4</v>
      </c>
      <c r="D2261" s="1" t="s">
        <v>2225</v>
      </c>
      <c r="E2261" s="1" t="s">
        <v>3660</v>
      </c>
      <c r="F2261" s="1" t="n">
        <v>103564</v>
      </c>
      <c r="G2261" s="1" t="n">
        <v>890</v>
      </c>
      <c r="H2261" s="2" t="n">
        <v>60000000</v>
      </c>
      <c r="I2261" s="2" t="n">
        <f aca="false">(((H2261 / 800) / IF(ISBLANK(R2261), 1000000, IF(ISNA(VLOOKUP(R2261, Mileages!$A$2:$C$34, 2, 0)), R2261, VLOOKUP(R2261, Mileages!$A$2:$C$34, 2, 0)))) + (F2261 * IF(ISBLANK(P2261), 1, P2261) * IF(ISBLANK(T2261), 0, IF(ISNA(VLOOKUP(T2261, 'Fuel Costs'!$A$2:$C$42, 2, 0)), T2261, VLOOKUP(T2261, 'Fuel Costs'!$A$2:$C$42, 2, 0))) / IF(ISBLANK(O2261), 1, O2261))) * 100</f>
        <v>621.634</v>
      </c>
      <c r="J2261" s="2" t="n">
        <f aca="false">((H2261 / 800) / (IF(ISBLANK(S2261), 100, IF(ISNA(VLOOKUP(S2261, Lives!$A$2:$C$35, 2, 0)), S2261, VLOOKUP(S2261, Lives!$A$2:$C$35, 2, 0))) * 12) + (IF(ISBLANK(Q2261), 0, IF(ISNA(VLOOKUP(Q2261, Wages!$A$2:$C$17, 2, 0)), Q2261, VLOOKUP(Q2261, Wages!$A$2:$C$17, 2, 0))) * IF(ISBLANK(N2261), 0, IF(ISNA(VLOOKUP(N2261, Crews!$A$2:$C$28, 2, 0)), N2261, VLOOKUP(N2261, Crews!$A$2:$C$28, 2, 0))))) * 400</f>
        <v>91666.66667</v>
      </c>
      <c r="K2261" s="3" t="s">
        <v>4457</v>
      </c>
      <c r="L2261" s="1" t="s">
        <v>4458</v>
      </c>
      <c r="M2261" s="1" t="n">
        <v>0</v>
      </c>
      <c r="N2261" s="1" t="s">
        <v>2342</v>
      </c>
      <c r="O2261" s="1"/>
      <c r="P2261" s="1" t="n">
        <v>0.02</v>
      </c>
      <c r="Q2261" s="1" t="s">
        <v>2229</v>
      </c>
      <c r="R2261" s="1" t="s">
        <v>4413</v>
      </c>
      <c r="S2261" s="1" t="s">
        <v>2229</v>
      </c>
      <c r="T2261" s="1" t="s">
        <v>4074</v>
      </c>
    </row>
    <row r="2262" customFormat="false" ht="15" hidden="false" customHeight="true" outlineLevel="0" collapsed="false">
      <c r="A2262" s="1" t="s">
        <v>4459</v>
      </c>
      <c r="B2262" s="1" t="n">
        <v>1972</v>
      </c>
      <c r="C2262" s="1" t="n">
        <v>4</v>
      </c>
      <c r="D2262" s="1" t="s">
        <v>2225</v>
      </c>
      <c r="E2262" s="1" t="s">
        <v>3660</v>
      </c>
      <c r="F2262" s="1" t="n">
        <v>103564</v>
      </c>
      <c r="G2262" s="1" t="n">
        <v>890</v>
      </c>
      <c r="H2262" s="2" t="n">
        <v>60000000</v>
      </c>
      <c r="I2262" s="2" t="n">
        <f aca="false">(((H2262 / 800) / IF(ISBLANK(R2262), 1000000, IF(ISNA(VLOOKUP(R2262, Mileages!$A$2:$C$34, 2, 0)), R2262, VLOOKUP(R2262, Mileages!$A$2:$C$34, 2, 0)))) + (F2262 * IF(ISBLANK(P2262), 1, P2262) * IF(ISBLANK(T2262), 0, IF(ISNA(VLOOKUP(T2262, 'Fuel Costs'!$A$2:$C$42, 2, 0)), T2262, VLOOKUP(T2262, 'Fuel Costs'!$A$2:$C$42, 2, 0))) / IF(ISBLANK(O2262), 1, O2262))) * 100</f>
        <v>621.634</v>
      </c>
      <c r="J2262" s="2" t="n">
        <f aca="false">((H2262 / 800) / (IF(ISBLANK(S2262), 100, IF(ISNA(VLOOKUP(S2262, Lives!$A$2:$C$35, 2, 0)), S2262, VLOOKUP(S2262, Lives!$A$2:$C$35, 2, 0))) * 12) + (IF(ISBLANK(Q2262), 0, IF(ISNA(VLOOKUP(Q2262, Wages!$A$2:$C$17, 2, 0)), Q2262, VLOOKUP(Q2262, Wages!$A$2:$C$17, 2, 0))) * IF(ISBLANK(N2262), 0, IF(ISNA(VLOOKUP(N2262, Crews!$A$2:$C$28, 2, 0)), N2262, VLOOKUP(N2262, Crews!$A$2:$C$28, 2, 0))))) * 400</f>
        <v>91666.66667</v>
      </c>
      <c r="K2262" s="3" t="s">
        <v>4460</v>
      </c>
      <c r="L2262" s="1" t="s">
        <v>4458</v>
      </c>
      <c r="M2262" s="1" t="n">
        <v>1</v>
      </c>
      <c r="N2262" s="1" t="s">
        <v>2342</v>
      </c>
      <c r="O2262" s="1"/>
      <c r="P2262" s="1" t="n">
        <v>0.02</v>
      </c>
      <c r="Q2262" s="1" t="s">
        <v>2229</v>
      </c>
      <c r="R2262" s="1" t="s">
        <v>4413</v>
      </c>
      <c r="S2262" s="1" t="s">
        <v>2229</v>
      </c>
      <c r="T2262" s="1" t="s">
        <v>4074</v>
      </c>
    </row>
    <row r="2263" customFormat="false" ht="15" hidden="false" customHeight="true" outlineLevel="0" collapsed="false">
      <c r="A2263" s="1" t="s">
        <v>4461</v>
      </c>
      <c r="B2263" s="1" t="n">
        <v>1972</v>
      </c>
      <c r="C2263" s="1" t="n">
        <v>4</v>
      </c>
      <c r="D2263" s="1" t="s">
        <v>29</v>
      </c>
      <c r="E2263" s="1" t="s">
        <v>2039</v>
      </c>
      <c r="F2263" s="1" t="n">
        <v>8575</v>
      </c>
      <c r="G2263" s="1" t="n">
        <v>36</v>
      </c>
      <c r="H2263" s="2" t="n">
        <v>85600000</v>
      </c>
      <c r="I2263" s="2" t="n">
        <f aca="false">(((H2263 / 800) / IF(ISBLANK(R2263), 1000000, IF(ISNA(VLOOKUP(R2263, Mileages!$A$2:$C$34, 2, 0)), R2263, VLOOKUP(R2263, Mileages!$A$2:$C$34, 2, 0)))) + (F2263 * IF(ISBLANK(P2263), 1, P2263) * IF(ISBLANK(T2263), 0, IF(ISNA(VLOOKUP(T2263, 'Fuel Costs'!$A$2:$C$42, 2, 0)), T2263, VLOOKUP(T2263, 'Fuel Costs'!$A$2:$C$42, 2, 0))) / IF(ISBLANK(O2263), 1, O2263))) * 100</f>
        <v>862.85</v>
      </c>
      <c r="J2263" s="2" t="n">
        <f aca="false">((H2263 / 800) / (IF(ISBLANK(S2263), 100, IF(ISNA(VLOOKUP(S2263, Lives!$A$2:$C$35, 2, 0)), S2263, VLOOKUP(S2263, Lives!$A$2:$C$35, 2, 0))) * 12) + (IF(ISBLANK(Q2263), 0, IF(ISNA(VLOOKUP(Q2263, Wages!$A$2:$C$17, 2, 0)), Q2263, VLOOKUP(Q2263, Wages!$A$2:$C$17, 2, 0))) * IF(ISBLANK(N2263), 0, IF(ISNA(VLOOKUP(N2263, Crews!$A$2:$C$28, 2, 0)), N2263, VLOOKUP(N2263, Crews!$A$2:$C$28, 2, 0))))) * 400</f>
        <v>235666.6667</v>
      </c>
      <c r="K2263" s="3" t="s">
        <v>4462</v>
      </c>
      <c r="L2263" s="1" t="s">
        <v>4463</v>
      </c>
      <c r="M2263" s="1" t="n">
        <v>0</v>
      </c>
      <c r="N2263" s="1" t="s">
        <v>323</v>
      </c>
      <c r="O2263" s="1" t="n">
        <v>0.8</v>
      </c>
      <c r="P2263" s="1" t="n">
        <v>0.2</v>
      </c>
      <c r="Q2263" s="1" t="s">
        <v>34</v>
      </c>
      <c r="R2263" s="1" t="s">
        <v>574</v>
      </c>
      <c r="S2263" s="1" t="s">
        <v>574</v>
      </c>
      <c r="T2263" s="1" t="s">
        <v>4079</v>
      </c>
    </row>
    <row r="2264" customFormat="false" ht="15" hidden="false" customHeight="true" outlineLevel="0" collapsed="false">
      <c r="A2264" s="1" t="s">
        <v>4464</v>
      </c>
      <c r="B2264" s="1" t="n">
        <v>1972</v>
      </c>
      <c r="C2264" s="1" t="n">
        <v>4</v>
      </c>
      <c r="D2264" s="1" t="s">
        <v>29</v>
      </c>
      <c r="E2264" s="1"/>
      <c r="F2264" s="1"/>
      <c r="G2264" s="1" t="n">
        <v>40</v>
      </c>
      <c r="H2264" s="2"/>
      <c r="I2264" s="2"/>
      <c r="J2264" s="2"/>
      <c r="K2264" s="1"/>
      <c r="L2264" s="1" t="s">
        <v>4465</v>
      </c>
      <c r="M2264" s="1" t="n">
        <v>0</v>
      </c>
      <c r="N2264" s="1"/>
      <c r="O2264" s="1"/>
      <c r="P2264" s="1"/>
      <c r="Q2264" s="1"/>
      <c r="R2264" s="1"/>
      <c r="S2264" s="1"/>
      <c r="T2264" s="1"/>
    </row>
    <row r="2265" customFormat="false" ht="15" hidden="false" customHeight="true" outlineLevel="0" collapsed="false">
      <c r="A2265" s="1" t="s">
        <v>4466</v>
      </c>
      <c r="B2265" s="1" t="n">
        <v>1972</v>
      </c>
      <c r="C2265" s="1" t="n">
        <v>4</v>
      </c>
      <c r="D2265" s="1" t="s">
        <v>29</v>
      </c>
      <c r="E2265" s="1"/>
      <c r="F2265" s="1"/>
      <c r="G2265" s="1" t="n">
        <v>40</v>
      </c>
      <c r="H2265" s="2"/>
      <c r="I2265" s="2"/>
      <c r="J2265" s="2"/>
      <c r="K2265" s="1"/>
      <c r="L2265" s="1" t="s">
        <v>4465</v>
      </c>
      <c r="M2265" s="1" t="n">
        <v>1</v>
      </c>
      <c r="N2265" s="1"/>
      <c r="O2265" s="1"/>
      <c r="P2265" s="1"/>
      <c r="Q2265" s="1"/>
      <c r="R2265" s="1"/>
      <c r="S2265" s="1"/>
      <c r="T2265" s="1"/>
    </row>
    <row r="2266" customFormat="false" ht="15" hidden="false" customHeight="true" outlineLevel="0" collapsed="false">
      <c r="A2266" s="1" t="s">
        <v>4467</v>
      </c>
      <c r="B2266" s="1" t="n">
        <v>1972</v>
      </c>
      <c r="C2266" s="1" t="n">
        <v>4</v>
      </c>
      <c r="D2266" s="1" t="s">
        <v>29</v>
      </c>
      <c r="E2266" s="1"/>
      <c r="F2266" s="1"/>
      <c r="G2266" s="1" t="n">
        <v>40</v>
      </c>
      <c r="H2266" s="2"/>
      <c r="I2266" s="2"/>
      <c r="J2266" s="2"/>
      <c r="K2266" s="1"/>
      <c r="L2266" s="1" t="s">
        <v>4465</v>
      </c>
      <c r="M2266" s="1" t="n">
        <v>2</v>
      </c>
      <c r="N2266" s="1"/>
      <c r="O2266" s="1"/>
      <c r="P2266" s="1"/>
      <c r="Q2266" s="1"/>
      <c r="R2266" s="1"/>
      <c r="S2266" s="1"/>
      <c r="T2266" s="1"/>
    </row>
    <row r="2267" customFormat="false" ht="15" hidden="false" customHeight="true" outlineLevel="0" collapsed="false">
      <c r="A2267" s="1" t="s">
        <v>4468</v>
      </c>
      <c r="B2267" s="1" t="n">
        <v>1973</v>
      </c>
      <c r="C2267" s="1" t="n">
        <v>3</v>
      </c>
      <c r="D2267" s="1" t="s">
        <v>38</v>
      </c>
      <c r="E2267" s="1"/>
      <c r="F2267" s="1"/>
      <c r="G2267" s="1" t="n">
        <v>177</v>
      </c>
      <c r="H2267" s="2" t="n">
        <v>482500</v>
      </c>
      <c r="I2267" s="2" t="n">
        <f aca="false">(((H2267 / 800) / IF(ISBLANK(R2267), 1000000, IF(ISNA(VLOOKUP(R2267, Mileages!$A$2:$C$34, 2, 0)), R2267, VLOOKUP(R2267, Mileages!$A$2:$C$34, 2, 0)))) + (F2267 * IF(ISBLANK(P2267), 1, P2267) * IF(ISBLANK(T2267), 0, IF(ISNA(VLOOKUP(T2267, 'Fuel Costs'!$A$2:$C$42, 2, 0)), T2267, VLOOKUP(T2267, 'Fuel Costs'!$A$2:$C$42, 2, 0))) / IF(ISBLANK(O2267), 1, O2267))) * 100</f>
        <v>0.02513020833</v>
      </c>
      <c r="J2267" s="2" t="n">
        <f aca="false">((H2267 / 800) / (IF(ISBLANK(S2267), 100, IF(ISNA(VLOOKUP(S2267, Lives!$A$2:$C$35, 2, 0)), S2267, VLOOKUP(S2267, Lives!$A$2:$C$35, 2, 0))) * 12) + (IF(ISBLANK(Q2267), 0, IF(ISNA(VLOOKUP(Q2267, Wages!$A$2:$C$17, 2, 0)), Q2267, VLOOKUP(Q2267, Wages!$A$2:$C$17, 2, 0))) * IF(ISBLANK(N2267), 0, IF(ISNA(VLOOKUP(N2267, Crews!$A$2:$C$28, 2, 0)), N2267, VLOOKUP(N2267, Crews!$A$2:$C$28, 2, 0))))) * 400</f>
        <v>1005.208333</v>
      </c>
      <c r="K2267" s="1"/>
      <c r="L2267" s="1" t="s">
        <v>4469</v>
      </c>
      <c r="M2267" s="1" t="n">
        <v>0</v>
      </c>
      <c r="N2267" s="1"/>
      <c r="O2267" s="1"/>
      <c r="P2267" s="1"/>
      <c r="Q2267" s="1"/>
      <c r="R2267" s="1" t="s">
        <v>4419</v>
      </c>
      <c r="S2267" s="1" t="s">
        <v>4470</v>
      </c>
      <c r="T2267" s="1"/>
    </row>
    <row r="2268" customFormat="false" ht="15" hidden="false" customHeight="true" outlineLevel="0" collapsed="false">
      <c r="A2268" s="1" t="s">
        <v>4471</v>
      </c>
      <c r="B2268" s="1" t="n">
        <v>1973</v>
      </c>
      <c r="C2268" s="1" t="n">
        <v>3</v>
      </c>
      <c r="D2268" s="1" t="s">
        <v>38</v>
      </c>
      <c r="E2268" s="1"/>
      <c r="F2268" s="1"/>
      <c r="G2268" s="1" t="n">
        <v>177</v>
      </c>
      <c r="H2268" s="2" t="n">
        <v>506000</v>
      </c>
      <c r="I2268" s="2" t="n">
        <f aca="false">(((H2268 / 800) / IF(ISBLANK(R2268), 1000000, IF(ISNA(VLOOKUP(R2268, Mileages!$A$2:$C$34, 2, 0)), R2268, VLOOKUP(R2268, Mileages!$A$2:$C$34, 2, 0)))) + (F2268 * IF(ISBLANK(P2268), 1, P2268) * IF(ISBLANK(T2268), 0, IF(ISNA(VLOOKUP(T2268, 'Fuel Costs'!$A$2:$C$42, 2, 0)), T2268, VLOOKUP(T2268, 'Fuel Costs'!$A$2:$C$42, 2, 0))) / IF(ISBLANK(O2268), 1, O2268))) * 100</f>
        <v>0.02635416667</v>
      </c>
      <c r="J2268" s="2" t="n">
        <f aca="false">((H2268 / 800) / (IF(ISBLANK(S2268), 100, IF(ISNA(VLOOKUP(S2268, Lives!$A$2:$C$35, 2, 0)), S2268, VLOOKUP(S2268, Lives!$A$2:$C$35, 2, 0))) * 12) + (IF(ISBLANK(Q2268), 0, IF(ISNA(VLOOKUP(Q2268, Wages!$A$2:$C$17, 2, 0)), Q2268, VLOOKUP(Q2268, Wages!$A$2:$C$17, 2, 0))) * IF(ISBLANK(N2268), 0, IF(ISNA(VLOOKUP(N2268, Crews!$A$2:$C$28, 2, 0)), N2268, VLOOKUP(N2268, Crews!$A$2:$C$28, 2, 0))))) * 400</f>
        <v>1054.166667</v>
      </c>
      <c r="K2268" s="1"/>
      <c r="L2268" s="1" t="s">
        <v>4472</v>
      </c>
      <c r="M2268" s="1" t="n">
        <v>0</v>
      </c>
      <c r="N2268" s="1"/>
      <c r="O2268" s="1"/>
      <c r="P2268" s="1"/>
      <c r="Q2268" s="1"/>
      <c r="R2268" s="1" t="s">
        <v>4419</v>
      </c>
      <c r="S2268" s="1" t="s">
        <v>4470</v>
      </c>
      <c r="T2268" s="1"/>
    </row>
    <row r="2269" customFormat="false" ht="15" hidden="false" customHeight="true" outlineLevel="0" collapsed="false">
      <c r="A2269" s="1" t="s">
        <v>4473</v>
      </c>
      <c r="B2269" s="1" t="n">
        <v>1973</v>
      </c>
      <c r="C2269" s="1" t="n">
        <v>3</v>
      </c>
      <c r="D2269" s="1" t="s">
        <v>38</v>
      </c>
      <c r="E2269" s="1"/>
      <c r="F2269" s="1"/>
      <c r="G2269" s="1" t="n">
        <v>177</v>
      </c>
      <c r="H2269" s="2" t="n">
        <v>552000</v>
      </c>
      <c r="I2269" s="2" t="n">
        <f aca="false">(((H2269 / 800) / IF(ISBLANK(R2269), 1000000, IF(ISNA(VLOOKUP(R2269, Mileages!$A$2:$C$34, 2, 0)), R2269, VLOOKUP(R2269, Mileages!$A$2:$C$34, 2, 0)))) + (F2269 * IF(ISBLANK(P2269), 1, P2269) * IF(ISBLANK(T2269), 0, IF(ISNA(VLOOKUP(T2269, 'Fuel Costs'!$A$2:$C$42, 2, 0)), T2269, VLOOKUP(T2269, 'Fuel Costs'!$A$2:$C$42, 2, 0))) / IF(ISBLANK(O2269), 1, O2269))) * 100</f>
        <v>0.02875</v>
      </c>
      <c r="J2269" s="2" t="n">
        <f aca="false">((H2269 / 800) / (IF(ISBLANK(S2269), 100, IF(ISNA(VLOOKUP(S2269, Lives!$A$2:$C$35, 2, 0)), S2269, VLOOKUP(S2269, Lives!$A$2:$C$35, 2, 0))) * 12) + (IF(ISBLANK(Q2269), 0, IF(ISNA(VLOOKUP(Q2269, Wages!$A$2:$C$17, 2, 0)), Q2269, VLOOKUP(Q2269, Wages!$A$2:$C$17, 2, 0))) * IF(ISBLANK(N2269), 0, IF(ISNA(VLOOKUP(N2269, Crews!$A$2:$C$28, 2, 0)), N2269, VLOOKUP(N2269, Crews!$A$2:$C$28, 2, 0))))) * 400</f>
        <v>1150</v>
      </c>
      <c r="K2269" s="1"/>
      <c r="L2269" s="1" t="s">
        <v>4474</v>
      </c>
      <c r="M2269" s="1" t="n">
        <v>0</v>
      </c>
      <c r="N2269" s="1"/>
      <c r="O2269" s="1"/>
      <c r="P2269" s="1"/>
      <c r="Q2269" s="1"/>
      <c r="R2269" s="1" t="s">
        <v>4419</v>
      </c>
      <c r="S2269" s="1" t="s">
        <v>4470</v>
      </c>
      <c r="T2269" s="1"/>
    </row>
    <row r="2270" customFormat="false" ht="15" hidden="false" customHeight="true" outlineLevel="0" collapsed="false">
      <c r="A2270" s="1" t="s">
        <v>4475</v>
      </c>
      <c r="B2270" s="1" t="n">
        <v>1973</v>
      </c>
      <c r="C2270" s="1" t="n">
        <v>3</v>
      </c>
      <c r="D2270" s="1" t="s">
        <v>38</v>
      </c>
      <c r="E2270" s="1"/>
      <c r="F2270" s="1"/>
      <c r="G2270" s="1" t="n">
        <v>177</v>
      </c>
      <c r="H2270" s="2" t="n">
        <v>465000</v>
      </c>
      <c r="I2270" s="2" t="n">
        <f aca="false">(((H2270 / 800) / IF(ISBLANK(R2270), 1000000, IF(ISNA(VLOOKUP(R2270, Mileages!$A$2:$C$34, 2, 0)), R2270, VLOOKUP(R2270, Mileages!$A$2:$C$34, 2, 0)))) + (F2270 * IF(ISBLANK(P2270), 1, P2270) * IF(ISBLANK(T2270), 0, IF(ISNA(VLOOKUP(T2270, 'Fuel Costs'!$A$2:$C$42, 2, 0)), T2270, VLOOKUP(T2270, 'Fuel Costs'!$A$2:$C$42, 2, 0))) / IF(ISBLANK(O2270), 1, O2270))) * 100</f>
        <v>0.02421875</v>
      </c>
      <c r="J2270" s="2" t="n">
        <f aca="false">((H2270 / 800) / (IF(ISBLANK(S2270), 100, IF(ISNA(VLOOKUP(S2270, Lives!$A$2:$C$35, 2, 0)), S2270, VLOOKUP(S2270, Lives!$A$2:$C$35, 2, 0))) * 12) + (IF(ISBLANK(Q2270), 0, IF(ISNA(VLOOKUP(Q2270, Wages!$A$2:$C$17, 2, 0)), Q2270, VLOOKUP(Q2270, Wages!$A$2:$C$17, 2, 0))) * IF(ISBLANK(N2270), 0, IF(ISNA(VLOOKUP(N2270, Crews!$A$2:$C$28, 2, 0)), N2270, VLOOKUP(N2270, Crews!$A$2:$C$28, 2, 0))))) * 400</f>
        <v>968.75</v>
      </c>
      <c r="K2270" s="3" t="s">
        <v>4256</v>
      </c>
      <c r="L2270" s="1" t="s">
        <v>4476</v>
      </c>
      <c r="M2270" s="1" t="n">
        <v>0</v>
      </c>
      <c r="N2270" s="1"/>
      <c r="O2270" s="1"/>
      <c r="P2270" s="1"/>
      <c r="Q2270" s="1"/>
      <c r="R2270" s="1" t="s">
        <v>4419</v>
      </c>
      <c r="S2270" s="1" t="s">
        <v>4470</v>
      </c>
      <c r="T2270" s="1"/>
    </row>
    <row r="2271" customFormat="false" ht="15" hidden="false" customHeight="true" outlineLevel="0" collapsed="false">
      <c r="A2271" s="1" t="s">
        <v>4477</v>
      </c>
      <c r="B2271" s="1" t="n">
        <v>1973</v>
      </c>
      <c r="C2271" s="1" t="n">
        <v>3</v>
      </c>
      <c r="D2271" s="1" t="s">
        <v>38</v>
      </c>
      <c r="E2271" s="1"/>
      <c r="F2271" s="1"/>
      <c r="G2271" s="1" t="n">
        <v>177</v>
      </c>
      <c r="H2271" s="2" t="n">
        <v>460000</v>
      </c>
      <c r="I2271" s="2" t="n">
        <f aca="false">(((H2271 / 800) / IF(ISBLANK(R2271), 1000000, IF(ISNA(VLOOKUP(R2271, Mileages!$A$2:$C$34, 2, 0)), R2271, VLOOKUP(R2271, Mileages!$A$2:$C$34, 2, 0)))) + (F2271 * IF(ISBLANK(P2271), 1, P2271) * IF(ISBLANK(T2271), 0, IF(ISNA(VLOOKUP(T2271, 'Fuel Costs'!$A$2:$C$42, 2, 0)), T2271, VLOOKUP(T2271, 'Fuel Costs'!$A$2:$C$42, 2, 0))) / IF(ISBLANK(O2271), 1, O2271))) * 100</f>
        <v>0.02395833333</v>
      </c>
      <c r="J2271" s="2" t="n">
        <f aca="false">((H2271 / 800) / (IF(ISBLANK(S2271), 100, IF(ISNA(VLOOKUP(S2271, Lives!$A$2:$C$35, 2, 0)), S2271, VLOOKUP(S2271, Lives!$A$2:$C$35, 2, 0))) * 12) + (IF(ISBLANK(Q2271), 0, IF(ISNA(VLOOKUP(Q2271, Wages!$A$2:$C$17, 2, 0)), Q2271, VLOOKUP(Q2271, Wages!$A$2:$C$17, 2, 0))) * IF(ISBLANK(N2271), 0, IF(ISNA(VLOOKUP(N2271, Crews!$A$2:$C$28, 2, 0)), N2271, VLOOKUP(N2271, Crews!$A$2:$C$28, 2, 0))))) * 400</f>
        <v>958.3333333</v>
      </c>
      <c r="K2271" s="3" t="s">
        <v>4256</v>
      </c>
      <c r="L2271" s="1" t="s">
        <v>4478</v>
      </c>
      <c r="M2271" s="1" t="n">
        <v>0</v>
      </c>
      <c r="N2271" s="1"/>
      <c r="O2271" s="1"/>
      <c r="P2271" s="1"/>
      <c r="Q2271" s="1"/>
      <c r="R2271" s="1" t="s">
        <v>4419</v>
      </c>
      <c r="S2271" s="1" t="s">
        <v>4470</v>
      </c>
      <c r="T2271" s="1"/>
    </row>
    <row r="2272" customFormat="false" ht="15" hidden="false" customHeight="true" outlineLevel="0" collapsed="false">
      <c r="A2272" s="1" t="s">
        <v>4479</v>
      </c>
      <c r="B2272" s="1" t="n">
        <v>1973</v>
      </c>
      <c r="C2272" s="1" t="n">
        <v>3</v>
      </c>
      <c r="D2272" s="1" t="s">
        <v>38</v>
      </c>
      <c r="E2272" s="1"/>
      <c r="F2272" s="1"/>
      <c r="G2272" s="1" t="n">
        <v>177</v>
      </c>
      <c r="H2272" s="2" t="n">
        <v>495000</v>
      </c>
      <c r="I2272" s="2" t="n">
        <f aca="false">(((H2272 / 800) / IF(ISBLANK(R2272), 1000000, IF(ISNA(VLOOKUP(R2272, Mileages!$A$2:$C$34, 2, 0)), R2272, VLOOKUP(R2272, Mileages!$A$2:$C$34, 2, 0)))) + (F2272 * IF(ISBLANK(P2272), 1, P2272) * IF(ISBLANK(T2272), 0, IF(ISNA(VLOOKUP(T2272, 'Fuel Costs'!$A$2:$C$42, 2, 0)), T2272, VLOOKUP(T2272, 'Fuel Costs'!$A$2:$C$42, 2, 0))) / IF(ISBLANK(O2272), 1, O2272))) * 100</f>
        <v>0.02578125</v>
      </c>
      <c r="J2272" s="2" t="n">
        <f aca="false">((H2272 / 800) / (IF(ISBLANK(S2272), 100, IF(ISNA(VLOOKUP(S2272, Lives!$A$2:$C$35, 2, 0)), S2272, VLOOKUP(S2272, Lives!$A$2:$C$35, 2, 0))) * 12) + (IF(ISBLANK(Q2272), 0, IF(ISNA(VLOOKUP(Q2272, Wages!$A$2:$C$17, 2, 0)), Q2272, VLOOKUP(Q2272, Wages!$A$2:$C$17, 2, 0))) * IF(ISBLANK(N2272), 0, IF(ISNA(VLOOKUP(N2272, Crews!$A$2:$C$28, 2, 0)), N2272, VLOOKUP(N2272, Crews!$A$2:$C$28, 2, 0))))) * 400</f>
        <v>1031.25</v>
      </c>
      <c r="K2272" s="1"/>
      <c r="L2272" s="1" t="s">
        <v>4480</v>
      </c>
      <c r="M2272" s="1" t="n">
        <v>0</v>
      </c>
      <c r="N2272" s="1"/>
      <c r="O2272" s="1"/>
      <c r="P2272" s="1"/>
      <c r="Q2272" s="1"/>
      <c r="R2272" s="1" t="s">
        <v>4419</v>
      </c>
      <c r="S2272" s="1" t="s">
        <v>4470</v>
      </c>
      <c r="T2272" s="1"/>
    </row>
    <row r="2273" customFormat="false" ht="15" hidden="false" customHeight="true" outlineLevel="0" collapsed="false">
      <c r="A2273" s="1" t="s">
        <v>4481</v>
      </c>
      <c r="B2273" s="1" t="n">
        <v>1973</v>
      </c>
      <c r="C2273" s="1" t="n">
        <v>3</v>
      </c>
      <c r="D2273" s="1" t="s">
        <v>21</v>
      </c>
      <c r="E2273" s="1" t="s">
        <v>1839</v>
      </c>
      <c r="F2273" s="1" t="n">
        <v>55</v>
      </c>
      <c r="G2273" s="1" t="n">
        <v>100</v>
      </c>
      <c r="H2273" s="2" t="n">
        <v>97500</v>
      </c>
      <c r="I2273" s="2" t="n">
        <f aca="false">(((H2273 / 800) / IF(ISBLANK(R2273), 1000000, IF(ISNA(VLOOKUP(R2273, Mileages!$A$2:$C$34, 2, 0)), R2273, VLOOKUP(R2273, Mileages!$A$2:$C$34, 2, 0)))) + (F2273 * IF(ISBLANK(P2273), 1, P2273) * IF(ISBLANK(T2273), 0, IF(ISNA(VLOOKUP(T2273, 'Fuel Costs'!$A$2:$C$42, 2, 0)), T2273, VLOOKUP(T2273, 'Fuel Costs'!$A$2:$C$42, 2, 0))) / IF(ISBLANK(O2273), 1, O2273))) * 100</f>
        <v>41.2621875</v>
      </c>
      <c r="J2273" s="2" t="n">
        <f aca="false">((H2273 / 800) / (IF(ISBLANK(S2273), 100, IF(ISNA(VLOOKUP(S2273, Lives!$A$2:$C$35, 2, 0)), S2273, VLOOKUP(S2273, Lives!$A$2:$C$35, 2, 0))) * 12) + (IF(ISBLANK(Q2273), 0, IF(ISNA(VLOOKUP(Q2273, Wages!$A$2:$C$17, 2, 0)), Q2273, VLOOKUP(Q2273, Wages!$A$2:$C$17, 2, 0))) * IF(ISBLANK(N2273), 0, IF(ISNA(VLOOKUP(N2273, Crews!$A$2:$C$28, 2, 0)), N2273, VLOOKUP(N2273, Crews!$A$2:$C$28, 2, 0))))) * 400</f>
        <v>8050.78125</v>
      </c>
      <c r="K2273" s="1" t="s">
        <v>4482</v>
      </c>
      <c r="L2273" s="1" t="s">
        <v>4483</v>
      </c>
      <c r="M2273" s="1" t="n">
        <v>0</v>
      </c>
      <c r="N2273" s="1" t="s">
        <v>25</v>
      </c>
      <c r="O2273" s="1" t="n">
        <v>0.8</v>
      </c>
      <c r="P2273" s="1"/>
      <c r="Q2273" s="1" t="s">
        <v>1815</v>
      </c>
      <c r="R2273" s="1" t="s">
        <v>1843</v>
      </c>
      <c r="S2273" s="1" t="s">
        <v>1843</v>
      </c>
      <c r="T2273" s="1" t="s">
        <v>4124</v>
      </c>
    </row>
    <row r="2274" customFormat="false" ht="15" hidden="false" customHeight="true" outlineLevel="0" collapsed="false">
      <c r="A2274" s="1" t="s">
        <v>4484</v>
      </c>
      <c r="B2274" s="1" t="n">
        <v>1973</v>
      </c>
      <c r="C2274" s="1" t="n">
        <v>3</v>
      </c>
      <c r="D2274" s="1" t="s">
        <v>21</v>
      </c>
      <c r="E2274" s="1" t="s">
        <v>1839</v>
      </c>
      <c r="F2274" s="1" t="n">
        <v>55</v>
      </c>
      <c r="G2274" s="1" t="n">
        <v>100</v>
      </c>
      <c r="H2274" s="2" t="n">
        <v>97500</v>
      </c>
      <c r="I2274" s="2" t="n">
        <f aca="false">(((H2274 / 800) / IF(ISBLANK(R2274), 1000000, IF(ISNA(VLOOKUP(R2274, Mileages!$A$2:$C$34, 2, 0)), R2274, VLOOKUP(R2274, Mileages!$A$2:$C$34, 2, 0)))) + (F2274 * IF(ISBLANK(P2274), 1, P2274) * IF(ISBLANK(T2274), 0, IF(ISNA(VLOOKUP(T2274, 'Fuel Costs'!$A$2:$C$42, 2, 0)), T2274, VLOOKUP(T2274, 'Fuel Costs'!$A$2:$C$42, 2, 0))) / IF(ISBLANK(O2274), 1, O2274))) * 100</f>
        <v>41.2621875</v>
      </c>
      <c r="J2274" s="2" t="n">
        <f aca="false">((H2274 / 800) / (IF(ISBLANK(S2274), 100, IF(ISNA(VLOOKUP(S2274, Lives!$A$2:$C$35, 2, 0)), S2274, VLOOKUP(S2274, Lives!$A$2:$C$35, 2, 0))) * 12) + (IF(ISBLANK(Q2274), 0, IF(ISNA(VLOOKUP(Q2274, Wages!$A$2:$C$17, 2, 0)), Q2274, VLOOKUP(Q2274, Wages!$A$2:$C$17, 2, 0))) * IF(ISBLANK(N2274), 0, IF(ISNA(VLOOKUP(N2274, Crews!$A$2:$C$28, 2, 0)), N2274, VLOOKUP(N2274, Crews!$A$2:$C$28, 2, 0))))) * 400</f>
        <v>8050.78125</v>
      </c>
      <c r="K2274" s="1"/>
      <c r="L2274" s="1" t="s">
        <v>4483</v>
      </c>
      <c r="M2274" s="1" t="n">
        <v>1</v>
      </c>
      <c r="N2274" s="1" t="s">
        <v>25</v>
      </c>
      <c r="O2274" s="1" t="n">
        <v>0.8</v>
      </c>
      <c r="P2274" s="1"/>
      <c r="Q2274" s="1" t="s">
        <v>1815</v>
      </c>
      <c r="R2274" s="1" t="s">
        <v>1843</v>
      </c>
      <c r="S2274" s="1" t="s">
        <v>1843</v>
      </c>
      <c r="T2274" s="1" t="s">
        <v>4124</v>
      </c>
    </row>
    <row r="2275" customFormat="false" ht="15" hidden="false" customHeight="true" outlineLevel="0" collapsed="false">
      <c r="A2275" s="1" t="s">
        <v>4485</v>
      </c>
      <c r="B2275" s="1" t="n">
        <v>1973</v>
      </c>
      <c r="C2275" s="1" t="n">
        <v>3</v>
      </c>
      <c r="D2275" s="1" t="s">
        <v>21</v>
      </c>
      <c r="E2275" s="1" t="s">
        <v>1839</v>
      </c>
      <c r="F2275" s="1" t="n">
        <v>55</v>
      </c>
      <c r="G2275" s="1" t="n">
        <v>100</v>
      </c>
      <c r="H2275" s="2" t="n">
        <v>97500</v>
      </c>
      <c r="I2275" s="2" t="n">
        <f aca="false">(((H2275 / 800) / IF(ISBLANK(R2275), 1000000, IF(ISNA(VLOOKUP(R2275, Mileages!$A$2:$C$34, 2, 0)), R2275, VLOOKUP(R2275, Mileages!$A$2:$C$34, 2, 0)))) + (F2275 * IF(ISBLANK(P2275), 1, P2275) * IF(ISBLANK(T2275), 0, IF(ISNA(VLOOKUP(T2275, 'Fuel Costs'!$A$2:$C$42, 2, 0)), T2275, VLOOKUP(T2275, 'Fuel Costs'!$A$2:$C$42, 2, 0))) / IF(ISBLANK(O2275), 1, O2275))) * 100</f>
        <v>41.2621875</v>
      </c>
      <c r="J2275" s="2" t="n">
        <f aca="false">((H2275 / 800) / (IF(ISBLANK(S2275), 100, IF(ISNA(VLOOKUP(S2275, Lives!$A$2:$C$35, 2, 0)), S2275, VLOOKUP(S2275, Lives!$A$2:$C$35, 2, 0))) * 12) + (IF(ISBLANK(Q2275), 0, IF(ISNA(VLOOKUP(Q2275, Wages!$A$2:$C$17, 2, 0)), Q2275, VLOOKUP(Q2275, Wages!$A$2:$C$17, 2, 0))) * IF(ISBLANK(N2275), 0, IF(ISNA(VLOOKUP(N2275, Crews!$A$2:$C$28, 2, 0)), N2275, VLOOKUP(N2275, Crews!$A$2:$C$28, 2, 0))))) * 400</f>
        <v>8050.78125</v>
      </c>
      <c r="K2275" s="1"/>
      <c r="L2275" s="1" t="s">
        <v>4483</v>
      </c>
      <c r="M2275" s="1" t="n">
        <v>2</v>
      </c>
      <c r="N2275" s="1" t="s">
        <v>25</v>
      </c>
      <c r="O2275" s="1" t="n">
        <v>0.8</v>
      </c>
      <c r="P2275" s="1"/>
      <c r="Q2275" s="1" t="s">
        <v>1815</v>
      </c>
      <c r="R2275" s="1" t="s">
        <v>1843</v>
      </c>
      <c r="S2275" s="1" t="s">
        <v>1843</v>
      </c>
      <c r="T2275" s="1" t="s">
        <v>4124</v>
      </c>
    </row>
    <row r="2276" customFormat="false" ht="15" hidden="false" customHeight="true" outlineLevel="0" collapsed="false">
      <c r="A2276" s="1" t="s">
        <v>4486</v>
      </c>
      <c r="B2276" s="1" t="n">
        <v>1973</v>
      </c>
      <c r="C2276" s="1" t="n">
        <v>3</v>
      </c>
      <c r="D2276" s="1" t="s">
        <v>38</v>
      </c>
      <c r="E2276" s="1"/>
      <c r="F2276" s="1"/>
      <c r="G2276" s="1" t="n">
        <v>177</v>
      </c>
      <c r="H2276" s="2" t="n">
        <v>465000</v>
      </c>
      <c r="I2276" s="2" t="n">
        <f aca="false">(((H2276 / 800) / IF(ISBLANK(R2276), 1000000, IF(ISNA(VLOOKUP(R2276, Mileages!$A$2:$C$34, 2, 0)), R2276, VLOOKUP(R2276, Mileages!$A$2:$C$34, 2, 0)))) + (F2276 * IF(ISBLANK(P2276), 1, P2276) * IF(ISBLANK(T2276), 0, IF(ISNA(VLOOKUP(T2276, 'Fuel Costs'!$A$2:$C$42, 2, 0)), T2276, VLOOKUP(T2276, 'Fuel Costs'!$A$2:$C$42, 2, 0))) / IF(ISBLANK(O2276), 1, O2276))) * 100</f>
        <v>0.02421875</v>
      </c>
      <c r="J2276" s="2" t="n">
        <f aca="false">((H2276 / 800) / (IF(ISBLANK(S2276), 100, IF(ISNA(VLOOKUP(S2276, Lives!$A$2:$C$35, 2, 0)), S2276, VLOOKUP(S2276, Lives!$A$2:$C$35, 2, 0))) * 12) + (IF(ISBLANK(Q2276), 0, IF(ISNA(VLOOKUP(Q2276, Wages!$A$2:$C$17, 2, 0)), Q2276, VLOOKUP(Q2276, Wages!$A$2:$C$17, 2, 0))) * IF(ISBLANK(N2276), 0, IF(ISNA(VLOOKUP(N2276, Crews!$A$2:$C$28, 2, 0)), N2276, VLOOKUP(N2276, Crews!$A$2:$C$28, 2, 0))))) * 400</f>
        <v>968.75</v>
      </c>
      <c r="K2276" s="1"/>
      <c r="L2276" s="1" t="s">
        <v>4487</v>
      </c>
      <c r="M2276" s="1" t="n">
        <v>0</v>
      </c>
      <c r="N2276" s="1"/>
      <c r="O2276" s="1"/>
      <c r="P2276" s="1"/>
      <c r="Q2276" s="1"/>
      <c r="R2276" s="1" t="s">
        <v>4419</v>
      </c>
      <c r="S2276" s="1" t="s">
        <v>4470</v>
      </c>
      <c r="T2276" s="1"/>
    </row>
    <row r="2277" customFormat="false" ht="15" hidden="false" customHeight="true" outlineLevel="0" collapsed="false">
      <c r="A2277" s="1" t="s">
        <v>4488</v>
      </c>
      <c r="B2277" s="1" t="n">
        <v>1973</v>
      </c>
      <c r="C2277" s="1" t="n">
        <v>5</v>
      </c>
      <c r="D2277" s="1" t="s">
        <v>29</v>
      </c>
      <c r="E2277" s="1" t="s">
        <v>2039</v>
      </c>
      <c r="F2277" s="1" t="n">
        <v>100</v>
      </c>
      <c r="G2277" s="1" t="n">
        <v>16</v>
      </c>
      <c r="H2277" s="2" t="n">
        <v>62000000</v>
      </c>
      <c r="I2277" s="2" t="n">
        <f aca="false">(((H2277 / 800) / IF(ISBLANK(R2277), 1000000, IF(ISNA(VLOOKUP(R2277, Mileages!$A$2:$C$34, 2, 0)), R2277, VLOOKUP(R2277, Mileages!$A$2:$C$34, 2, 0)))) + (F2277 * IF(ISBLANK(P2277), 1, P2277) * IF(ISBLANK(T2277), 0, IF(ISNA(VLOOKUP(T2277, 'Fuel Costs'!$A$2:$C$42, 2, 0)), T2277, VLOOKUP(T2277, 'Fuel Costs'!$A$2:$C$42, 2, 0))) / IF(ISBLANK(O2277), 1, O2277))) * 100</f>
        <v>13.875</v>
      </c>
      <c r="J2277" s="2" t="n">
        <f aca="false">((H2277 / 800) / (IF(ISBLANK(S2277), 100, IF(ISNA(VLOOKUP(S2277, Lives!$A$2:$C$35, 2, 0)), S2277, VLOOKUP(S2277, Lives!$A$2:$C$35, 2, 0))) * 12) + (IF(ISBLANK(Q2277), 0, IF(ISNA(VLOOKUP(Q2277, Wages!$A$2:$C$17, 2, 0)), Q2277, VLOOKUP(Q2277, Wages!$A$2:$C$17, 2, 0))) * IF(ISBLANK(N2277), 0, IF(ISNA(VLOOKUP(N2277, Crews!$A$2:$C$28, 2, 0)), N2277, VLOOKUP(N2277, Crews!$A$2:$C$28, 2, 0))))) * 400</f>
        <v>225833.3333</v>
      </c>
      <c r="K2277" s="1" t="s">
        <v>4489</v>
      </c>
      <c r="L2277" s="1" t="s">
        <v>4490</v>
      </c>
      <c r="M2277" s="1" t="n">
        <v>0</v>
      </c>
      <c r="N2277" s="1" t="s">
        <v>323</v>
      </c>
      <c r="O2277" s="1" t="n">
        <v>0.8</v>
      </c>
      <c r="P2277" s="1" t="n">
        <v>0.2</v>
      </c>
      <c r="Q2277" s="1" t="s">
        <v>34</v>
      </c>
      <c r="R2277" s="1" t="s">
        <v>574</v>
      </c>
      <c r="S2277" s="1" t="s">
        <v>574</v>
      </c>
      <c r="T2277" s="1" t="s">
        <v>4079</v>
      </c>
    </row>
    <row r="2278" customFormat="false" ht="15" hidden="false" customHeight="true" outlineLevel="0" collapsed="false">
      <c r="A2278" s="1" t="s">
        <v>4491</v>
      </c>
      <c r="B2278" s="1" t="n">
        <v>1973</v>
      </c>
      <c r="C2278" s="1" t="n">
        <v>6</v>
      </c>
      <c r="D2278" s="1" t="s">
        <v>38</v>
      </c>
      <c r="E2278" s="1" t="s">
        <v>1346</v>
      </c>
      <c r="F2278" s="1" t="n">
        <v>3730</v>
      </c>
      <c r="G2278" s="1" t="n">
        <v>177</v>
      </c>
      <c r="H2278" s="2" t="n">
        <v>8295000</v>
      </c>
      <c r="I2278" s="2" t="n">
        <f aca="false">(((H2278 / 800) / IF(ISBLANK(R2278), 1000000, IF(ISNA(VLOOKUP(R2278, Mileages!$A$2:$C$34, 2, 0)), R2278, VLOOKUP(R2278, Mileages!$A$2:$C$34, 2, 0)))) + (F2278 * IF(ISBLANK(P2278), 1, P2278) * IF(ISBLANK(T2278), 0, IF(ISNA(VLOOKUP(T2278, 'Fuel Costs'!$A$2:$C$42, 2, 0)), T2278, VLOOKUP(T2278, 'Fuel Costs'!$A$2:$C$42, 2, 0))) / IF(ISBLANK(O2278), 1, O2278))) * 100</f>
        <v>560.536875</v>
      </c>
      <c r="J2278" s="2" t="n">
        <f aca="false">((H2278 / 800) / (IF(ISBLANK(S2278), 100, IF(ISNA(VLOOKUP(S2278, Lives!$A$2:$C$35, 2, 0)), S2278, VLOOKUP(S2278, Lives!$A$2:$C$35, 2, 0))) * 12) + (IF(ISBLANK(Q2278), 0, IF(ISNA(VLOOKUP(Q2278, Wages!$A$2:$C$17, 2, 0)), Q2278, VLOOKUP(Q2278, Wages!$A$2:$C$17, 2, 0))) * IF(ISBLANK(N2278), 0, IF(ISNA(VLOOKUP(N2278, Crews!$A$2:$C$28, 2, 0)), N2278, VLOOKUP(N2278, Crews!$A$2:$C$28, 2, 0))))) * 400</f>
        <v>15760.41667</v>
      </c>
      <c r="K2278" s="3" t="s">
        <v>4268</v>
      </c>
      <c r="L2278" s="1" t="s">
        <v>4492</v>
      </c>
      <c r="M2278" s="1" t="n">
        <v>0</v>
      </c>
      <c r="N2278" s="1" t="s">
        <v>1488</v>
      </c>
      <c r="O2278" s="1" t="n">
        <v>1</v>
      </c>
      <c r="P2278" s="1"/>
      <c r="Q2278" s="1" t="str">
        <f aca="false">IF(ISBLANK('Pak128 Britain In'!$N2278),,'Pak128 Britain In'!$N2278)</f>
        <v>ElectricDriverRail</v>
      </c>
      <c r="R2278" s="1" t="s">
        <v>1349</v>
      </c>
      <c r="S2278" s="1" t="s">
        <v>1349</v>
      </c>
      <c r="T2278" s="1" t="s">
        <v>4101</v>
      </c>
    </row>
    <row r="2279" customFormat="false" ht="15" hidden="false" customHeight="true" outlineLevel="0" collapsed="false">
      <c r="A2279" s="1" t="s">
        <v>4493</v>
      </c>
      <c r="B2279" s="1" t="n">
        <v>1973</v>
      </c>
      <c r="C2279" s="1" t="n">
        <v>12</v>
      </c>
      <c r="D2279" s="1" t="s">
        <v>2225</v>
      </c>
      <c r="E2279" s="1" t="s">
        <v>3660</v>
      </c>
      <c r="F2279" s="1" t="n">
        <v>100440</v>
      </c>
      <c r="G2279" s="1" t="n">
        <v>2170</v>
      </c>
      <c r="H2279" s="2" t="n">
        <v>120000000</v>
      </c>
      <c r="I2279" s="2" t="n">
        <f aca="false">(((H2279 / 800) / IF(ISBLANK(R2279), 1000000, IF(ISNA(VLOOKUP(R2279, Mileages!$A$2:$C$34, 2, 0)), R2279, VLOOKUP(R2279, Mileages!$A$2:$C$34, 2, 0)))) + (F2279 * IF(ISBLANK(P2279), 1, P2279) * IF(ISBLANK(T2279), 0, IF(ISNA(VLOOKUP(T2279, 'Fuel Costs'!$A$2:$C$42, 2, 0)), T2279, VLOOKUP(T2279, 'Fuel Costs'!$A$2:$C$42, 2, 0))) / IF(ISBLANK(O2279), 1, O2279))) * 100</f>
        <v>603.14</v>
      </c>
      <c r="J2279" s="2" t="n">
        <f aca="false">((H2279 / 800) / (IF(ISBLANK(S2279), 100, IF(ISNA(VLOOKUP(S2279, Lives!$A$2:$C$35, 2, 0)), S2279, VLOOKUP(S2279, Lives!$A$2:$C$35, 2, 0))) * 12) + (IF(ISBLANK(Q2279), 0, IF(ISNA(VLOOKUP(Q2279, Wages!$A$2:$C$17, 2, 0)), Q2279, VLOOKUP(Q2279, Wages!$A$2:$C$17, 2, 0))) * IF(ISBLANK(N2279), 0, IF(ISNA(VLOOKUP(N2279, Crews!$A$2:$C$28, 2, 0)), N2279, VLOOKUP(N2279, Crews!$A$2:$C$28, 2, 0))))) * 400</f>
        <v>233333.3333</v>
      </c>
      <c r="K2279" s="3" t="s">
        <v>4494</v>
      </c>
      <c r="L2279" s="1" t="s">
        <v>4495</v>
      </c>
      <c r="M2279" s="1" t="n">
        <v>0</v>
      </c>
      <c r="N2279" s="1" t="s">
        <v>4496</v>
      </c>
      <c r="O2279" s="1"/>
      <c r="P2279" s="1" t="n">
        <v>0.02</v>
      </c>
      <c r="Q2279" s="1" t="s">
        <v>2229</v>
      </c>
      <c r="R2279" s="1" t="s">
        <v>4413</v>
      </c>
      <c r="S2279" s="1" t="s">
        <v>2229</v>
      </c>
      <c r="T2279" s="1" t="s">
        <v>4074</v>
      </c>
    </row>
    <row r="2280" customFormat="false" ht="15" hidden="false" customHeight="true" outlineLevel="0" collapsed="false">
      <c r="A2280" s="1" t="s">
        <v>4497</v>
      </c>
      <c r="B2280" s="1" t="n">
        <v>1973</v>
      </c>
      <c r="C2280" s="1" t="n">
        <v>12</v>
      </c>
      <c r="D2280" s="1" t="s">
        <v>38</v>
      </c>
      <c r="E2280" s="1" t="s">
        <v>1346</v>
      </c>
      <c r="F2280" s="1" t="n">
        <v>300</v>
      </c>
      <c r="G2280" s="1" t="n">
        <v>100</v>
      </c>
      <c r="H2280" s="2" t="n">
        <v>1650000</v>
      </c>
      <c r="I2280" s="2" t="n">
        <f aca="false">(((H2280 / 800) / IF(ISBLANK(R2280), 1000000, IF(ISNA(VLOOKUP(R2280, Mileages!$A$2:$C$34, 2, 0)), R2280, VLOOKUP(R2280, Mileages!$A$2:$C$34, 2, 0)))) + (F2280 * IF(ISBLANK(P2280), 1, P2280) * IF(ISBLANK(T2280), 0, IF(ISNA(VLOOKUP(T2280, 'Fuel Costs'!$A$2:$C$42, 2, 0)), T2280, VLOOKUP(T2280, 'Fuel Costs'!$A$2:$C$42, 2, 0))) / IF(ISBLANK(O2280), 1, O2280))) * 100</f>
        <v>45.20625</v>
      </c>
      <c r="J2280" s="2" t="n">
        <f aca="false">((H2280 / 800) / (IF(ISBLANK(S2280), 100, IF(ISNA(VLOOKUP(S2280, Lives!$A$2:$C$35, 2, 0)), S2280, VLOOKUP(S2280, Lives!$A$2:$C$35, 2, 0))) * 12) + (IF(ISBLANK(Q2280), 0, IF(ISNA(VLOOKUP(Q2280, Wages!$A$2:$C$17, 2, 0)), Q2280, VLOOKUP(Q2280, Wages!$A$2:$C$17, 2, 0))) * IF(ISBLANK(N2280), 0, IF(ISNA(VLOOKUP(N2280, Crews!$A$2:$C$28, 2, 0)), N2280, VLOOKUP(N2280, Crews!$A$2:$C$28, 2, 0))))) * 400</f>
        <v>7375</v>
      </c>
      <c r="K2280" s="1"/>
      <c r="L2280" s="1" t="s">
        <v>4498</v>
      </c>
      <c r="M2280" s="1" t="n">
        <v>0</v>
      </c>
      <c r="N2280" s="1" t="s">
        <v>1512</v>
      </c>
      <c r="O2280" s="1" t="n">
        <v>1</v>
      </c>
      <c r="P2280" s="1"/>
      <c r="Q2280" s="1" t="str">
        <f aca="false">IF(ISBLANK('Pak128 Britain In'!$N2280),,'Pak128 Britain In'!$N2280)</f>
        <v>ElectricMultipleUnit</v>
      </c>
      <c r="R2280" s="1" t="s">
        <v>1349</v>
      </c>
      <c r="S2280" s="1" t="s">
        <v>1350</v>
      </c>
      <c r="T2280" s="1" t="s">
        <v>4101</v>
      </c>
    </row>
    <row r="2281" customFormat="false" ht="15" hidden="false" customHeight="true" outlineLevel="0" collapsed="false">
      <c r="A2281" s="1" t="s">
        <v>4499</v>
      </c>
      <c r="B2281" s="1" t="n">
        <v>1973</v>
      </c>
      <c r="C2281" s="1" t="n">
        <v>12</v>
      </c>
      <c r="D2281" s="1" t="s">
        <v>38</v>
      </c>
      <c r="E2281" s="1" t="s">
        <v>1346</v>
      </c>
      <c r="F2281" s="1" t="n">
        <v>300</v>
      </c>
      <c r="G2281" s="1" t="n">
        <v>100</v>
      </c>
      <c r="H2281" s="2" t="n">
        <v>1250000</v>
      </c>
      <c r="I2281" s="2" t="n">
        <f aca="false">(((H2281 / 800) / IF(ISBLANK(R2281), 1000000, IF(ISNA(VLOOKUP(R2281, Mileages!$A$2:$C$34, 2, 0)), R2281, VLOOKUP(R2281, Mileages!$A$2:$C$34, 2, 0)))) + (F2281 * IF(ISBLANK(P2281), 1, P2281) * IF(ISBLANK(T2281), 0, IF(ISNA(VLOOKUP(T2281, 'Fuel Costs'!$A$2:$C$42, 2, 0)), T2281, VLOOKUP(T2281, 'Fuel Costs'!$A$2:$C$42, 2, 0))) / IF(ISBLANK(O2281), 1, O2281))) * 100</f>
        <v>45.15625</v>
      </c>
      <c r="J2281" s="2" t="n">
        <f aca="false">((H2281 / 800) / (IF(ISBLANK(S2281), 100, IF(ISNA(VLOOKUP(S2281, Lives!$A$2:$C$35, 2, 0)), S2281, VLOOKUP(S2281, Lives!$A$2:$C$35, 2, 0))) * 12) + (IF(ISBLANK(Q2281), 0, IF(ISNA(VLOOKUP(Q2281, Wages!$A$2:$C$17, 2, 0)), Q2281, VLOOKUP(Q2281, Wages!$A$2:$C$17, 2, 0))) * IF(ISBLANK(N2281), 0, IF(ISNA(VLOOKUP(N2281, Crews!$A$2:$C$28, 2, 0)), N2281, VLOOKUP(N2281, Crews!$A$2:$C$28, 2, 0))))) * 400</f>
        <v>7041.666667</v>
      </c>
      <c r="K2281" s="1"/>
      <c r="L2281" s="1" t="s">
        <v>4498</v>
      </c>
      <c r="M2281" s="1" t="n">
        <v>1</v>
      </c>
      <c r="N2281" s="1" t="s">
        <v>1512</v>
      </c>
      <c r="O2281" s="1" t="n">
        <v>1</v>
      </c>
      <c r="P2281" s="1"/>
      <c r="Q2281" s="1" t="str">
        <f aca="false">IF(ISBLANK('Pak128 Britain In'!$N2281),,'Pak128 Britain In'!$N2281)</f>
        <v>ElectricMultipleUnit</v>
      </c>
      <c r="R2281" s="1" t="s">
        <v>1349</v>
      </c>
      <c r="S2281" s="1" t="s">
        <v>1350</v>
      </c>
      <c r="T2281" s="1" t="s">
        <v>4101</v>
      </c>
    </row>
    <row r="2282" customFormat="false" ht="15" hidden="false" customHeight="true" outlineLevel="0" collapsed="false">
      <c r="A2282" s="1" t="s">
        <v>4500</v>
      </c>
      <c r="B2282" s="1" t="n">
        <v>1973</v>
      </c>
      <c r="C2282" s="1" t="n">
        <v>12</v>
      </c>
      <c r="D2282" s="1" t="s">
        <v>38</v>
      </c>
      <c r="E2282" s="1" t="s">
        <v>1346</v>
      </c>
      <c r="F2282" s="1"/>
      <c r="G2282" s="1" t="n">
        <v>100</v>
      </c>
      <c r="H2282" s="2" t="n">
        <v>800000</v>
      </c>
      <c r="I2282" s="2" t="n">
        <f aca="false">(((H2282 / 800) / IF(ISBLANK(R2282), 1000000, IF(ISNA(VLOOKUP(R2282, Mileages!$A$2:$C$34, 2, 0)), R2282, VLOOKUP(R2282, Mileages!$A$2:$C$34, 2, 0)))) + (F2282 * IF(ISBLANK(P2282), 1, P2282) * IF(ISBLANK(T2282), 0, IF(ISNA(VLOOKUP(T2282, 'Fuel Costs'!$A$2:$C$42, 2, 0)), T2282, VLOOKUP(T2282, 'Fuel Costs'!$A$2:$C$42, 2, 0))) / IF(ISBLANK(O2282), 1, O2282))) * 100</f>
        <v>0.08333333333</v>
      </c>
      <c r="J2282" s="2" t="n">
        <f aca="false">((H2282 / 800) / (IF(ISBLANK(S2282), 100, IF(ISNA(VLOOKUP(S2282, Lives!$A$2:$C$35, 2, 0)), S2282, VLOOKUP(S2282, Lives!$A$2:$C$35, 2, 0))) * 12) + (IF(ISBLANK(Q2282), 0, IF(ISNA(VLOOKUP(Q2282, Wages!$A$2:$C$17, 2, 0)), Q2282, VLOOKUP(Q2282, Wages!$A$2:$C$17, 2, 0))) * IF(ISBLANK(N2282), 0, IF(ISNA(VLOOKUP(N2282, Crews!$A$2:$C$28, 2, 0)), N2282, VLOOKUP(N2282, Crews!$A$2:$C$28, 2, 0))))) * 400</f>
        <v>952.3809524</v>
      </c>
      <c r="K2282" s="1"/>
      <c r="L2282" s="1" t="s">
        <v>4498</v>
      </c>
      <c r="M2282" s="1" t="n">
        <v>2</v>
      </c>
      <c r="N2282" s="1"/>
      <c r="O2282" s="1"/>
      <c r="P2282" s="1"/>
      <c r="Q2282" s="1"/>
      <c r="R2282" s="1" t="s">
        <v>689</v>
      </c>
      <c r="S2282" s="1" t="s">
        <v>856</v>
      </c>
      <c r="T2282" s="1"/>
    </row>
    <row r="2283" customFormat="false" ht="15" hidden="false" customHeight="true" outlineLevel="0" collapsed="false">
      <c r="A2283" s="1" t="s">
        <v>4501</v>
      </c>
      <c r="B2283" s="1" t="n">
        <v>1973</v>
      </c>
      <c r="C2283" s="1" t="n">
        <v>12</v>
      </c>
      <c r="D2283" s="1" t="s">
        <v>38</v>
      </c>
      <c r="E2283" s="1" t="s">
        <v>1346</v>
      </c>
      <c r="F2283" s="1"/>
      <c r="G2283" s="1" t="n">
        <v>100</v>
      </c>
      <c r="H2283" s="2" t="n">
        <v>800000</v>
      </c>
      <c r="I2283" s="2" t="n">
        <f aca="false">(((H2283 / 800) / IF(ISBLANK(R2283), 1000000, IF(ISNA(VLOOKUP(R2283, Mileages!$A$2:$C$34, 2, 0)), R2283, VLOOKUP(R2283, Mileages!$A$2:$C$34, 2, 0)))) + (F2283 * IF(ISBLANK(P2283), 1, P2283) * IF(ISBLANK(T2283), 0, IF(ISNA(VLOOKUP(T2283, 'Fuel Costs'!$A$2:$C$42, 2, 0)), T2283, VLOOKUP(T2283, 'Fuel Costs'!$A$2:$C$42, 2, 0))) / IF(ISBLANK(O2283), 1, O2283))) * 100</f>
        <v>0.08333333333</v>
      </c>
      <c r="J2283" s="2" t="n">
        <f aca="false">((H2283 / 800) / (IF(ISBLANK(S2283), 100, IF(ISNA(VLOOKUP(S2283, Lives!$A$2:$C$35, 2, 0)), S2283, VLOOKUP(S2283, Lives!$A$2:$C$35, 2, 0))) * 12) + (IF(ISBLANK(Q2283), 0, IF(ISNA(VLOOKUP(Q2283, Wages!$A$2:$C$17, 2, 0)), Q2283, VLOOKUP(Q2283, Wages!$A$2:$C$17, 2, 0))) * IF(ISBLANK(N2283), 0, IF(ISNA(VLOOKUP(N2283, Crews!$A$2:$C$28, 2, 0)), N2283, VLOOKUP(N2283, Crews!$A$2:$C$28, 2, 0))))) * 400</f>
        <v>952.3809524</v>
      </c>
      <c r="K2283" s="1"/>
      <c r="L2283" s="1" t="s">
        <v>4498</v>
      </c>
      <c r="M2283" s="1" t="n">
        <v>3</v>
      </c>
      <c r="N2283" s="1"/>
      <c r="O2283" s="1"/>
      <c r="P2283" s="1"/>
      <c r="Q2283" s="1"/>
      <c r="R2283" s="1" t="s">
        <v>689</v>
      </c>
      <c r="S2283" s="1" t="s">
        <v>856</v>
      </c>
      <c r="T2283" s="1"/>
    </row>
    <row r="2284" customFormat="false" ht="15" hidden="false" customHeight="true" outlineLevel="0" collapsed="false">
      <c r="A2284" s="1" t="s">
        <v>4502</v>
      </c>
      <c r="B2284" s="1" t="n">
        <v>1973</v>
      </c>
      <c r="C2284" s="1" t="n">
        <v>12</v>
      </c>
      <c r="D2284" s="1" t="s">
        <v>38</v>
      </c>
      <c r="E2284" s="1" t="s">
        <v>1346</v>
      </c>
      <c r="F2284" s="1" t="n">
        <v>300</v>
      </c>
      <c r="G2284" s="1" t="n">
        <v>100</v>
      </c>
      <c r="H2284" s="2" t="n">
        <v>1250000</v>
      </c>
      <c r="I2284" s="2" t="n">
        <f aca="false">(((H2284 / 800) / IF(ISBLANK(R2284), 1000000, IF(ISNA(VLOOKUP(R2284, Mileages!$A$2:$C$34, 2, 0)), R2284, VLOOKUP(R2284, Mileages!$A$2:$C$34, 2, 0)))) + (F2284 * IF(ISBLANK(P2284), 1, P2284) * IF(ISBLANK(T2284), 0, IF(ISNA(VLOOKUP(T2284, 'Fuel Costs'!$A$2:$C$42, 2, 0)), T2284, VLOOKUP(T2284, 'Fuel Costs'!$A$2:$C$42, 2, 0))) / IF(ISBLANK(O2284), 1, O2284))) * 100</f>
        <v>45.15625</v>
      </c>
      <c r="J2284" s="2" t="n">
        <f aca="false">((H2284 / 800) / (IF(ISBLANK(S2284), 100, IF(ISNA(VLOOKUP(S2284, Lives!$A$2:$C$35, 2, 0)), S2284, VLOOKUP(S2284, Lives!$A$2:$C$35, 2, 0))) * 12) + (IF(ISBLANK(Q2284), 0, IF(ISNA(VLOOKUP(Q2284, Wages!$A$2:$C$17, 2, 0)), Q2284, VLOOKUP(Q2284, Wages!$A$2:$C$17, 2, 0))) * IF(ISBLANK(N2284), 0, IF(ISNA(VLOOKUP(N2284, Crews!$A$2:$C$28, 2, 0)), N2284, VLOOKUP(N2284, Crews!$A$2:$C$28, 2, 0))))) * 400</f>
        <v>7041.666667</v>
      </c>
      <c r="K2284" s="1"/>
      <c r="L2284" s="1" t="s">
        <v>4498</v>
      </c>
      <c r="M2284" s="1" t="n">
        <v>4</v>
      </c>
      <c r="N2284" s="1" t="s">
        <v>1512</v>
      </c>
      <c r="O2284" s="1" t="n">
        <v>1</v>
      </c>
      <c r="P2284" s="1"/>
      <c r="Q2284" s="1" t="str">
        <f aca="false">IF(ISBLANK('Pak128 Britain In'!$N2284),,'Pak128 Britain In'!$N2284)</f>
        <v>ElectricMultipleUnit</v>
      </c>
      <c r="R2284" s="1" t="s">
        <v>1349</v>
      </c>
      <c r="S2284" s="1" t="s">
        <v>1350</v>
      </c>
      <c r="T2284" s="1" t="s">
        <v>4101</v>
      </c>
    </row>
    <row r="2285" customFormat="false" ht="15" hidden="false" customHeight="true" outlineLevel="0" collapsed="false">
      <c r="A2285" s="1" t="s">
        <v>4503</v>
      </c>
      <c r="B2285" s="1" t="n">
        <v>1973</v>
      </c>
      <c r="C2285" s="1" t="n">
        <v>12</v>
      </c>
      <c r="D2285" s="1" t="s">
        <v>38</v>
      </c>
      <c r="E2285" s="1" t="s">
        <v>1346</v>
      </c>
      <c r="F2285" s="1" t="n">
        <v>300</v>
      </c>
      <c r="G2285" s="1" t="n">
        <v>100</v>
      </c>
      <c r="H2285" s="2" t="n">
        <v>1650000</v>
      </c>
      <c r="I2285" s="2" t="n">
        <f aca="false">(((H2285 / 800) / IF(ISBLANK(R2285), 1000000, IF(ISNA(VLOOKUP(R2285, Mileages!$A$2:$C$34, 2, 0)), R2285, VLOOKUP(R2285, Mileages!$A$2:$C$34, 2, 0)))) + (F2285 * IF(ISBLANK(P2285), 1, P2285) * IF(ISBLANK(T2285), 0, IF(ISNA(VLOOKUP(T2285, 'Fuel Costs'!$A$2:$C$42, 2, 0)), T2285, VLOOKUP(T2285, 'Fuel Costs'!$A$2:$C$42, 2, 0))) / IF(ISBLANK(O2285), 1, O2285))) * 100</f>
        <v>45.20625</v>
      </c>
      <c r="J2285" s="2" t="n">
        <f aca="false">((H2285 / 800) / (IF(ISBLANK(S2285), 100, IF(ISNA(VLOOKUP(S2285, Lives!$A$2:$C$35, 2, 0)), S2285, VLOOKUP(S2285, Lives!$A$2:$C$35, 2, 0))) * 12) + (IF(ISBLANK(Q2285), 0, IF(ISNA(VLOOKUP(Q2285, Wages!$A$2:$C$17, 2, 0)), Q2285, VLOOKUP(Q2285, Wages!$A$2:$C$17, 2, 0))) * IF(ISBLANK(N2285), 0, IF(ISNA(VLOOKUP(N2285, Crews!$A$2:$C$28, 2, 0)), N2285, VLOOKUP(N2285, Crews!$A$2:$C$28, 2, 0))))) * 400</f>
        <v>7375</v>
      </c>
      <c r="K2285" s="1"/>
      <c r="L2285" s="1" t="s">
        <v>4498</v>
      </c>
      <c r="M2285" s="1" t="n">
        <v>5</v>
      </c>
      <c r="N2285" s="1" t="s">
        <v>1512</v>
      </c>
      <c r="O2285" s="1" t="n">
        <v>1</v>
      </c>
      <c r="P2285" s="1"/>
      <c r="Q2285" s="1" t="str">
        <f aca="false">IF(ISBLANK('Pak128 Britain In'!$N2285),,'Pak128 Britain In'!$N2285)</f>
        <v>ElectricMultipleUnit</v>
      </c>
      <c r="R2285" s="1" t="s">
        <v>1349</v>
      </c>
      <c r="S2285" s="1" t="s">
        <v>1350</v>
      </c>
      <c r="T2285" s="1" t="s">
        <v>4101</v>
      </c>
    </row>
    <row r="2286" customFormat="false" ht="15" hidden="false" customHeight="true" outlineLevel="0" collapsed="false">
      <c r="A2286" s="1" t="s">
        <v>4504</v>
      </c>
      <c r="B2286" s="1" t="n">
        <v>1974</v>
      </c>
      <c r="C2286" s="1" t="n">
        <v>2</v>
      </c>
      <c r="D2286" s="1" t="s">
        <v>2225</v>
      </c>
      <c r="E2286" s="1" t="s">
        <v>3660</v>
      </c>
      <c r="F2286" s="1" t="n">
        <v>1250</v>
      </c>
      <c r="G2286" s="1" t="n">
        <v>515</v>
      </c>
      <c r="H2286" s="2" t="n">
        <v>5000000</v>
      </c>
      <c r="I2286" s="2" t="n">
        <f aca="false">(((H2286 / 800) / IF(ISBLANK(R2286), 1000000, IF(ISNA(VLOOKUP(R2286, Mileages!$A$2:$C$34, 2, 0)), R2286, VLOOKUP(R2286, Mileages!$A$2:$C$34, 2, 0)))) + (F2286 * IF(ISBLANK(P2286), 1, P2286) * IF(ISBLANK(T2286), 0, IF(ISNA(VLOOKUP(T2286, 'Fuel Costs'!$A$2:$C$42, 2, 0)), T2286, VLOOKUP(T2286, 'Fuel Costs'!$A$2:$C$42, 2, 0))) / IF(ISBLANK(O2286), 1, O2286))) * 100</f>
        <v>7.520833333</v>
      </c>
      <c r="J2286" s="2" t="n">
        <f aca="false">((H2286 / 800) / (IF(ISBLANK(S2286), 100, IF(ISNA(VLOOKUP(S2286, Lives!$A$2:$C$35, 2, 0)), S2286, VLOOKUP(S2286, Lives!$A$2:$C$35, 2, 0))) * 12) + (IF(ISBLANK(Q2286), 0, IF(ISNA(VLOOKUP(Q2286, Wages!$A$2:$C$17, 2, 0)), Q2286, VLOOKUP(Q2286, Wages!$A$2:$C$17, 2, 0))) * IF(ISBLANK(N2286), 0, IF(ISNA(VLOOKUP(N2286, Crews!$A$2:$C$28, 2, 0)), N2286, VLOOKUP(N2286, Crews!$A$2:$C$28, 2, 0))))) * 400</f>
        <v>53472.22222</v>
      </c>
      <c r="K2286" s="3" t="s">
        <v>4505</v>
      </c>
      <c r="L2286" s="1" t="s">
        <v>4506</v>
      </c>
      <c r="M2286" s="1" t="n">
        <v>0</v>
      </c>
      <c r="N2286" s="1" t="s">
        <v>2342</v>
      </c>
      <c r="O2286" s="1"/>
      <c r="P2286" s="1" t="n">
        <v>0.02</v>
      </c>
      <c r="Q2286" s="1" t="s">
        <v>2229</v>
      </c>
      <c r="R2286" s="1" t="s">
        <v>4413</v>
      </c>
      <c r="S2286" s="1" t="s">
        <v>2229</v>
      </c>
      <c r="T2286" s="1" t="s">
        <v>4074</v>
      </c>
    </row>
    <row r="2287" customFormat="false" ht="15" hidden="false" customHeight="true" outlineLevel="0" collapsed="false">
      <c r="A2287" s="1" t="s">
        <v>4507</v>
      </c>
      <c r="B2287" s="1" t="n">
        <v>1974</v>
      </c>
      <c r="C2287" s="1" t="n">
        <v>2</v>
      </c>
      <c r="D2287" s="1" t="s">
        <v>2225</v>
      </c>
      <c r="E2287" s="1" t="s">
        <v>3660</v>
      </c>
      <c r="F2287" s="1" t="n">
        <v>1250</v>
      </c>
      <c r="G2287" s="1" t="n">
        <v>515</v>
      </c>
      <c r="H2287" s="2" t="n">
        <v>5000000</v>
      </c>
      <c r="I2287" s="2" t="n">
        <f aca="false">(((H2287 / 800) / IF(ISBLANK(R2287), 1000000, IF(ISNA(VLOOKUP(R2287, Mileages!$A$2:$C$34, 2, 0)), R2287, VLOOKUP(R2287, Mileages!$A$2:$C$34, 2, 0)))) + (F2287 * IF(ISBLANK(P2287), 1, P2287) * IF(ISBLANK(T2287), 0, IF(ISNA(VLOOKUP(T2287, 'Fuel Costs'!$A$2:$C$42, 2, 0)), T2287, VLOOKUP(T2287, 'Fuel Costs'!$A$2:$C$42, 2, 0))) / IF(ISBLANK(O2287), 1, O2287))) * 100</f>
        <v>7.520833333</v>
      </c>
      <c r="J2287" s="2" t="n">
        <f aca="false">((H2287 / 800) / (IF(ISBLANK(S2287), 100, IF(ISNA(VLOOKUP(S2287, Lives!$A$2:$C$35, 2, 0)), S2287, VLOOKUP(S2287, Lives!$A$2:$C$35, 2, 0))) * 12) + (IF(ISBLANK(Q2287), 0, IF(ISNA(VLOOKUP(Q2287, Wages!$A$2:$C$17, 2, 0)), Q2287, VLOOKUP(Q2287, Wages!$A$2:$C$17, 2, 0))) * IF(ISBLANK(N2287), 0, IF(ISNA(VLOOKUP(N2287, Crews!$A$2:$C$28, 2, 0)), N2287, VLOOKUP(N2287, Crews!$A$2:$C$28, 2, 0))))) * 400</f>
        <v>13472.22222</v>
      </c>
      <c r="K2287" s="3" t="s">
        <v>4508</v>
      </c>
      <c r="L2287" s="1" t="s">
        <v>4506</v>
      </c>
      <c r="M2287" s="1" t="n">
        <v>1</v>
      </c>
      <c r="N2287" s="1" t="s">
        <v>25</v>
      </c>
      <c r="O2287" s="1"/>
      <c r="P2287" s="1" t="n">
        <v>0.02</v>
      </c>
      <c r="Q2287" s="1" t="s">
        <v>2229</v>
      </c>
      <c r="R2287" s="1" t="s">
        <v>4413</v>
      </c>
      <c r="S2287" s="1" t="s">
        <v>2229</v>
      </c>
      <c r="T2287" s="1" t="s">
        <v>4074</v>
      </c>
    </row>
    <row r="2288" customFormat="false" ht="15" hidden="false" customHeight="true" outlineLevel="0" collapsed="false">
      <c r="A2288" s="1" t="s">
        <v>4509</v>
      </c>
      <c r="B2288" s="1" t="n">
        <v>1974</v>
      </c>
      <c r="C2288" s="1" t="n">
        <v>4</v>
      </c>
      <c r="D2288" s="1" t="s">
        <v>21</v>
      </c>
      <c r="E2288" s="1" t="s">
        <v>2039</v>
      </c>
      <c r="F2288" s="1" t="n">
        <v>114</v>
      </c>
      <c r="G2288" s="1" t="n">
        <v>75</v>
      </c>
      <c r="H2288" s="2" t="n">
        <v>3950000</v>
      </c>
      <c r="I2288" s="2" t="n">
        <f aca="false">(((H2288 / 800) / IF(ISBLANK(R2288), 1000000, IF(ISNA(VLOOKUP(R2288, Mileages!$A$2:$C$34, 2, 0)), R2288, VLOOKUP(R2288, Mileages!$A$2:$C$34, 2, 0)))) + (F2288 * IF(ISBLANK(P2288), 1, P2288) * IF(ISBLANK(T2288), 0, IF(ISNA(VLOOKUP(T2288, 'Fuel Costs'!$A$2:$C$42, 2, 0)), T2288, VLOOKUP(T2288, 'Fuel Costs'!$A$2:$C$42, 2, 0))) / IF(ISBLANK(O2288), 1, O2288))) * 100</f>
        <v>57.49375</v>
      </c>
      <c r="J2288" s="2" t="n">
        <f aca="false">((H2288 / 800) / (IF(ISBLANK(S2288), 100, IF(ISNA(VLOOKUP(S2288, Lives!$A$2:$C$35, 2, 0)), S2288, VLOOKUP(S2288, Lives!$A$2:$C$35, 2, 0))) * 12) + (IF(ISBLANK(Q2288), 0, IF(ISNA(VLOOKUP(Q2288, Wages!$A$2:$C$17, 2, 0)), Q2288, VLOOKUP(Q2288, Wages!$A$2:$C$17, 2, 0))) * IF(ISBLANK(N2288), 0, IF(ISNA(VLOOKUP(N2288, Crews!$A$2:$C$28, 2, 0)), N2288, VLOOKUP(N2288, Crews!$A$2:$C$28, 2, 0))))) * 400</f>
        <v>10057.29167</v>
      </c>
      <c r="K2288" s="3" t="s">
        <v>4510</v>
      </c>
      <c r="L2288" s="1" t="s">
        <v>4511</v>
      </c>
      <c r="M2288" s="1" t="n">
        <v>0</v>
      </c>
      <c r="N2288" s="1" t="s">
        <v>1815</v>
      </c>
      <c r="O2288" s="1" t="n">
        <v>0.8</v>
      </c>
      <c r="P2288" s="1"/>
      <c r="Q2288" s="1" t="s">
        <v>1815</v>
      </c>
      <c r="R2288" s="1" t="s">
        <v>1843</v>
      </c>
      <c r="S2288" s="1" t="s">
        <v>1843</v>
      </c>
      <c r="T2288" s="1" t="s">
        <v>4079</v>
      </c>
    </row>
    <row r="2289" customFormat="false" ht="15" hidden="false" customHeight="true" outlineLevel="0" collapsed="false">
      <c r="A2289" s="1" t="s">
        <v>4512</v>
      </c>
      <c r="B2289" s="1" t="n">
        <v>1974</v>
      </c>
      <c r="C2289" s="1" t="n">
        <v>4</v>
      </c>
      <c r="D2289" s="1" t="s">
        <v>21</v>
      </c>
      <c r="E2289" s="1" t="s">
        <v>2039</v>
      </c>
      <c r="F2289" s="1" t="n">
        <v>114</v>
      </c>
      <c r="G2289" s="1" t="n">
        <v>87</v>
      </c>
      <c r="H2289" s="2" t="n">
        <v>4120000</v>
      </c>
      <c r="I2289" s="2" t="n">
        <f aca="false">(((H2289 / 800) / IF(ISBLANK(R2289), 1000000, IF(ISNA(VLOOKUP(R2289, Mileages!$A$2:$C$34, 2, 0)), R2289, VLOOKUP(R2289, Mileages!$A$2:$C$34, 2, 0)))) + (F2289 * IF(ISBLANK(P2289), 1, P2289) * IF(ISBLANK(T2289), 0, IF(ISNA(VLOOKUP(T2289, 'Fuel Costs'!$A$2:$C$42, 2, 0)), T2289, VLOOKUP(T2289, 'Fuel Costs'!$A$2:$C$42, 2, 0))) / IF(ISBLANK(O2289), 1, O2289))) * 100</f>
        <v>57.515</v>
      </c>
      <c r="J2289" s="2" t="n">
        <f aca="false">((H2289 / 800) / (IF(ISBLANK(S2289), 100, IF(ISNA(VLOOKUP(S2289, Lives!$A$2:$C$35, 2, 0)), S2289, VLOOKUP(S2289, Lives!$A$2:$C$35, 2, 0))) * 12) + (IF(ISBLANK(Q2289), 0, IF(ISNA(VLOOKUP(Q2289, Wages!$A$2:$C$17, 2, 0)), Q2289, VLOOKUP(Q2289, Wages!$A$2:$C$17, 2, 0))) * IF(ISBLANK(N2289), 0, IF(ISNA(VLOOKUP(N2289, Crews!$A$2:$C$28, 2, 0)), N2289, VLOOKUP(N2289, Crews!$A$2:$C$28, 2, 0))))) * 400</f>
        <v>10145.83333</v>
      </c>
      <c r="K2289" s="3" t="s">
        <v>4513</v>
      </c>
      <c r="L2289" s="1" t="s">
        <v>4511</v>
      </c>
      <c r="M2289" s="1" t="n">
        <v>1</v>
      </c>
      <c r="N2289" s="1" t="s">
        <v>1815</v>
      </c>
      <c r="O2289" s="1" t="n">
        <v>0.8</v>
      </c>
      <c r="P2289" s="1"/>
      <c r="Q2289" s="1" t="s">
        <v>1815</v>
      </c>
      <c r="R2289" s="1" t="s">
        <v>1843</v>
      </c>
      <c r="S2289" s="1" t="s">
        <v>1843</v>
      </c>
      <c r="T2289" s="1" t="s">
        <v>4079</v>
      </c>
    </row>
    <row r="2290" customFormat="false" ht="15" hidden="false" customHeight="true" outlineLevel="0" collapsed="false">
      <c r="A2290" s="1" t="s">
        <v>4514</v>
      </c>
      <c r="B2290" s="1" t="n">
        <v>1974</v>
      </c>
      <c r="C2290" s="1" t="n">
        <v>6</v>
      </c>
      <c r="D2290" s="1" t="s">
        <v>21</v>
      </c>
      <c r="E2290" s="1" t="s">
        <v>2039</v>
      </c>
      <c r="F2290" s="1" t="n">
        <v>127</v>
      </c>
      <c r="G2290" s="1" t="n">
        <v>85</v>
      </c>
      <c r="H2290" s="2" t="n">
        <v>7250000</v>
      </c>
      <c r="I2290" s="2" t="n">
        <f aca="false">(((H2290 / 800) / IF(ISBLANK(R2290), 1000000, IF(ISNA(VLOOKUP(R2290, Mileages!$A$2:$C$34, 2, 0)), R2290, VLOOKUP(R2290, Mileages!$A$2:$C$34, 2, 0)))) + (F2290 * IF(ISBLANK(P2290), 1, P2290) * IF(ISBLANK(T2290), 0, IF(ISNA(VLOOKUP(T2290, 'Fuel Costs'!$A$2:$C$42, 2, 0)), T2290, VLOOKUP(T2290, 'Fuel Costs'!$A$2:$C$42, 2, 0))) / IF(ISBLANK(O2290), 1, O2290))) * 100</f>
        <v>64.40625</v>
      </c>
      <c r="J2290" s="2" t="n">
        <f aca="false">((H2290 / 800) / (IF(ISBLANK(S2290), 100, IF(ISNA(VLOOKUP(S2290, Lives!$A$2:$C$35, 2, 0)), S2290, VLOOKUP(S2290, Lives!$A$2:$C$35, 2, 0))) * 12) + (IF(ISBLANK(Q2290), 0, IF(ISNA(VLOOKUP(Q2290, Wages!$A$2:$C$17, 2, 0)), Q2290, VLOOKUP(Q2290, Wages!$A$2:$C$17, 2, 0))) * IF(ISBLANK(N2290), 0, IF(ISNA(VLOOKUP(N2290, Crews!$A$2:$C$28, 2, 0)), N2290, VLOOKUP(N2290, Crews!$A$2:$C$28, 2, 0))))) * 400</f>
        <v>11776.04167</v>
      </c>
      <c r="K2290" s="3" t="s">
        <v>4515</v>
      </c>
      <c r="L2290" s="1" t="s">
        <v>4516</v>
      </c>
      <c r="M2290" s="1" t="n">
        <v>0</v>
      </c>
      <c r="N2290" s="1" t="s">
        <v>1815</v>
      </c>
      <c r="O2290" s="1" t="n">
        <v>0.8</v>
      </c>
      <c r="P2290" s="1"/>
      <c r="Q2290" s="1" t="s">
        <v>1815</v>
      </c>
      <c r="R2290" s="1" t="s">
        <v>1843</v>
      </c>
      <c r="S2290" s="1" t="s">
        <v>1843</v>
      </c>
      <c r="T2290" s="1" t="s">
        <v>4079</v>
      </c>
    </row>
    <row r="2291" customFormat="false" ht="15" hidden="false" customHeight="true" outlineLevel="0" collapsed="false">
      <c r="A2291" s="1" t="s">
        <v>4517</v>
      </c>
      <c r="B2291" s="1" t="n">
        <v>1974</v>
      </c>
      <c r="C2291" s="1" t="n">
        <v>9</v>
      </c>
      <c r="D2291" s="1" t="s">
        <v>21</v>
      </c>
      <c r="E2291" s="1" t="s">
        <v>2039</v>
      </c>
      <c r="F2291" s="1" t="n">
        <v>108</v>
      </c>
      <c r="G2291" s="1" t="n">
        <v>70</v>
      </c>
      <c r="H2291" s="2" t="n">
        <v>5800000</v>
      </c>
      <c r="I2291" s="2" t="n">
        <f aca="false">(((H2291 / 800) / IF(ISBLANK(R2291), 1000000, IF(ISNA(VLOOKUP(R2291, Mileages!$A$2:$C$34, 2, 0)), R2291, VLOOKUP(R2291, Mileages!$A$2:$C$34, 2, 0)))) + (F2291 * IF(ISBLANK(P2291), 1, P2291) * IF(ISBLANK(T2291), 0, IF(ISNA(VLOOKUP(T2291, 'Fuel Costs'!$A$2:$C$42, 2, 0)), T2291, VLOOKUP(T2291, 'Fuel Costs'!$A$2:$C$42, 2, 0))) / IF(ISBLANK(O2291), 1, O2291))) * 100</f>
        <v>54.96666667</v>
      </c>
      <c r="J2291" s="2" t="n">
        <f aca="false">((H2291 / 800) / (IF(ISBLANK(S2291), 100, IF(ISNA(VLOOKUP(S2291, Lives!$A$2:$C$35, 2, 0)), S2291, VLOOKUP(S2291, Lives!$A$2:$C$35, 2, 0))) * 12) + (IF(ISBLANK(Q2291), 0, IF(ISNA(VLOOKUP(Q2291, Wages!$A$2:$C$17, 2, 0)), Q2291, VLOOKUP(Q2291, Wages!$A$2:$C$17, 2, 0))) * IF(ISBLANK(N2291), 0, IF(ISNA(VLOOKUP(N2291, Crews!$A$2:$C$28, 2, 0)), N2291, VLOOKUP(N2291, Crews!$A$2:$C$28, 2, 0))))) * 400</f>
        <v>12041.66667</v>
      </c>
      <c r="K2291" s="3" t="s">
        <v>4518</v>
      </c>
      <c r="L2291" s="1" t="s">
        <v>4519</v>
      </c>
      <c r="M2291" s="1" t="n">
        <v>0</v>
      </c>
      <c r="N2291" s="1" t="s">
        <v>3064</v>
      </c>
      <c r="O2291" s="1" t="n">
        <v>0.8</v>
      </c>
      <c r="P2291" s="1"/>
      <c r="Q2291" s="1" t="s">
        <v>3064</v>
      </c>
      <c r="R2291" s="1" t="s">
        <v>3064</v>
      </c>
      <c r="S2291" s="1" t="s">
        <v>3064</v>
      </c>
      <c r="T2291" s="1" t="s">
        <v>4079</v>
      </c>
    </row>
    <row r="2292" customFormat="false" ht="15" hidden="false" customHeight="true" outlineLevel="0" collapsed="false">
      <c r="A2292" s="1" t="s">
        <v>4520</v>
      </c>
      <c r="B2292" s="1" t="n">
        <v>1974</v>
      </c>
      <c r="C2292" s="1" t="n">
        <v>9</v>
      </c>
      <c r="D2292" s="1" t="s">
        <v>21</v>
      </c>
      <c r="E2292" s="1" t="s">
        <v>2039</v>
      </c>
      <c r="F2292" s="1" t="n">
        <v>108</v>
      </c>
      <c r="G2292" s="1" t="n">
        <v>70</v>
      </c>
      <c r="H2292" s="2" t="n">
        <v>5950000</v>
      </c>
      <c r="I2292" s="2" t="n">
        <f aca="false">(((H2292 / 800) / IF(ISBLANK(R2292), 1000000, IF(ISNA(VLOOKUP(R2292, Mileages!$A$2:$C$34, 2, 0)), R2292, VLOOKUP(R2292, Mileages!$A$2:$C$34, 2, 0)))) + (F2292 * IF(ISBLANK(P2292), 1, P2292) * IF(ISBLANK(T2292), 0, IF(ISNA(VLOOKUP(T2292, 'Fuel Costs'!$A$2:$C$42, 2, 0)), T2292, VLOOKUP(T2292, 'Fuel Costs'!$A$2:$C$42, 2, 0))) / IF(ISBLANK(O2292), 1, O2292))) * 100</f>
        <v>54.99166667</v>
      </c>
      <c r="J2292" s="2" t="n">
        <f aca="false">((H2292 / 800) / (IF(ISBLANK(S2292), 100, IF(ISNA(VLOOKUP(S2292, Lives!$A$2:$C$35, 2, 0)), S2292, VLOOKUP(S2292, Lives!$A$2:$C$35, 2, 0))) * 12) + (IF(ISBLANK(Q2292), 0, IF(ISNA(VLOOKUP(Q2292, Wages!$A$2:$C$17, 2, 0)), Q2292, VLOOKUP(Q2292, Wages!$A$2:$C$17, 2, 0))) * IF(ISBLANK(N2292), 0, IF(ISNA(VLOOKUP(N2292, Crews!$A$2:$C$28, 2, 0)), N2292, VLOOKUP(N2292, Crews!$A$2:$C$28, 2, 0))))) * 400</f>
        <v>12197.91667</v>
      </c>
      <c r="K2292" s="3" t="s">
        <v>4521</v>
      </c>
      <c r="L2292" s="1" t="s">
        <v>4519</v>
      </c>
      <c r="M2292" s="1" t="n">
        <v>1</v>
      </c>
      <c r="N2292" s="1" t="s">
        <v>3064</v>
      </c>
      <c r="O2292" s="1" t="n">
        <v>0.8</v>
      </c>
      <c r="P2292" s="1"/>
      <c r="Q2292" s="1" t="s">
        <v>3064</v>
      </c>
      <c r="R2292" s="1" t="s">
        <v>3064</v>
      </c>
      <c r="S2292" s="1" t="s">
        <v>3064</v>
      </c>
      <c r="T2292" s="1" t="s">
        <v>4079</v>
      </c>
    </row>
    <row r="2293" customFormat="false" ht="15" hidden="false" customHeight="true" outlineLevel="0" collapsed="false">
      <c r="A2293" s="1" t="s">
        <v>4522</v>
      </c>
      <c r="B2293" s="1" t="n">
        <v>1975</v>
      </c>
      <c r="C2293" s="1" t="n">
        <v>1</v>
      </c>
      <c r="D2293" s="1" t="s">
        <v>38</v>
      </c>
      <c r="E2293" s="1"/>
      <c r="F2293" s="1"/>
      <c r="G2293" s="1" t="n">
        <v>200</v>
      </c>
      <c r="H2293" s="2" t="n">
        <v>590000</v>
      </c>
      <c r="I2293" s="2" t="n">
        <f aca="false">(((H2293 / 800) / IF(ISBLANK(R2293), 1000000, IF(ISNA(VLOOKUP(R2293, Mileages!$A$2:$C$34, 2, 0)), R2293, VLOOKUP(R2293, Mileages!$A$2:$C$34, 2, 0)))) + (F2293 * IF(ISBLANK(P2293), 1, P2293) * IF(ISBLANK(T2293), 0, IF(ISNA(VLOOKUP(T2293, 'Fuel Costs'!$A$2:$C$42, 2, 0)), T2293, VLOOKUP(T2293, 'Fuel Costs'!$A$2:$C$42, 2, 0))) / IF(ISBLANK(O2293), 1, O2293))) * 100</f>
        <v>0.03072916667</v>
      </c>
      <c r="J2293" s="2" t="n">
        <f aca="false">((H2293 / 800) / (IF(ISBLANK(S2293), 100, IF(ISNA(VLOOKUP(S2293, Lives!$A$2:$C$35, 2, 0)), S2293, VLOOKUP(S2293, Lives!$A$2:$C$35, 2, 0))) * 12) + (IF(ISBLANK(Q2293), 0, IF(ISNA(VLOOKUP(Q2293, Wages!$A$2:$C$17, 2, 0)), Q2293, VLOOKUP(Q2293, Wages!$A$2:$C$17, 2, 0))) * IF(ISBLANK(N2293), 0, IF(ISNA(VLOOKUP(N2293, Crews!$A$2:$C$28, 2, 0)), N2293, VLOOKUP(N2293, Crews!$A$2:$C$28, 2, 0))))) * 400</f>
        <v>1229.166667</v>
      </c>
      <c r="K2293" s="1"/>
      <c r="L2293" s="1" t="s">
        <v>4523</v>
      </c>
      <c r="M2293" s="1" t="n">
        <v>0</v>
      </c>
      <c r="N2293" s="1"/>
      <c r="O2293" s="1"/>
      <c r="P2293" s="1"/>
      <c r="Q2293" s="1"/>
      <c r="R2293" s="1" t="s">
        <v>4419</v>
      </c>
      <c r="S2293" s="1" t="s">
        <v>4470</v>
      </c>
      <c r="T2293" s="1"/>
    </row>
    <row r="2294" customFormat="false" ht="15" hidden="false" customHeight="true" outlineLevel="0" collapsed="false">
      <c r="A2294" s="1" t="s">
        <v>4524</v>
      </c>
      <c r="B2294" s="1" t="n">
        <v>1975</v>
      </c>
      <c r="C2294" s="1" t="n">
        <v>1</v>
      </c>
      <c r="D2294" s="1" t="s">
        <v>38</v>
      </c>
      <c r="E2294" s="1"/>
      <c r="F2294" s="1"/>
      <c r="G2294" s="1" t="n">
        <v>200</v>
      </c>
      <c r="H2294" s="2" t="n">
        <v>590000</v>
      </c>
      <c r="I2294" s="2" t="n">
        <f aca="false">(((H2294 / 800) / IF(ISBLANK(R2294), 1000000, IF(ISNA(VLOOKUP(R2294, Mileages!$A$2:$C$34, 2, 0)), R2294, VLOOKUP(R2294, Mileages!$A$2:$C$34, 2, 0)))) + (F2294 * IF(ISBLANK(P2294), 1, P2294) * IF(ISBLANK(T2294), 0, IF(ISNA(VLOOKUP(T2294, 'Fuel Costs'!$A$2:$C$42, 2, 0)), T2294, VLOOKUP(T2294, 'Fuel Costs'!$A$2:$C$42, 2, 0))) / IF(ISBLANK(O2294), 1, O2294))) * 100</f>
        <v>0.03072916667</v>
      </c>
      <c r="J2294" s="2" t="n">
        <f aca="false">((H2294 / 800) / (IF(ISBLANK(S2294), 100, IF(ISNA(VLOOKUP(S2294, Lives!$A$2:$C$35, 2, 0)), S2294, VLOOKUP(S2294, Lives!$A$2:$C$35, 2, 0))) * 12) + (IF(ISBLANK(Q2294), 0, IF(ISNA(VLOOKUP(Q2294, Wages!$A$2:$C$17, 2, 0)), Q2294, VLOOKUP(Q2294, Wages!$A$2:$C$17, 2, 0))) * IF(ISBLANK(N2294), 0, IF(ISNA(VLOOKUP(N2294, Crews!$A$2:$C$28, 2, 0)), N2294, VLOOKUP(N2294, Crews!$A$2:$C$28, 2, 0))))) * 400</f>
        <v>1229.166667</v>
      </c>
      <c r="K2294" s="1"/>
      <c r="L2294" s="1" t="s">
        <v>4523</v>
      </c>
      <c r="M2294" s="1" t="n">
        <v>1</v>
      </c>
      <c r="N2294" s="1"/>
      <c r="O2294" s="1"/>
      <c r="P2294" s="1"/>
      <c r="Q2294" s="1"/>
      <c r="R2294" s="1" t="s">
        <v>4419</v>
      </c>
      <c r="S2294" s="1" t="s">
        <v>4470</v>
      </c>
      <c r="T2294" s="1"/>
    </row>
    <row r="2295" customFormat="false" ht="15" hidden="false" customHeight="true" outlineLevel="0" collapsed="false">
      <c r="A2295" s="1" t="s">
        <v>4525</v>
      </c>
      <c r="B2295" s="1" t="n">
        <v>1975</v>
      </c>
      <c r="C2295" s="1" t="n">
        <v>1</v>
      </c>
      <c r="D2295" s="1" t="s">
        <v>38</v>
      </c>
      <c r="E2295" s="1"/>
      <c r="F2295" s="1"/>
      <c r="G2295" s="1" t="n">
        <v>200</v>
      </c>
      <c r="H2295" s="2" t="n">
        <v>590000</v>
      </c>
      <c r="I2295" s="2" t="n">
        <f aca="false">(((H2295 / 800) / IF(ISBLANK(R2295), 1000000, IF(ISNA(VLOOKUP(R2295, Mileages!$A$2:$C$34, 2, 0)), R2295, VLOOKUP(R2295, Mileages!$A$2:$C$34, 2, 0)))) + (F2295 * IF(ISBLANK(P2295), 1, P2295) * IF(ISBLANK(T2295), 0, IF(ISNA(VLOOKUP(T2295, 'Fuel Costs'!$A$2:$C$42, 2, 0)), T2295, VLOOKUP(T2295, 'Fuel Costs'!$A$2:$C$42, 2, 0))) / IF(ISBLANK(O2295), 1, O2295))) * 100</f>
        <v>0.03072916667</v>
      </c>
      <c r="J2295" s="2" t="n">
        <f aca="false">((H2295 / 800) / (IF(ISBLANK(S2295), 100, IF(ISNA(VLOOKUP(S2295, Lives!$A$2:$C$35, 2, 0)), S2295, VLOOKUP(S2295, Lives!$A$2:$C$35, 2, 0))) * 12) + (IF(ISBLANK(Q2295), 0, IF(ISNA(VLOOKUP(Q2295, Wages!$A$2:$C$17, 2, 0)), Q2295, VLOOKUP(Q2295, Wages!$A$2:$C$17, 2, 0))) * IF(ISBLANK(N2295), 0, IF(ISNA(VLOOKUP(N2295, Crews!$A$2:$C$28, 2, 0)), N2295, VLOOKUP(N2295, Crews!$A$2:$C$28, 2, 0))))) * 400</f>
        <v>1229.166667</v>
      </c>
      <c r="K2295" s="1"/>
      <c r="L2295" s="1" t="s">
        <v>4523</v>
      </c>
      <c r="M2295" s="1" t="n">
        <v>2</v>
      </c>
      <c r="N2295" s="1"/>
      <c r="O2295" s="1"/>
      <c r="P2295" s="1"/>
      <c r="Q2295" s="1"/>
      <c r="R2295" s="1" t="s">
        <v>4419</v>
      </c>
      <c r="S2295" s="1" t="s">
        <v>4470</v>
      </c>
      <c r="T2295" s="1"/>
    </row>
    <row r="2296" customFormat="false" ht="15" hidden="false" customHeight="true" outlineLevel="0" collapsed="false">
      <c r="A2296" s="1" t="s">
        <v>4526</v>
      </c>
      <c r="B2296" s="1" t="n">
        <v>1975</v>
      </c>
      <c r="C2296" s="1" t="n">
        <v>1</v>
      </c>
      <c r="D2296" s="1" t="s">
        <v>38</v>
      </c>
      <c r="E2296" s="1"/>
      <c r="F2296" s="1"/>
      <c r="G2296" s="1" t="n">
        <v>200</v>
      </c>
      <c r="H2296" s="2" t="n">
        <v>590000</v>
      </c>
      <c r="I2296" s="2" t="n">
        <f aca="false">(((H2296 / 800) / IF(ISBLANK(R2296), 1000000, IF(ISNA(VLOOKUP(R2296, Mileages!$A$2:$C$34, 2, 0)), R2296, VLOOKUP(R2296, Mileages!$A$2:$C$34, 2, 0)))) + (F2296 * IF(ISBLANK(P2296), 1, P2296) * IF(ISBLANK(T2296), 0, IF(ISNA(VLOOKUP(T2296, 'Fuel Costs'!$A$2:$C$42, 2, 0)), T2296, VLOOKUP(T2296, 'Fuel Costs'!$A$2:$C$42, 2, 0))) / IF(ISBLANK(O2296), 1, O2296))) * 100</f>
        <v>0.03072916667</v>
      </c>
      <c r="J2296" s="2" t="n">
        <f aca="false">((H2296 / 800) / (IF(ISBLANK(S2296), 100, IF(ISNA(VLOOKUP(S2296, Lives!$A$2:$C$35, 2, 0)), S2296, VLOOKUP(S2296, Lives!$A$2:$C$35, 2, 0))) * 12) + (IF(ISBLANK(Q2296), 0, IF(ISNA(VLOOKUP(Q2296, Wages!$A$2:$C$17, 2, 0)), Q2296, VLOOKUP(Q2296, Wages!$A$2:$C$17, 2, 0))) * IF(ISBLANK(N2296), 0, IF(ISNA(VLOOKUP(N2296, Crews!$A$2:$C$28, 2, 0)), N2296, VLOOKUP(N2296, Crews!$A$2:$C$28, 2, 0))))) * 400</f>
        <v>1229.166667</v>
      </c>
      <c r="K2296" s="1"/>
      <c r="L2296" s="1" t="s">
        <v>4523</v>
      </c>
      <c r="M2296" s="1" t="n">
        <v>3</v>
      </c>
      <c r="N2296" s="1"/>
      <c r="O2296" s="1"/>
      <c r="P2296" s="1"/>
      <c r="Q2296" s="1"/>
      <c r="R2296" s="1" t="s">
        <v>4419</v>
      </c>
      <c r="S2296" s="1" t="s">
        <v>4470</v>
      </c>
      <c r="T2296" s="1"/>
    </row>
    <row r="2297" customFormat="false" ht="15" hidden="false" customHeight="true" outlineLevel="0" collapsed="false">
      <c r="A2297" s="1" t="s">
        <v>4527</v>
      </c>
      <c r="B2297" s="1" t="n">
        <v>1975</v>
      </c>
      <c r="C2297" s="1" t="n">
        <v>1</v>
      </c>
      <c r="D2297" s="1" t="s">
        <v>38</v>
      </c>
      <c r="E2297" s="1"/>
      <c r="F2297" s="1"/>
      <c r="G2297" s="1" t="n">
        <v>200</v>
      </c>
      <c r="H2297" s="2" t="n">
        <v>590000</v>
      </c>
      <c r="I2297" s="2" t="n">
        <f aca="false">(((H2297 / 800) / IF(ISBLANK(R2297), 1000000, IF(ISNA(VLOOKUP(R2297, Mileages!$A$2:$C$34, 2, 0)), R2297, VLOOKUP(R2297, Mileages!$A$2:$C$34, 2, 0)))) + (F2297 * IF(ISBLANK(P2297), 1, P2297) * IF(ISBLANK(T2297), 0, IF(ISNA(VLOOKUP(T2297, 'Fuel Costs'!$A$2:$C$42, 2, 0)), T2297, VLOOKUP(T2297, 'Fuel Costs'!$A$2:$C$42, 2, 0))) / IF(ISBLANK(O2297), 1, O2297))) * 100</f>
        <v>0.03072916667</v>
      </c>
      <c r="J2297" s="2" t="n">
        <f aca="false">((H2297 / 800) / (IF(ISBLANK(S2297), 100, IF(ISNA(VLOOKUP(S2297, Lives!$A$2:$C$35, 2, 0)), S2297, VLOOKUP(S2297, Lives!$A$2:$C$35, 2, 0))) * 12) + (IF(ISBLANK(Q2297), 0, IF(ISNA(VLOOKUP(Q2297, Wages!$A$2:$C$17, 2, 0)), Q2297, VLOOKUP(Q2297, Wages!$A$2:$C$17, 2, 0))) * IF(ISBLANK(N2297), 0, IF(ISNA(VLOOKUP(N2297, Crews!$A$2:$C$28, 2, 0)), N2297, VLOOKUP(N2297, Crews!$A$2:$C$28, 2, 0))))) * 400</f>
        <v>1229.166667</v>
      </c>
      <c r="K2297" s="1"/>
      <c r="L2297" s="1" t="s">
        <v>4528</v>
      </c>
      <c r="M2297" s="1" t="n">
        <v>0</v>
      </c>
      <c r="N2297" s="1"/>
      <c r="O2297" s="1"/>
      <c r="P2297" s="1"/>
      <c r="Q2297" s="1"/>
      <c r="R2297" s="1" t="s">
        <v>4419</v>
      </c>
      <c r="S2297" s="1" t="s">
        <v>4470</v>
      </c>
      <c r="T2297" s="1"/>
    </row>
    <row r="2298" customFormat="false" ht="15" hidden="false" customHeight="true" outlineLevel="0" collapsed="false">
      <c r="A2298" s="1" t="s">
        <v>4529</v>
      </c>
      <c r="B2298" s="1" t="n">
        <v>1975</v>
      </c>
      <c r="C2298" s="1" t="n">
        <v>1</v>
      </c>
      <c r="D2298" s="1" t="s">
        <v>38</v>
      </c>
      <c r="E2298" s="1"/>
      <c r="F2298" s="1"/>
      <c r="G2298" s="1" t="n">
        <v>200</v>
      </c>
      <c r="H2298" s="2" t="n">
        <v>590000</v>
      </c>
      <c r="I2298" s="2" t="n">
        <f aca="false">(((H2298 / 800) / IF(ISBLANK(R2298), 1000000, IF(ISNA(VLOOKUP(R2298, Mileages!$A$2:$C$34, 2, 0)), R2298, VLOOKUP(R2298, Mileages!$A$2:$C$34, 2, 0)))) + (F2298 * IF(ISBLANK(P2298), 1, P2298) * IF(ISBLANK(T2298), 0, IF(ISNA(VLOOKUP(T2298, 'Fuel Costs'!$A$2:$C$42, 2, 0)), T2298, VLOOKUP(T2298, 'Fuel Costs'!$A$2:$C$42, 2, 0))) / IF(ISBLANK(O2298), 1, O2298))) * 100</f>
        <v>0.03072916667</v>
      </c>
      <c r="J2298" s="2" t="n">
        <f aca="false">((H2298 / 800) / (IF(ISBLANK(S2298), 100, IF(ISNA(VLOOKUP(S2298, Lives!$A$2:$C$35, 2, 0)), S2298, VLOOKUP(S2298, Lives!$A$2:$C$35, 2, 0))) * 12) + (IF(ISBLANK(Q2298), 0, IF(ISNA(VLOOKUP(Q2298, Wages!$A$2:$C$17, 2, 0)), Q2298, VLOOKUP(Q2298, Wages!$A$2:$C$17, 2, 0))) * IF(ISBLANK(N2298), 0, IF(ISNA(VLOOKUP(N2298, Crews!$A$2:$C$28, 2, 0)), N2298, VLOOKUP(N2298, Crews!$A$2:$C$28, 2, 0))))) * 400</f>
        <v>1229.166667</v>
      </c>
      <c r="K2298" s="1"/>
      <c r="L2298" s="1" t="s">
        <v>4528</v>
      </c>
      <c r="M2298" s="1" t="n">
        <v>1</v>
      </c>
      <c r="N2298" s="1"/>
      <c r="O2298" s="1"/>
      <c r="P2298" s="1"/>
      <c r="Q2298" s="1"/>
      <c r="R2298" s="1" t="s">
        <v>4419</v>
      </c>
      <c r="S2298" s="1" t="s">
        <v>4470</v>
      </c>
      <c r="T2298" s="1"/>
    </row>
    <row r="2299" customFormat="false" ht="15" hidden="false" customHeight="true" outlineLevel="0" collapsed="false">
      <c r="A2299" s="1" t="s">
        <v>4530</v>
      </c>
      <c r="B2299" s="1" t="n">
        <v>1975</v>
      </c>
      <c r="C2299" s="1" t="n">
        <v>1</v>
      </c>
      <c r="D2299" s="1" t="s">
        <v>38</v>
      </c>
      <c r="E2299" s="1"/>
      <c r="F2299" s="1"/>
      <c r="G2299" s="1" t="n">
        <v>200</v>
      </c>
      <c r="H2299" s="2" t="n">
        <v>590000</v>
      </c>
      <c r="I2299" s="2" t="n">
        <f aca="false">(((H2299 / 800) / IF(ISBLANK(R2299), 1000000, IF(ISNA(VLOOKUP(R2299, Mileages!$A$2:$C$34, 2, 0)), R2299, VLOOKUP(R2299, Mileages!$A$2:$C$34, 2, 0)))) + (F2299 * IF(ISBLANK(P2299), 1, P2299) * IF(ISBLANK(T2299), 0, IF(ISNA(VLOOKUP(T2299, 'Fuel Costs'!$A$2:$C$42, 2, 0)), T2299, VLOOKUP(T2299, 'Fuel Costs'!$A$2:$C$42, 2, 0))) / IF(ISBLANK(O2299), 1, O2299))) * 100</f>
        <v>0.03072916667</v>
      </c>
      <c r="J2299" s="2" t="n">
        <f aca="false">((H2299 / 800) / (IF(ISBLANK(S2299), 100, IF(ISNA(VLOOKUP(S2299, Lives!$A$2:$C$35, 2, 0)), S2299, VLOOKUP(S2299, Lives!$A$2:$C$35, 2, 0))) * 12) + (IF(ISBLANK(Q2299), 0, IF(ISNA(VLOOKUP(Q2299, Wages!$A$2:$C$17, 2, 0)), Q2299, VLOOKUP(Q2299, Wages!$A$2:$C$17, 2, 0))) * IF(ISBLANK(N2299), 0, IF(ISNA(VLOOKUP(N2299, Crews!$A$2:$C$28, 2, 0)), N2299, VLOOKUP(N2299, Crews!$A$2:$C$28, 2, 0))))) * 400</f>
        <v>1229.166667</v>
      </c>
      <c r="K2299" s="1"/>
      <c r="L2299" s="1" t="s">
        <v>4531</v>
      </c>
      <c r="M2299" s="1" t="n">
        <v>0</v>
      </c>
      <c r="N2299" s="1"/>
      <c r="O2299" s="1"/>
      <c r="P2299" s="1"/>
      <c r="Q2299" s="1"/>
      <c r="R2299" s="1" t="s">
        <v>4419</v>
      </c>
      <c r="S2299" s="1" t="s">
        <v>4470</v>
      </c>
      <c r="T2299" s="1"/>
    </row>
    <row r="2300" customFormat="false" ht="15" hidden="false" customHeight="true" outlineLevel="0" collapsed="false">
      <c r="A2300" s="1" t="s">
        <v>4532</v>
      </c>
      <c r="B2300" s="1" t="n">
        <v>1975</v>
      </c>
      <c r="C2300" s="1" t="n">
        <v>1</v>
      </c>
      <c r="D2300" s="1" t="s">
        <v>38</v>
      </c>
      <c r="E2300" s="1"/>
      <c r="F2300" s="1"/>
      <c r="G2300" s="1" t="n">
        <v>200</v>
      </c>
      <c r="H2300" s="2" t="n">
        <v>590000</v>
      </c>
      <c r="I2300" s="2" t="n">
        <f aca="false">(((H2300 / 800) / IF(ISBLANK(R2300), 1000000, IF(ISNA(VLOOKUP(R2300, Mileages!$A$2:$C$34, 2, 0)), R2300, VLOOKUP(R2300, Mileages!$A$2:$C$34, 2, 0)))) + (F2300 * IF(ISBLANK(P2300), 1, P2300) * IF(ISBLANK(T2300), 0, IF(ISNA(VLOOKUP(T2300, 'Fuel Costs'!$A$2:$C$42, 2, 0)), T2300, VLOOKUP(T2300, 'Fuel Costs'!$A$2:$C$42, 2, 0))) / IF(ISBLANK(O2300), 1, O2300))) * 100</f>
        <v>0.03072916667</v>
      </c>
      <c r="J2300" s="2" t="n">
        <f aca="false">((H2300 / 800) / (IF(ISBLANK(S2300), 100, IF(ISNA(VLOOKUP(S2300, Lives!$A$2:$C$35, 2, 0)), S2300, VLOOKUP(S2300, Lives!$A$2:$C$35, 2, 0))) * 12) + (IF(ISBLANK(Q2300), 0, IF(ISNA(VLOOKUP(Q2300, Wages!$A$2:$C$17, 2, 0)), Q2300, VLOOKUP(Q2300, Wages!$A$2:$C$17, 2, 0))) * IF(ISBLANK(N2300), 0, IF(ISNA(VLOOKUP(N2300, Crews!$A$2:$C$28, 2, 0)), N2300, VLOOKUP(N2300, Crews!$A$2:$C$28, 2, 0))))) * 400</f>
        <v>1229.166667</v>
      </c>
      <c r="K2300" s="1"/>
      <c r="L2300" s="1" t="s">
        <v>4531</v>
      </c>
      <c r="M2300" s="1" t="n">
        <v>1</v>
      </c>
      <c r="N2300" s="1"/>
      <c r="O2300" s="1"/>
      <c r="P2300" s="1"/>
      <c r="Q2300" s="1"/>
      <c r="R2300" s="1" t="s">
        <v>4419</v>
      </c>
      <c r="S2300" s="1" t="s">
        <v>4470</v>
      </c>
      <c r="T2300" s="1"/>
    </row>
    <row r="2301" customFormat="false" ht="15" hidden="false" customHeight="true" outlineLevel="0" collapsed="false">
      <c r="A2301" s="1" t="s">
        <v>4533</v>
      </c>
      <c r="B2301" s="1" t="n">
        <v>1975</v>
      </c>
      <c r="C2301" s="1" t="n">
        <v>1</v>
      </c>
      <c r="D2301" s="1" t="s">
        <v>38</v>
      </c>
      <c r="E2301" s="1"/>
      <c r="F2301" s="1"/>
      <c r="G2301" s="1" t="n">
        <v>200</v>
      </c>
      <c r="H2301" s="2" t="n">
        <v>590000</v>
      </c>
      <c r="I2301" s="2" t="n">
        <f aca="false">(((H2301 / 800) / IF(ISBLANK(R2301), 1000000, IF(ISNA(VLOOKUP(R2301, Mileages!$A$2:$C$34, 2, 0)), R2301, VLOOKUP(R2301, Mileages!$A$2:$C$34, 2, 0)))) + (F2301 * IF(ISBLANK(P2301), 1, P2301) * IF(ISBLANK(T2301), 0, IF(ISNA(VLOOKUP(T2301, 'Fuel Costs'!$A$2:$C$42, 2, 0)), T2301, VLOOKUP(T2301, 'Fuel Costs'!$A$2:$C$42, 2, 0))) / IF(ISBLANK(O2301), 1, O2301))) * 100</f>
        <v>0.03072916667</v>
      </c>
      <c r="J2301" s="2" t="n">
        <f aca="false">((H2301 / 800) / (IF(ISBLANK(S2301), 100, IF(ISNA(VLOOKUP(S2301, Lives!$A$2:$C$35, 2, 0)), S2301, VLOOKUP(S2301, Lives!$A$2:$C$35, 2, 0))) * 12) + (IF(ISBLANK(Q2301), 0, IF(ISNA(VLOOKUP(Q2301, Wages!$A$2:$C$17, 2, 0)), Q2301, VLOOKUP(Q2301, Wages!$A$2:$C$17, 2, 0))) * IF(ISBLANK(N2301), 0, IF(ISNA(VLOOKUP(N2301, Crews!$A$2:$C$28, 2, 0)), N2301, VLOOKUP(N2301, Crews!$A$2:$C$28, 2, 0))))) * 400</f>
        <v>1229.166667</v>
      </c>
      <c r="K2301" s="1"/>
      <c r="L2301" s="1" t="s">
        <v>4534</v>
      </c>
      <c r="M2301" s="1" t="n">
        <v>0</v>
      </c>
      <c r="N2301" s="1"/>
      <c r="O2301" s="1"/>
      <c r="P2301" s="1"/>
      <c r="Q2301" s="1"/>
      <c r="R2301" s="1" t="s">
        <v>4419</v>
      </c>
      <c r="S2301" s="1" t="s">
        <v>4470</v>
      </c>
      <c r="T2301" s="1"/>
    </row>
    <row r="2302" customFormat="false" ht="15" hidden="false" customHeight="true" outlineLevel="0" collapsed="false">
      <c r="A2302" s="1" t="s">
        <v>4535</v>
      </c>
      <c r="B2302" s="1" t="n">
        <v>1975</v>
      </c>
      <c r="C2302" s="1" t="n">
        <v>1</v>
      </c>
      <c r="D2302" s="1" t="s">
        <v>38</v>
      </c>
      <c r="E2302" s="1"/>
      <c r="F2302" s="1"/>
      <c r="G2302" s="1" t="n">
        <v>200</v>
      </c>
      <c r="H2302" s="2" t="n">
        <v>590000</v>
      </c>
      <c r="I2302" s="2" t="n">
        <f aca="false">(((H2302 / 800) / IF(ISBLANK(R2302), 1000000, IF(ISNA(VLOOKUP(R2302, Mileages!$A$2:$C$34, 2, 0)), R2302, VLOOKUP(R2302, Mileages!$A$2:$C$34, 2, 0)))) + (F2302 * IF(ISBLANK(P2302), 1, P2302) * IF(ISBLANK(T2302), 0, IF(ISNA(VLOOKUP(T2302, 'Fuel Costs'!$A$2:$C$42, 2, 0)), T2302, VLOOKUP(T2302, 'Fuel Costs'!$A$2:$C$42, 2, 0))) / IF(ISBLANK(O2302), 1, O2302))) * 100</f>
        <v>0.03072916667</v>
      </c>
      <c r="J2302" s="2" t="n">
        <f aca="false">((H2302 / 800) / (IF(ISBLANK(S2302), 100, IF(ISNA(VLOOKUP(S2302, Lives!$A$2:$C$35, 2, 0)), S2302, VLOOKUP(S2302, Lives!$A$2:$C$35, 2, 0))) * 12) + (IF(ISBLANK(Q2302), 0, IF(ISNA(VLOOKUP(Q2302, Wages!$A$2:$C$17, 2, 0)), Q2302, VLOOKUP(Q2302, Wages!$A$2:$C$17, 2, 0))) * IF(ISBLANK(N2302), 0, IF(ISNA(VLOOKUP(N2302, Crews!$A$2:$C$28, 2, 0)), N2302, VLOOKUP(N2302, Crews!$A$2:$C$28, 2, 0))))) * 400</f>
        <v>1229.166667</v>
      </c>
      <c r="K2302" s="1"/>
      <c r="L2302" s="1" t="s">
        <v>4534</v>
      </c>
      <c r="M2302" s="1" t="n">
        <v>1</v>
      </c>
      <c r="N2302" s="1"/>
      <c r="O2302" s="1"/>
      <c r="P2302" s="1"/>
      <c r="Q2302" s="1"/>
      <c r="R2302" s="1" t="s">
        <v>4419</v>
      </c>
      <c r="S2302" s="1" t="s">
        <v>4470</v>
      </c>
      <c r="T2302" s="1"/>
    </row>
    <row r="2303" customFormat="false" ht="15" hidden="false" customHeight="true" outlineLevel="0" collapsed="false">
      <c r="A2303" s="1" t="s">
        <v>4536</v>
      </c>
      <c r="B2303" s="1" t="n">
        <v>1975</v>
      </c>
      <c r="C2303" s="1" t="n">
        <v>1</v>
      </c>
      <c r="D2303" s="1" t="s">
        <v>38</v>
      </c>
      <c r="E2303" s="1"/>
      <c r="F2303" s="1"/>
      <c r="G2303" s="1" t="n">
        <v>200</v>
      </c>
      <c r="H2303" s="2" t="n">
        <v>590000</v>
      </c>
      <c r="I2303" s="2" t="n">
        <f aca="false">(((H2303 / 800) / IF(ISBLANK(R2303), 1000000, IF(ISNA(VLOOKUP(R2303, Mileages!$A$2:$C$34, 2, 0)), R2303, VLOOKUP(R2303, Mileages!$A$2:$C$34, 2, 0)))) + (F2303 * IF(ISBLANK(P2303), 1, P2303) * IF(ISBLANK(T2303), 0, IF(ISNA(VLOOKUP(T2303, 'Fuel Costs'!$A$2:$C$42, 2, 0)), T2303, VLOOKUP(T2303, 'Fuel Costs'!$A$2:$C$42, 2, 0))) / IF(ISBLANK(O2303), 1, O2303))) * 100</f>
        <v>0.03072916667</v>
      </c>
      <c r="J2303" s="2" t="n">
        <f aca="false">((H2303 / 800) / (IF(ISBLANK(S2303), 100, IF(ISNA(VLOOKUP(S2303, Lives!$A$2:$C$35, 2, 0)), S2303, VLOOKUP(S2303, Lives!$A$2:$C$35, 2, 0))) * 12) + (IF(ISBLANK(Q2303), 0, IF(ISNA(VLOOKUP(Q2303, Wages!$A$2:$C$17, 2, 0)), Q2303, VLOOKUP(Q2303, Wages!$A$2:$C$17, 2, 0))) * IF(ISBLANK(N2303), 0, IF(ISNA(VLOOKUP(N2303, Crews!$A$2:$C$28, 2, 0)), N2303, VLOOKUP(N2303, Crews!$A$2:$C$28, 2, 0))))) * 400</f>
        <v>1229.166667</v>
      </c>
      <c r="K2303" s="1"/>
      <c r="L2303" s="1" t="s">
        <v>4537</v>
      </c>
      <c r="M2303" s="1" t="n">
        <v>0</v>
      </c>
      <c r="N2303" s="1"/>
      <c r="O2303" s="1"/>
      <c r="P2303" s="1"/>
      <c r="Q2303" s="1"/>
      <c r="R2303" s="1" t="s">
        <v>4419</v>
      </c>
      <c r="S2303" s="1" t="s">
        <v>4470</v>
      </c>
      <c r="T2303" s="1"/>
    </row>
    <row r="2304" customFormat="false" ht="15" hidden="false" customHeight="true" outlineLevel="0" collapsed="false">
      <c r="A2304" s="1" t="s">
        <v>4538</v>
      </c>
      <c r="B2304" s="1" t="n">
        <v>1975</v>
      </c>
      <c r="C2304" s="1" t="n">
        <v>1</v>
      </c>
      <c r="D2304" s="1" t="s">
        <v>38</v>
      </c>
      <c r="E2304" s="1"/>
      <c r="F2304" s="1"/>
      <c r="G2304" s="1" t="n">
        <v>200</v>
      </c>
      <c r="H2304" s="2" t="n">
        <v>590000</v>
      </c>
      <c r="I2304" s="2" t="n">
        <f aca="false">(((H2304 / 800) / IF(ISBLANK(R2304), 1000000, IF(ISNA(VLOOKUP(R2304, Mileages!$A$2:$C$34, 2, 0)), R2304, VLOOKUP(R2304, Mileages!$A$2:$C$34, 2, 0)))) + (F2304 * IF(ISBLANK(P2304), 1, P2304) * IF(ISBLANK(T2304), 0, IF(ISNA(VLOOKUP(T2304, 'Fuel Costs'!$A$2:$C$42, 2, 0)), T2304, VLOOKUP(T2304, 'Fuel Costs'!$A$2:$C$42, 2, 0))) / IF(ISBLANK(O2304), 1, O2304))) * 100</f>
        <v>0.03072916667</v>
      </c>
      <c r="J2304" s="2" t="n">
        <f aca="false">((H2304 / 800) / (IF(ISBLANK(S2304), 100, IF(ISNA(VLOOKUP(S2304, Lives!$A$2:$C$35, 2, 0)), S2304, VLOOKUP(S2304, Lives!$A$2:$C$35, 2, 0))) * 12) + (IF(ISBLANK(Q2304), 0, IF(ISNA(VLOOKUP(Q2304, Wages!$A$2:$C$17, 2, 0)), Q2304, VLOOKUP(Q2304, Wages!$A$2:$C$17, 2, 0))) * IF(ISBLANK(N2304), 0, IF(ISNA(VLOOKUP(N2304, Crews!$A$2:$C$28, 2, 0)), N2304, VLOOKUP(N2304, Crews!$A$2:$C$28, 2, 0))))) * 400</f>
        <v>1229.166667</v>
      </c>
      <c r="K2304" s="1"/>
      <c r="L2304" s="1" t="s">
        <v>4537</v>
      </c>
      <c r="M2304" s="1" t="n">
        <v>1</v>
      </c>
      <c r="N2304" s="1"/>
      <c r="O2304" s="1"/>
      <c r="P2304" s="1"/>
      <c r="Q2304" s="1"/>
      <c r="R2304" s="1" t="s">
        <v>4419</v>
      </c>
      <c r="S2304" s="1" t="s">
        <v>4470</v>
      </c>
      <c r="T2304" s="1"/>
    </row>
    <row r="2305" customFormat="false" ht="15" hidden="false" customHeight="true" outlineLevel="0" collapsed="false">
      <c r="A2305" s="1" t="s">
        <v>4539</v>
      </c>
      <c r="B2305" s="1" t="n">
        <v>1975</v>
      </c>
      <c r="C2305" s="1" t="n">
        <v>1</v>
      </c>
      <c r="D2305" s="1" t="s">
        <v>38</v>
      </c>
      <c r="E2305" s="1"/>
      <c r="F2305" s="1"/>
      <c r="G2305" s="1" t="n">
        <v>200</v>
      </c>
      <c r="H2305" s="2" t="n">
        <v>590000</v>
      </c>
      <c r="I2305" s="2" t="n">
        <f aca="false">(((H2305 / 800) / IF(ISBLANK(R2305), 1000000, IF(ISNA(VLOOKUP(R2305, Mileages!$A$2:$C$34, 2, 0)), R2305, VLOOKUP(R2305, Mileages!$A$2:$C$34, 2, 0)))) + (F2305 * IF(ISBLANK(P2305), 1, P2305) * IF(ISBLANK(T2305), 0, IF(ISNA(VLOOKUP(T2305, 'Fuel Costs'!$A$2:$C$42, 2, 0)), T2305, VLOOKUP(T2305, 'Fuel Costs'!$A$2:$C$42, 2, 0))) / IF(ISBLANK(O2305), 1, O2305))) * 100</f>
        <v>0.03072916667</v>
      </c>
      <c r="J2305" s="2" t="n">
        <f aca="false">((H2305 / 800) / (IF(ISBLANK(S2305), 100, IF(ISNA(VLOOKUP(S2305, Lives!$A$2:$C$35, 2, 0)), S2305, VLOOKUP(S2305, Lives!$A$2:$C$35, 2, 0))) * 12) + (IF(ISBLANK(Q2305), 0, IF(ISNA(VLOOKUP(Q2305, Wages!$A$2:$C$17, 2, 0)), Q2305, VLOOKUP(Q2305, Wages!$A$2:$C$17, 2, 0))) * IF(ISBLANK(N2305), 0, IF(ISNA(VLOOKUP(N2305, Crews!$A$2:$C$28, 2, 0)), N2305, VLOOKUP(N2305, Crews!$A$2:$C$28, 2, 0))))) * 400</f>
        <v>1229.166667</v>
      </c>
      <c r="K2305" s="1"/>
      <c r="L2305" s="1" t="s">
        <v>4540</v>
      </c>
      <c r="M2305" s="1" t="n">
        <v>1</v>
      </c>
      <c r="N2305" s="1"/>
      <c r="O2305" s="1"/>
      <c r="P2305" s="1"/>
      <c r="Q2305" s="1"/>
      <c r="R2305" s="1" t="s">
        <v>4419</v>
      </c>
      <c r="S2305" s="1" t="s">
        <v>4470</v>
      </c>
      <c r="T2305" s="1"/>
    </row>
    <row r="2306" customFormat="false" ht="15" hidden="false" customHeight="true" outlineLevel="0" collapsed="false">
      <c r="A2306" s="1" t="s">
        <v>4541</v>
      </c>
      <c r="B2306" s="1" t="n">
        <v>1975</v>
      </c>
      <c r="C2306" s="1" t="n">
        <v>1</v>
      </c>
      <c r="D2306" s="1" t="s">
        <v>38</v>
      </c>
      <c r="E2306" s="1"/>
      <c r="F2306" s="1"/>
      <c r="G2306" s="1" t="n">
        <v>200</v>
      </c>
      <c r="H2306" s="2" t="n">
        <v>590000</v>
      </c>
      <c r="I2306" s="2" t="n">
        <f aca="false">(((H2306 / 800) / IF(ISBLANK(R2306), 1000000, IF(ISNA(VLOOKUP(R2306, Mileages!$A$2:$C$34, 2, 0)), R2306, VLOOKUP(R2306, Mileages!$A$2:$C$34, 2, 0)))) + (F2306 * IF(ISBLANK(P2306), 1, P2306) * IF(ISBLANK(T2306), 0, IF(ISNA(VLOOKUP(T2306, 'Fuel Costs'!$A$2:$C$42, 2, 0)), T2306, VLOOKUP(T2306, 'Fuel Costs'!$A$2:$C$42, 2, 0))) / IF(ISBLANK(O2306), 1, O2306))) * 100</f>
        <v>0.03072916667</v>
      </c>
      <c r="J2306" s="2" t="n">
        <f aca="false">((H2306 / 800) / (IF(ISBLANK(S2306), 100, IF(ISNA(VLOOKUP(S2306, Lives!$A$2:$C$35, 2, 0)), S2306, VLOOKUP(S2306, Lives!$A$2:$C$35, 2, 0))) * 12) + (IF(ISBLANK(Q2306), 0, IF(ISNA(VLOOKUP(Q2306, Wages!$A$2:$C$17, 2, 0)), Q2306, VLOOKUP(Q2306, Wages!$A$2:$C$17, 2, 0))) * IF(ISBLANK(N2306), 0, IF(ISNA(VLOOKUP(N2306, Crews!$A$2:$C$28, 2, 0)), N2306, VLOOKUP(N2306, Crews!$A$2:$C$28, 2, 0))))) * 400</f>
        <v>1229.166667</v>
      </c>
      <c r="K2306" s="1"/>
      <c r="L2306" s="1" t="s">
        <v>4542</v>
      </c>
      <c r="M2306" s="1" t="n">
        <v>0</v>
      </c>
      <c r="N2306" s="1"/>
      <c r="O2306" s="1"/>
      <c r="P2306" s="1"/>
      <c r="Q2306" s="1"/>
      <c r="R2306" s="1" t="s">
        <v>4419</v>
      </c>
      <c r="S2306" s="1" t="s">
        <v>4470</v>
      </c>
      <c r="T2306" s="1"/>
    </row>
    <row r="2307" customFormat="false" ht="15" hidden="false" customHeight="true" outlineLevel="0" collapsed="false">
      <c r="A2307" s="1" t="s">
        <v>4543</v>
      </c>
      <c r="B2307" s="1" t="n">
        <v>1975</v>
      </c>
      <c r="C2307" s="1" t="n">
        <v>1</v>
      </c>
      <c r="D2307" s="1" t="s">
        <v>38</v>
      </c>
      <c r="E2307" s="1"/>
      <c r="F2307" s="1"/>
      <c r="G2307" s="1" t="n">
        <v>200</v>
      </c>
      <c r="H2307" s="2" t="n">
        <v>590000</v>
      </c>
      <c r="I2307" s="2" t="n">
        <f aca="false">(((H2307 / 800) / IF(ISBLANK(R2307), 1000000, IF(ISNA(VLOOKUP(R2307, Mileages!$A$2:$C$34, 2, 0)), R2307, VLOOKUP(R2307, Mileages!$A$2:$C$34, 2, 0)))) + (F2307 * IF(ISBLANK(P2307), 1, P2307) * IF(ISBLANK(T2307), 0, IF(ISNA(VLOOKUP(T2307, 'Fuel Costs'!$A$2:$C$42, 2, 0)), T2307, VLOOKUP(T2307, 'Fuel Costs'!$A$2:$C$42, 2, 0))) / IF(ISBLANK(O2307), 1, O2307))) * 100</f>
        <v>0.03072916667</v>
      </c>
      <c r="J2307" s="2" t="n">
        <f aca="false">((H2307 / 800) / (IF(ISBLANK(S2307), 100, IF(ISNA(VLOOKUP(S2307, Lives!$A$2:$C$35, 2, 0)), S2307, VLOOKUP(S2307, Lives!$A$2:$C$35, 2, 0))) * 12) + (IF(ISBLANK(Q2307), 0, IF(ISNA(VLOOKUP(Q2307, Wages!$A$2:$C$17, 2, 0)), Q2307, VLOOKUP(Q2307, Wages!$A$2:$C$17, 2, 0))) * IF(ISBLANK(N2307), 0, IF(ISNA(VLOOKUP(N2307, Crews!$A$2:$C$28, 2, 0)), N2307, VLOOKUP(N2307, Crews!$A$2:$C$28, 2, 0))))) * 400</f>
        <v>1229.166667</v>
      </c>
      <c r="K2307" s="1"/>
      <c r="L2307" s="1" t="s">
        <v>4542</v>
      </c>
      <c r="M2307" s="1" t="n">
        <v>1</v>
      </c>
      <c r="N2307" s="1"/>
      <c r="O2307" s="1"/>
      <c r="P2307" s="1"/>
      <c r="Q2307" s="1"/>
      <c r="R2307" s="1" t="s">
        <v>4419</v>
      </c>
      <c r="S2307" s="1" t="s">
        <v>4470</v>
      </c>
      <c r="T2307" s="1"/>
    </row>
    <row r="2308" customFormat="false" ht="15" hidden="false" customHeight="true" outlineLevel="0" collapsed="false">
      <c r="A2308" s="1" t="s">
        <v>4544</v>
      </c>
      <c r="B2308" s="1" t="n">
        <v>1975</v>
      </c>
      <c r="C2308" s="1" t="n">
        <v>1</v>
      </c>
      <c r="D2308" s="1" t="s">
        <v>38</v>
      </c>
      <c r="E2308" s="1"/>
      <c r="F2308" s="1"/>
      <c r="G2308" s="1" t="n">
        <v>200</v>
      </c>
      <c r="H2308" s="2" t="n">
        <v>590000</v>
      </c>
      <c r="I2308" s="2" t="n">
        <f aca="false">(((H2308 / 800) / IF(ISBLANK(R2308), 1000000, IF(ISNA(VLOOKUP(R2308, Mileages!$A$2:$C$34, 2, 0)), R2308, VLOOKUP(R2308, Mileages!$A$2:$C$34, 2, 0)))) + (F2308 * IF(ISBLANK(P2308), 1, P2308) * IF(ISBLANK(T2308), 0, IF(ISNA(VLOOKUP(T2308, 'Fuel Costs'!$A$2:$C$42, 2, 0)), T2308, VLOOKUP(T2308, 'Fuel Costs'!$A$2:$C$42, 2, 0))) / IF(ISBLANK(O2308), 1, O2308))) * 100</f>
        <v>0.03072916667</v>
      </c>
      <c r="J2308" s="2" t="n">
        <f aca="false">((H2308 / 800) / (IF(ISBLANK(S2308), 100, IF(ISNA(VLOOKUP(S2308, Lives!$A$2:$C$35, 2, 0)), S2308, VLOOKUP(S2308, Lives!$A$2:$C$35, 2, 0))) * 12) + (IF(ISBLANK(Q2308), 0, IF(ISNA(VLOOKUP(Q2308, Wages!$A$2:$C$17, 2, 0)), Q2308, VLOOKUP(Q2308, Wages!$A$2:$C$17, 2, 0))) * IF(ISBLANK(N2308), 0, IF(ISNA(VLOOKUP(N2308, Crews!$A$2:$C$28, 2, 0)), N2308, VLOOKUP(N2308, Crews!$A$2:$C$28, 2, 0))))) * 400</f>
        <v>1229.166667</v>
      </c>
      <c r="K2308" s="1"/>
      <c r="L2308" s="1" t="s">
        <v>4542</v>
      </c>
      <c r="M2308" s="1" t="n">
        <v>2</v>
      </c>
      <c r="N2308" s="1"/>
      <c r="O2308" s="1"/>
      <c r="P2308" s="1"/>
      <c r="Q2308" s="1"/>
      <c r="R2308" s="1" t="s">
        <v>4419</v>
      </c>
      <c r="S2308" s="1" t="s">
        <v>4470</v>
      </c>
      <c r="T2308" s="1"/>
    </row>
    <row r="2309" customFormat="false" ht="15" hidden="false" customHeight="true" outlineLevel="0" collapsed="false">
      <c r="A2309" s="1" t="s">
        <v>4545</v>
      </c>
      <c r="B2309" s="1" t="n">
        <v>1975</v>
      </c>
      <c r="C2309" s="1" t="n">
        <v>1</v>
      </c>
      <c r="D2309" s="1" t="s">
        <v>38</v>
      </c>
      <c r="E2309" s="1"/>
      <c r="F2309" s="1"/>
      <c r="G2309" s="1" t="n">
        <v>200</v>
      </c>
      <c r="H2309" s="2" t="n">
        <v>590000</v>
      </c>
      <c r="I2309" s="2" t="n">
        <f aca="false">(((H2309 / 800) / IF(ISBLANK(R2309), 1000000, IF(ISNA(VLOOKUP(R2309, Mileages!$A$2:$C$34, 2, 0)), R2309, VLOOKUP(R2309, Mileages!$A$2:$C$34, 2, 0)))) + (F2309 * IF(ISBLANK(P2309), 1, P2309) * IF(ISBLANK(T2309), 0, IF(ISNA(VLOOKUP(T2309, 'Fuel Costs'!$A$2:$C$42, 2, 0)), T2309, VLOOKUP(T2309, 'Fuel Costs'!$A$2:$C$42, 2, 0))) / IF(ISBLANK(O2309), 1, O2309))) * 100</f>
        <v>0.03072916667</v>
      </c>
      <c r="J2309" s="2" t="n">
        <f aca="false">((H2309 / 800) / (IF(ISBLANK(S2309), 100, IF(ISNA(VLOOKUP(S2309, Lives!$A$2:$C$35, 2, 0)), S2309, VLOOKUP(S2309, Lives!$A$2:$C$35, 2, 0))) * 12) + (IF(ISBLANK(Q2309), 0, IF(ISNA(VLOOKUP(Q2309, Wages!$A$2:$C$17, 2, 0)), Q2309, VLOOKUP(Q2309, Wages!$A$2:$C$17, 2, 0))) * IF(ISBLANK(N2309), 0, IF(ISNA(VLOOKUP(N2309, Crews!$A$2:$C$28, 2, 0)), N2309, VLOOKUP(N2309, Crews!$A$2:$C$28, 2, 0))))) * 400</f>
        <v>1229.166667</v>
      </c>
      <c r="K2309" s="1"/>
      <c r="L2309" s="1" t="s">
        <v>4542</v>
      </c>
      <c r="M2309" s="1" t="n">
        <v>3</v>
      </c>
      <c r="N2309" s="1"/>
      <c r="O2309" s="1"/>
      <c r="P2309" s="1"/>
      <c r="Q2309" s="1"/>
      <c r="R2309" s="1" t="s">
        <v>4419</v>
      </c>
      <c r="S2309" s="1" t="s">
        <v>4470</v>
      </c>
      <c r="T2309" s="1"/>
    </row>
    <row r="2310" customFormat="false" ht="15" hidden="false" customHeight="true" outlineLevel="0" collapsed="false">
      <c r="A2310" s="1" t="s">
        <v>4546</v>
      </c>
      <c r="B2310" s="1" t="n">
        <v>1975</v>
      </c>
      <c r="C2310" s="1" t="n">
        <v>1</v>
      </c>
      <c r="D2310" s="1" t="s">
        <v>38</v>
      </c>
      <c r="E2310" s="1"/>
      <c r="F2310" s="1"/>
      <c r="G2310" s="1" t="n">
        <v>200</v>
      </c>
      <c r="H2310" s="2" t="n">
        <v>590000</v>
      </c>
      <c r="I2310" s="2" t="n">
        <f aca="false">(((H2310 / 800) / IF(ISBLANK(R2310), 1000000, IF(ISNA(VLOOKUP(R2310, Mileages!$A$2:$C$34, 2, 0)), R2310, VLOOKUP(R2310, Mileages!$A$2:$C$34, 2, 0)))) + (F2310 * IF(ISBLANK(P2310), 1, P2310) * IF(ISBLANK(T2310), 0, IF(ISNA(VLOOKUP(T2310, 'Fuel Costs'!$A$2:$C$42, 2, 0)), T2310, VLOOKUP(T2310, 'Fuel Costs'!$A$2:$C$42, 2, 0))) / IF(ISBLANK(O2310), 1, O2310))) * 100</f>
        <v>0.03072916667</v>
      </c>
      <c r="J2310" s="2" t="n">
        <f aca="false">((H2310 / 800) / (IF(ISBLANK(S2310), 100, IF(ISNA(VLOOKUP(S2310, Lives!$A$2:$C$35, 2, 0)), S2310, VLOOKUP(S2310, Lives!$A$2:$C$35, 2, 0))) * 12) + (IF(ISBLANK(Q2310), 0, IF(ISNA(VLOOKUP(Q2310, Wages!$A$2:$C$17, 2, 0)), Q2310, VLOOKUP(Q2310, Wages!$A$2:$C$17, 2, 0))) * IF(ISBLANK(N2310), 0, IF(ISNA(VLOOKUP(N2310, Crews!$A$2:$C$28, 2, 0)), N2310, VLOOKUP(N2310, Crews!$A$2:$C$28, 2, 0))))) * 400</f>
        <v>1229.166667</v>
      </c>
      <c r="K2310" s="1"/>
      <c r="L2310" s="1" t="s">
        <v>4547</v>
      </c>
      <c r="M2310" s="1" t="n">
        <v>0</v>
      </c>
      <c r="N2310" s="1"/>
      <c r="O2310" s="1"/>
      <c r="P2310" s="1"/>
      <c r="Q2310" s="1"/>
      <c r="R2310" s="1" t="s">
        <v>4419</v>
      </c>
      <c r="S2310" s="1" t="s">
        <v>4470</v>
      </c>
      <c r="T2310" s="1"/>
    </row>
    <row r="2311" customFormat="false" ht="15" hidden="false" customHeight="true" outlineLevel="0" collapsed="false">
      <c r="A2311" s="1" t="s">
        <v>4548</v>
      </c>
      <c r="B2311" s="1" t="n">
        <v>1975</v>
      </c>
      <c r="C2311" s="1" t="n">
        <v>1</v>
      </c>
      <c r="D2311" s="1" t="s">
        <v>38</v>
      </c>
      <c r="E2311" s="1"/>
      <c r="F2311" s="1"/>
      <c r="G2311" s="1" t="n">
        <v>200</v>
      </c>
      <c r="H2311" s="2" t="n">
        <v>590000</v>
      </c>
      <c r="I2311" s="2" t="n">
        <f aca="false">(((H2311 / 800) / IF(ISBLANK(R2311), 1000000, IF(ISNA(VLOOKUP(R2311, Mileages!$A$2:$C$34, 2, 0)), R2311, VLOOKUP(R2311, Mileages!$A$2:$C$34, 2, 0)))) + (F2311 * IF(ISBLANK(P2311), 1, P2311) * IF(ISBLANK(T2311), 0, IF(ISNA(VLOOKUP(T2311, 'Fuel Costs'!$A$2:$C$42, 2, 0)), T2311, VLOOKUP(T2311, 'Fuel Costs'!$A$2:$C$42, 2, 0))) / IF(ISBLANK(O2311), 1, O2311))) * 100</f>
        <v>0.03072916667</v>
      </c>
      <c r="J2311" s="2" t="n">
        <f aca="false">((H2311 / 800) / (IF(ISBLANK(S2311), 100, IF(ISNA(VLOOKUP(S2311, Lives!$A$2:$C$35, 2, 0)), S2311, VLOOKUP(S2311, Lives!$A$2:$C$35, 2, 0))) * 12) + (IF(ISBLANK(Q2311), 0, IF(ISNA(VLOOKUP(Q2311, Wages!$A$2:$C$17, 2, 0)), Q2311, VLOOKUP(Q2311, Wages!$A$2:$C$17, 2, 0))) * IF(ISBLANK(N2311), 0, IF(ISNA(VLOOKUP(N2311, Crews!$A$2:$C$28, 2, 0)), N2311, VLOOKUP(N2311, Crews!$A$2:$C$28, 2, 0))))) * 400</f>
        <v>1229.166667</v>
      </c>
      <c r="K2311" s="1"/>
      <c r="L2311" s="1" t="s">
        <v>4547</v>
      </c>
      <c r="M2311" s="1" t="n">
        <v>1</v>
      </c>
      <c r="N2311" s="1"/>
      <c r="O2311" s="1"/>
      <c r="P2311" s="1"/>
      <c r="Q2311" s="1"/>
      <c r="R2311" s="1" t="s">
        <v>4419</v>
      </c>
      <c r="S2311" s="1" t="s">
        <v>4470</v>
      </c>
      <c r="T2311" s="1"/>
    </row>
    <row r="2312" customFormat="false" ht="15" hidden="false" customHeight="true" outlineLevel="0" collapsed="false">
      <c r="A2312" s="1" t="s">
        <v>4549</v>
      </c>
      <c r="B2312" s="1" t="n">
        <v>1975</v>
      </c>
      <c r="C2312" s="1" t="n">
        <v>1</v>
      </c>
      <c r="D2312" s="1" t="s">
        <v>38</v>
      </c>
      <c r="E2312" s="1"/>
      <c r="F2312" s="1"/>
      <c r="G2312" s="1" t="n">
        <v>200</v>
      </c>
      <c r="H2312" s="2" t="n">
        <v>590000</v>
      </c>
      <c r="I2312" s="2" t="n">
        <f aca="false">(((H2312 / 800) / IF(ISBLANK(R2312), 1000000, IF(ISNA(VLOOKUP(R2312, Mileages!$A$2:$C$34, 2, 0)), R2312, VLOOKUP(R2312, Mileages!$A$2:$C$34, 2, 0)))) + (F2312 * IF(ISBLANK(P2312), 1, P2312) * IF(ISBLANK(T2312), 0, IF(ISNA(VLOOKUP(T2312, 'Fuel Costs'!$A$2:$C$42, 2, 0)), T2312, VLOOKUP(T2312, 'Fuel Costs'!$A$2:$C$42, 2, 0))) / IF(ISBLANK(O2312), 1, O2312))) * 100</f>
        <v>0.03072916667</v>
      </c>
      <c r="J2312" s="2" t="n">
        <f aca="false">((H2312 / 800) / (IF(ISBLANK(S2312), 100, IF(ISNA(VLOOKUP(S2312, Lives!$A$2:$C$35, 2, 0)), S2312, VLOOKUP(S2312, Lives!$A$2:$C$35, 2, 0))) * 12) + (IF(ISBLANK(Q2312), 0, IF(ISNA(VLOOKUP(Q2312, Wages!$A$2:$C$17, 2, 0)), Q2312, VLOOKUP(Q2312, Wages!$A$2:$C$17, 2, 0))) * IF(ISBLANK(N2312), 0, IF(ISNA(VLOOKUP(N2312, Crews!$A$2:$C$28, 2, 0)), N2312, VLOOKUP(N2312, Crews!$A$2:$C$28, 2, 0))))) * 400</f>
        <v>1229.166667</v>
      </c>
      <c r="K2312" s="1"/>
      <c r="L2312" s="1" t="s">
        <v>4550</v>
      </c>
      <c r="M2312" s="1" t="n">
        <v>0</v>
      </c>
      <c r="N2312" s="1"/>
      <c r="O2312" s="1"/>
      <c r="P2312" s="1"/>
      <c r="Q2312" s="1"/>
      <c r="R2312" s="1" t="s">
        <v>4419</v>
      </c>
      <c r="S2312" s="1" t="s">
        <v>4470</v>
      </c>
      <c r="T2312" s="1"/>
    </row>
    <row r="2313" customFormat="false" ht="15" hidden="false" customHeight="true" outlineLevel="0" collapsed="false">
      <c r="A2313" s="1" t="s">
        <v>4551</v>
      </c>
      <c r="B2313" s="1" t="n">
        <v>1975</v>
      </c>
      <c r="C2313" s="1" t="n">
        <v>1</v>
      </c>
      <c r="D2313" s="1" t="s">
        <v>38</v>
      </c>
      <c r="E2313" s="1"/>
      <c r="F2313" s="1"/>
      <c r="G2313" s="1" t="n">
        <v>200</v>
      </c>
      <c r="H2313" s="2" t="n">
        <v>590000</v>
      </c>
      <c r="I2313" s="2" t="n">
        <f aca="false">(((H2313 / 800) / IF(ISBLANK(R2313), 1000000, IF(ISNA(VLOOKUP(R2313, Mileages!$A$2:$C$34, 2, 0)), R2313, VLOOKUP(R2313, Mileages!$A$2:$C$34, 2, 0)))) + (F2313 * IF(ISBLANK(P2313), 1, P2313) * IF(ISBLANK(T2313), 0, IF(ISNA(VLOOKUP(T2313, 'Fuel Costs'!$A$2:$C$42, 2, 0)), T2313, VLOOKUP(T2313, 'Fuel Costs'!$A$2:$C$42, 2, 0))) / IF(ISBLANK(O2313), 1, O2313))) * 100</f>
        <v>0.03072916667</v>
      </c>
      <c r="J2313" s="2" t="n">
        <f aca="false">((H2313 / 800) / (IF(ISBLANK(S2313), 100, IF(ISNA(VLOOKUP(S2313, Lives!$A$2:$C$35, 2, 0)), S2313, VLOOKUP(S2313, Lives!$A$2:$C$35, 2, 0))) * 12) + (IF(ISBLANK(Q2313), 0, IF(ISNA(VLOOKUP(Q2313, Wages!$A$2:$C$17, 2, 0)), Q2313, VLOOKUP(Q2313, Wages!$A$2:$C$17, 2, 0))) * IF(ISBLANK(N2313), 0, IF(ISNA(VLOOKUP(N2313, Crews!$A$2:$C$28, 2, 0)), N2313, VLOOKUP(N2313, Crews!$A$2:$C$28, 2, 0))))) * 400</f>
        <v>1229.166667</v>
      </c>
      <c r="K2313" s="1"/>
      <c r="L2313" s="1" t="s">
        <v>4550</v>
      </c>
      <c r="M2313" s="1" t="n">
        <v>1</v>
      </c>
      <c r="N2313" s="1"/>
      <c r="O2313" s="1"/>
      <c r="P2313" s="1"/>
      <c r="Q2313" s="1"/>
      <c r="R2313" s="1" t="s">
        <v>4419</v>
      </c>
      <c r="S2313" s="1" t="s">
        <v>4470</v>
      </c>
      <c r="T2313" s="1"/>
    </row>
    <row r="2314" customFormat="false" ht="15" hidden="false" customHeight="true" outlineLevel="0" collapsed="false">
      <c r="A2314" s="1" t="s">
        <v>4552</v>
      </c>
      <c r="B2314" s="1" t="n">
        <v>1975</v>
      </c>
      <c r="C2314" s="1" t="n">
        <v>1</v>
      </c>
      <c r="D2314" s="1" t="s">
        <v>38</v>
      </c>
      <c r="E2314" s="1"/>
      <c r="F2314" s="1"/>
      <c r="G2314" s="1" t="n">
        <v>200</v>
      </c>
      <c r="H2314" s="2" t="n">
        <v>590000</v>
      </c>
      <c r="I2314" s="2" t="n">
        <f aca="false">(((H2314 / 800) / IF(ISBLANK(R2314), 1000000, IF(ISNA(VLOOKUP(R2314, Mileages!$A$2:$C$34, 2, 0)), R2314, VLOOKUP(R2314, Mileages!$A$2:$C$34, 2, 0)))) + (F2314 * IF(ISBLANK(P2314), 1, P2314) * IF(ISBLANK(T2314), 0, IF(ISNA(VLOOKUP(T2314, 'Fuel Costs'!$A$2:$C$42, 2, 0)), T2314, VLOOKUP(T2314, 'Fuel Costs'!$A$2:$C$42, 2, 0))) / IF(ISBLANK(O2314), 1, O2314))) * 100</f>
        <v>0.03072916667</v>
      </c>
      <c r="J2314" s="2" t="n">
        <f aca="false">((H2314 / 800) / (IF(ISBLANK(S2314), 100, IF(ISNA(VLOOKUP(S2314, Lives!$A$2:$C$35, 2, 0)), S2314, VLOOKUP(S2314, Lives!$A$2:$C$35, 2, 0))) * 12) + (IF(ISBLANK(Q2314), 0, IF(ISNA(VLOOKUP(Q2314, Wages!$A$2:$C$17, 2, 0)), Q2314, VLOOKUP(Q2314, Wages!$A$2:$C$17, 2, 0))) * IF(ISBLANK(N2314), 0, IF(ISNA(VLOOKUP(N2314, Crews!$A$2:$C$28, 2, 0)), N2314, VLOOKUP(N2314, Crews!$A$2:$C$28, 2, 0))))) * 400</f>
        <v>1229.166667</v>
      </c>
      <c r="K2314" s="1"/>
      <c r="L2314" s="1" t="s">
        <v>4550</v>
      </c>
      <c r="M2314" s="1" t="n">
        <v>2</v>
      </c>
      <c r="N2314" s="1"/>
      <c r="O2314" s="1"/>
      <c r="P2314" s="1"/>
      <c r="Q2314" s="1"/>
      <c r="R2314" s="1" t="s">
        <v>4419</v>
      </c>
      <c r="S2314" s="1" t="s">
        <v>4470</v>
      </c>
      <c r="T2314" s="1"/>
    </row>
    <row r="2315" customFormat="false" ht="15" hidden="false" customHeight="true" outlineLevel="0" collapsed="false">
      <c r="A2315" s="1" t="s">
        <v>4553</v>
      </c>
      <c r="B2315" s="1" t="n">
        <v>1975</v>
      </c>
      <c r="C2315" s="1" t="n">
        <v>1</v>
      </c>
      <c r="D2315" s="1" t="s">
        <v>38</v>
      </c>
      <c r="E2315" s="1"/>
      <c r="F2315" s="1"/>
      <c r="G2315" s="1" t="n">
        <v>200</v>
      </c>
      <c r="H2315" s="2" t="n">
        <v>590000</v>
      </c>
      <c r="I2315" s="2" t="n">
        <f aca="false">(((H2315 / 800) / IF(ISBLANK(R2315), 1000000, IF(ISNA(VLOOKUP(R2315, Mileages!$A$2:$C$34, 2, 0)), R2315, VLOOKUP(R2315, Mileages!$A$2:$C$34, 2, 0)))) + (F2315 * IF(ISBLANK(P2315), 1, P2315) * IF(ISBLANK(T2315), 0, IF(ISNA(VLOOKUP(T2315, 'Fuel Costs'!$A$2:$C$42, 2, 0)), T2315, VLOOKUP(T2315, 'Fuel Costs'!$A$2:$C$42, 2, 0))) / IF(ISBLANK(O2315), 1, O2315))) * 100</f>
        <v>0.03072916667</v>
      </c>
      <c r="J2315" s="2" t="n">
        <f aca="false">((H2315 / 800) / (IF(ISBLANK(S2315), 100, IF(ISNA(VLOOKUP(S2315, Lives!$A$2:$C$35, 2, 0)), S2315, VLOOKUP(S2315, Lives!$A$2:$C$35, 2, 0))) * 12) + (IF(ISBLANK(Q2315), 0, IF(ISNA(VLOOKUP(Q2315, Wages!$A$2:$C$17, 2, 0)), Q2315, VLOOKUP(Q2315, Wages!$A$2:$C$17, 2, 0))) * IF(ISBLANK(N2315), 0, IF(ISNA(VLOOKUP(N2315, Crews!$A$2:$C$28, 2, 0)), N2315, VLOOKUP(N2315, Crews!$A$2:$C$28, 2, 0))))) * 400</f>
        <v>1229.166667</v>
      </c>
      <c r="K2315" s="1"/>
      <c r="L2315" s="1" t="s">
        <v>4550</v>
      </c>
      <c r="M2315" s="1" t="n">
        <v>3</v>
      </c>
      <c r="N2315" s="1"/>
      <c r="O2315" s="1"/>
      <c r="P2315" s="1"/>
      <c r="Q2315" s="1"/>
      <c r="R2315" s="1" t="s">
        <v>4419</v>
      </c>
      <c r="S2315" s="1" t="s">
        <v>4470</v>
      </c>
      <c r="T2315" s="1"/>
    </row>
    <row r="2316" customFormat="false" ht="15" hidden="false" customHeight="true" outlineLevel="0" collapsed="false">
      <c r="A2316" s="1" t="s">
        <v>4554</v>
      </c>
      <c r="B2316" s="1" t="n">
        <v>1975</v>
      </c>
      <c r="C2316" s="1" t="n">
        <v>1</v>
      </c>
      <c r="D2316" s="1" t="s">
        <v>38</v>
      </c>
      <c r="E2316" s="1"/>
      <c r="F2316" s="1"/>
      <c r="G2316" s="1" t="n">
        <v>200</v>
      </c>
      <c r="H2316" s="2" t="n">
        <v>590000</v>
      </c>
      <c r="I2316" s="2" t="n">
        <f aca="false">(((H2316 / 800) / IF(ISBLANK(R2316), 1000000, IF(ISNA(VLOOKUP(R2316, Mileages!$A$2:$C$34, 2, 0)), R2316, VLOOKUP(R2316, Mileages!$A$2:$C$34, 2, 0)))) + (F2316 * IF(ISBLANK(P2316), 1, P2316) * IF(ISBLANK(T2316), 0, IF(ISNA(VLOOKUP(T2316, 'Fuel Costs'!$A$2:$C$42, 2, 0)), T2316, VLOOKUP(T2316, 'Fuel Costs'!$A$2:$C$42, 2, 0))) / IF(ISBLANK(O2316), 1, O2316))) * 100</f>
        <v>0.03072916667</v>
      </c>
      <c r="J2316" s="2" t="n">
        <f aca="false">((H2316 / 800) / (IF(ISBLANK(S2316), 100, IF(ISNA(VLOOKUP(S2316, Lives!$A$2:$C$35, 2, 0)), S2316, VLOOKUP(S2316, Lives!$A$2:$C$35, 2, 0))) * 12) + (IF(ISBLANK(Q2316), 0, IF(ISNA(VLOOKUP(Q2316, Wages!$A$2:$C$17, 2, 0)), Q2316, VLOOKUP(Q2316, Wages!$A$2:$C$17, 2, 0))) * IF(ISBLANK(N2316), 0, IF(ISNA(VLOOKUP(N2316, Crews!$A$2:$C$28, 2, 0)), N2316, VLOOKUP(N2316, Crews!$A$2:$C$28, 2, 0))))) * 400</f>
        <v>1229.166667</v>
      </c>
      <c r="K2316" s="1"/>
      <c r="L2316" s="1" t="s">
        <v>4555</v>
      </c>
      <c r="M2316" s="1" t="n">
        <v>0</v>
      </c>
      <c r="N2316" s="1"/>
      <c r="O2316" s="1"/>
      <c r="P2316" s="1"/>
      <c r="Q2316" s="1"/>
      <c r="R2316" s="1" t="s">
        <v>4419</v>
      </c>
      <c r="S2316" s="1" t="s">
        <v>4470</v>
      </c>
      <c r="T2316" s="1"/>
    </row>
    <row r="2317" customFormat="false" ht="15" hidden="false" customHeight="true" outlineLevel="0" collapsed="false">
      <c r="A2317" s="1" t="s">
        <v>4556</v>
      </c>
      <c r="B2317" s="1" t="n">
        <v>1975</v>
      </c>
      <c r="C2317" s="1" t="n">
        <v>1</v>
      </c>
      <c r="D2317" s="1" t="s">
        <v>38</v>
      </c>
      <c r="E2317" s="1"/>
      <c r="F2317" s="1"/>
      <c r="G2317" s="1" t="n">
        <v>200</v>
      </c>
      <c r="H2317" s="2" t="n">
        <v>590000</v>
      </c>
      <c r="I2317" s="2" t="n">
        <f aca="false">(((H2317 / 800) / IF(ISBLANK(R2317), 1000000, IF(ISNA(VLOOKUP(R2317, Mileages!$A$2:$C$34, 2, 0)), R2317, VLOOKUP(R2317, Mileages!$A$2:$C$34, 2, 0)))) + (F2317 * IF(ISBLANK(P2317), 1, P2317) * IF(ISBLANK(T2317), 0, IF(ISNA(VLOOKUP(T2317, 'Fuel Costs'!$A$2:$C$42, 2, 0)), T2317, VLOOKUP(T2317, 'Fuel Costs'!$A$2:$C$42, 2, 0))) / IF(ISBLANK(O2317), 1, O2317))) * 100</f>
        <v>0.03072916667</v>
      </c>
      <c r="J2317" s="2" t="n">
        <f aca="false">((H2317 / 800) / (IF(ISBLANK(S2317), 100, IF(ISNA(VLOOKUP(S2317, Lives!$A$2:$C$35, 2, 0)), S2317, VLOOKUP(S2317, Lives!$A$2:$C$35, 2, 0))) * 12) + (IF(ISBLANK(Q2317), 0, IF(ISNA(VLOOKUP(Q2317, Wages!$A$2:$C$17, 2, 0)), Q2317, VLOOKUP(Q2317, Wages!$A$2:$C$17, 2, 0))) * IF(ISBLANK(N2317), 0, IF(ISNA(VLOOKUP(N2317, Crews!$A$2:$C$28, 2, 0)), N2317, VLOOKUP(N2317, Crews!$A$2:$C$28, 2, 0))))) * 400</f>
        <v>1229.166667</v>
      </c>
      <c r="K2317" s="1"/>
      <c r="L2317" s="1" t="s">
        <v>4555</v>
      </c>
      <c r="M2317" s="1" t="n">
        <v>1</v>
      </c>
      <c r="N2317" s="1"/>
      <c r="O2317" s="1"/>
      <c r="P2317" s="1"/>
      <c r="Q2317" s="1"/>
      <c r="R2317" s="1" t="s">
        <v>4419</v>
      </c>
      <c r="S2317" s="1" t="s">
        <v>4470</v>
      </c>
      <c r="T2317" s="1"/>
    </row>
    <row r="2318" customFormat="false" ht="15" hidden="false" customHeight="true" outlineLevel="0" collapsed="false">
      <c r="A2318" s="1" t="s">
        <v>4557</v>
      </c>
      <c r="B2318" s="1" t="n">
        <v>1975</v>
      </c>
      <c r="C2318" s="1" t="n">
        <v>1</v>
      </c>
      <c r="D2318" s="1" t="s">
        <v>38</v>
      </c>
      <c r="E2318" s="1"/>
      <c r="F2318" s="1"/>
      <c r="G2318" s="1" t="n">
        <v>200</v>
      </c>
      <c r="H2318" s="2" t="n">
        <v>590000</v>
      </c>
      <c r="I2318" s="2" t="n">
        <f aca="false">(((H2318 / 800) / IF(ISBLANK(R2318), 1000000, IF(ISNA(VLOOKUP(R2318, Mileages!$A$2:$C$34, 2, 0)), R2318, VLOOKUP(R2318, Mileages!$A$2:$C$34, 2, 0)))) + (F2318 * IF(ISBLANK(P2318), 1, P2318) * IF(ISBLANK(T2318), 0, IF(ISNA(VLOOKUP(T2318, 'Fuel Costs'!$A$2:$C$42, 2, 0)), T2318, VLOOKUP(T2318, 'Fuel Costs'!$A$2:$C$42, 2, 0))) / IF(ISBLANK(O2318), 1, O2318))) * 100</f>
        <v>0.03072916667</v>
      </c>
      <c r="J2318" s="2" t="n">
        <f aca="false">((H2318 / 800) / (IF(ISBLANK(S2318), 100, IF(ISNA(VLOOKUP(S2318, Lives!$A$2:$C$35, 2, 0)), S2318, VLOOKUP(S2318, Lives!$A$2:$C$35, 2, 0))) * 12) + (IF(ISBLANK(Q2318), 0, IF(ISNA(VLOOKUP(Q2318, Wages!$A$2:$C$17, 2, 0)), Q2318, VLOOKUP(Q2318, Wages!$A$2:$C$17, 2, 0))) * IF(ISBLANK(N2318), 0, IF(ISNA(VLOOKUP(N2318, Crews!$A$2:$C$28, 2, 0)), N2318, VLOOKUP(N2318, Crews!$A$2:$C$28, 2, 0))))) * 400</f>
        <v>1229.166667</v>
      </c>
      <c r="K2318" s="1"/>
      <c r="L2318" s="1" t="s">
        <v>4558</v>
      </c>
      <c r="M2318" s="1" t="n">
        <v>0</v>
      </c>
      <c r="N2318" s="1"/>
      <c r="O2318" s="1"/>
      <c r="P2318" s="1"/>
      <c r="Q2318" s="1"/>
      <c r="R2318" s="1" t="s">
        <v>4419</v>
      </c>
      <c r="S2318" s="1" t="s">
        <v>4470</v>
      </c>
      <c r="T2318" s="1"/>
    </row>
    <row r="2319" customFormat="false" ht="15" hidden="false" customHeight="true" outlineLevel="0" collapsed="false">
      <c r="A2319" s="1" t="s">
        <v>4559</v>
      </c>
      <c r="B2319" s="1" t="n">
        <v>1975</v>
      </c>
      <c r="C2319" s="1" t="n">
        <v>1</v>
      </c>
      <c r="D2319" s="1" t="s">
        <v>38</v>
      </c>
      <c r="E2319" s="1"/>
      <c r="F2319" s="1"/>
      <c r="G2319" s="1" t="n">
        <v>200</v>
      </c>
      <c r="H2319" s="2" t="n">
        <v>590000</v>
      </c>
      <c r="I2319" s="2" t="n">
        <f aca="false">(((H2319 / 800) / IF(ISBLANK(R2319), 1000000, IF(ISNA(VLOOKUP(R2319, Mileages!$A$2:$C$34, 2, 0)), R2319, VLOOKUP(R2319, Mileages!$A$2:$C$34, 2, 0)))) + (F2319 * IF(ISBLANK(P2319), 1, P2319) * IF(ISBLANK(T2319), 0, IF(ISNA(VLOOKUP(T2319, 'Fuel Costs'!$A$2:$C$42, 2, 0)), T2319, VLOOKUP(T2319, 'Fuel Costs'!$A$2:$C$42, 2, 0))) / IF(ISBLANK(O2319), 1, O2319))) * 100</f>
        <v>0.03072916667</v>
      </c>
      <c r="J2319" s="2" t="n">
        <f aca="false">((H2319 / 800) / (IF(ISBLANK(S2319), 100, IF(ISNA(VLOOKUP(S2319, Lives!$A$2:$C$35, 2, 0)), S2319, VLOOKUP(S2319, Lives!$A$2:$C$35, 2, 0))) * 12) + (IF(ISBLANK(Q2319), 0, IF(ISNA(VLOOKUP(Q2319, Wages!$A$2:$C$17, 2, 0)), Q2319, VLOOKUP(Q2319, Wages!$A$2:$C$17, 2, 0))) * IF(ISBLANK(N2319), 0, IF(ISNA(VLOOKUP(N2319, Crews!$A$2:$C$28, 2, 0)), N2319, VLOOKUP(N2319, Crews!$A$2:$C$28, 2, 0))))) * 400</f>
        <v>1229.166667</v>
      </c>
      <c r="K2319" s="1"/>
      <c r="L2319" s="1" t="s">
        <v>4558</v>
      </c>
      <c r="M2319" s="1" t="n">
        <v>1</v>
      </c>
      <c r="N2319" s="1"/>
      <c r="O2319" s="1"/>
      <c r="P2319" s="1"/>
      <c r="Q2319" s="1"/>
      <c r="R2319" s="1" t="s">
        <v>4419</v>
      </c>
      <c r="S2319" s="1" t="s">
        <v>4470</v>
      </c>
      <c r="T2319" s="1"/>
    </row>
    <row r="2320" customFormat="false" ht="15" hidden="false" customHeight="true" outlineLevel="0" collapsed="false">
      <c r="A2320" s="1" t="s">
        <v>4560</v>
      </c>
      <c r="B2320" s="1" t="n">
        <v>1975</v>
      </c>
      <c r="C2320" s="1" t="n">
        <v>3</v>
      </c>
      <c r="D2320" s="1" t="s">
        <v>21</v>
      </c>
      <c r="E2320" s="1" t="s">
        <v>2039</v>
      </c>
      <c r="F2320" s="1" t="n">
        <v>83</v>
      </c>
      <c r="G2320" s="1" t="n">
        <v>95</v>
      </c>
      <c r="H2320" s="2" t="n">
        <v>100000</v>
      </c>
      <c r="I2320" s="2" t="n">
        <f aca="false">(((H2320 / 800) / IF(ISBLANK(R2320), 1000000, IF(ISNA(VLOOKUP(R2320, Mileages!$A$2:$C$34, 2, 0)), R2320, VLOOKUP(R2320, Mileages!$A$2:$C$34, 2, 0)))) + (F2320 * IF(ISBLANK(P2320), 1, P2320) * IF(ISBLANK(T2320), 0, IF(ISNA(VLOOKUP(T2320, 'Fuel Costs'!$A$2:$C$42, 2, 0)), T2320, VLOOKUP(T2320, 'Fuel Costs'!$A$2:$C$42, 2, 0))) / IF(ISBLANK(O2320), 1, O2320))) * 100</f>
        <v>41.5125</v>
      </c>
      <c r="J2320" s="2" t="n">
        <f aca="false">((H2320 / 800) / (IF(ISBLANK(S2320), 100, IF(ISNA(VLOOKUP(S2320, Lives!$A$2:$C$35, 2, 0)), S2320, VLOOKUP(S2320, Lives!$A$2:$C$35, 2, 0))) * 12) + (IF(ISBLANK(Q2320), 0, IF(ISNA(VLOOKUP(Q2320, Wages!$A$2:$C$17, 2, 0)), Q2320, VLOOKUP(Q2320, Wages!$A$2:$C$17, 2, 0))) * IF(ISBLANK(N2320), 0, IF(ISNA(VLOOKUP(N2320, Crews!$A$2:$C$28, 2, 0)), N2320, VLOOKUP(N2320, Crews!$A$2:$C$28, 2, 0))))) * 400</f>
        <v>8052.083333</v>
      </c>
      <c r="K2320" s="1"/>
      <c r="L2320" s="1" t="s">
        <v>4561</v>
      </c>
      <c r="M2320" s="1" t="n">
        <v>0</v>
      </c>
      <c r="N2320" s="1" t="s">
        <v>1815</v>
      </c>
      <c r="O2320" s="1" t="n">
        <v>0.8</v>
      </c>
      <c r="P2320" s="1"/>
      <c r="Q2320" s="1" t="s">
        <v>1815</v>
      </c>
      <c r="R2320" s="1" t="s">
        <v>1843</v>
      </c>
      <c r="S2320" s="1" t="s">
        <v>1843</v>
      </c>
      <c r="T2320" s="1" t="s">
        <v>4079</v>
      </c>
    </row>
    <row r="2321" customFormat="false" ht="15" hidden="false" customHeight="true" outlineLevel="0" collapsed="false">
      <c r="A2321" s="1" t="s">
        <v>4562</v>
      </c>
      <c r="B2321" s="1" t="n">
        <v>1975</v>
      </c>
      <c r="C2321" s="1" t="n">
        <v>3</v>
      </c>
      <c r="D2321" s="1" t="s">
        <v>21</v>
      </c>
      <c r="E2321" s="1" t="s">
        <v>2039</v>
      </c>
      <c r="F2321" s="1" t="n">
        <v>83</v>
      </c>
      <c r="G2321" s="1" t="n">
        <v>95</v>
      </c>
      <c r="H2321" s="2" t="n">
        <v>100000</v>
      </c>
      <c r="I2321" s="2" t="n">
        <f aca="false">(((H2321 / 800) / IF(ISBLANK(R2321), 1000000, IF(ISNA(VLOOKUP(R2321, Mileages!$A$2:$C$34, 2, 0)), R2321, VLOOKUP(R2321, Mileages!$A$2:$C$34, 2, 0)))) + (F2321 * IF(ISBLANK(P2321), 1, P2321) * IF(ISBLANK(T2321), 0, IF(ISNA(VLOOKUP(T2321, 'Fuel Costs'!$A$2:$C$42, 2, 0)), T2321, VLOOKUP(T2321, 'Fuel Costs'!$A$2:$C$42, 2, 0))) / IF(ISBLANK(O2321), 1, O2321))) * 100</f>
        <v>41.5125</v>
      </c>
      <c r="J2321" s="2" t="n">
        <f aca="false">((H2321 / 800) / (IF(ISBLANK(S2321), 100, IF(ISNA(VLOOKUP(S2321, Lives!$A$2:$C$35, 2, 0)), S2321, VLOOKUP(S2321, Lives!$A$2:$C$35, 2, 0))) * 12) + (IF(ISBLANK(Q2321), 0, IF(ISNA(VLOOKUP(Q2321, Wages!$A$2:$C$17, 2, 0)), Q2321, VLOOKUP(Q2321, Wages!$A$2:$C$17, 2, 0))) * IF(ISBLANK(N2321), 0, IF(ISNA(VLOOKUP(N2321, Crews!$A$2:$C$28, 2, 0)), N2321, VLOOKUP(N2321, Crews!$A$2:$C$28, 2, 0))))) * 400</f>
        <v>8052.083333</v>
      </c>
      <c r="K2321" s="1"/>
      <c r="L2321" s="1" t="s">
        <v>4561</v>
      </c>
      <c r="M2321" s="1" t="n">
        <v>1</v>
      </c>
      <c r="N2321" s="1" t="s">
        <v>1815</v>
      </c>
      <c r="O2321" s="1" t="n">
        <v>0.8</v>
      </c>
      <c r="P2321" s="1"/>
      <c r="Q2321" s="1" t="s">
        <v>1815</v>
      </c>
      <c r="R2321" s="1" t="s">
        <v>1843</v>
      </c>
      <c r="S2321" s="1" t="s">
        <v>1843</v>
      </c>
      <c r="T2321" s="1" t="s">
        <v>4079</v>
      </c>
    </row>
    <row r="2322" customFormat="false" ht="15" hidden="false" customHeight="true" outlineLevel="0" collapsed="false">
      <c r="A2322" s="1" t="s">
        <v>4563</v>
      </c>
      <c r="B2322" s="1" t="n">
        <v>1975</v>
      </c>
      <c r="C2322" s="1" t="n">
        <v>3</v>
      </c>
      <c r="D2322" s="1" t="s">
        <v>21</v>
      </c>
      <c r="E2322" s="1" t="s">
        <v>2039</v>
      </c>
      <c r="F2322" s="1" t="n">
        <v>40</v>
      </c>
      <c r="G2322" s="1" t="n">
        <v>95</v>
      </c>
      <c r="H2322" s="2" t="n">
        <v>100000</v>
      </c>
      <c r="I2322" s="2" t="n">
        <f aca="false">(((H2322 / 800) / IF(ISBLANK(R2322), 1000000, IF(ISNA(VLOOKUP(R2322, Mileages!$A$2:$C$34, 2, 0)), R2322, VLOOKUP(R2322, Mileages!$A$2:$C$34, 2, 0)))) + (F2322 * IF(ISBLANK(P2322), 1, P2322) * IF(ISBLANK(T2322), 0, IF(ISNA(VLOOKUP(T2322, 'Fuel Costs'!$A$2:$C$42, 2, 0)), T2322, VLOOKUP(T2322, 'Fuel Costs'!$A$2:$C$42, 2, 0))) / IF(ISBLANK(O2322), 1, O2322))) * 100</f>
        <v>20.0125</v>
      </c>
      <c r="J2322" s="2" t="n">
        <f aca="false">((H2322 / 800) / (IF(ISBLANK(S2322), 100, IF(ISNA(VLOOKUP(S2322, Lives!$A$2:$C$35, 2, 0)), S2322, VLOOKUP(S2322, Lives!$A$2:$C$35, 2, 0))) * 12) + (IF(ISBLANK(Q2322), 0, IF(ISNA(VLOOKUP(Q2322, Wages!$A$2:$C$17, 2, 0)), Q2322, VLOOKUP(Q2322, Wages!$A$2:$C$17, 2, 0))) * IF(ISBLANK(N2322), 0, IF(ISNA(VLOOKUP(N2322, Crews!$A$2:$C$28, 2, 0)), N2322, VLOOKUP(N2322, Crews!$A$2:$C$28, 2, 0))))) * 400</f>
        <v>8052.083333</v>
      </c>
      <c r="K2322" s="1"/>
      <c r="L2322" s="1" t="s">
        <v>4561</v>
      </c>
      <c r="M2322" s="1" t="n">
        <v>2</v>
      </c>
      <c r="N2322" s="1" t="s">
        <v>1815</v>
      </c>
      <c r="O2322" s="1" t="n">
        <v>0.8</v>
      </c>
      <c r="P2322" s="1"/>
      <c r="Q2322" s="1" t="s">
        <v>1815</v>
      </c>
      <c r="R2322" s="1" t="s">
        <v>1843</v>
      </c>
      <c r="S2322" s="1" t="s">
        <v>1843</v>
      </c>
      <c r="T2322" s="1" t="s">
        <v>4079</v>
      </c>
    </row>
    <row r="2323" customFormat="false" ht="15" hidden="false" customHeight="true" outlineLevel="0" collapsed="false">
      <c r="A2323" s="1" t="s">
        <v>4564</v>
      </c>
      <c r="B2323" s="1" t="n">
        <v>1975</v>
      </c>
      <c r="C2323" s="1" t="n">
        <v>3</v>
      </c>
      <c r="D2323" s="1" t="s">
        <v>21</v>
      </c>
      <c r="E2323" s="1" t="s">
        <v>2039</v>
      </c>
      <c r="F2323" s="1" t="n">
        <v>83</v>
      </c>
      <c r="G2323" s="1" t="n">
        <v>95</v>
      </c>
      <c r="H2323" s="2" t="n">
        <v>100000</v>
      </c>
      <c r="I2323" s="2" t="n">
        <f aca="false">(((H2323 / 800) / IF(ISBLANK(R2323), 1000000, IF(ISNA(VLOOKUP(R2323, Mileages!$A$2:$C$34, 2, 0)), R2323, VLOOKUP(R2323, Mileages!$A$2:$C$34, 2, 0)))) + (F2323 * IF(ISBLANK(P2323), 1, P2323) * IF(ISBLANK(T2323), 0, IF(ISNA(VLOOKUP(T2323, 'Fuel Costs'!$A$2:$C$42, 2, 0)), T2323, VLOOKUP(T2323, 'Fuel Costs'!$A$2:$C$42, 2, 0))) / IF(ISBLANK(O2323), 1, O2323))) * 100</f>
        <v>41.5125</v>
      </c>
      <c r="J2323" s="2" t="n">
        <f aca="false">((H2323 / 800) / (IF(ISBLANK(S2323), 100, IF(ISNA(VLOOKUP(S2323, Lives!$A$2:$C$35, 2, 0)), S2323, VLOOKUP(S2323, Lives!$A$2:$C$35, 2, 0))) * 12) + (IF(ISBLANK(Q2323), 0, IF(ISNA(VLOOKUP(Q2323, Wages!$A$2:$C$17, 2, 0)), Q2323, VLOOKUP(Q2323, Wages!$A$2:$C$17, 2, 0))) * IF(ISBLANK(N2323), 0, IF(ISNA(VLOOKUP(N2323, Crews!$A$2:$C$28, 2, 0)), N2323, VLOOKUP(N2323, Crews!$A$2:$C$28, 2, 0))))) * 400</f>
        <v>8052.083333</v>
      </c>
      <c r="K2323" s="1"/>
      <c r="L2323" s="1" t="s">
        <v>4561</v>
      </c>
      <c r="M2323" s="1" t="n">
        <v>3</v>
      </c>
      <c r="N2323" s="1" t="s">
        <v>1815</v>
      </c>
      <c r="O2323" s="1" t="n">
        <v>0.8</v>
      </c>
      <c r="P2323" s="1"/>
      <c r="Q2323" s="1" t="s">
        <v>1815</v>
      </c>
      <c r="R2323" s="1" t="s">
        <v>1843</v>
      </c>
      <c r="S2323" s="1" t="s">
        <v>1843</v>
      </c>
      <c r="T2323" s="1" t="s">
        <v>4079</v>
      </c>
    </row>
    <row r="2324" customFormat="false" ht="15" hidden="false" customHeight="true" outlineLevel="0" collapsed="false">
      <c r="A2324" s="1" t="s">
        <v>4565</v>
      </c>
      <c r="B2324" s="1" t="n">
        <v>1975</v>
      </c>
      <c r="C2324" s="1" t="n">
        <v>3</v>
      </c>
      <c r="D2324" s="1" t="s">
        <v>21</v>
      </c>
      <c r="E2324" s="1" t="s">
        <v>2039</v>
      </c>
      <c r="F2324" s="1" t="n">
        <v>83</v>
      </c>
      <c r="G2324" s="1" t="n">
        <v>95</v>
      </c>
      <c r="H2324" s="2" t="n">
        <v>100000</v>
      </c>
      <c r="I2324" s="2" t="n">
        <f aca="false">(((H2324 / 800) / IF(ISBLANK(R2324), 1000000, IF(ISNA(VLOOKUP(R2324, Mileages!$A$2:$C$34, 2, 0)), R2324, VLOOKUP(R2324, Mileages!$A$2:$C$34, 2, 0)))) + (F2324 * IF(ISBLANK(P2324), 1, P2324) * IF(ISBLANK(T2324), 0, IF(ISNA(VLOOKUP(T2324, 'Fuel Costs'!$A$2:$C$42, 2, 0)), T2324, VLOOKUP(T2324, 'Fuel Costs'!$A$2:$C$42, 2, 0))) / IF(ISBLANK(O2324), 1, O2324))) * 100</f>
        <v>41.5125</v>
      </c>
      <c r="J2324" s="2" t="n">
        <f aca="false">((H2324 / 800) / (IF(ISBLANK(S2324), 100, IF(ISNA(VLOOKUP(S2324, Lives!$A$2:$C$35, 2, 0)), S2324, VLOOKUP(S2324, Lives!$A$2:$C$35, 2, 0))) * 12) + (IF(ISBLANK(Q2324), 0, IF(ISNA(VLOOKUP(Q2324, Wages!$A$2:$C$17, 2, 0)), Q2324, VLOOKUP(Q2324, Wages!$A$2:$C$17, 2, 0))) * IF(ISBLANK(N2324), 0, IF(ISNA(VLOOKUP(N2324, Crews!$A$2:$C$28, 2, 0)), N2324, VLOOKUP(N2324, Crews!$A$2:$C$28, 2, 0))))) * 400</f>
        <v>8052.083333</v>
      </c>
      <c r="K2324" s="1"/>
      <c r="L2324" s="1" t="s">
        <v>4561</v>
      </c>
      <c r="M2324" s="1" t="n">
        <v>4</v>
      </c>
      <c r="N2324" s="1" t="s">
        <v>1815</v>
      </c>
      <c r="O2324" s="1" t="n">
        <v>0.8</v>
      </c>
      <c r="P2324" s="1"/>
      <c r="Q2324" s="1" t="s">
        <v>1815</v>
      </c>
      <c r="R2324" s="1" t="s">
        <v>1843</v>
      </c>
      <c r="S2324" s="1" t="s">
        <v>1843</v>
      </c>
      <c r="T2324" s="1" t="s">
        <v>4079</v>
      </c>
    </row>
    <row r="2325" customFormat="false" ht="15" hidden="false" customHeight="true" outlineLevel="0" collapsed="false">
      <c r="A2325" s="1" t="s">
        <v>4566</v>
      </c>
      <c r="B2325" s="1" t="n">
        <v>1975</v>
      </c>
      <c r="C2325" s="1" t="n">
        <v>3</v>
      </c>
      <c r="D2325" s="1" t="s">
        <v>21</v>
      </c>
      <c r="E2325" s="1" t="s">
        <v>2039</v>
      </c>
      <c r="F2325" s="1" t="n">
        <v>83</v>
      </c>
      <c r="G2325" s="1" t="n">
        <v>95</v>
      </c>
      <c r="H2325" s="2" t="n">
        <v>100000</v>
      </c>
      <c r="I2325" s="2" t="n">
        <f aca="false">(((H2325 / 800) / IF(ISBLANK(R2325), 1000000, IF(ISNA(VLOOKUP(R2325, Mileages!$A$2:$C$34, 2, 0)), R2325, VLOOKUP(R2325, Mileages!$A$2:$C$34, 2, 0)))) + (F2325 * IF(ISBLANK(P2325), 1, P2325) * IF(ISBLANK(T2325), 0, IF(ISNA(VLOOKUP(T2325, 'Fuel Costs'!$A$2:$C$42, 2, 0)), T2325, VLOOKUP(T2325, 'Fuel Costs'!$A$2:$C$42, 2, 0))) / IF(ISBLANK(O2325), 1, O2325))) * 100</f>
        <v>41.5125</v>
      </c>
      <c r="J2325" s="2" t="n">
        <f aca="false">((H2325 / 800) / (IF(ISBLANK(S2325), 100, IF(ISNA(VLOOKUP(S2325, Lives!$A$2:$C$35, 2, 0)), S2325, VLOOKUP(S2325, Lives!$A$2:$C$35, 2, 0))) * 12) + (IF(ISBLANK(Q2325), 0, IF(ISNA(VLOOKUP(Q2325, Wages!$A$2:$C$17, 2, 0)), Q2325, VLOOKUP(Q2325, Wages!$A$2:$C$17, 2, 0))) * IF(ISBLANK(N2325), 0, IF(ISNA(VLOOKUP(N2325, Crews!$A$2:$C$28, 2, 0)), N2325, VLOOKUP(N2325, Crews!$A$2:$C$28, 2, 0))))) * 400</f>
        <v>8052.083333</v>
      </c>
      <c r="K2325" s="1"/>
      <c r="L2325" s="1" t="s">
        <v>4561</v>
      </c>
      <c r="M2325" s="1" t="n">
        <v>5</v>
      </c>
      <c r="N2325" s="1" t="s">
        <v>1815</v>
      </c>
      <c r="O2325" s="1" t="n">
        <v>0.8</v>
      </c>
      <c r="P2325" s="1"/>
      <c r="Q2325" s="1" t="s">
        <v>1815</v>
      </c>
      <c r="R2325" s="1" t="s">
        <v>1843</v>
      </c>
      <c r="S2325" s="1" t="s">
        <v>1843</v>
      </c>
      <c r="T2325" s="1" t="s">
        <v>4079</v>
      </c>
    </row>
    <row r="2326" customFormat="false" ht="15" hidden="false" customHeight="true" outlineLevel="0" collapsed="false">
      <c r="A2326" s="1" t="s">
        <v>4567</v>
      </c>
      <c r="B2326" s="1" t="n">
        <v>1975</v>
      </c>
      <c r="C2326" s="1" t="n">
        <v>4</v>
      </c>
      <c r="D2326" s="1" t="s">
        <v>38</v>
      </c>
      <c r="E2326" s="1"/>
      <c r="F2326" s="1"/>
      <c r="G2326" s="1" t="n">
        <v>200</v>
      </c>
      <c r="H2326" s="2" t="n">
        <v>7200000</v>
      </c>
      <c r="I2326" s="2" t="n">
        <f aca="false">(((H2326 / 800) / IF(ISBLANK(R2326), 1000000, IF(ISNA(VLOOKUP(R2326, Mileages!$A$2:$C$34, 2, 0)), R2326, VLOOKUP(R2326, Mileages!$A$2:$C$34, 2, 0)))) + (F2326 * IF(ISBLANK(P2326), 1, P2326) * IF(ISBLANK(T2326), 0, IF(ISNA(VLOOKUP(T2326, 'Fuel Costs'!$A$2:$C$42, 2, 0)), T2326, VLOOKUP(T2326, 'Fuel Costs'!$A$2:$C$42, 2, 0))) / IF(ISBLANK(O2326), 1, O2326))) * 100</f>
        <v>0.375</v>
      </c>
      <c r="J2326" s="2" t="n">
        <f aca="false">((H2326 / 800) / (IF(ISBLANK(S2326), 100, IF(ISNA(VLOOKUP(S2326, Lives!$A$2:$C$35, 2, 0)), S2326, VLOOKUP(S2326, Lives!$A$2:$C$35, 2, 0))) * 12) + (IF(ISBLANK(Q2326), 0, IF(ISNA(VLOOKUP(Q2326, Wages!$A$2:$C$17, 2, 0)), Q2326, VLOOKUP(Q2326, Wages!$A$2:$C$17, 2, 0))) * IF(ISBLANK(N2326), 0, IF(ISNA(VLOOKUP(N2326, Crews!$A$2:$C$28, 2, 0)), N2326, VLOOKUP(N2326, Crews!$A$2:$C$28, 2, 0))))) * 400</f>
        <v>15000</v>
      </c>
      <c r="K2326" s="1" t="s">
        <v>4568</v>
      </c>
      <c r="L2326" s="1" t="s">
        <v>4569</v>
      </c>
      <c r="M2326" s="1" t="n">
        <v>1</v>
      </c>
      <c r="N2326" s="1"/>
      <c r="O2326" s="1"/>
      <c r="P2326" s="1"/>
      <c r="Q2326" s="1"/>
      <c r="R2326" s="1" t="s">
        <v>4419</v>
      </c>
      <c r="S2326" s="1" t="s">
        <v>4470</v>
      </c>
      <c r="T2326" s="1"/>
    </row>
    <row r="2327" customFormat="false" ht="15" hidden="false" customHeight="true" outlineLevel="0" collapsed="false">
      <c r="A2327" s="1" t="s">
        <v>4570</v>
      </c>
      <c r="B2327" s="1" t="n">
        <v>1975</v>
      </c>
      <c r="C2327" s="1" t="n">
        <v>4</v>
      </c>
      <c r="D2327" s="1" t="s">
        <v>38</v>
      </c>
      <c r="E2327" s="1"/>
      <c r="F2327" s="1"/>
      <c r="G2327" s="1" t="n">
        <v>200</v>
      </c>
      <c r="H2327" s="2" t="n">
        <v>590000</v>
      </c>
      <c r="I2327" s="2" t="n">
        <f aca="false">(((H2327 / 800) / IF(ISBLANK(R2327), 1000000, IF(ISNA(VLOOKUP(R2327, Mileages!$A$2:$C$34, 2, 0)), R2327, VLOOKUP(R2327, Mileages!$A$2:$C$34, 2, 0)))) + (F2327 * IF(ISBLANK(P2327), 1, P2327) * IF(ISBLANK(T2327), 0, IF(ISNA(VLOOKUP(T2327, 'Fuel Costs'!$A$2:$C$42, 2, 0)), T2327, VLOOKUP(T2327, 'Fuel Costs'!$A$2:$C$42, 2, 0))) / IF(ISBLANK(O2327), 1, O2327))) * 100</f>
        <v>0.03072916667</v>
      </c>
      <c r="J2327" s="2" t="n">
        <f aca="false">((H2327 / 800) / (IF(ISBLANK(S2327), 100, IF(ISNA(VLOOKUP(S2327, Lives!$A$2:$C$35, 2, 0)), S2327, VLOOKUP(S2327, Lives!$A$2:$C$35, 2, 0))) * 12) + (IF(ISBLANK(Q2327), 0, IF(ISNA(VLOOKUP(Q2327, Wages!$A$2:$C$17, 2, 0)), Q2327, VLOOKUP(Q2327, Wages!$A$2:$C$17, 2, 0))) * IF(ISBLANK(N2327), 0, IF(ISNA(VLOOKUP(N2327, Crews!$A$2:$C$28, 2, 0)), N2327, VLOOKUP(N2327, Crews!$A$2:$C$28, 2, 0))))) * 400</f>
        <v>1229.166667</v>
      </c>
      <c r="K2327" s="1"/>
      <c r="L2327" s="1" t="s">
        <v>4571</v>
      </c>
      <c r="M2327" s="1" t="n">
        <v>1</v>
      </c>
      <c r="N2327" s="1"/>
      <c r="O2327" s="1"/>
      <c r="P2327" s="1"/>
      <c r="Q2327" s="1"/>
      <c r="R2327" s="1" t="s">
        <v>4419</v>
      </c>
      <c r="S2327" s="1" t="s">
        <v>4470</v>
      </c>
      <c r="T2327" s="1"/>
    </row>
    <row r="2328" customFormat="false" ht="15" hidden="false" customHeight="true" outlineLevel="0" collapsed="false">
      <c r="A2328" s="1" t="s">
        <v>4572</v>
      </c>
      <c r="B2328" s="1" t="n">
        <v>1975</v>
      </c>
      <c r="C2328" s="1" t="n">
        <v>4</v>
      </c>
      <c r="D2328" s="1" t="s">
        <v>38</v>
      </c>
      <c r="E2328" s="1"/>
      <c r="F2328" s="1"/>
      <c r="G2328" s="1" t="n">
        <v>200</v>
      </c>
      <c r="H2328" s="2" t="n">
        <v>590000</v>
      </c>
      <c r="I2328" s="2" t="n">
        <f aca="false">(((H2328 / 800) / IF(ISBLANK(R2328), 1000000, IF(ISNA(VLOOKUP(R2328, Mileages!$A$2:$C$34, 2, 0)), R2328, VLOOKUP(R2328, Mileages!$A$2:$C$34, 2, 0)))) + (F2328 * IF(ISBLANK(P2328), 1, P2328) * IF(ISBLANK(T2328), 0, IF(ISNA(VLOOKUP(T2328, 'Fuel Costs'!$A$2:$C$42, 2, 0)), T2328, VLOOKUP(T2328, 'Fuel Costs'!$A$2:$C$42, 2, 0))) / IF(ISBLANK(O2328), 1, O2328))) * 100</f>
        <v>0.03072916667</v>
      </c>
      <c r="J2328" s="2" t="n">
        <f aca="false">((H2328 / 800) / (IF(ISBLANK(S2328), 100, IF(ISNA(VLOOKUP(S2328, Lives!$A$2:$C$35, 2, 0)), S2328, VLOOKUP(S2328, Lives!$A$2:$C$35, 2, 0))) * 12) + (IF(ISBLANK(Q2328), 0, IF(ISNA(VLOOKUP(Q2328, Wages!$A$2:$C$17, 2, 0)), Q2328, VLOOKUP(Q2328, Wages!$A$2:$C$17, 2, 0))) * IF(ISBLANK(N2328), 0, IF(ISNA(VLOOKUP(N2328, Crews!$A$2:$C$28, 2, 0)), N2328, VLOOKUP(N2328, Crews!$A$2:$C$28, 2, 0))))) * 400</f>
        <v>1229.166667</v>
      </c>
      <c r="K2328" s="1"/>
      <c r="L2328" s="1" t="s">
        <v>4573</v>
      </c>
      <c r="M2328" s="1" t="n">
        <v>1</v>
      </c>
      <c r="N2328" s="1"/>
      <c r="O2328" s="1"/>
      <c r="P2328" s="1"/>
      <c r="Q2328" s="1"/>
      <c r="R2328" s="1" t="s">
        <v>4419</v>
      </c>
      <c r="S2328" s="1" t="s">
        <v>4470</v>
      </c>
      <c r="T2328" s="1"/>
    </row>
    <row r="2329" customFormat="false" ht="15" hidden="false" customHeight="true" outlineLevel="0" collapsed="false">
      <c r="A2329" s="1" t="s">
        <v>4574</v>
      </c>
      <c r="B2329" s="1" t="n">
        <v>1975</v>
      </c>
      <c r="C2329" s="1" t="n">
        <v>11</v>
      </c>
      <c r="D2329" s="1" t="s">
        <v>29</v>
      </c>
      <c r="E2329" s="1" t="s">
        <v>2039</v>
      </c>
      <c r="F2329" s="1" t="n">
        <v>8835</v>
      </c>
      <c r="G2329" s="1" t="n">
        <v>35</v>
      </c>
      <c r="H2329" s="2" t="n">
        <v>82100000</v>
      </c>
      <c r="I2329" s="2" t="n">
        <f aca="false">(((H2329 / 800) / IF(ISBLANK(R2329), 1000000, IF(ISNA(VLOOKUP(R2329, Mileages!$A$2:$C$34, 2, 0)), R2329, VLOOKUP(R2329, Mileages!$A$2:$C$34, 2, 0)))) + (F2329 * IF(ISBLANK(P2329), 1, P2329) * IF(ISBLANK(T2329), 0, IF(ISNA(VLOOKUP(T2329, 'Fuel Costs'!$A$2:$C$42, 2, 0)), T2329, VLOOKUP(T2329, 'Fuel Costs'!$A$2:$C$42, 2, 0))) / IF(ISBLANK(O2329), 1, O2329))) * 100</f>
        <v>446.88125</v>
      </c>
      <c r="J2329" s="2" t="n">
        <f aca="false">((H2329 / 800) / (IF(ISBLANK(S2329), 100, IF(ISNA(VLOOKUP(S2329, Lives!$A$2:$C$35, 2, 0)), S2329, VLOOKUP(S2329, Lives!$A$2:$C$35, 2, 0))) * 12) + (IF(ISBLANK(Q2329), 0, IF(ISNA(VLOOKUP(Q2329, Wages!$A$2:$C$17, 2, 0)), Q2329, VLOOKUP(Q2329, Wages!$A$2:$C$17, 2, 0))) * IF(ISBLANK(N2329), 0, IF(ISNA(VLOOKUP(N2329, Crews!$A$2:$C$28, 2, 0)), N2329, VLOOKUP(N2329, Crews!$A$2:$C$28, 2, 0))))) * 400</f>
        <v>234208.3333</v>
      </c>
      <c r="K2329" s="3" t="s">
        <v>4575</v>
      </c>
      <c r="L2329" s="1" t="s">
        <v>4576</v>
      </c>
      <c r="M2329" s="1" t="n">
        <v>0</v>
      </c>
      <c r="N2329" s="1" t="s">
        <v>323</v>
      </c>
      <c r="O2329" s="1" t="n">
        <v>0.8</v>
      </c>
      <c r="P2329" s="1" t="n">
        <v>0.1</v>
      </c>
      <c r="Q2329" s="1" t="s">
        <v>34</v>
      </c>
      <c r="R2329" s="1" t="s">
        <v>574</v>
      </c>
      <c r="S2329" s="1" t="s">
        <v>574</v>
      </c>
      <c r="T2329" s="1" t="s">
        <v>4079</v>
      </c>
    </row>
    <row r="2330" customFormat="false" ht="15" hidden="false" customHeight="true" outlineLevel="0" collapsed="false">
      <c r="A2330" s="1" t="s">
        <v>4577</v>
      </c>
      <c r="B2330" s="1" t="n">
        <v>1975</v>
      </c>
      <c r="C2330" s="1" t="n">
        <v>11</v>
      </c>
      <c r="D2330" s="1" t="s">
        <v>29</v>
      </c>
      <c r="E2330" s="1"/>
      <c r="F2330" s="1"/>
      <c r="G2330" s="1" t="n">
        <v>35</v>
      </c>
      <c r="H2330" s="2"/>
      <c r="I2330" s="2"/>
      <c r="J2330" s="2"/>
      <c r="K2330" s="1" t="s">
        <v>321</v>
      </c>
      <c r="L2330" s="1" t="s">
        <v>4578</v>
      </c>
      <c r="M2330" s="1" t="n">
        <v>0</v>
      </c>
      <c r="N2330" s="1"/>
      <c r="O2330" s="1"/>
      <c r="P2330" s="1"/>
      <c r="Q2330" s="1"/>
      <c r="R2330" s="1"/>
      <c r="S2330" s="1"/>
      <c r="T2330" s="1"/>
    </row>
    <row r="2331" customFormat="false" ht="15" hidden="false" customHeight="true" outlineLevel="0" collapsed="false">
      <c r="A2331" s="1" t="s">
        <v>4579</v>
      </c>
      <c r="B2331" s="1" t="n">
        <v>1975</v>
      </c>
      <c r="C2331" s="1" t="n">
        <v>11</v>
      </c>
      <c r="D2331" s="1" t="s">
        <v>29</v>
      </c>
      <c r="E2331" s="1"/>
      <c r="F2331" s="1"/>
      <c r="G2331" s="1" t="n">
        <v>35</v>
      </c>
      <c r="H2331" s="2"/>
      <c r="I2331" s="2"/>
      <c r="J2331" s="2"/>
      <c r="K2331" s="1" t="s">
        <v>321</v>
      </c>
      <c r="L2331" s="1" t="s">
        <v>4578</v>
      </c>
      <c r="M2331" s="1" t="n">
        <v>1</v>
      </c>
      <c r="N2331" s="1"/>
      <c r="O2331" s="1"/>
      <c r="P2331" s="1"/>
      <c r="Q2331" s="1"/>
      <c r="R2331" s="1"/>
      <c r="S2331" s="1"/>
      <c r="T2331" s="1"/>
    </row>
    <row r="2332" customFormat="false" ht="15" hidden="false" customHeight="true" outlineLevel="0" collapsed="false">
      <c r="A2332" s="1" t="s">
        <v>4580</v>
      </c>
      <c r="B2332" s="1" t="n">
        <v>1975</v>
      </c>
      <c r="C2332" s="1" t="n">
        <v>11</v>
      </c>
      <c r="D2332" s="1" t="s">
        <v>29</v>
      </c>
      <c r="E2332" s="1"/>
      <c r="F2332" s="1"/>
      <c r="G2332" s="1" t="n">
        <v>35</v>
      </c>
      <c r="H2332" s="2"/>
      <c r="I2332" s="2"/>
      <c r="J2332" s="2"/>
      <c r="K2332" s="1" t="s">
        <v>321</v>
      </c>
      <c r="L2332" s="1" t="s">
        <v>4578</v>
      </c>
      <c r="M2332" s="1" t="n">
        <v>2</v>
      </c>
      <c r="N2332" s="1"/>
      <c r="O2332" s="1"/>
      <c r="P2332" s="1"/>
      <c r="Q2332" s="1"/>
      <c r="R2332" s="1"/>
      <c r="S2332" s="1"/>
      <c r="T2332" s="1"/>
    </row>
    <row r="2333" customFormat="false" ht="15" hidden="false" customHeight="true" outlineLevel="0" collapsed="false">
      <c r="A2333" s="1" t="s">
        <v>4581</v>
      </c>
      <c r="B2333" s="1" t="n">
        <v>1975</v>
      </c>
      <c r="C2333" s="1" t="n">
        <v>12</v>
      </c>
      <c r="D2333" s="1" t="s">
        <v>38</v>
      </c>
      <c r="E2333" s="1" t="s">
        <v>1346</v>
      </c>
      <c r="F2333" s="1" t="n">
        <v>328</v>
      </c>
      <c r="G2333" s="1" t="n">
        <v>120</v>
      </c>
      <c r="H2333" s="2" t="n">
        <v>1237000</v>
      </c>
      <c r="I2333" s="2" t="n">
        <f aca="false">(((H2333 / 800) / IF(ISBLANK(R2333), 1000000, IF(ISNA(VLOOKUP(R2333, Mileages!$A$2:$C$34, 2, 0)), R2333, VLOOKUP(R2333, Mileages!$A$2:$C$34, 2, 0)))) + (F2333 * IF(ISBLANK(P2333), 1, P2333) * IF(ISBLANK(T2333), 0, IF(ISNA(VLOOKUP(T2333, 'Fuel Costs'!$A$2:$C$42, 2, 0)), T2333, VLOOKUP(T2333, 'Fuel Costs'!$A$2:$C$42, 2, 0))) / IF(ISBLANK(O2333), 1, O2333))) * 100</f>
        <v>49.354625</v>
      </c>
      <c r="J2333" s="2" t="n">
        <f aca="false">((H2333 / 800) / (IF(ISBLANK(S2333), 100, IF(ISNA(VLOOKUP(S2333, Lives!$A$2:$C$35, 2, 0)), S2333, VLOOKUP(S2333, Lives!$A$2:$C$35, 2, 0))) * 12) + (IF(ISBLANK(Q2333), 0, IF(ISNA(VLOOKUP(Q2333, Wages!$A$2:$C$17, 2, 0)), Q2333, VLOOKUP(Q2333, Wages!$A$2:$C$17, 2, 0))) * IF(ISBLANK(N2333), 0, IF(ISNA(VLOOKUP(N2333, Crews!$A$2:$C$28, 2, 0)), N2333, VLOOKUP(N2333, Crews!$A$2:$C$28, 2, 0))))) * 400</f>
        <v>7030.833333</v>
      </c>
      <c r="K2333" s="1"/>
      <c r="L2333" s="1" t="s">
        <v>4582</v>
      </c>
      <c r="M2333" s="1" t="n">
        <v>0</v>
      </c>
      <c r="N2333" s="1" t="s">
        <v>1512</v>
      </c>
      <c r="O2333" s="1" t="n">
        <v>1</v>
      </c>
      <c r="P2333" s="1"/>
      <c r="Q2333" s="1" t="str">
        <f aca="false">IF(ISBLANK('Pak128 Britain In'!$N2333),,'Pak128 Britain In'!$N2333)</f>
        <v>ElectricMultipleUnit</v>
      </c>
      <c r="R2333" s="1" t="s">
        <v>1349</v>
      </c>
      <c r="S2333" s="1" t="s">
        <v>1350</v>
      </c>
      <c r="T2333" s="1" t="s">
        <v>4101</v>
      </c>
    </row>
    <row r="2334" customFormat="false" ht="15" hidden="false" customHeight="true" outlineLevel="0" collapsed="false">
      <c r="A2334" s="1" t="s">
        <v>4583</v>
      </c>
      <c r="B2334" s="1" t="n">
        <v>1975</v>
      </c>
      <c r="C2334" s="1" t="n">
        <v>12</v>
      </c>
      <c r="D2334" s="1" t="s">
        <v>38</v>
      </c>
      <c r="E2334" s="1" t="s">
        <v>1346</v>
      </c>
      <c r="F2334" s="1" t="n">
        <v>0</v>
      </c>
      <c r="G2334" s="1" t="n">
        <v>120</v>
      </c>
      <c r="H2334" s="2" t="n">
        <v>1237000</v>
      </c>
      <c r="I2334" s="2" t="n">
        <f aca="false">(((H2334 / 800) / IF(ISBLANK(R2334), 1000000, IF(ISNA(VLOOKUP(R2334, Mileages!$A$2:$C$34, 2, 0)), R2334, VLOOKUP(R2334, Mileages!$A$2:$C$34, 2, 0)))) + (F2334 * IF(ISBLANK(P2334), 1, P2334) * IF(ISBLANK(T2334), 0, IF(ISNA(VLOOKUP(T2334, 'Fuel Costs'!$A$2:$C$42, 2, 0)), T2334, VLOOKUP(T2334, 'Fuel Costs'!$A$2:$C$42, 2, 0))) / IF(ISBLANK(O2334), 1, O2334))) * 100</f>
        <v>0.1288541667</v>
      </c>
      <c r="J2334" s="2" t="n">
        <f aca="false">((H2334 / 800) / (IF(ISBLANK(S2334), 100, IF(ISNA(VLOOKUP(S2334, Lives!$A$2:$C$35, 2, 0)), S2334, VLOOKUP(S2334, Lives!$A$2:$C$35, 2, 0))) * 12) + (IF(ISBLANK(Q2334), 0, IF(ISNA(VLOOKUP(Q2334, Wages!$A$2:$C$17, 2, 0)), Q2334, VLOOKUP(Q2334, Wages!$A$2:$C$17, 2, 0))) * IF(ISBLANK(N2334), 0, IF(ISNA(VLOOKUP(N2334, Crews!$A$2:$C$28, 2, 0)), N2334, VLOOKUP(N2334, Crews!$A$2:$C$28, 2, 0))))) * 400</f>
        <v>1472.619048</v>
      </c>
      <c r="K2334" s="1"/>
      <c r="L2334" s="1" t="s">
        <v>4582</v>
      </c>
      <c r="M2334" s="1" t="n">
        <v>1</v>
      </c>
      <c r="N2334" s="1"/>
      <c r="O2334" s="1"/>
      <c r="P2334" s="1"/>
      <c r="Q2334" s="1"/>
      <c r="R2334" s="1" t="s">
        <v>689</v>
      </c>
      <c r="S2334" s="1" t="s">
        <v>856</v>
      </c>
      <c r="T2334" s="1"/>
    </row>
    <row r="2335" customFormat="false" ht="15" hidden="false" customHeight="true" outlineLevel="0" collapsed="false">
      <c r="A2335" s="1" t="s">
        <v>4584</v>
      </c>
      <c r="B2335" s="1" t="n">
        <v>1975</v>
      </c>
      <c r="C2335" s="1" t="n">
        <v>12</v>
      </c>
      <c r="D2335" s="1" t="s">
        <v>38</v>
      </c>
      <c r="E2335" s="1" t="s">
        <v>1346</v>
      </c>
      <c r="F2335" s="1" t="n">
        <v>328</v>
      </c>
      <c r="G2335" s="1" t="n">
        <v>120</v>
      </c>
      <c r="H2335" s="2" t="n">
        <v>1237000</v>
      </c>
      <c r="I2335" s="2" t="n">
        <f aca="false">(((H2335 / 800) / IF(ISBLANK(R2335), 1000000, IF(ISNA(VLOOKUP(R2335, Mileages!$A$2:$C$34, 2, 0)), R2335, VLOOKUP(R2335, Mileages!$A$2:$C$34, 2, 0)))) + (F2335 * IF(ISBLANK(P2335), 1, P2335) * IF(ISBLANK(T2335), 0, IF(ISNA(VLOOKUP(T2335, 'Fuel Costs'!$A$2:$C$42, 2, 0)), T2335, VLOOKUP(T2335, 'Fuel Costs'!$A$2:$C$42, 2, 0))) / IF(ISBLANK(O2335), 1, O2335))) * 100</f>
        <v>49.354625</v>
      </c>
      <c r="J2335" s="2" t="n">
        <f aca="false">((H2335 / 800) / (IF(ISBLANK(S2335), 100, IF(ISNA(VLOOKUP(S2335, Lives!$A$2:$C$35, 2, 0)), S2335, VLOOKUP(S2335, Lives!$A$2:$C$35, 2, 0))) * 12) + (IF(ISBLANK(Q2335), 0, IF(ISNA(VLOOKUP(Q2335, Wages!$A$2:$C$17, 2, 0)), Q2335, VLOOKUP(Q2335, Wages!$A$2:$C$17, 2, 0))) * IF(ISBLANK(N2335), 0, IF(ISNA(VLOOKUP(N2335, Crews!$A$2:$C$28, 2, 0)), N2335, VLOOKUP(N2335, Crews!$A$2:$C$28, 2, 0))))) * 400</f>
        <v>7030.833333</v>
      </c>
      <c r="K2335" s="1"/>
      <c r="L2335" s="1" t="s">
        <v>4582</v>
      </c>
      <c r="M2335" s="1" t="n">
        <v>2</v>
      </c>
      <c r="N2335" s="1" t="s">
        <v>1512</v>
      </c>
      <c r="O2335" s="1" t="n">
        <v>1</v>
      </c>
      <c r="P2335" s="1"/>
      <c r="Q2335" s="1" t="str">
        <f aca="false">IF(ISBLANK('Pak128 Britain In'!$N2335),,'Pak128 Britain In'!$N2335)</f>
        <v>ElectricMultipleUnit</v>
      </c>
      <c r="R2335" s="1" t="s">
        <v>1349</v>
      </c>
      <c r="S2335" s="1" t="s">
        <v>1350</v>
      </c>
      <c r="T2335" s="1" t="s">
        <v>4101</v>
      </c>
    </row>
    <row r="2336" customFormat="false" ht="15" hidden="false" customHeight="true" outlineLevel="0" collapsed="false">
      <c r="A2336" s="1" t="s">
        <v>4585</v>
      </c>
      <c r="B2336" s="1" t="n">
        <v>1976</v>
      </c>
      <c r="C2336" s="1" t="n">
        <v>1</v>
      </c>
      <c r="D2336" s="1" t="s">
        <v>38</v>
      </c>
      <c r="E2336" s="1" t="s">
        <v>2039</v>
      </c>
      <c r="F2336" s="1" t="n">
        <v>2010</v>
      </c>
      <c r="G2336" s="1" t="n">
        <v>200</v>
      </c>
      <c r="H2336" s="2" t="n">
        <v>9331000</v>
      </c>
      <c r="I2336" s="2" t="n">
        <f aca="false">(((H2336 / 800) / IF(ISBLANK(R2336), 1000000, IF(ISNA(VLOOKUP(R2336, Mileages!$A$2:$C$34, 2, 0)), R2336, VLOOKUP(R2336, Mileages!$A$2:$C$34, 2, 0)))) + (F2336 * IF(ISBLANK(P2336), 1, P2336) * IF(ISBLANK(T2336), 0, IF(ISNA(VLOOKUP(T2336, 'Fuel Costs'!$A$2:$C$42, 2, 0)), T2336, VLOOKUP(T2336, 'Fuel Costs'!$A$2:$C$42, 2, 0))) / IF(ISBLANK(O2336), 1, O2336))) * 100</f>
        <v>1006.166375</v>
      </c>
      <c r="J2336" s="2" t="n">
        <f aca="false">((H2336 / 800) / (IF(ISBLANK(S2336), 100, IF(ISNA(VLOOKUP(S2336, Lives!$A$2:$C$35, 2, 0)), S2336, VLOOKUP(S2336, Lives!$A$2:$C$35, 2, 0))) * 12) + (IF(ISBLANK(Q2336), 0, IF(ISNA(VLOOKUP(Q2336, Wages!$A$2:$C$17, 2, 0)), Q2336, VLOOKUP(Q2336, Wages!$A$2:$C$17, 2, 0))) * IF(ISBLANK(N2336), 0, IF(ISNA(VLOOKUP(N2336, Crews!$A$2:$C$28, 2, 0)), N2336, VLOOKUP(N2336, Crews!$A$2:$C$28, 2, 0))))) * 400</f>
        <v>12479.86111</v>
      </c>
      <c r="K2336" s="1"/>
      <c r="L2336" s="1" t="s">
        <v>4586</v>
      </c>
      <c r="M2336" s="1" t="n">
        <v>0</v>
      </c>
      <c r="N2336" s="1" t="s">
        <v>1512</v>
      </c>
      <c r="O2336" s="1" t="n">
        <v>0.8</v>
      </c>
      <c r="P2336" s="1"/>
      <c r="Q2336" s="1" t="s">
        <v>1512</v>
      </c>
      <c r="R2336" s="1" t="s">
        <v>4088</v>
      </c>
      <c r="S2336" s="1" t="s">
        <v>4088</v>
      </c>
      <c r="T2336" s="1" t="s">
        <v>4079</v>
      </c>
    </row>
    <row r="2337" customFormat="false" ht="15" hidden="false" customHeight="true" outlineLevel="0" collapsed="false">
      <c r="A2337" s="1" t="s">
        <v>4587</v>
      </c>
      <c r="B2337" s="1" t="n">
        <v>1976</v>
      </c>
      <c r="C2337" s="1" t="n">
        <v>1</v>
      </c>
      <c r="D2337" s="1" t="s">
        <v>38</v>
      </c>
      <c r="E2337" s="1" t="s">
        <v>2039</v>
      </c>
      <c r="F2337" s="1" t="n">
        <v>2010</v>
      </c>
      <c r="G2337" s="1" t="n">
        <v>200</v>
      </c>
      <c r="H2337" s="2" t="n">
        <v>9331000</v>
      </c>
      <c r="I2337" s="2" t="n">
        <f aca="false">(((H2337 / 800) / IF(ISBLANK(R2337), 1000000, IF(ISNA(VLOOKUP(R2337, Mileages!$A$2:$C$34, 2, 0)), R2337, VLOOKUP(R2337, Mileages!$A$2:$C$34, 2, 0)))) + (F2337 * IF(ISBLANK(P2337), 1, P2337) * IF(ISBLANK(T2337), 0, IF(ISNA(VLOOKUP(T2337, 'Fuel Costs'!$A$2:$C$42, 2, 0)), T2337, VLOOKUP(T2337, 'Fuel Costs'!$A$2:$C$42, 2, 0))) / IF(ISBLANK(O2337), 1, O2337))) * 100</f>
        <v>1006.166375</v>
      </c>
      <c r="J2337" s="2" t="n">
        <f aca="false">((H2337 / 800) / (IF(ISBLANK(S2337), 100, IF(ISNA(VLOOKUP(S2337, Lives!$A$2:$C$35, 2, 0)), S2337, VLOOKUP(S2337, Lives!$A$2:$C$35, 2, 0))) * 12) + (IF(ISBLANK(Q2337), 0, IF(ISNA(VLOOKUP(Q2337, Wages!$A$2:$C$17, 2, 0)), Q2337, VLOOKUP(Q2337, Wages!$A$2:$C$17, 2, 0))) * IF(ISBLANK(N2337), 0, IF(ISNA(VLOOKUP(N2337, Crews!$A$2:$C$28, 2, 0)), N2337, VLOOKUP(N2337, Crews!$A$2:$C$28, 2, 0))))) * 400</f>
        <v>12479.86111</v>
      </c>
      <c r="K2337" s="1"/>
      <c r="L2337" s="1" t="s">
        <v>4586</v>
      </c>
      <c r="M2337" s="1" t="n">
        <v>1</v>
      </c>
      <c r="N2337" s="1" t="s">
        <v>1512</v>
      </c>
      <c r="O2337" s="1" t="n">
        <v>0.8</v>
      </c>
      <c r="P2337" s="1"/>
      <c r="Q2337" s="1" t="s">
        <v>1512</v>
      </c>
      <c r="R2337" s="1" t="s">
        <v>4088</v>
      </c>
      <c r="S2337" s="1" t="s">
        <v>4088</v>
      </c>
      <c r="T2337" s="1" t="s">
        <v>4079</v>
      </c>
    </row>
    <row r="2338" customFormat="false" ht="15" hidden="false" customHeight="true" outlineLevel="0" collapsed="false">
      <c r="A2338" s="1" t="s">
        <v>4588</v>
      </c>
      <c r="B2338" s="1" t="n">
        <v>1976</v>
      </c>
      <c r="C2338" s="1" t="n">
        <v>1</v>
      </c>
      <c r="D2338" s="1" t="s">
        <v>38</v>
      </c>
      <c r="E2338" s="1" t="s">
        <v>2039</v>
      </c>
      <c r="F2338" s="1" t="n">
        <v>2010</v>
      </c>
      <c r="G2338" s="1" t="n">
        <v>200</v>
      </c>
      <c r="H2338" s="2" t="n">
        <v>9331000</v>
      </c>
      <c r="I2338" s="2" t="n">
        <f aca="false">(((H2338 / 800) / IF(ISBLANK(R2338), 1000000, IF(ISNA(VLOOKUP(R2338, Mileages!$A$2:$C$34, 2, 0)), R2338, VLOOKUP(R2338, Mileages!$A$2:$C$34, 2, 0)))) + (F2338 * IF(ISBLANK(P2338), 1, P2338) * IF(ISBLANK(T2338), 0, IF(ISNA(VLOOKUP(T2338, 'Fuel Costs'!$A$2:$C$42, 2, 0)), T2338, VLOOKUP(T2338, 'Fuel Costs'!$A$2:$C$42, 2, 0))) / IF(ISBLANK(O2338), 1, O2338))) * 100</f>
        <v>1006.166375</v>
      </c>
      <c r="J2338" s="2" t="n">
        <f aca="false">((H2338 / 800) / (IF(ISBLANK(S2338), 100, IF(ISNA(VLOOKUP(S2338, Lives!$A$2:$C$35, 2, 0)), S2338, VLOOKUP(S2338, Lives!$A$2:$C$35, 2, 0))) * 12) + (IF(ISBLANK(Q2338), 0, IF(ISNA(VLOOKUP(Q2338, Wages!$A$2:$C$17, 2, 0)), Q2338, VLOOKUP(Q2338, Wages!$A$2:$C$17, 2, 0))) * IF(ISBLANK(N2338), 0, IF(ISNA(VLOOKUP(N2338, Crews!$A$2:$C$28, 2, 0)), N2338, VLOOKUP(N2338, Crews!$A$2:$C$28, 2, 0))))) * 400</f>
        <v>12479.86111</v>
      </c>
      <c r="K2338" s="1"/>
      <c r="L2338" s="1" t="s">
        <v>4589</v>
      </c>
      <c r="M2338" s="1" t="n">
        <v>0</v>
      </c>
      <c r="N2338" s="1" t="s">
        <v>1512</v>
      </c>
      <c r="O2338" s="1" t="n">
        <v>0.8</v>
      </c>
      <c r="P2338" s="1"/>
      <c r="Q2338" s="1" t="s">
        <v>1512</v>
      </c>
      <c r="R2338" s="1" t="s">
        <v>4088</v>
      </c>
      <c r="S2338" s="1" t="s">
        <v>4088</v>
      </c>
      <c r="T2338" s="1" t="s">
        <v>4079</v>
      </c>
    </row>
    <row r="2339" customFormat="false" ht="15" hidden="false" customHeight="true" outlineLevel="0" collapsed="false">
      <c r="A2339" s="1" t="s">
        <v>4590</v>
      </c>
      <c r="B2339" s="1" t="n">
        <v>1976</v>
      </c>
      <c r="C2339" s="1" t="n">
        <v>1</v>
      </c>
      <c r="D2339" s="1" t="s">
        <v>38</v>
      </c>
      <c r="E2339" s="1" t="s">
        <v>2039</v>
      </c>
      <c r="F2339" s="1" t="n">
        <v>2010</v>
      </c>
      <c r="G2339" s="1" t="n">
        <v>200</v>
      </c>
      <c r="H2339" s="2" t="n">
        <v>9331000</v>
      </c>
      <c r="I2339" s="2" t="n">
        <f aca="false">(((H2339 / 800) / IF(ISBLANK(R2339), 1000000, IF(ISNA(VLOOKUP(R2339, Mileages!$A$2:$C$34, 2, 0)), R2339, VLOOKUP(R2339, Mileages!$A$2:$C$34, 2, 0)))) + (F2339 * IF(ISBLANK(P2339), 1, P2339) * IF(ISBLANK(T2339), 0, IF(ISNA(VLOOKUP(T2339, 'Fuel Costs'!$A$2:$C$42, 2, 0)), T2339, VLOOKUP(T2339, 'Fuel Costs'!$A$2:$C$42, 2, 0))) / IF(ISBLANK(O2339), 1, O2339))) * 100</f>
        <v>1006.166375</v>
      </c>
      <c r="J2339" s="2" t="n">
        <f aca="false">((H2339 / 800) / (IF(ISBLANK(S2339), 100, IF(ISNA(VLOOKUP(S2339, Lives!$A$2:$C$35, 2, 0)), S2339, VLOOKUP(S2339, Lives!$A$2:$C$35, 2, 0))) * 12) + (IF(ISBLANK(Q2339), 0, IF(ISNA(VLOOKUP(Q2339, Wages!$A$2:$C$17, 2, 0)), Q2339, VLOOKUP(Q2339, Wages!$A$2:$C$17, 2, 0))) * IF(ISBLANK(N2339), 0, IF(ISNA(VLOOKUP(N2339, Crews!$A$2:$C$28, 2, 0)), N2339, VLOOKUP(N2339, Crews!$A$2:$C$28, 2, 0))))) * 400</f>
        <v>12479.86111</v>
      </c>
      <c r="K2339" s="1"/>
      <c r="L2339" s="1" t="s">
        <v>4589</v>
      </c>
      <c r="M2339" s="1" t="n">
        <v>1</v>
      </c>
      <c r="N2339" s="1" t="s">
        <v>1512</v>
      </c>
      <c r="O2339" s="1" t="n">
        <v>0.8</v>
      </c>
      <c r="P2339" s="1"/>
      <c r="Q2339" s="1" t="s">
        <v>1512</v>
      </c>
      <c r="R2339" s="1" t="s">
        <v>4088</v>
      </c>
      <c r="S2339" s="1" t="s">
        <v>4088</v>
      </c>
      <c r="T2339" s="1" t="s">
        <v>4079</v>
      </c>
    </row>
    <row r="2340" customFormat="false" ht="15" hidden="false" customHeight="true" outlineLevel="0" collapsed="false">
      <c r="A2340" s="1" t="s">
        <v>4591</v>
      </c>
      <c r="B2340" s="1" t="n">
        <v>1976</v>
      </c>
      <c r="C2340" s="1" t="n">
        <v>1</v>
      </c>
      <c r="D2340" s="1" t="s">
        <v>38</v>
      </c>
      <c r="E2340" s="1" t="s">
        <v>2039</v>
      </c>
      <c r="F2340" s="1" t="n">
        <v>2010</v>
      </c>
      <c r="G2340" s="1" t="n">
        <v>200</v>
      </c>
      <c r="H2340" s="2" t="n">
        <v>9331000</v>
      </c>
      <c r="I2340" s="2" t="n">
        <f aca="false">(((H2340 / 800) / IF(ISBLANK(R2340), 1000000, IF(ISNA(VLOOKUP(R2340, Mileages!$A$2:$C$34, 2, 0)), R2340, VLOOKUP(R2340, Mileages!$A$2:$C$34, 2, 0)))) + (F2340 * IF(ISBLANK(P2340), 1, P2340) * IF(ISBLANK(T2340), 0, IF(ISNA(VLOOKUP(T2340, 'Fuel Costs'!$A$2:$C$42, 2, 0)), T2340, VLOOKUP(T2340, 'Fuel Costs'!$A$2:$C$42, 2, 0))) / IF(ISBLANK(O2340), 1, O2340))) * 100</f>
        <v>1006.166375</v>
      </c>
      <c r="J2340" s="2" t="n">
        <f aca="false">((H2340 / 800) / (IF(ISBLANK(S2340), 100, IF(ISNA(VLOOKUP(S2340, Lives!$A$2:$C$35, 2, 0)), S2340, VLOOKUP(S2340, Lives!$A$2:$C$35, 2, 0))) * 12) + (IF(ISBLANK(Q2340), 0, IF(ISNA(VLOOKUP(Q2340, Wages!$A$2:$C$17, 2, 0)), Q2340, VLOOKUP(Q2340, Wages!$A$2:$C$17, 2, 0))) * IF(ISBLANK(N2340), 0, IF(ISNA(VLOOKUP(N2340, Crews!$A$2:$C$28, 2, 0)), N2340, VLOOKUP(N2340, Crews!$A$2:$C$28, 2, 0))))) * 400</f>
        <v>12479.86111</v>
      </c>
      <c r="K2340" s="1"/>
      <c r="L2340" s="1" t="s">
        <v>4592</v>
      </c>
      <c r="M2340" s="1" t="n">
        <v>0</v>
      </c>
      <c r="N2340" s="1" t="s">
        <v>1512</v>
      </c>
      <c r="O2340" s="1" t="n">
        <v>0.8</v>
      </c>
      <c r="P2340" s="1"/>
      <c r="Q2340" s="1" t="s">
        <v>1512</v>
      </c>
      <c r="R2340" s="1" t="s">
        <v>4088</v>
      </c>
      <c r="S2340" s="1" t="s">
        <v>4088</v>
      </c>
      <c r="T2340" s="1" t="s">
        <v>4079</v>
      </c>
    </row>
    <row r="2341" customFormat="false" ht="15" hidden="false" customHeight="true" outlineLevel="0" collapsed="false">
      <c r="A2341" s="1" t="s">
        <v>4593</v>
      </c>
      <c r="B2341" s="1" t="n">
        <v>1976</v>
      </c>
      <c r="C2341" s="1" t="n">
        <v>1</v>
      </c>
      <c r="D2341" s="1" t="s">
        <v>38</v>
      </c>
      <c r="E2341" s="1" t="s">
        <v>2039</v>
      </c>
      <c r="F2341" s="1" t="n">
        <v>2010</v>
      </c>
      <c r="G2341" s="1" t="n">
        <v>200</v>
      </c>
      <c r="H2341" s="2" t="n">
        <v>9331000</v>
      </c>
      <c r="I2341" s="2" t="n">
        <f aca="false">(((H2341 / 800) / IF(ISBLANK(R2341), 1000000, IF(ISNA(VLOOKUP(R2341, Mileages!$A$2:$C$34, 2, 0)), R2341, VLOOKUP(R2341, Mileages!$A$2:$C$34, 2, 0)))) + (F2341 * IF(ISBLANK(P2341), 1, P2341) * IF(ISBLANK(T2341), 0, IF(ISNA(VLOOKUP(T2341, 'Fuel Costs'!$A$2:$C$42, 2, 0)), T2341, VLOOKUP(T2341, 'Fuel Costs'!$A$2:$C$42, 2, 0))) / IF(ISBLANK(O2341), 1, O2341))) * 100</f>
        <v>1006.166375</v>
      </c>
      <c r="J2341" s="2" t="n">
        <f aca="false">((H2341 / 800) / (IF(ISBLANK(S2341), 100, IF(ISNA(VLOOKUP(S2341, Lives!$A$2:$C$35, 2, 0)), S2341, VLOOKUP(S2341, Lives!$A$2:$C$35, 2, 0))) * 12) + (IF(ISBLANK(Q2341), 0, IF(ISNA(VLOOKUP(Q2341, Wages!$A$2:$C$17, 2, 0)), Q2341, VLOOKUP(Q2341, Wages!$A$2:$C$17, 2, 0))) * IF(ISBLANK(N2341), 0, IF(ISNA(VLOOKUP(N2341, Crews!$A$2:$C$28, 2, 0)), N2341, VLOOKUP(N2341, Crews!$A$2:$C$28, 2, 0))))) * 400</f>
        <v>12479.86111</v>
      </c>
      <c r="K2341" s="1"/>
      <c r="L2341" s="1" t="s">
        <v>4592</v>
      </c>
      <c r="M2341" s="1" t="n">
        <v>1</v>
      </c>
      <c r="N2341" s="1" t="s">
        <v>1512</v>
      </c>
      <c r="O2341" s="1" t="n">
        <v>0.8</v>
      </c>
      <c r="P2341" s="1"/>
      <c r="Q2341" s="1" t="s">
        <v>1512</v>
      </c>
      <c r="R2341" s="1" t="s">
        <v>4088</v>
      </c>
      <c r="S2341" s="1" t="s">
        <v>4088</v>
      </c>
      <c r="T2341" s="1" t="s">
        <v>4079</v>
      </c>
    </row>
    <row r="2342" customFormat="false" ht="15" hidden="false" customHeight="true" outlineLevel="0" collapsed="false">
      <c r="A2342" s="1" t="s">
        <v>4594</v>
      </c>
      <c r="B2342" s="1" t="n">
        <v>1976</v>
      </c>
      <c r="C2342" s="1" t="n">
        <v>1</v>
      </c>
      <c r="D2342" s="1" t="s">
        <v>38</v>
      </c>
      <c r="E2342" s="1" t="s">
        <v>2039</v>
      </c>
      <c r="F2342" s="1" t="n">
        <v>2010</v>
      </c>
      <c r="G2342" s="1" t="n">
        <v>200</v>
      </c>
      <c r="H2342" s="2" t="n">
        <v>9331000</v>
      </c>
      <c r="I2342" s="2" t="n">
        <f aca="false">(((H2342 / 800) / IF(ISBLANK(R2342), 1000000, IF(ISNA(VLOOKUP(R2342, Mileages!$A$2:$C$34, 2, 0)), R2342, VLOOKUP(R2342, Mileages!$A$2:$C$34, 2, 0)))) + (F2342 * IF(ISBLANK(P2342), 1, P2342) * IF(ISBLANK(T2342), 0, IF(ISNA(VLOOKUP(T2342, 'Fuel Costs'!$A$2:$C$42, 2, 0)), T2342, VLOOKUP(T2342, 'Fuel Costs'!$A$2:$C$42, 2, 0))) / IF(ISBLANK(O2342), 1, O2342))) * 100</f>
        <v>1006.166375</v>
      </c>
      <c r="J2342" s="2" t="n">
        <f aca="false">((H2342 / 800) / (IF(ISBLANK(S2342), 100, IF(ISNA(VLOOKUP(S2342, Lives!$A$2:$C$35, 2, 0)), S2342, VLOOKUP(S2342, Lives!$A$2:$C$35, 2, 0))) * 12) + (IF(ISBLANK(Q2342), 0, IF(ISNA(VLOOKUP(Q2342, Wages!$A$2:$C$17, 2, 0)), Q2342, VLOOKUP(Q2342, Wages!$A$2:$C$17, 2, 0))) * IF(ISBLANK(N2342), 0, IF(ISNA(VLOOKUP(N2342, Crews!$A$2:$C$28, 2, 0)), N2342, VLOOKUP(N2342, Crews!$A$2:$C$28, 2, 0))))) * 400</f>
        <v>12479.86111</v>
      </c>
      <c r="K2342" s="1"/>
      <c r="L2342" s="1" t="s">
        <v>4595</v>
      </c>
      <c r="M2342" s="1" t="n">
        <v>0</v>
      </c>
      <c r="N2342" s="1" t="s">
        <v>1512</v>
      </c>
      <c r="O2342" s="1" t="n">
        <v>0.8</v>
      </c>
      <c r="P2342" s="1"/>
      <c r="Q2342" s="1" t="s">
        <v>1512</v>
      </c>
      <c r="R2342" s="1" t="s">
        <v>4088</v>
      </c>
      <c r="S2342" s="1" t="s">
        <v>4088</v>
      </c>
      <c r="T2342" s="1" t="s">
        <v>4079</v>
      </c>
    </row>
    <row r="2343" customFormat="false" ht="15" hidden="false" customHeight="true" outlineLevel="0" collapsed="false">
      <c r="A2343" s="1" t="s">
        <v>4596</v>
      </c>
      <c r="B2343" s="1" t="n">
        <v>1976</v>
      </c>
      <c r="C2343" s="1" t="n">
        <v>1</v>
      </c>
      <c r="D2343" s="1" t="s">
        <v>38</v>
      </c>
      <c r="E2343" s="1" t="s">
        <v>2039</v>
      </c>
      <c r="F2343" s="1" t="n">
        <v>2010</v>
      </c>
      <c r="G2343" s="1" t="n">
        <v>200</v>
      </c>
      <c r="H2343" s="2" t="n">
        <v>9331000</v>
      </c>
      <c r="I2343" s="2" t="n">
        <f aca="false">(((H2343 / 800) / IF(ISBLANK(R2343), 1000000, IF(ISNA(VLOOKUP(R2343, Mileages!$A$2:$C$34, 2, 0)), R2343, VLOOKUP(R2343, Mileages!$A$2:$C$34, 2, 0)))) + (F2343 * IF(ISBLANK(P2343), 1, P2343) * IF(ISBLANK(T2343), 0, IF(ISNA(VLOOKUP(T2343, 'Fuel Costs'!$A$2:$C$42, 2, 0)), T2343, VLOOKUP(T2343, 'Fuel Costs'!$A$2:$C$42, 2, 0))) / IF(ISBLANK(O2343), 1, O2343))) * 100</f>
        <v>1006.166375</v>
      </c>
      <c r="J2343" s="2" t="n">
        <f aca="false">((H2343 / 800) / (IF(ISBLANK(S2343), 100, IF(ISNA(VLOOKUP(S2343, Lives!$A$2:$C$35, 2, 0)), S2343, VLOOKUP(S2343, Lives!$A$2:$C$35, 2, 0))) * 12) + (IF(ISBLANK(Q2343), 0, IF(ISNA(VLOOKUP(Q2343, Wages!$A$2:$C$17, 2, 0)), Q2343, VLOOKUP(Q2343, Wages!$A$2:$C$17, 2, 0))) * IF(ISBLANK(N2343), 0, IF(ISNA(VLOOKUP(N2343, Crews!$A$2:$C$28, 2, 0)), N2343, VLOOKUP(N2343, Crews!$A$2:$C$28, 2, 0))))) * 400</f>
        <v>12479.86111</v>
      </c>
      <c r="K2343" s="1"/>
      <c r="L2343" s="1" t="s">
        <v>4595</v>
      </c>
      <c r="M2343" s="1" t="n">
        <v>1</v>
      </c>
      <c r="N2343" s="1" t="s">
        <v>1512</v>
      </c>
      <c r="O2343" s="1" t="n">
        <v>0.8</v>
      </c>
      <c r="P2343" s="1"/>
      <c r="Q2343" s="1" t="s">
        <v>1512</v>
      </c>
      <c r="R2343" s="1" t="s">
        <v>4088</v>
      </c>
      <c r="S2343" s="1" t="s">
        <v>4088</v>
      </c>
      <c r="T2343" s="1" t="s">
        <v>4079</v>
      </c>
    </row>
    <row r="2344" customFormat="false" ht="15" hidden="false" customHeight="true" outlineLevel="0" collapsed="false">
      <c r="A2344" s="1" t="s">
        <v>4597</v>
      </c>
      <c r="B2344" s="1" t="n">
        <v>1976</v>
      </c>
      <c r="C2344" s="1" t="n">
        <v>1</v>
      </c>
      <c r="D2344" s="1" t="s">
        <v>21</v>
      </c>
      <c r="E2344" s="1" t="s">
        <v>2039</v>
      </c>
      <c r="F2344" s="1" t="n">
        <v>54</v>
      </c>
      <c r="G2344" s="1" t="n">
        <v>86</v>
      </c>
      <c r="H2344" s="2" t="n">
        <v>97500</v>
      </c>
      <c r="I2344" s="2" t="n">
        <f aca="false">(((H2344 / 800) / IF(ISBLANK(R2344), 1000000, IF(ISNA(VLOOKUP(R2344, Mileages!$A$2:$C$34, 2, 0)), R2344, VLOOKUP(R2344, Mileages!$A$2:$C$34, 2, 0)))) + (F2344 * IF(ISBLANK(P2344), 1, P2344) * IF(ISBLANK(T2344), 0, IF(ISNA(VLOOKUP(T2344, 'Fuel Costs'!$A$2:$C$42, 2, 0)), T2344, VLOOKUP(T2344, 'Fuel Costs'!$A$2:$C$42, 2, 0))) / IF(ISBLANK(O2344), 1, O2344))) * 100</f>
        <v>27.0121875</v>
      </c>
      <c r="J2344" s="2" t="n">
        <f aca="false">((H2344 / 800) / (IF(ISBLANK(S2344), 100, IF(ISNA(VLOOKUP(S2344, Lives!$A$2:$C$35, 2, 0)), S2344, VLOOKUP(S2344, Lives!$A$2:$C$35, 2, 0))) * 12) + (IF(ISBLANK(Q2344), 0, IF(ISNA(VLOOKUP(Q2344, Wages!$A$2:$C$17, 2, 0)), Q2344, VLOOKUP(Q2344, Wages!$A$2:$C$17, 2, 0))) * IF(ISBLANK(N2344), 0, IF(ISNA(VLOOKUP(N2344, Crews!$A$2:$C$28, 2, 0)), N2344, VLOOKUP(N2344, Crews!$A$2:$C$28, 2, 0))))) * 400</f>
        <v>8050.78125</v>
      </c>
      <c r="K2344" s="1"/>
      <c r="L2344" s="1" t="s">
        <v>4598</v>
      </c>
      <c r="M2344" s="1" t="n">
        <v>1</v>
      </c>
      <c r="N2344" s="1" t="s">
        <v>1815</v>
      </c>
      <c r="O2344" s="1" t="n">
        <v>0.8</v>
      </c>
      <c r="P2344" s="1"/>
      <c r="Q2344" s="1" t="s">
        <v>1815</v>
      </c>
      <c r="R2344" s="1" t="s">
        <v>1843</v>
      </c>
      <c r="S2344" s="1" t="s">
        <v>1843</v>
      </c>
      <c r="T2344" s="1" t="s">
        <v>4079</v>
      </c>
    </row>
    <row r="2345" customFormat="false" ht="15" hidden="false" customHeight="true" outlineLevel="0" collapsed="false">
      <c r="A2345" s="1" t="s">
        <v>4599</v>
      </c>
      <c r="B2345" s="1" t="n">
        <v>1976</v>
      </c>
      <c r="C2345" s="1" t="n">
        <v>1</v>
      </c>
      <c r="D2345" s="1" t="s">
        <v>21</v>
      </c>
      <c r="E2345" s="1" t="s">
        <v>2039</v>
      </c>
      <c r="F2345" s="1" t="n">
        <v>54</v>
      </c>
      <c r="G2345" s="1" t="n">
        <v>86</v>
      </c>
      <c r="H2345" s="2" t="n">
        <v>97500</v>
      </c>
      <c r="I2345" s="2" t="n">
        <f aca="false">(((H2345 / 800) / IF(ISBLANK(R2345), 1000000, IF(ISNA(VLOOKUP(R2345, Mileages!$A$2:$C$34, 2, 0)), R2345, VLOOKUP(R2345, Mileages!$A$2:$C$34, 2, 0)))) + (F2345 * IF(ISBLANK(P2345), 1, P2345) * IF(ISBLANK(T2345), 0, IF(ISNA(VLOOKUP(T2345, 'Fuel Costs'!$A$2:$C$42, 2, 0)), T2345, VLOOKUP(T2345, 'Fuel Costs'!$A$2:$C$42, 2, 0))) / IF(ISBLANK(O2345), 1, O2345))) * 100</f>
        <v>27.0121875</v>
      </c>
      <c r="J2345" s="2" t="n">
        <f aca="false">((H2345 / 800) / (IF(ISBLANK(S2345), 100, IF(ISNA(VLOOKUP(S2345, Lives!$A$2:$C$35, 2, 0)), S2345, VLOOKUP(S2345, Lives!$A$2:$C$35, 2, 0))) * 12) + (IF(ISBLANK(Q2345), 0, IF(ISNA(VLOOKUP(Q2345, Wages!$A$2:$C$17, 2, 0)), Q2345, VLOOKUP(Q2345, Wages!$A$2:$C$17, 2, 0))) * IF(ISBLANK(N2345), 0, IF(ISNA(VLOOKUP(N2345, Crews!$A$2:$C$28, 2, 0)), N2345, VLOOKUP(N2345, Crews!$A$2:$C$28, 2, 0))))) * 400</f>
        <v>8050.78125</v>
      </c>
      <c r="K2345" s="1"/>
      <c r="L2345" s="1" t="s">
        <v>4598</v>
      </c>
      <c r="M2345" s="1" t="n">
        <v>2</v>
      </c>
      <c r="N2345" s="1" t="s">
        <v>1815</v>
      </c>
      <c r="O2345" s="1" t="n">
        <v>0.8</v>
      </c>
      <c r="P2345" s="1"/>
      <c r="Q2345" s="1" t="s">
        <v>1815</v>
      </c>
      <c r="R2345" s="1" t="s">
        <v>1843</v>
      </c>
      <c r="S2345" s="1" t="s">
        <v>1843</v>
      </c>
      <c r="T2345" s="1" t="s">
        <v>4079</v>
      </c>
    </row>
    <row r="2346" customFormat="false" ht="15" hidden="false" customHeight="true" outlineLevel="0" collapsed="false">
      <c r="A2346" s="1" t="s">
        <v>4600</v>
      </c>
      <c r="B2346" s="1" t="n">
        <v>1976</v>
      </c>
      <c r="C2346" s="1" t="n">
        <v>1</v>
      </c>
      <c r="D2346" s="1" t="s">
        <v>38</v>
      </c>
      <c r="E2346" s="1" t="s">
        <v>2039</v>
      </c>
      <c r="F2346" s="1" t="n">
        <v>2010</v>
      </c>
      <c r="G2346" s="1" t="n">
        <v>200</v>
      </c>
      <c r="H2346" s="2" t="n">
        <v>9331000</v>
      </c>
      <c r="I2346" s="2" t="n">
        <f aca="false">(((H2346 / 800) / IF(ISBLANK(R2346), 1000000, IF(ISNA(VLOOKUP(R2346, Mileages!$A$2:$C$34, 2, 0)), R2346, VLOOKUP(R2346, Mileages!$A$2:$C$34, 2, 0)))) + (F2346 * IF(ISBLANK(P2346), 1, P2346) * IF(ISBLANK(T2346), 0, IF(ISNA(VLOOKUP(T2346, 'Fuel Costs'!$A$2:$C$42, 2, 0)), T2346, VLOOKUP(T2346, 'Fuel Costs'!$A$2:$C$42, 2, 0))) / IF(ISBLANK(O2346), 1, O2346))) * 100</f>
        <v>1006.166375</v>
      </c>
      <c r="J2346" s="2" t="n">
        <f aca="false">((H2346 / 800) / (IF(ISBLANK(S2346), 100, IF(ISNA(VLOOKUP(S2346, Lives!$A$2:$C$35, 2, 0)), S2346, VLOOKUP(S2346, Lives!$A$2:$C$35, 2, 0))) * 12) + (IF(ISBLANK(Q2346), 0, IF(ISNA(VLOOKUP(Q2346, Wages!$A$2:$C$17, 2, 0)), Q2346, VLOOKUP(Q2346, Wages!$A$2:$C$17, 2, 0))) * IF(ISBLANK(N2346), 0, IF(ISNA(VLOOKUP(N2346, Crews!$A$2:$C$28, 2, 0)), N2346, VLOOKUP(N2346, Crews!$A$2:$C$28, 2, 0))))) * 400</f>
        <v>12479.86111</v>
      </c>
      <c r="K2346" s="1"/>
      <c r="L2346" s="1" t="s">
        <v>4601</v>
      </c>
      <c r="M2346" s="1" t="n">
        <v>0</v>
      </c>
      <c r="N2346" s="1" t="s">
        <v>1512</v>
      </c>
      <c r="O2346" s="1" t="n">
        <v>0.8</v>
      </c>
      <c r="P2346" s="1"/>
      <c r="Q2346" s="1" t="s">
        <v>1512</v>
      </c>
      <c r="R2346" s="1" t="s">
        <v>4088</v>
      </c>
      <c r="S2346" s="1" t="s">
        <v>4088</v>
      </c>
      <c r="T2346" s="1" t="s">
        <v>4079</v>
      </c>
    </row>
    <row r="2347" customFormat="false" ht="15" hidden="false" customHeight="true" outlineLevel="0" collapsed="false">
      <c r="A2347" s="1" t="s">
        <v>4602</v>
      </c>
      <c r="B2347" s="1" t="n">
        <v>1976</v>
      </c>
      <c r="C2347" s="1" t="n">
        <v>1</v>
      </c>
      <c r="D2347" s="1" t="s">
        <v>38</v>
      </c>
      <c r="E2347" s="1" t="s">
        <v>2039</v>
      </c>
      <c r="F2347" s="1" t="n">
        <v>2010</v>
      </c>
      <c r="G2347" s="1" t="n">
        <v>200</v>
      </c>
      <c r="H2347" s="2" t="n">
        <v>9331000</v>
      </c>
      <c r="I2347" s="2" t="n">
        <f aca="false">(((H2347 / 800) / IF(ISBLANK(R2347), 1000000, IF(ISNA(VLOOKUP(R2347, Mileages!$A$2:$C$34, 2, 0)), R2347, VLOOKUP(R2347, Mileages!$A$2:$C$34, 2, 0)))) + (F2347 * IF(ISBLANK(P2347), 1, P2347) * IF(ISBLANK(T2347), 0, IF(ISNA(VLOOKUP(T2347, 'Fuel Costs'!$A$2:$C$42, 2, 0)), T2347, VLOOKUP(T2347, 'Fuel Costs'!$A$2:$C$42, 2, 0))) / IF(ISBLANK(O2347), 1, O2347))) * 100</f>
        <v>1006.166375</v>
      </c>
      <c r="J2347" s="2" t="n">
        <f aca="false">((H2347 / 800) / (IF(ISBLANK(S2347), 100, IF(ISNA(VLOOKUP(S2347, Lives!$A$2:$C$35, 2, 0)), S2347, VLOOKUP(S2347, Lives!$A$2:$C$35, 2, 0))) * 12) + (IF(ISBLANK(Q2347), 0, IF(ISNA(VLOOKUP(Q2347, Wages!$A$2:$C$17, 2, 0)), Q2347, VLOOKUP(Q2347, Wages!$A$2:$C$17, 2, 0))) * IF(ISBLANK(N2347), 0, IF(ISNA(VLOOKUP(N2347, Crews!$A$2:$C$28, 2, 0)), N2347, VLOOKUP(N2347, Crews!$A$2:$C$28, 2, 0))))) * 400</f>
        <v>12479.86111</v>
      </c>
      <c r="K2347" s="1"/>
      <c r="L2347" s="1" t="s">
        <v>4601</v>
      </c>
      <c r="M2347" s="1" t="n">
        <v>1</v>
      </c>
      <c r="N2347" s="1" t="s">
        <v>1512</v>
      </c>
      <c r="O2347" s="1" t="n">
        <v>0.8</v>
      </c>
      <c r="P2347" s="1"/>
      <c r="Q2347" s="1" t="s">
        <v>1512</v>
      </c>
      <c r="R2347" s="1" t="s">
        <v>4088</v>
      </c>
      <c r="S2347" s="1" t="s">
        <v>4088</v>
      </c>
      <c r="T2347" s="1" t="s">
        <v>4079</v>
      </c>
    </row>
    <row r="2348" customFormat="false" ht="15" hidden="false" customHeight="true" outlineLevel="0" collapsed="false">
      <c r="A2348" s="1" t="s">
        <v>4603</v>
      </c>
      <c r="B2348" s="1" t="n">
        <v>1976</v>
      </c>
      <c r="C2348" s="1" t="n">
        <v>1</v>
      </c>
      <c r="D2348" s="1" t="s">
        <v>38</v>
      </c>
      <c r="E2348" s="1" t="s">
        <v>2039</v>
      </c>
      <c r="F2348" s="1" t="n">
        <v>2010</v>
      </c>
      <c r="G2348" s="1" t="n">
        <v>200</v>
      </c>
      <c r="H2348" s="2" t="n">
        <v>9331000</v>
      </c>
      <c r="I2348" s="2" t="n">
        <f aca="false">(((H2348 / 800) / IF(ISBLANK(R2348), 1000000, IF(ISNA(VLOOKUP(R2348, Mileages!$A$2:$C$34, 2, 0)), R2348, VLOOKUP(R2348, Mileages!$A$2:$C$34, 2, 0)))) + (F2348 * IF(ISBLANK(P2348), 1, P2348) * IF(ISBLANK(T2348), 0, IF(ISNA(VLOOKUP(T2348, 'Fuel Costs'!$A$2:$C$42, 2, 0)), T2348, VLOOKUP(T2348, 'Fuel Costs'!$A$2:$C$42, 2, 0))) / IF(ISBLANK(O2348), 1, O2348))) * 100</f>
        <v>1006.166375</v>
      </c>
      <c r="J2348" s="2" t="n">
        <f aca="false">((H2348 / 800) / (IF(ISBLANK(S2348), 100, IF(ISNA(VLOOKUP(S2348, Lives!$A$2:$C$35, 2, 0)), S2348, VLOOKUP(S2348, Lives!$A$2:$C$35, 2, 0))) * 12) + (IF(ISBLANK(Q2348), 0, IF(ISNA(VLOOKUP(Q2348, Wages!$A$2:$C$17, 2, 0)), Q2348, VLOOKUP(Q2348, Wages!$A$2:$C$17, 2, 0))) * IF(ISBLANK(N2348), 0, IF(ISNA(VLOOKUP(N2348, Crews!$A$2:$C$28, 2, 0)), N2348, VLOOKUP(N2348, Crews!$A$2:$C$28, 2, 0))))) * 400</f>
        <v>12479.86111</v>
      </c>
      <c r="K2348" s="1"/>
      <c r="L2348" s="1" t="s">
        <v>4604</v>
      </c>
      <c r="M2348" s="1" t="n">
        <v>0</v>
      </c>
      <c r="N2348" s="1" t="s">
        <v>1512</v>
      </c>
      <c r="O2348" s="1" t="n">
        <v>0.8</v>
      </c>
      <c r="P2348" s="1"/>
      <c r="Q2348" s="1" t="s">
        <v>1512</v>
      </c>
      <c r="R2348" s="1" t="s">
        <v>4088</v>
      </c>
      <c r="S2348" s="1" t="s">
        <v>4088</v>
      </c>
      <c r="T2348" s="1" t="s">
        <v>4079</v>
      </c>
    </row>
    <row r="2349" customFormat="false" ht="15" hidden="false" customHeight="true" outlineLevel="0" collapsed="false">
      <c r="A2349" s="1" t="s">
        <v>4605</v>
      </c>
      <c r="B2349" s="1" t="n">
        <v>1976</v>
      </c>
      <c r="C2349" s="1" t="n">
        <v>1</v>
      </c>
      <c r="D2349" s="1" t="s">
        <v>38</v>
      </c>
      <c r="E2349" s="1" t="s">
        <v>2039</v>
      </c>
      <c r="F2349" s="1" t="n">
        <v>2010</v>
      </c>
      <c r="G2349" s="1" t="n">
        <v>200</v>
      </c>
      <c r="H2349" s="2" t="n">
        <v>9331000</v>
      </c>
      <c r="I2349" s="2" t="n">
        <f aca="false">(((H2349 / 800) / IF(ISBLANK(R2349), 1000000, IF(ISNA(VLOOKUP(R2349, Mileages!$A$2:$C$34, 2, 0)), R2349, VLOOKUP(R2349, Mileages!$A$2:$C$34, 2, 0)))) + (F2349 * IF(ISBLANK(P2349), 1, P2349) * IF(ISBLANK(T2349), 0, IF(ISNA(VLOOKUP(T2349, 'Fuel Costs'!$A$2:$C$42, 2, 0)), T2349, VLOOKUP(T2349, 'Fuel Costs'!$A$2:$C$42, 2, 0))) / IF(ISBLANK(O2349), 1, O2349))) * 100</f>
        <v>1006.166375</v>
      </c>
      <c r="J2349" s="2" t="n">
        <f aca="false">((H2349 / 800) / (IF(ISBLANK(S2349), 100, IF(ISNA(VLOOKUP(S2349, Lives!$A$2:$C$35, 2, 0)), S2349, VLOOKUP(S2349, Lives!$A$2:$C$35, 2, 0))) * 12) + (IF(ISBLANK(Q2349), 0, IF(ISNA(VLOOKUP(Q2349, Wages!$A$2:$C$17, 2, 0)), Q2349, VLOOKUP(Q2349, Wages!$A$2:$C$17, 2, 0))) * IF(ISBLANK(N2349), 0, IF(ISNA(VLOOKUP(N2349, Crews!$A$2:$C$28, 2, 0)), N2349, VLOOKUP(N2349, Crews!$A$2:$C$28, 2, 0))))) * 400</f>
        <v>12479.86111</v>
      </c>
      <c r="K2349" s="1"/>
      <c r="L2349" s="1" t="s">
        <v>4604</v>
      </c>
      <c r="M2349" s="1" t="n">
        <v>1</v>
      </c>
      <c r="N2349" s="1" t="s">
        <v>1512</v>
      </c>
      <c r="O2349" s="1" t="n">
        <v>0.8</v>
      </c>
      <c r="P2349" s="1"/>
      <c r="Q2349" s="1" t="s">
        <v>1512</v>
      </c>
      <c r="R2349" s="1" t="s">
        <v>4088</v>
      </c>
      <c r="S2349" s="1" t="s">
        <v>4088</v>
      </c>
      <c r="T2349" s="1" t="s">
        <v>4079</v>
      </c>
    </row>
    <row r="2350" customFormat="false" ht="15" hidden="false" customHeight="true" outlineLevel="0" collapsed="false">
      <c r="A2350" s="1" t="s">
        <v>4606</v>
      </c>
      <c r="B2350" s="1" t="n">
        <v>1976</v>
      </c>
      <c r="C2350" s="1" t="n">
        <v>1</v>
      </c>
      <c r="D2350" s="1" t="s">
        <v>38</v>
      </c>
      <c r="E2350" s="1" t="s">
        <v>2039</v>
      </c>
      <c r="F2350" s="1" t="n">
        <v>2010</v>
      </c>
      <c r="G2350" s="1" t="n">
        <v>200</v>
      </c>
      <c r="H2350" s="2" t="n">
        <v>9331000</v>
      </c>
      <c r="I2350" s="2" t="n">
        <f aca="false">(((H2350 / 800) / IF(ISBLANK(R2350), 1000000, IF(ISNA(VLOOKUP(R2350, Mileages!$A$2:$C$34, 2, 0)), R2350, VLOOKUP(R2350, Mileages!$A$2:$C$34, 2, 0)))) + (F2350 * IF(ISBLANK(P2350), 1, P2350) * IF(ISBLANK(T2350), 0, IF(ISNA(VLOOKUP(T2350, 'Fuel Costs'!$A$2:$C$42, 2, 0)), T2350, VLOOKUP(T2350, 'Fuel Costs'!$A$2:$C$42, 2, 0))) / IF(ISBLANK(O2350), 1, O2350))) * 100</f>
        <v>1006.166375</v>
      </c>
      <c r="J2350" s="2" t="n">
        <f aca="false">((H2350 / 800) / (IF(ISBLANK(S2350), 100, IF(ISNA(VLOOKUP(S2350, Lives!$A$2:$C$35, 2, 0)), S2350, VLOOKUP(S2350, Lives!$A$2:$C$35, 2, 0))) * 12) + (IF(ISBLANK(Q2350), 0, IF(ISNA(VLOOKUP(Q2350, Wages!$A$2:$C$17, 2, 0)), Q2350, VLOOKUP(Q2350, Wages!$A$2:$C$17, 2, 0))) * IF(ISBLANK(N2350), 0, IF(ISNA(VLOOKUP(N2350, Crews!$A$2:$C$28, 2, 0)), N2350, VLOOKUP(N2350, Crews!$A$2:$C$28, 2, 0))))) * 400</f>
        <v>12479.86111</v>
      </c>
      <c r="K2350" s="1"/>
      <c r="L2350" s="1" t="s">
        <v>4607</v>
      </c>
      <c r="M2350" s="1" t="n">
        <v>0</v>
      </c>
      <c r="N2350" s="1" t="s">
        <v>1512</v>
      </c>
      <c r="O2350" s="1" t="n">
        <v>0.8</v>
      </c>
      <c r="P2350" s="1"/>
      <c r="Q2350" s="1" t="s">
        <v>1512</v>
      </c>
      <c r="R2350" s="1" t="s">
        <v>4088</v>
      </c>
      <c r="S2350" s="1" t="s">
        <v>4088</v>
      </c>
      <c r="T2350" s="1" t="s">
        <v>4079</v>
      </c>
    </row>
    <row r="2351" customFormat="false" ht="15" hidden="false" customHeight="true" outlineLevel="0" collapsed="false">
      <c r="A2351" s="1" t="s">
        <v>4608</v>
      </c>
      <c r="B2351" s="1" t="n">
        <v>1976</v>
      </c>
      <c r="C2351" s="1" t="n">
        <v>1</v>
      </c>
      <c r="D2351" s="1" t="s">
        <v>38</v>
      </c>
      <c r="E2351" s="1" t="s">
        <v>2039</v>
      </c>
      <c r="F2351" s="1" t="n">
        <v>2010</v>
      </c>
      <c r="G2351" s="1" t="n">
        <v>200</v>
      </c>
      <c r="H2351" s="2" t="n">
        <v>9331000</v>
      </c>
      <c r="I2351" s="2" t="n">
        <f aca="false">(((H2351 / 800) / IF(ISBLANK(R2351), 1000000, IF(ISNA(VLOOKUP(R2351, Mileages!$A$2:$C$34, 2, 0)), R2351, VLOOKUP(R2351, Mileages!$A$2:$C$34, 2, 0)))) + (F2351 * IF(ISBLANK(P2351), 1, P2351) * IF(ISBLANK(T2351), 0, IF(ISNA(VLOOKUP(T2351, 'Fuel Costs'!$A$2:$C$42, 2, 0)), T2351, VLOOKUP(T2351, 'Fuel Costs'!$A$2:$C$42, 2, 0))) / IF(ISBLANK(O2351), 1, O2351))) * 100</f>
        <v>1006.166375</v>
      </c>
      <c r="J2351" s="2" t="n">
        <f aca="false">((H2351 / 800) / (IF(ISBLANK(S2351), 100, IF(ISNA(VLOOKUP(S2351, Lives!$A$2:$C$35, 2, 0)), S2351, VLOOKUP(S2351, Lives!$A$2:$C$35, 2, 0))) * 12) + (IF(ISBLANK(Q2351), 0, IF(ISNA(VLOOKUP(Q2351, Wages!$A$2:$C$17, 2, 0)), Q2351, VLOOKUP(Q2351, Wages!$A$2:$C$17, 2, 0))) * IF(ISBLANK(N2351), 0, IF(ISNA(VLOOKUP(N2351, Crews!$A$2:$C$28, 2, 0)), N2351, VLOOKUP(N2351, Crews!$A$2:$C$28, 2, 0))))) * 400</f>
        <v>12479.86111</v>
      </c>
      <c r="K2351" s="1"/>
      <c r="L2351" s="1" t="s">
        <v>4607</v>
      </c>
      <c r="M2351" s="1" t="n">
        <v>1</v>
      </c>
      <c r="N2351" s="1" t="s">
        <v>1512</v>
      </c>
      <c r="O2351" s="1" t="n">
        <v>0.8</v>
      </c>
      <c r="P2351" s="1"/>
      <c r="Q2351" s="1" t="s">
        <v>1512</v>
      </c>
      <c r="R2351" s="1" t="s">
        <v>4088</v>
      </c>
      <c r="S2351" s="1" t="s">
        <v>4088</v>
      </c>
      <c r="T2351" s="1" t="s">
        <v>4079</v>
      </c>
    </row>
    <row r="2352" customFormat="false" ht="15" hidden="false" customHeight="true" outlineLevel="0" collapsed="false">
      <c r="A2352" s="1" t="s">
        <v>4609</v>
      </c>
      <c r="B2352" s="1" t="n">
        <v>1976</v>
      </c>
      <c r="C2352" s="1" t="n">
        <v>1</v>
      </c>
      <c r="D2352" s="1" t="s">
        <v>38</v>
      </c>
      <c r="E2352" s="1" t="s">
        <v>2039</v>
      </c>
      <c r="F2352" s="1" t="n">
        <v>2010</v>
      </c>
      <c r="G2352" s="1" t="n">
        <v>200</v>
      </c>
      <c r="H2352" s="2" t="n">
        <v>9331000</v>
      </c>
      <c r="I2352" s="2" t="n">
        <f aca="false">(((H2352 / 800) / IF(ISBLANK(R2352), 1000000, IF(ISNA(VLOOKUP(R2352, Mileages!$A$2:$C$34, 2, 0)), R2352, VLOOKUP(R2352, Mileages!$A$2:$C$34, 2, 0)))) + (F2352 * IF(ISBLANK(P2352), 1, P2352) * IF(ISBLANK(T2352), 0, IF(ISNA(VLOOKUP(T2352, 'Fuel Costs'!$A$2:$C$42, 2, 0)), T2352, VLOOKUP(T2352, 'Fuel Costs'!$A$2:$C$42, 2, 0))) / IF(ISBLANK(O2352), 1, O2352))) * 100</f>
        <v>1006.166375</v>
      </c>
      <c r="J2352" s="2" t="n">
        <f aca="false">((H2352 / 800) / (IF(ISBLANK(S2352), 100, IF(ISNA(VLOOKUP(S2352, Lives!$A$2:$C$35, 2, 0)), S2352, VLOOKUP(S2352, Lives!$A$2:$C$35, 2, 0))) * 12) + (IF(ISBLANK(Q2352), 0, IF(ISNA(VLOOKUP(Q2352, Wages!$A$2:$C$17, 2, 0)), Q2352, VLOOKUP(Q2352, Wages!$A$2:$C$17, 2, 0))) * IF(ISBLANK(N2352), 0, IF(ISNA(VLOOKUP(N2352, Crews!$A$2:$C$28, 2, 0)), N2352, VLOOKUP(N2352, Crews!$A$2:$C$28, 2, 0))))) * 400</f>
        <v>12479.86111</v>
      </c>
      <c r="K2352" s="1"/>
      <c r="L2352" s="1" t="s">
        <v>4610</v>
      </c>
      <c r="M2352" s="1" t="n">
        <v>0</v>
      </c>
      <c r="N2352" s="1" t="s">
        <v>1512</v>
      </c>
      <c r="O2352" s="1" t="n">
        <v>0.8</v>
      </c>
      <c r="P2352" s="1"/>
      <c r="Q2352" s="1" t="s">
        <v>1512</v>
      </c>
      <c r="R2352" s="1" t="s">
        <v>4088</v>
      </c>
      <c r="S2352" s="1" t="s">
        <v>4088</v>
      </c>
      <c r="T2352" s="1" t="s">
        <v>4079</v>
      </c>
    </row>
    <row r="2353" customFormat="false" ht="15" hidden="false" customHeight="true" outlineLevel="0" collapsed="false">
      <c r="A2353" s="1" t="s">
        <v>4611</v>
      </c>
      <c r="B2353" s="1" t="n">
        <v>1976</v>
      </c>
      <c r="C2353" s="1" t="n">
        <v>1</v>
      </c>
      <c r="D2353" s="1" t="s">
        <v>38</v>
      </c>
      <c r="E2353" s="1" t="s">
        <v>2039</v>
      </c>
      <c r="F2353" s="1" t="n">
        <v>2010</v>
      </c>
      <c r="G2353" s="1" t="n">
        <v>200</v>
      </c>
      <c r="H2353" s="2" t="n">
        <v>9331000</v>
      </c>
      <c r="I2353" s="2" t="n">
        <f aca="false">(((H2353 / 800) / IF(ISBLANK(R2353), 1000000, IF(ISNA(VLOOKUP(R2353, Mileages!$A$2:$C$34, 2, 0)), R2353, VLOOKUP(R2353, Mileages!$A$2:$C$34, 2, 0)))) + (F2353 * IF(ISBLANK(P2353), 1, P2353) * IF(ISBLANK(T2353), 0, IF(ISNA(VLOOKUP(T2353, 'Fuel Costs'!$A$2:$C$42, 2, 0)), T2353, VLOOKUP(T2353, 'Fuel Costs'!$A$2:$C$42, 2, 0))) / IF(ISBLANK(O2353), 1, O2353))) * 100</f>
        <v>1006.166375</v>
      </c>
      <c r="J2353" s="2" t="n">
        <f aca="false">((H2353 / 800) / (IF(ISBLANK(S2353), 100, IF(ISNA(VLOOKUP(S2353, Lives!$A$2:$C$35, 2, 0)), S2353, VLOOKUP(S2353, Lives!$A$2:$C$35, 2, 0))) * 12) + (IF(ISBLANK(Q2353), 0, IF(ISNA(VLOOKUP(Q2353, Wages!$A$2:$C$17, 2, 0)), Q2353, VLOOKUP(Q2353, Wages!$A$2:$C$17, 2, 0))) * IF(ISBLANK(N2353), 0, IF(ISNA(VLOOKUP(N2353, Crews!$A$2:$C$28, 2, 0)), N2353, VLOOKUP(N2353, Crews!$A$2:$C$28, 2, 0))))) * 400</f>
        <v>12479.86111</v>
      </c>
      <c r="K2353" s="1"/>
      <c r="L2353" s="1" t="s">
        <v>4610</v>
      </c>
      <c r="M2353" s="1" t="n">
        <v>1</v>
      </c>
      <c r="N2353" s="1" t="s">
        <v>1512</v>
      </c>
      <c r="O2353" s="1" t="n">
        <v>0.8</v>
      </c>
      <c r="P2353" s="1"/>
      <c r="Q2353" s="1" t="s">
        <v>1512</v>
      </c>
      <c r="R2353" s="1" t="s">
        <v>4088</v>
      </c>
      <c r="S2353" s="1" t="s">
        <v>4088</v>
      </c>
      <c r="T2353" s="1" t="s">
        <v>4079</v>
      </c>
    </row>
    <row r="2354" customFormat="false" ht="15" hidden="false" customHeight="true" outlineLevel="0" collapsed="false">
      <c r="A2354" s="1" t="s">
        <v>4612</v>
      </c>
      <c r="B2354" s="1" t="n">
        <v>1976</v>
      </c>
      <c r="C2354" s="1" t="n">
        <v>1</v>
      </c>
      <c r="D2354" s="1" t="s">
        <v>38</v>
      </c>
      <c r="E2354" s="1" t="s">
        <v>2039</v>
      </c>
      <c r="F2354" s="1" t="n">
        <v>2010</v>
      </c>
      <c r="G2354" s="1" t="n">
        <v>200</v>
      </c>
      <c r="H2354" s="2" t="n">
        <v>9331000</v>
      </c>
      <c r="I2354" s="2" t="n">
        <f aca="false">(((H2354 / 800) / IF(ISBLANK(R2354), 1000000, IF(ISNA(VLOOKUP(R2354, Mileages!$A$2:$C$34, 2, 0)), R2354, VLOOKUP(R2354, Mileages!$A$2:$C$34, 2, 0)))) + (F2354 * IF(ISBLANK(P2354), 1, P2354) * IF(ISBLANK(T2354), 0, IF(ISNA(VLOOKUP(T2354, 'Fuel Costs'!$A$2:$C$42, 2, 0)), T2354, VLOOKUP(T2354, 'Fuel Costs'!$A$2:$C$42, 2, 0))) / IF(ISBLANK(O2354), 1, O2354))) * 100</f>
        <v>1006.166375</v>
      </c>
      <c r="J2354" s="2" t="n">
        <f aca="false">((H2354 / 800) / (IF(ISBLANK(S2354), 100, IF(ISNA(VLOOKUP(S2354, Lives!$A$2:$C$35, 2, 0)), S2354, VLOOKUP(S2354, Lives!$A$2:$C$35, 2, 0))) * 12) + (IF(ISBLANK(Q2354), 0, IF(ISNA(VLOOKUP(Q2354, Wages!$A$2:$C$17, 2, 0)), Q2354, VLOOKUP(Q2354, Wages!$A$2:$C$17, 2, 0))) * IF(ISBLANK(N2354), 0, IF(ISNA(VLOOKUP(N2354, Crews!$A$2:$C$28, 2, 0)), N2354, VLOOKUP(N2354, Crews!$A$2:$C$28, 2, 0))))) * 400</f>
        <v>12479.86111</v>
      </c>
      <c r="K2354" s="1"/>
      <c r="L2354" s="1" t="s">
        <v>4613</v>
      </c>
      <c r="M2354" s="1" t="n">
        <v>0</v>
      </c>
      <c r="N2354" s="1" t="s">
        <v>1512</v>
      </c>
      <c r="O2354" s="1" t="n">
        <v>0.8</v>
      </c>
      <c r="P2354" s="1"/>
      <c r="Q2354" s="1" t="s">
        <v>1512</v>
      </c>
      <c r="R2354" s="1" t="s">
        <v>4088</v>
      </c>
      <c r="S2354" s="1" t="s">
        <v>4088</v>
      </c>
      <c r="T2354" s="1" t="s">
        <v>4079</v>
      </c>
    </row>
    <row r="2355" customFormat="false" ht="15" hidden="false" customHeight="true" outlineLevel="0" collapsed="false">
      <c r="A2355" s="1" t="s">
        <v>4614</v>
      </c>
      <c r="B2355" s="1" t="n">
        <v>1976</v>
      </c>
      <c r="C2355" s="1" t="n">
        <v>1</v>
      </c>
      <c r="D2355" s="1" t="s">
        <v>38</v>
      </c>
      <c r="E2355" s="1" t="s">
        <v>2039</v>
      </c>
      <c r="F2355" s="1" t="n">
        <v>2010</v>
      </c>
      <c r="G2355" s="1" t="n">
        <v>200</v>
      </c>
      <c r="H2355" s="2" t="n">
        <v>9331000</v>
      </c>
      <c r="I2355" s="2" t="n">
        <f aca="false">(((H2355 / 800) / IF(ISBLANK(R2355), 1000000, IF(ISNA(VLOOKUP(R2355, Mileages!$A$2:$C$34, 2, 0)), R2355, VLOOKUP(R2355, Mileages!$A$2:$C$34, 2, 0)))) + (F2355 * IF(ISBLANK(P2355), 1, P2355) * IF(ISBLANK(T2355), 0, IF(ISNA(VLOOKUP(T2355, 'Fuel Costs'!$A$2:$C$42, 2, 0)), T2355, VLOOKUP(T2355, 'Fuel Costs'!$A$2:$C$42, 2, 0))) / IF(ISBLANK(O2355), 1, O2355))) * 100</f>
        <v>1006.166375</v>
      </c>
      <c r="J2355" s="2" t="n">
        <f aca="false">((H2355 / 800) / (IF(ISBLANK(S2355), 100, IF(ISNA(VLOOKUP(S2355, Lives!$A$2:$C$35, 2, 0)), S2355, VLOOKUP(S2355, Lives!$A$2:$C$35, 2, 0))) * 12) + (IF(ISBLANK(Q2355), 0, IF(ISNA(VLOOKUP(Q2355, Wages!$A$2:$C$17, 2, 0)), Q2355, VLOOKUP(Q2355, Wages!$A$2:$C$17, 2, 0))) * IF(ISBLANK(N2355), 0, IF(ISNA(VLOOKUP(N2355, Crews!$A$2:$C$28, 2, 0)), N2355, VLOOKUP(N2355, Crews!$A$2:$C$28, 2, 0))))) * 400</f>
        <v>12479.86111</v>
      </c>
      <c r="K2355" s="1"/>
      <c r="L2355" s="1" t="s">
        <v>4613</v>
      </c>
      <c r="M2355" s="1" t="n">
        <v>1</v>
      </c>
      <c r="N2355" s="1" t="s">
        <v>1512</v>
      </c>
      <c r="O2355" s="1" t="n">
        <v>0.8</v>
      </c>
      <c r="P2355" s="1"/>
      <c r="Q2355" s="1" t="s">
        <v>1512</v>
      </c>
      <c r="R2355" s="1" t="s">
        <v>4088</v>
      </c>
      <c r="S2355" s="1" t="s">
        <v>4088</v>
      </c>
      <c r="T2355" s="1" t="s">
        <v>4079</v>
      </c>
    </row>
    <row r="2356" customFormat="false" ht="15" hidden="false" customHeight="true" outlineLevel="0" collapsed="false">
      <c r="A2356" s="1" t="s">
        <v>4615</v>
      </c>
      <c r="B2356" s="1" t="n">
        <v>1976</v>
      </c>
      <c r="C2356" s="1" t="n">
        <v>1</v>
      </c>
      <c r="D2356" s="1" t="s">
        <v>38</v>
      </c>
      <c r="E2356" s="1" t="s">
        <v>2039</v>
      </c>
      <c r="F2356" s="1" t="n">
        <v>2010</v>
      </c>
      <c r="G2356" s="1" t="n">
        <v>200</v>
      </c>
      <c r="H2356" s="2" t="n">
        <v>9331000</v>
      </c>
      <c r="I2356" s="2" t="n">
        <f aca="false">(((H2356 / 800) / IF(ISBLANK(R2356), 1000000, IF(ISNA(VLOOKUP(R2356, Mileages!$A$2:$C$34, 2, 0)), R2356, VLOOKUP(R2356, Mileages!$A$2:$C$34, 2, 0)))) + (F2356 * IF(ISBLANK(P2356), 1, P2356) * IF(ISBLANK(T2356), 0, IF(ISNA(VLOOKUP(T2356, 'Fuel Costs'!$A$2:$C$42, 2, 0)), T2356, VLOOKUP(T2356, 'Fuel Costs'!$A$2:$C$42, 2, 0))) / IF(ISBLANK(O2356), 1, O2356))) * 100</f>
        <v>1006.166375</v>
      </c>
      <c r="J2356" s="2" t="n">
        <f aca="false">((H2356 / 800) / (IF(ISBLANK(S2356), 100, IF(ISNA(VLOOKUP(S2356, Lives!$A$2:$C$35, 2, 0)), S2356, VLOOKUP(S2356, Lives!$A$2:$C$35, 2, 0))) * 12) + (IF(ISBLANK(Q2356), 0, IF(ISNA(VLOOKUP(Q2356, Wages!$A$2:$C$17, 2, 0)), Q2356, VLOOKUP(Q2356, Wages!$A$2:$C$17, 2, 0))) * IF(ISBLANK(N2356), 0, IF(ISNA(VLOOKUP(N2356, Crews!$A$2:$C$28, 2, 0)), N2356, VLOOKUP(N2356, Crews!$A$2:$C$28, 2, 0))))) * 400</f>
        <v>12479.86111</v>
      </c>
      <c r="K2356" s="1"/>
      <c r="L2356" s="1" t="s">
        <v>4616</v>
      </c>
      <c r="M2356" s="1" t="n">
        <v>0</v>
      </c>
      <c r="N2356" s="1" t="s">
        <v>1512</v>
      </c>
      <c r="O2356" s="1" t="n">
        <v>0.8</v>
      </c>
      <c r="P2356" s="1"/>
      <c r="Q2356" s="1" t="s">
        <v>1512</v>
      </c>
      <c r="R2356" s="1" t="s">
        <v>4088</v>
      </c>
      <c r="S2356" s="1" t="s">
        <v>4088</v>
      </c>
      <c r="T2356" s="1" t="s">
        <v>4079</v>
      </c>
    </row>
    <row r="2357" customFormat="false" ht="15" hidden="false" customHeight="true" outlineLevel="0" collapsed="false">
      <c r="A2357" s="1" t="s">
        <v>4617</v>
      </c>
      <c r="B2357" s="1" t="n">
        <v>1976</v>
      </c>
      <c r="C2357" s="1" t="n">
        <v>1</v>
      </c>
      <c r="D2357" s="1" t="s">
        <v>38</v>
      </c>
      <c r="E2357" s="1" t="s">
        <v>2039</v>
      </c>
      <c r="F2357" s="1" t="n">
        <v>2010</v>
      </c>
      <c r="G2357" s="1" t="n">
        <v>200</v>
      </c>
      <c r="H2357" s="2" t="n">
        <v>9331000</v>
      </c>
      <c r="I2357" s="2" t="n">
        <f aca="false">(((H2357 / 800) / IF(ISBLANK(R2357), 1000000, IF(ISNA(VLOOKUP(R2357, Mileages!$A$2:$C$34, 2, 0)), R2357, VLOOKUP(R2357, Mileages!$A$2:$C$34, 2, 0)))) + (F2357 * IF(ISBLANK(P2357), 1, P2357) * IF(ISBLANK(T2357), 0, IF(ISNA(VLOOKUP(T2357, 'Fuel Costs'!$A$2:$C$42, 2, 0)), T2357, VLOOKUP(T2357, 'Fuel Costs'!$A$2:$C$42, 2, 0))) / IF(ISBLANK(O2357), 1, O2357))) * 100</f>
        <v>1006.166375</v>
      </c>
      <c r="J2357" s="2" t="n">
        <f aca="false">((H2357 / 800) / (IF(ISBLANK(S2357), 100, IF(ISNA(VLOOKUP(S2357, Lives!$A$2:$C$35, 2, 0)), S2357, VLOOKUP(S2357, Lives!$A$2:$C$35, 2, 0))) * 12) + (IF(ISBLANK(Q2357), 0, IF(ISNA(VLOOKUP(Q2357, Wages!$A$2:$C$17, 2, 0)), Q2357, VLOOKUP(Q2357, Wages!$A$2:$C$17, 2, 0))) * IF(ISBLANK(N2357), 0, IF(ISNA(VLOOKUP(N2357, Crews!$A$2:$C$28, 2, 0)), N2357, VLOOKUP(N2357, Crews!$A$2:$C$28, 2, 0))))) * 400</f>
        <v>12479.86111</v>
      </c>
      <c r="K2357" s="1"/>
      <c r="L2357" s="1" t="s">
        <v>4616</v>
      </c>
      <c r="M2357" s="1" t="n">
        <v>1</v>
      </c>
      <c r="N2357" s="1" t="s">
        <v>1512</v>
      </c>
      <c r="O2357" s="1" t="n">
        <v>0.8</v>
      </c>
      <c r="P2357" s="1"/>
      <c r="Q2357" s="1" t="s">
        <v>1512</v>
      </c>
      <c r="R2357" s="1" t="s">
        <v>4088</v>
      </c>
      <c r="S2357" s="1" t="s">
        <v>4088</v>
      </c>
      <c r="T2357" s="1" t="s">
        <v>4079</v>
      </c>
    </row>
    <row r="2358" customFormat="false" ht="15" hidden="false" customHeight="true" outlineLevel="0" collapsed="false">
      <c r="A2358" s="1" t="s">
        <v>4618</v>
      </c>
      <c r="B2358" s="1" t="n">
        <v>1976</v>
      </c>
      <c r="C2358" s="1" t="n">
        <v>2</v>
      </c>
      <c r="D2358" s="1" t="s">
        <v>21</v>
      </c>
      <c r="E2358" s="1" t="s">
        <v>2039</v>
      </c>
      <c r="F2358" s="1" t="n">
        <v>54</v>
      </c>
      <c r="G2358" s="1" t="n">
        <v>86</v>
      </c>
      <c r="H2358" s="2" t="n">
        <v>97500</v>
      </c>
      <c r="I2358" s="2" t="n">
        <f aca="false">(((H2358 / 800) / IF(ISBLANK(R2358), 1000000, IF(ISNA(VLOOKUP(R2358, Mileages!$A$2:$C$34, 2, 0)), R2358, VLOOKUP(R2358, Mileages!$A$2:$C$34, 2, 0)))) + (F2358 * IF(ISBLANK(P2358), 1, P2358) * IF(ISBLANK(T2358), 0, IF(ISNA(VLOOKUP(T2358, 'Fuel Costs'!$A$2:$C$42, 2, 0)), T2358, VLOOKUP(T2358, 'Fuel Costs'!$A$2:$C$42, 2, 0))) / IF(ISBLANK(O2358), 1, O2358))) * 100</f>
        <v>27.0121875</v>
      </c>
      <c r="J2358" s="2" t="n">
        <f aca="false">((H2358 / 800) / (IF(ISBLANK(S2358), 100, IF(ISNA(VLOOKUP(S2358, Lives!$A$2:$C$35, 2, 0)), S2358, VLOOKUP(S2358, Lives!$A$2:$C$35, 2, 0))) * 12) + (IF(ISBLANK(Q2358), 0, IF(ISNA(VLOOKUP(Q2358, Wages!$A$2:$C$17, 2, 0)), Q2358, VLOOKUP(Q2358, Wages!$A$2:$C$17, 2, 0))) * IF(ISBLANK(N2358), 0, IF(ISNA(VLOOKUP(N2358, Crews!$A$2:$C$28, 2, 0)), N2358, VLOOKUP(N2358, Crews!$A$2:$C$28, 2, 0))))) * 400</f>
        <v>8050.78125</v>
      </c>
      <c r="K2358" s="1" t="s">
        <v>4619</v>
      </c>
      <c r="L2358" s="1" t="s">
        <v>4598</v>
      </c>
      <c r="M2358" s="1" t="n">
        <v>0</v>
      </c>
      <c r="N2358" s="1" t="s">
        <v>1815</v>
      </c>
      <c r="O2358" s="1" t="n">
        <v>0.8</v>
      </c>
      <c r="P2358" s="1"/>
      <c r="Q2358" s="1" t="s">
        <v>1815</v>
      </c>
      <c r="R2358" s="1" t="s">
        <v>1843</v>
      </c>
      <c r="S2358" s="1" t="s">
        <v>1843</v>
      </c>
      <c r="T2358" s="1" t="s">
        <v>4079</v>
      </c>
    </row>
    <row r="2359" customFormat="false" ht="15" hidden="false" customHeight="true" outlineLevel="0" collapsed="false">
      <c r="A2359" s="1" t="s">
        <v>4620</v>
      </c>
      <c r="B2359" s="1" t="n">
        <v>1976</v>
      </c>
      <c r="C2359" s="1" t="n">
        <v>3</v>
      </c>
      <c r="D2359" s="1" t="s">
        <v>38</v>
      </c>
      <c r="E2359" s="1" t="s">
        <v>2039</v>
      </c>
      <c r="F2359" s="1" t="n">
        <v>1678</v>
      </c>
      <c r="G2359" s="1" t="n">
        <v>200</v>
      </c>
      <c r="H2359" s="2" t="n">
        <v>9331000</v>
      </c>
      <c r="I2359" s="2" t="n">
        <f aca="false">(((H2359 / 800) / IF(ISBLANK(R2359), 1000000, IF(ISNA(VLOOKUP(R2359, Mileages!$A$2:$C$34, 2, 0)), R2359, VLOOKUP(R2359, Mileages!$A$2:$C$34, 2, 0)))) + (F2359 * IF(ISBLANK(P2359), 1, P2359) * IF(ISBLANK(T2359), 0, IF(ISNA(VLOOKUP(T2359, 'Fuel Costs'!$A$2:$C$42, 2, 0)), T2359, VLOOKUP(T2359, 'Fuel Costs'!$A$2:$C$42, 2, 0))) / IF(ISBLANK(O2359), 1, O2359))) * 100</f>
        <v>840.166375</v>
      </c>
      <c r="J2359" s="2" t="n">
        <f aca="false">((H2359 / 800) / (IF(ISBLANK(S2359), 100, IF(ISNA(VLOOKUP(S2359, Lives!$A$2:$C$35, 2, 0)), S2359, VLOOKUP(S2359, Lives!$A$2:$C$35, 2, 0))) * 12) + (IF(ISBLANK(Q2359), 0, IF(ISNA(VLOOKUP(Q2359, Wages!$A$2:$C$17, 2, 0)), Q2359, VLOOKUP(Q2359, Wages!$A$2:$C$17, 2, 0))) * IF(ISBLANK(N2359), 0, IF(ISNA(VLOOKUP(N2359, Crews!$A$2:$C$28, 2, 0)), N2359, VLOOKUP(N2359, Crews!$A$2:$C$28, 2, 0))))) * 400</f>
        <v>12479.86111</v>
      </c>
      <c r="K2359" s="3" t="s">
        <v>4621</v>
      </c>
      <c r="L2359" s="1" t="s">
        <v>4622</v>
      </c>
      <c r="M2359" s="1" t="n">
        <v>0</v>
      </c>
      <c r="N2359" s="1" t="s">
        <v>1512</v>
      </c>
      <c r="O2359" s="1" t="n">
        <v>0.8</v>
      </c>
      <c r="P2359" s="1"/>
      <c r="Q2359" s="1" t="s">
        <v>1512</v>
      </c>
      <c r="R2359" s="1" t="s">
        <v>4088</v>
      </c>
      <c r="S2359" s="1" t="s">
        <v>4088</v>
      </c>
      <c r="T2359" s="1" t="s">
        <v>4079</v>
      </c>
    </row>
    <row r="2360" customFormat="false" ht="15" hidden="false" customHeight="true" outlineLevel="0" collapsed="false">
      <c r="A2360" s="1" t="s">
        <v>4623</v>
      </c>
      <c r="B2360" s="1" t="n">
        <v>1976</v>
      </c>
      <c r="C2360" s="1" t="n">
        <v>3</v>
      </c>
      <c r="D2360" s="1" t="s">
        <v>38</v>
      </c>
      <c r="E2360" s="1" t="s">
        <v>2039</v>
      </c>
      <c r="F2360" s="1" t="n">
        <v>1678</v>
      </c>
      <c r="G2360" s="1" t="n">
        <v>200</v>
      </c>
      <c r="H2360" s="2" t="n">
        <v>9331000</v>
      </c>
      <c r="I2360" s="2" t="n">
        <f aca="false">(((H2360 / 800) / IF(ISBLANK(R2360), 1000000, IF(ISNA(VLOOKUP(R2360, Mileages!$A$2:$C$34, 2, 0)), R2360, VLOOKUP(R2360, Mileages!$A$2:$C$34, 2, 0)))) + (F2360 * IF(ISBLANK(P2360), 1, P2360) * IF(ISBLANK(T2360), 0, IF(ISNA(VLOOKUP(T2360, 'Fuel Costs'!$A$2:$C$42, 2, 0)), T2360, VLOOKUP(T2360, 'Fuel Costs'!$A$2:$C$42, 2, 0))) / IF(ISBLANK(O2360), 1, O2360))) * 100</f>
        <v>840.166375</v>
      </c>
      <c r="J2360" s="2" t="n">
        <f aca="false">((H2360 / 800) / (IF(ISBLANK(S2360), 100, IF(ISNA(VLOOKUP(S2360, Lives!$A$2:$C$35, 2, 0)), S2360, VLOOKUP(S2360, Lives!$A$2:$C$35, 2, 0))) * 12) + (IF(ISBLANK(Q2360), 0, IF(ISNA(VLOOKUP(Q2360, Wages!$A$2:$C$17, 2, 0)), Q2360, VLOOKUP(Q2360, Wages!$A$2:$C$17, 2, 0))) * IF(ISBLANK(N2360), 0, IF(ISNA(VLOOKUP(N2360, Crews!$A$2:$C$28, 2, 0)), N2360, VLOOKUP(N2360, Crews!$A$2:$C$28, 2, 0))))) * 400</f>
        <v>12479.86111</v>
      </c>
      <c r="K2360" s="3" t="s">
        <v>4621</v>
      </c>
      <c r="L2360" s="1" t="s">
        <v>4622</v>
      </c>
      <c r="M2360" s="1" t="n">
        <v>1</v>
      </c>
      <c r="N2360" s="1" t="s">
        <v>1512</v>
      </c>
      <c r="O2360" s="1" t="n">
        <v>0.8</v>
      </c>
      <c r="P2360" s="1"/>
      <c r="Q2360" s="1" t="s">
        <v>1512</v>
      </c>
      <c r="R2360" s="1" t="s">
        <v>4088</v>
      </c>
      <c r="S2360" s="1" t="s">
        <v>4088</v>
      </c>
      <c r="T2360" s="1" t="s">
        <v>4079</v>
      </c>
    </row>
    <row r="2361" customFormat="false" ht="15" hidden="false" customHeight="true" outlineLevel="0" collapsed="false">
      <c r="A2361" s="1" t="s">
        <v>4624</v>
      </c>
      <c r="B2361" s="1" t="n">
        <v>1976</v>
      </c>
      <c r="C2361" s="1" t="n">
        <v>3</v>
      </c>
      <c r="D2361" s="1" t="s">
        <v>38</v>
      </c>
      <c r="E2361" s="1"/>
      <c r="F2361" s="1"/>
      <c r="G2361" s="1" t="n">
        <v>200</v>
      </c>
      <c r="H2361" s="2" t="n">
        <v>7200000</v>
      </c>
      <c r="I2361" s="2" t="n">
        <f aca="false">(((H2361 / 800) / IF(ISBLANK(R2361), 1000000, IF(ISNA(VLOOKUP(R2361, Mileages!$A$2:$C$34, 2, 0)), R2361, VLOOKUP(R2361, Mileages!$A$2:$C$34, 2, 0)))) + (F2361 * IF(ISBLANK(P2361), 1, P2361) * IF(ISBLANK(T2361), 0, IF(ISNA(VLOOKUP(T2361, 'Fuel Costs'!$A$2:$C$42, 2, 0)), T2361, VLOOKUP(T2361, 'Fuel Costs'!$A$2:$C$42, 2, 0))) / IF(ISBLANK(O2361), 1, O2361))) * 100</f>
        <v>0.375</v>
      </c>
      <c r="J2361" s="2" t="n">
        <f aca="false">((H2361 / 800) / (IF(ISBLANK(S2361), 100, IF(ISNA(VLOOKUP(S2361, Lives!$A$2:$C$35, 2, 0)), S2361, VLOOKUP(S2361, Lives!$A$2:$C$35, 2, 0))) * 12) + (IF(ISBLANK(Q2361), 0, IF(ISNA(VLOOKUP(Q2361, Wages!$A$2:$C$17, 2, 0)), Q2361, VLOOKUP(Q2361, Wages!$A$2:$C$17, 2, 0))) * IF(ISBLANK(N2361), 0, IF(ISNA(VLOOKUP(N2361, Crews!$A$2:$C$28, 2, 0)), N2361, VLOOKUP(N2361, Crews!$A$2:$C$28, 2, 0))))) * 400</f>
        <v>15000</v>
      </c>
      <c r="K2361" s="1"/>
      <c r="L2361" s="1" t="s">
        <v>4569</v>
      </c>
      <c r="M2361" s="1" t="n">
        <v>0</v>
      </c>
      <c r="N2361" s="1"/>
      <c r="O2361" s="1"/>
      <c r="P2361" s="1"/>
      <c r="Q2361" s="1"/>
      <c r="R2361" s="1" t="s">
        <v>4419</v>
      </c>
      <c r="S2361" s="1" t="s">
        <v>4470</v>
      </c>
      <c r="T2361" s="1"/>
    </row>
    <row r="2362" customFormat="false" ht="15" hidden="false" customHeight="true" outlineLevel="0" collapsed="false">
      <c r="A2362" s="1" t="s">
        <v>4625</v>
      </c>
      <c r="B2362" s="1" t="n">
        <v>1976</v>
      </c>
      <c r="C2362" s="1" t="n">
        <v>3</v>
      </c>
      <c r="D2362" s="1" t="s">
        <v>38</v>
      </c>
      <c r="E2362" s="1"/>
      <c r="F2362" s="1"/>
      <c r="G2362" s="1" t="n">
        <v>200</v>
      </c>
      <c r="H2362" s="2" t="n">
        <v>675000</v>
      </c>
      <c r="I2362" s="2" t="n">
        <f aca="false">(((H2362 / 800) / IF(ISBLANK(R2362), 1000000, IF(ISNA(VLOOKUP(R2362, Mileages!$A$2:$C$34, 2, 0)), R2362, VLOOKUP(R2362, Mileages!$A$2:$C$34, 2, 0)))) + (F2362 * IF(ISBLANK(P2362), 1, P2362) * IF(ISBLANK(T2362), 0, IF(ISNA(VLOOKUP(T2362, 'Fuel Costs'!$A$2:$C$42, 2, 0)), T2362, VLOOKUP(T2362, 'Fuel Costs'!$A$2:$C$42, 2, 0))) / IF(ISBLANK(O2362), 1, O2362))) * 100</f>
        <v>0.03515625</v>
      </c>
      <c r="J2362" s="2" t="n">
        <f aca="false">((H2362 / 800) / (IF(ISBLANK(S2362), 100, IF(ISNA(VLOOKUP(S2362, Lives!$A$2:$C$35, 2, 0)), S2362, VLOOKUP(S2362, Lives!$A$2:$C$35, 2, 0))) * 12) + (IF(ISBLANK(Q2362), 0, IF(ISNA(VLOOKUP(Q2362, Wages!$A$2:$C$17, 2, 0)), Q2362, VLOOKUP(Q2362, Wages!$A$2:$C$17, 2, 0))) * IF(ISBLANK(N2362), 0, IF(ISNA(VLOOKUP(N2362, Crews!$A$2:$C$28, 2, 0)), N2362, VLOOKUP(N2362, Crews!$A$2:$C$28, 2, 0))))) * 400</f>
        <v>1406.25</v>
      </c>
      <c r="K2362" s="1"/>
      <c r="L2362" s="1" t="s">
        <v>4540</v>
      </c>
      <c r="M2362" s="1" t="n">
        <v>0</v>
      </c>
      <c r="N2362" s="1"/>
      <c r="O2362" s="1"/>
      <c r="P2362" s="1"/>
      <c r="Q2362" s="1"/>
      <c r="R2362" s="1" t="s">
        <v>4419</v>
      </c>
      <c r="S2362" s="1" t="s">
        <v>4470</v>
      </c>
      <c r="T2362" s="1"/>
    </row>
    <row r="2363" customFormat="false" ht="15" hidden="false" customHeight="true" outlineLevel="0" collapsed="false">
      <c r="A2363" s="1" t="s">
        <v>4626</v>
      </c>
      <c r="B2363" s="1" t="n">
        <v>1976</v>
      </c>
      <c r="C2363" s="1" t="n">
        <v>3</v>
      </c>
      <c r="D2363" s="1" t="s">
        <v>29</v>
      </c>
      <c r="E2363" s="1" t="s">
        <v>2039</v>
      </c>
      <c r="F2363" s="1" t="n">
        <v>11350</v>
      </c>
      <c r="G2363" s="1" t="n">
        <v>110</v>
      </c>
      <c r="H2363" s="2" t="n">
        <v>129000000</v>
      </c>
      <c r="I2363" s="2" t="n">
        <f aca="false">(((H2363 / 800) / IF(ISBLANK(R2363), 1000000, IF(ISNA(VLOOKUP(R2363, Mileages!$A$2:$C$34, 2, 0)), R2363, VLOOKUP(R2363, Mileages!$A$2:$C$34, 2, 0)))) + (F2363 * IF(ISBLANK(P2363), 1, P2363) * IF(ISBLANK(T2363), 0, IF(ISNA(VLOOKUP(T2363, 'Fuel Costs'!$A$2:$C$42, 2, 0)), T2363, VLOOKUP(T2363, 'Fuel Costs'!$A$2:$C$42, 2, 0))) / IF(ISBLANK(O2363), 1, O2363))) * 100</f>
        <v>291.8125</v>
      </c>
      <c r="J2363" s="2" t="n">
        <f aca="false">((H2363 / 800) / (IF(ISBLANK(S2363), 100, IF(ISNA(VLOOKUP(S2363, Lives!$A$2:$C$35, 2, 0)), S2363, VLOOKUP(S2363, Lives!$A$2:$C$35, 2, 0))) * 12) + (IF(ISBLANK(Q2363), 0, IF(ISNA(VLOOKUP(Q2363, Wages!$A$2:$C$17, 2, 0)), Q2363, VLOOKUP(Q2363, Wages!$A$2:$C$17, 2, 0))) * IF(ISBLANK(N2363), 0, IF(ISNA(VLOOKUP(N2363, Crews!$A$2:$C$28, 2, 0)), N2363, VLOOKUP(N2363, Crews!$A$2:$C$28, 2, 0))))) * 400</f>
        <v>253750</v>
      </c>
      <c r="K2363" s="3" t="s">
        <v>4271</v>
      </c>
      <c r="L2363" s="1" t="s">
        <v>4627</v>
      </c>
      <c r="M2363" s="1" t="n">
        <v>0</v>
      </c>
      <c r="N2363" s="1" t="s">
        <v>323</v>
      </c>
      <c r="O2363" s="1" t="n">
        <v>0.8</v>
      </c>
      <c r="P2363" s="1" t="n">
        <v>0.05</v>
      </c>
      <c r="Q2363" s="1" t="s">
        <v>34</v>
      </c>
      <c r="R2363" s="1" t="s">
        <v>574</v>
      </c>
      <c r="S2363" s="1" t="s">
        <v>574</v>
      </c>
      <c r="T2363" s="1" t="s">
        <v>4079</v>
      </c>
    </row>
    <row r="2364" customFormat="false" ht="15" hidden="false" customHeight="true" outlineLevel="0" collapsed="false">
      <c r="A2364" s="1" t="s">
        <v>4628</v>
      </c>
      <c r="B2364" s="1" t="n">
        <v>1976</v>
      </c>
      <c r="C2364" s="1" t="n">
        <v>3</v>
      </c>
      <c r="D2364" s="1" t="s">
        <v>38</v>
      </c>
      <c r="E2364" s="1"/>
      <c r="F2364" s="1"/>
      <c r="G2364" s="1" t="n">
        <v>200</v>
      </c>
      <c r="H2364" s="2" t="n">
        <v>590000</v>
      </c>
      <c r="I2364" s="2" t="n">
        <f aca="false">(((H2364 / 800) / IF(ISBLANK(R2364), 1000000, IF(ISNA(VLOOKUP(R2364, Mileages!$A$2:$C$34, 2, 0)), R2364, VLOOKUP(R2364, Mileages!$A$2:$C$34, 2, 0)))) + (F2364 * IF(ISBLANK(P2364), 1, P2364) * IF(ISBLANK(T2364), 0, IF(ISNA(VLOOKUP(T2364, 'Fuel Costs'!$A$2:$C$42, 2, 0)), T2364, VLOOKUP(T2364, 'Fuel Costs'!$A$2:$C$42, 2, 0))) / IF(ISBLANK(O2364), 1, O2364))) * 100</f>
        <v>0.03072916667</v>
      </c>
      <c r="J2364" s="2" t="n">
        <f aca="false">((H2364 / 800) / (IF(ISBLANK(S2364), 100, IF(ISNA(VLOOKUP(S2364, Lives!$A$2:$C$35, 2, 0)), S2364, VLOOKUP(S2364, Lives!$A$2:$C$35, 2, 0))) * 12) + (IF(ISBLANK(Q2364), 0, IF(ISNA(VLOOKUP(Q2364, Wages!$A$2:$C$17, 2, 0)), Q2364, VLOOKUP(Q2364, Wages!$A$2:$C$17, 2, 0))) * IF(ISBLANK(N2364), 0, IF(ISNA(VLOOKUP(N2364, Crews!$A$2:$C$28, 2, 0)), N2364, VLOOKUP(N2364, Crews!$A$2:$C$28, 2, 0))))) * 400</f>
        <v>1229.166667</v>
      </c>
      <c r="K2364" s="1"/>
      <c r="L2364" s="1" t="s">
        <v>4571</v>
      </c>
      <c r="M2364" s="1" t="n">
        <v>0</v>
      </c>
      <c r="N2364" s="1"/>
      <c r="O2364" s="1"/>
      <c r="P2364" s="1"/>
      <c r="Q2364" s="1"/>
      <c r="R2364" s="1" t="s">
        <v>4419</v>
      </c>
      <c r="S2364" s="1" t="s">
        <v>4470</v>
      </c>
      <c r="T2364" s="1"/>
    </row>
    <row r="2365" customFormat="false" ht="15" hidden="false" customHeight="true" outlineLevel="0" collapsed="false">
      <c r="A2365" s="1" t="s">
        <v>4629</v>
      </c>
      <c r="B2365" s="1" t="n">
        <v>1976</v>
      </c>
      <c r="C2365" s="1" t="n">
        <v>3</v>
      </c>
      <c r="D2365" s="1" t="s">
        <v>38</v>
      </c>
      <c r="E2365" s="1"/>
      <c r="F2365" s="1"/>
      <c r="G2365" s="1" t="n">
        <v>200</v>
      </c>
      <c r="H2365" s="2" t="n">
        <v>590000</v>
      </c>
      <c r="I2365" s="2" t="n">
        <f aca="false">(((H2365 / 800) / IF(ISBLANK(R2365), 1000000, IF(ISNA(VLOOKUP(R2365, Mileages!$A$2:$C$34, 2, 0)), R2365, VLOOKUP(R2365, Mileages!$A$2:$C$34, 2, 0)))) + (F2365 * IF(ISBLANK(P2365), 1, P2365) * IF(ISBLANK(T2365), 0, IF(ISNA(VLOOKUP(T2365, 'Fuel Costs'!$A$2:$C$42, 2, 0)), T2365, VLOOKUP(T2365, 'Fuel Costs'!$A$2:$C$42, 2, 0))) / IF(ISBLANK(O2365), 1, O2365))) * 100</f>
        <v>0.03072916667</v>
      </c>
      <c r="J2365" s="2" t="n">
        <f aca="false">((H2365 / 800) / (IF(ISBLANK(S2365), 100, IF(ISNA(VLOOKUP(S2365, Lives!$A$2:$C$35, 2, 0)), S2365, VLOOKUP(S2365, Lives!$A$2:$C$35, 2, 0))) * 12) + (IF(ISBLANK(Q2365), 0, IF(ISNA(VLOOKUP(Q2365, Wages!$A$2:$C$17, 2, 0)), Q2365, VLOOKUP(Q2365, Wages!$A$2:$C$17, 2, 0))) * IF(ISBLANK(N2365), 0, IF(ISNA(VLOOKUP(N2365, Crews!$A$2:$C$28, 2, 0)), N2365, VLOOKUP(N2365, Crews!$A$2:$C$28, 2, 0))))) * 400</f>
        <v>1229.166667</v>
      </c>
      <c r="K2365" s="1"/>
      <c r="L2365" s="1" t="s">
        <v>4573</v>
      </c>
      <c r="M2365" s="1" t="n">
        <v>0</v>
      </c>
      <c r="N2365" s="1"/>
      <c r="O2365" s="1"/>
      <c r="P2365" s="1"/>
      <c r="Q2365" s="1"/>
      <c r="R2365" s="1" t="s">
        <v>4419</v>
      </c>
      <c r="S2365" s="1" t="s">
        <v>4470</v>
      </c>
      <c r="T2365" s="1"/>
    </row>
    <row r="2366" customFormat="false" ht="15" hidden="false" customHeight="true" outlineLevel="0" collapsed="false">
      <c r="A2366" s="1" t="s">
        <v>4630</v>
      </c>
      <c r="B2366" s="1" t="n">
        <v>1976</v>
      </c>
      <c r="C2366" s="1" t="n">
        <v>6</v>
      </c>
      <c r="D2366" s="1" t="s">
        <v>2225</v>
      </c>
      <c r="E2366" s="1" t="s">
        <v>3660</v>
      </c>
      <c r="F2366" s="1" t="n">
        <v>118240</v>
      </c>
      <c r="G2366" s="1" t="n">
        <v>890</v>
      </c>
      <c r="H2366" s="2" t="n">
        <v>62000000</v>
      </c>
      <c r="I2366" s="2" t="n">
        <f aca="false">(((H2366 / 800) / IF(ISBLANK(R2366), 1000000, IF(ISNA(VLOOKUP(R2366, Mileages!$A$2:$C$34, 2, 0)), R2366, VLOOKUP(R2366, Mileages!$A$2:$C$34, 2, 0)))) + (F2366 * IF(ISBLANK(P2366), 1, P2366) * IF(ISBLANK(T2366), 0, IF(ISNA(VLOOKUP(T2366, 'Fuel Costs'!$A$2:$C$42, 2, 0)), T2366, VLOOKUP(T2366, 'Fuel Costs'!$A$2:$C$42, 2, 0))) / IF(ISBLANK(O2366), 1, O2366))) * 100</f>
        <v>709.6983333</v>
      </c>
      <c r="J2366" s="2" t="n">
        <f aca="false">((H2366 / 800) / (IF(ISBLANK(S2366), 100, IF(ISNA(VLOOKUP(S2366, Lives!$A$2:$C$35, 2, 0)), S2366, VLOOKUP(S2366, Lives!$A$2:$C$35, 2, 0))) * 12) + (IF(ISBLANK(Q2366), 0, IF(ISNA(VLOOKUP(Q2366, Wages!$A$2:$C$17, 2, 0)), Q2366, VLOOKUP(Q2366, Wages!$A$2:$C$17, 2, 0))) * IF(ISBLANK(N2366), 0, IF(ISNA(VLOOKUP(N2366, Crews!$A$2:$C$28, 2, 0)), N2366, VLOOKUP(N2366, Crews!$A$2:$C$28, 2, 0))))) * 400</f>
        <v>93055.55556</v>
      </c>
      <c r="K2366" s="3" t="s">
        <v>4631</v>
      </c>
      <c r="L2366" s="1" t="s">
        <v>4632</v>
      </c>
      <c r="M2366" s="1" t="n">
        <v>0</v>
      </c>
      <c r="N2366" s="1" t="s">
        <v>2342</v>
      </c>
      <c r="O2366" s="1"/>
      <c r="P2366" s="1" t="n">
        <v>0.02</v>
      </c>
      <c r="Q2366" s="1" t="s">
        <v>2229</v>
      </c>
      <c r="R2366" s="1" t="s">
        <v>4413</v>
      </c>
      <c r="S2366" s="1" t="s">
        <v>2229</v>
      </c>
      <c r="T2366" s="1" t="s">
        <v>4074</v>
      </c>
    </row>
    <row r="2367" customFormat="false" ht="15" hidden="false" customHeight="true" outlineLevel="0" collapsed="false">
      <c r="A2367" s="1" t="s">
        <v>4633</v>
      </c>
      <c r="B2367" s="1" t="n">
        <v>1976</v>
      </c>
      <c r="C2367" s="1" t="n">
        <v>6</v>
      </c>
      <c r="D2367" s="1" t="s">
        <v>2225</v>
      </c>
      <c r="E2367" s="1" t="s">
        <v>3660</v>
      </c>
      <c r="F2367" s="1" t="n">
        <v>118240</v>
      </c>
      <c r="G2367" s="1" t="n">
        <v>890</v>
      </c>
      <c r="H2367" s="2" t="n">
        <v>62000000</v>
      </c>
      <c r="I2367" s="2" t="n">
        <f aca="false">(((H2367 / 800) / IF(ISBLANK(R2367), 1000000, IF(ISNA(VLOOKUP(R2367, Mileages!$A$2:$C$34, 2, 0)), R2367, VLOOKUP(R2367, Mileages!$A$2:$C$34, 2, 0)))) + (F2367 * IF(ISBLANK(P2367), 1, P2367) * IF(ISBLANK(T2367), 0, IF(ISNA(VLOOKUP(T2367, 'Fuel Costs'!$A$2:$C$42, 2, 0)), T2367, VLOOKUP(T2367, 'Fuel Costs'!$A$2:$C$42, 2, 0))) / IF(ISBLANK(O2367), 1, O2367))) * 100</f>
        <v>709.6983333</v>
      </c>
      <c r="J2367" s="2" t="n">
        <f aca="false">((H2367 / 800) / (IF(ISBLANK(S2367), 100, IF(ISNA(VLOOKUP(S2367, Lives!$A$2:$C$35, 2, 0)), S2367, VLOOKUP(S2367, Lives!$A$2:$C$35, 2, 0))) * 12) + (IF(ISBLANK(Q2367), 0, IF(ISNA(VLOOKUP(Q2367, Wages!$A$2:$C$17, 2, 0)), Q2367, VLOOKUP(Q2367, Wages!$A$2:$C$17, 2, 0))) * IF(ISBLANK(N2367), 0, IF(ISNA(VLOOKUP(N2367, Crews!$A$2:$C$28, 2, 0)), N2367, VLOOKUP(N2367, Crews!$A$2:$C$28, 2, 0))))) * 400</f>
        <v>93055.55556</v>
      </c>
      <c r="K2367" s="3" t="s">
        <v>4634</v>
      </c>
      <c r="L2367" s="1" t="s">
        <v>4632</v>
      </c>
      <c r="M2367" s="1" t="n">
        <v>1</v>
      </c>
      <c r="N2367" s="1" t="s">
        <v>2342</v>
      </c>
      <c r="O2367" s="1"/>
      <c r="P2367" s="1" t="n">
        <v>0.02</v>
      </c>
      <c r="Q2367" s="1" t="s">
        <v>2229</v>
      </c>
      <c r="R2367" s="1" t="s">
        <v>4413</v>
      </c>
      <c r="S2367" s="1" t="s">
        <v>2229</v>
      </c>
      <c r="T2367" s="1" t="s">
        <v>4074</v>
      </c>
    </row>
    <row r="2368" customFormat="false" ht="15" hidden="false" customHeight="true" outlineLevel="0" collapsed="false">
      <c r="A2368" s="1" t="s">
        <v>4635</v>
      </c>
      <c r="B2368" s="1" t="n">
        <v>1976</v>
      </c>
      <c r="C2368" s="1" t="n">
        <v>9</v>
      </c>
      <c r="D2368" s="1" t="s">
        <v>38</v>
      </c>
      <c r="E2368" s="1" t="s">
        <v>2039</v>
      </c>
      <c r="F2368" s="1" t="n">
        <v>2420</v>
      </c>
      <c r="G2368" s="1" t="n">
        <v>130</v>
      </c>
      <c r="H2368" s="2" t="n">
        <v>6758000</v>
      </c>
      <c r="I2368" s="2" t="n">
        <f aca="false">(((H2368 / 800) / IF(ISBLANK(R2368), 1000000, IF(ISNA(VLOOKUP(R2368, Mileages!$A$2:$C$34, 2, 0)), R2368, VLOOKUP(R2368, Mileages!$A$2:$C$34, 2, 0)))) + (F2368 * IF(ISBLANK(P2368), 1, P2368) * IF(ISBLANK(T2368), 0, IF(ISNA(VLOOKUP(T2368, 'Fuel Costs'!$A$2:$C$42, 2, 0)), T2368, VLOOKUP(T2368, 'Fuel Costs'!$A$2:$C$42, 2, 0))) / IF(ISBLANK(O2368), 1, O2368))) * 100</f>
        <v>1210.84475</v>
      </c>
      <c r="J2368" s="2" t="n">
        <f aca="false">((H2368 / 800) / (IF(ISBLANK(S2368), 100, IF(ISNA(VLOOKUP(S2368, Lives!$A$2:$C$35, 2, 0)), S2368, VLOOKUP(S2368, Lives!$A$2:$C$35, 2, 0))) * 12) + (IF(ISBLANK(Q2368), 0, IF(ISNA(VLOOKUP(Q2368, Wages!$A$2:$C$17, 2, 0)), Q2368, VLOOKUP(Q2368, Wages!$A$2:$C$17, 2, 0))) * IF(ISBLANK(N2368), 0, IF(ISNA(VLOOKUP(N2368, Crews!$A$2:$C$28, 2, 0)), N2368, VLOOKUP(N2368, Crews!$A$2:$C$28, 2, 0))))) * 400</f>
        <v>14693.05556</v>
      </c>
      <c r="K2368" s="1" t="s">
        <v>4636</v>
      </c>
      <c r="L2368" s="1" t="s">
        <v>4637</v>
      </c>
      <c r="M2368" s="1" t="n">
        <v>0</v>
      </c>
      <c r="N2368" s="1" t="s">
        <v>1488</v>
      </c>
      <c r="O2368" s="1" t="n">
        <v>0.8</v>
      </c>
      <c r="P2368" s="1"/>
      <c r="Q2368" s="1" t="s">
        <v>1488</v>
      </c>
      <c r="R2368" s="1" t="s">
        <v>4088</v>
      </c>
      <c r="S2368" s="1" t="s">
        <v>4088</v>
      </c>
      <c r="T2368" s="1" t="s">
        <v>4079</v>
      </c>
    </row>
    <row r="2369" customFormat="false" ht="15" hidden="false" customHeight="true" outlineLevel="0" collapsed="false">
      <c r="A2369" s="1" t="s">
        <v>4638</v>
      </c>
      <c r="B2369" s="1" t="n">
        <v>1976</v>
      </c>
      <c r="C2369" s="1" t="n">
        <v>10</v>
      </c>
      <c r="D2369" s="1" t="s">
        <v>38</v>
      </c>
      <c r="E2369" s="1" t="s">
        <v>1346</v>
      </c>
      <c r="F2369" s="1" t="n">
        <v>0</v>
      </c>
      <c r="G2369" s="1" t="n">
        <v>145</v>
      </c>
      <c r="H2369" s="2" t="n">
        <v>1272000</v>
      </c>
      <c r="I2369" s="2" t="n">
        <f aca="false">(((H2369 / 800) / IF(ISBLANK(R2369), 1000000, IF(ISNA(VLOOKUP(R2369, Mileages!$A$2:$C$34, 2, 0)), R2369, VLOOKUP(R2369, Mileages!$A$2:$C$34, 2, 0)))) + (F2369 * IF(ISBLANK(P2369), 1, P2369) * IF(ISBLANK(T2369), 0, IF(ISNA(VLOOKUP(T2369, 'Fuel Costs'!$A$2:$C$42, 2, 0)), T2369, VLOOKUP(T2369, 'Fuel Costs'!$A$2:$C$42, 2, 0))) / IF(ISBLANK(O2369), 1, O2369))) * 100</f>
        <v>0.1325</v>
      </c>
      <c r="J2369" s="2" t="n">
        <f aca="false">((H2369 / 800) / (IF(ISBLANK(S2369), 100, IF(ISNA(VLOOKUP(S2369, Lives!$A$2:$C$35, 2, 0)), S2369, VLOOKUP(S2369, Lives!$A$2:$C$35, 2, 0))) * 12) + (IF(ISBLANK(Q2369), 0, IF(ISNA(VLOOKUP(Q2369, Wages!$A$2:$C$17, 2, 0)), Q2369, VLOOKUP(Q2369, Wages!$A$2:$C$17, 2, 0))) * IF(ISBLANK(N2369), 0, IF(ISNA(VLOOKUP(N2369, Crews!$A$2:$C$28, 2, 0)), N2369, VLOOKUP(N2369, Crews!$A$2:$C$28, 2, 0))))) * 400</f>
        <v>1514.285714</v>
      </c>
      <c r="K2369" s="3" t="s">
        <v>4639</v>
      </c>
      <c r="L2369" s="1" t="s">
        <v>4640</v>
      </c>
      <c r="M2369" s="1" t="n">
        <v>0</v>
      </c>
      <c r="N2369" s="1"/>
      <c r="O2369" s="1"/>
      <c r="P2369" s="1"/>
      <c r="Q2369" s="1"/>
      <c r="R2369" s="1" t="s">
        <v>689</v>
      </c>
      <c r="S2369" s="1" t="s">
        <v>856</v>
      </c>
      <c r="T2369" s="1"/>
    </row>
    <row r="2370" customFormat="false" ht="15" hidden="false" customHeight="true" outlineLevel="0" collapsed="false">
      <c r="A2370" s="1" t="s">
        <v>4641</v>
      </c>
      <c r="B2370" s="1" t="n">
        <v>1976</v>
      </c>
      <c r="C2370" s="1" t="n">
        <v>10</v>
      </c>
      <c r="D2370" s="1" t="s">
        <v>38</v>
      </c>
      <c r="E2370" s="1" t="s">
        <v>1346</v>
      </c>
      <c r="F2370" s="1" t="n">
        <v>806</v>
      </c>
      <c r="G2370" s="1" t="n">
        <v>145</v>
      </c>
      <c r="H2370" s="2" t="n">
        <v>1272000</v>
      </c>
      <c r="I2370" s="2" t="n">
        <f aca="false">(((H2370 / 800) / IF(ISBLANK(R2370), 1000000, IF(ISNA(VLOOKUP(R2370, Mileages!$A$2:$C$34, 2, 0)), R2370, VLOOKUP(R2370, Mileages!$A$2:$C$34, 2, 0)))) + (F2370 * IF(ISBLANK(P2370), 1, P2370) * IF(ISBLANK(T2370), 0, IF(ISNA(VLOOKUP(T2370, 'Fuel Costs'!$A$2:$C$42, 2, 0)), T2370, VLOOKUP(T2370, 'Fuel Costs'!$A$2:$C$42, 2, 0))) / IF(ISBLANK(O2370), 1, O2370))) * 100</f>
        <v>121.059</v>
      </c>
      <c r="J2370" s="2" t="n">
        <f aca="false">((H2370 / 800) / (IF(ISBLANK(S2370), 100, IF(ISNA(VLOOKUP(S2370, Lives!$A$2:$C$35, 2, 0)), S2370, VLOOKUP(S2370, Lives!$A$2:$C$35, 2, 0))) * 12) + (IF(ISBLANK(Q2370), 0, IF(ISNA(VLOOKUP(Q2370, Wages!$A$2:$C$17, 2, 0)), Q2370, VLOOKUP(Q2370, Wages!$A$2:$C$17, 2, 0))) * IF(ISBLANK(N2370), 0, IF(ISNA(VLOOKUP(N2370, Crews!$A$2:$C$28, 2, 0)), N2370, VLOOKUP(N2370, Crews!$A$2:$C$28, 2, 0))))) * 400</f>
        <v>11060</v>
      </c>
      <c r="K2370" s="1" t="s">
        <v>4642</v>
      </c>
      <c r="L2370" s="1" t="s">
        <v>4640</v>
      </c>
      <c r="M2370" s="1" t="n">
        <v>1</v>
      </c>
      <c r="N2370" s="1" t="s">
        <v>1488</v>
      </c>
      <c r="O2370" s="1" t="n">
        <v>1</v>
      </c>
      <c r="P2370" s="1"/>
      <c r="Q2370" s="1" t="str">
        <f aca="false">IF(ISBLANK('Pak128 Britain In'!$N2370),,'Pak128 Britain In'!$N2370)</f>
        <v>ElectricDriverRail</v>
      </c>
      <c r="R2370" s="1" t="s">
        <v>1349</v>
      </c>
      <c r="S2370" s="1" t="s">
        <v>1350</v>
      </c>
      <c r="T2370" s="1" t="s">
        <v>4101</v>
      </c>
    </row>
    <row r="2371" customFormat="false" ht="15" hidden="false" customHeight="true" outlineLevel="0" collapsed="false">
      <c r="A2371" s="1" t="s">
        <v>4643</v>
      </c>
      <c r="B2371" s="1" t="n">
        <v>1976</v>
      </c>
      <c r="C2371" s="1" t="n">
        <v>10</v>
      </c>
      <c r="D2371" s="1" t="s">
        <v>38</v>
      </c>
      <c r="E2371" s="1" t="s">
        <v>1346</v>
      </c>
      <c r="F2371" s="1" t="n">
        <v>0</v>
      </c>
      <c r="G2371" s="1" t="n">
        <v>145</v>
      </c>
      <c r="H2371" s="2" t="n">
        <v>1272000</v>
      </c>
      <c r="I2371" s="2" t="n">
        <f aca="false">(((H2371 / 800) / IF(ISBLANK(R2371), 1000000, IF(ISNA(VLOOKUP(R2371, Mileages!$A$2:$C$34, 2, 0)), R2371, VLOOKUP(R2371, Mileages!$A$2:$C$34, 2, 0)))) + (F2371 * IF(ISBLANK(P2371), 1, P2371) * IF(ISBLANK(T2371), 0, IF(ISNA(VLOOKUP(T2371, 'Fuel Costs'!$A$2:$C$42, 2, 0)), T2371, VLOOKUP(T2371, 'Fuel Costs'!$A$2:$C$42, 2, 0))) / IF(ISBLANK(O2371), 1, O2371))) * 100</f>
        <v>0.1325</v>
      </c>
      <c r="J2371" s="2" t="n">
        <f aca="false">((H2371 / 800) / (IF(ISBLANK(S2371), 100, IF(ISNA(VLOOKUP(S2371, Lives!$A$2:$C$35, 2, 0)), S2371, VLOOKUP(S2371, Lives!$A$2:$C$35, 2, 0))) * 12) + (IF(ISBLANK(Q2371), 0, IF(ISNA(VLOOKUP(Q2371, Wages!$A$2:$C$17, 2, 0)), Q2371, VLOOKUP(Q2371, Wages!$A$2:$C$17, 2, 0))) * IF(ISBLANK(N2371), 0, IF(ISNA(VLOOKUP(N2371, Crews!$A$2:$C$28, 2, 0)), N2371, VLOOKUP(N2371, Crews!$A$2:$C$28, 2, 0))))) * 400</f>
        <v>1514.285714</v>
      </c>
      <c r="K2371" s="1" t="s">
        <v>4642</v>
      </c>
      <c r="L2371" s="1" t="s">
        <v>4640</v>
      </c>
      <c r="M2371" s="1" t="n">
        <v>2</v>
      </c>
      <c r="N2371" s="1"/>
      <c r="O2371" s="1"/>
      <c r="P2371" s="1"/>
      <c r="Q2371" s="1"/>
      <c r="R2371" s="1" t="s">
        <v>689</v>
      </c>
      <c r="S2371" s="1" t="s">
        <v>856</v>
      </c>
      <c r="T2371" s="1"/>
    </row>
    <row r="2372" customFormat="false" ht="15" hidden="false" customHeight="true" outlineLevel="0" collapsed="false">
      <c r="A2372" s="1" t="s">
        <v>4644</v>
      </c>
      <c r="B2372" s="1" t="n">
        <v>1976</v>
      </c>
      <c r="C2372" s="1" t="n">
        <v>10</v>
      </c>
      <c r="D2372" s="1" t="s">
        <v>38</v>
      </c>
      <c r="E2372" s="1" t="s">
        <v>1346</v>
      </c>
      <c r="F2372" s="1" t="n">
        <v>0</v>
      </c>
      <c r="G2372" s="1" t="n">
        <v>145</v>
      </c>
      <c r="H2372" s="2" t="n">
        <v>1272000</v>
      </c>
      <c r="I2372" s="2" t="n">
        <f aca="false">(((H2372 / 800) / IF(ISBLANK(R2372), 1000000, IF(ISNA(VLOOKUP(R2372, Mileages!$A$2:$C$34, 2, 0)), R2372, VLOOKUP(R2372, Mileages!$A$2:$C$34, 2, 0)))) + (F2372 * IF(ISBLANK(P2372), 1, P2372) * IF(ISBLANK(T2372), 0, IF(ISNA(VLOOKUP(T2372, 'Fuel Costs'!$A$2:$C$42, 2, 0)), T2372, VLOOKUP(T2372, 'Fuel Costs'!$A$2:$C$42, 2, 0))) / IF(ISBLANK(O2372), 1, O2372))) * 100</f>
        <v>0.1325</v>
      </c>
      <c r="J2372" s="2" t="n">
        <f aca="false">((H2372 / 800) / (IF(ISBLANK(S2372), 100, IF(ISNA(VLOOKUP(S2372, Lives!$A$2:$C$35, 2, 0)), S2372, VLOOKUP(S2372, Lives!$A$2:$C$35, 2, 0))) * 12) + (IF(ISBLANK(Q2372), 0, IF(ISNA(VLOOKUP(Q2372, Wages!$A$2:$C$17, 2, 0)), Q2372, VLOOKUP(Q2372, Wages!$A$2:$C$17, 2, 0))) * IF(ISBLANK(N2372), 0, IF(ISNA(VLOOKUP(N2372, Crews!$A$2:$C$28, 2, 0)), N2372, VLOOKUP(N2372, Crews!$A$2:$C$28, 2, 0))))) * 400</f>
        <v>1514.285714</v>
      </c>
      <c r="K2372" s="3" t="s">
        <v>4639</v>
      </c>
      <c r="L2372" s="1" t="s">
        <v>4640</v>
      </c>
      <c r="M2372" s="1" t="n">
        <v>3</v>
      </c>
      <c r="N2372" s="1"/>
      <c r="O2372" s="1"/>
      <c r="P2372" s="1"/>
      <c r="Q2372" s="1"/>
      <c r="R2372" s="1" t="s">
        <v>689</v>
      </c>
      <c r="S2372" s="1" t="s">
        <v>856</v>
      </c>
      <c r="T2372" s="1"/>
    </row>
    <row r="2373" customFormat="false" ht="15" hidden="false" customHeight="true" outlineLevel="0" collapsed="false">
      <c r="A2373" s="1" t="s">
        <v>4645</v>
      </c>
      <c r="B2373" s="1" t="n">
        <v>1977</v>
      </c>
      <c r="C2373" s="1" t="n">
        <v>10</v>
      </c>
      <c r="D2373" s="1" t="s">
        <v>21</v>
      </c>
      <c r="E2373" s="1" t="s">
        <v>2039</v>
      </c>
      <c r="F2373" s="1" t="n">
        <v>160</v>
      </c>
      <c r="G2373" s="1" t="n">
        <v>75</v>
      </c>
      <c r="H2373" s="2" t="n">
        <v>520000</v>
      </c>
      <c r="I2373" s="2" t="n">
        <f aca="false">(((H2373 / 800) / IF(ISBLANK(R2373), 1000000, IF(ISNA(VLOOKUP(R2373, Mileages!$A$2:$C$34, 2, 0)), R2373, VLOOKUP(R2373, Mileages!$A$2:$C$34, 2, 0)))) + (F2373 * IF(ISBLANK(P2373), 1, P2373) * IF(ISBLANK(T2373), 0, IF(ISNA(VLOOKUP(T2373, 'Fuel Costs'!$A$2:$C$42, 2, 0)), T2373, VLOOKUP(T2373, 'Fuel Costs'!$A$2:$C$42, 2, 0))) / IF(ISBLANK(O2373), 1, O2373))) * 100</f>
        <v>80.065</v>
      </c>
      <c r="J2373" s="2" t="n">
        <f aca="false">((H2373 / 800) / (IF(ISBLANK(S2373), 100, IF(ISNA(VLOOKUP(S2373, Lives!$A$2:$C$35, 2, 0)), S2373, VLOOKUP(S2373, Lives!$A$2:$C$35, 2, 0))) * 12) + (IF(ISBLANK(Q2373), 0, IF(ISNA(VLOOKUP(Q2373, Wages!$A$2:$C$17, 2, 0)), Q2373, VLOOKUP(Q2373, Wages!$A$2:$C$17, 2, 0))) * IF(ISBLANK(N2373), 0, IF(ISNA(VLOOKUP(N2373, Crews!$A$2:$C$28, 2, 0)), N2373, VLOOKUP(N2373, Crews!$A$2:$C$28, 2, 0))))) * 400</f>
        <v>8270.833333</v>
      </c>
      <c r="K2373" s="3" t="s">
        <v>4646</v>
      </c>
      <c r="L2373" s="1" t="s">
        <v>4647</v>
      </c>
      <c r="M2373" s="1" t="n">
        <v>0</v>
      </c>
      <c r="N2373" s="1" t="s">
        <v>1815</v>
      </c>
      <c r="O2373" s="1" t="n">
        <v>0.8</v>
      </c>
      <c r="P2373" s="1"/>
      <c r="Q2373" s="1" t="s">
        <v>1815</v>
      </c>
      <c r="R2373" s="1" t="s">
        <v>1843</v>
      </c>
      <c r="S2373" s="1" t="s">
        <v>1843</v>
      </c>
      <c r="T2373" s="1" t="s">
        <v>4079</v>
      </c>
    </row>
    <row r="2374" customFormat="false" ht="15" hidden="false" customHeight="true" outlineLevel="0" collapsed="false">
      <c r="A2374" s="1" t="s">
        <v>4648</v>
      </c>
      <c r="B2374" s="1" t="n">
        <v>1977</v>
      </c>
      <c r="C2374" s="1" t="n">
        <v>10</v>
      </c>
      <c r="D2374" s="1" t="s">
        <v>21</v>
      </c>
      <c r="E2374" s="1" t="s">
        <v>1346</v>
      </c>
      <c r="F2374" s="1" t="n">
        <v>132</v>
      </c>
      <c r="G2374" s="1" t="n">
        <v>64</v>
      </c>
      <c r="H2374" s="2" t="n">
        <v>517000</v>
      </c>
      <c r="I2374" s="2" t="n">
        <f aca="false">(((H2374 / 800) / IF(ISBLANK(R2374), 1000000, IF(ISNA(VLOOKUP(R2374, Mileages!$A$2:$C$34, 2, 0)), R2374, VLOOKUP(R2374, Mileages!$A$2:$C$34, 2, 0)))) + (F2374 * IF(ISBLANK(P2374), 1, P2374) * IF(ISBLANK(T2374), 0, IF(ISNA(VLOOKUP(T2374, 'Fuel Costs'!$A$2:$C$42, 2, 0)), T2374, VLOOKUP(T2374, 'Fuel Costs'!$A$2:$C$42, 2, 0))) / IF(ISBLANK(O2374), 1, O2374))) * 100</f>
        <v>19.88616667</v>
      </c>
      <c r="J2374" s="2" t="n">
        <f aca="false">((H2374 / 800) / (IF(ISBLANK(S2374), 100, IF(ISNA(VLOOKUP(S2374, Lives!$A$2:$C$35, 2, 0)), S2374, VLOOKUP(S2374, Lives!$A$2:$C$35, 2, 0))) * 12) + (IF(ISBLANK(Q2374), 0, IF(ISNA(VLOOKUP(Q2374, Wages!$A$2:$C$17, 2, 0)), Q2374, VLOOKUP(Q2374, Wages!$A$2:$C$17, 2, 0))) * IF(ISBLANK(N2374), 0, IF(ISNA(VLOOKUP(N2374, Crews!$A$2:$C$28, 2, 0)), N2374, VLOOKUP(N2374, Crews!$A$2:$C$28, 2, 0))))) * 400</f>
        <v>6538.541667</v>
      </c>
      <c r="K2374" s="3" t="s">
        <v>4649</v>
      </c>
      <c r="L2374" s="1" t="s">
        <v>4650</v>
      </c>
      <c r="M2374" s="1" t="n">
        <v>0</v>
      </c>
      <c r="N2374" s="1" t="s">
        <v>3064</v>
      </c>
      <c r="O2374" s="1"/>
      <c r="P2374" s="1"/>
      <c r="Q2374" s="1" t="s">
        <v>3064</v>
      </c>
      <c r="R2374" s="1" t="s">
        <v>3064</v>
      </c>
      <c r="S2374" s="1" t="s">
        <v>3064</v>
      </c>
      <c r="T2374" s="1" t="s">
        <v>4101</v>
      </c>
    </row>
    <row r="2375" customFormat="false" ht="15" hidden="false" customHeight="true" outlineLevel="0" collapsed="false">
      <c r="A2375" s="1" t="s">
        <v>4651</v>
      </c>
      <c r="B2375" s="1" t="n">
        <v>1978</v>
      </c>
      <c r="C2375" s="1" t="n">
        <v>1</v>
      </c>
      <c r="D2375" s="1" t="s">
        <v>21</v>
      </c>
      <c r="E2375" s="1" t="s">
        <v>2039</v>
      </c>
      <c r="F2375" s="1" t="n">
        <v>173</v>
      </c>
      <c r="G2375" s="1" t="n">
        <v>86</v>
      </c>
      <c r="H2375" s="2" t="n">
        <v>125000</v>
      </c>
      <c r="I2375" s="2" t="n">
        <f aca="false">(((H2375 / 800) / IF(ISBLANK(R2375), 1000000, IF(ISNA(VLOOKUP(R2375, Mileages!$A$2:$C$34, 2, 0)), R2375, VLOOKUP(R2375, Mileages!$A$2:$C$34, 2, 0)))) + (F2375 * IF(ISBLANK(P2375), 1, P2375) * IF(ISBLANK(T2375), 0, IF(ISNA(VLOOKUP(T2375, 'Fuel Costs'!$A$2:$C$42, 2, 0)), T2375, VLOOKUP(T2375, 'Fuel Costs'!$A$2:$C$42, 2, 0))) / IF(ISBLANK(O2375), 1, O2375))) * 100</f>
        <v>86.515625</v>
      </c>
      <c r="J2375" s="2" t="n">
        <f aca="false">((H2375 / 800) / (IF(ISBLANK(S2375), 100, IF(ISNA(VLOOKUP(S2375, Lives!$A$2:$C$35, 2, 0)), S2375, VLOOKUP(S2375, Lives!$A$2:$C$35, 2, 0))) * 12) + (IF(ISBLANK(Q2375), 0, IF(ISNA(VLOOKUP(Q2375, Wages!$A$2:$C$17, 2, 0)), Q2375, VLOOKUP(Q2375, Wages!$A$2:$C$17, 2, 0))) * IF(ISBLANK(N2375), 0, IF(ISNA(VLOOKUP(N2375, Crews!$A$2:$C$28, 2, 0)), N2375, VLOOKUP(N2375, Crews!$A$2:$C$28, 2, 0))))) * 400</f>
        <v>8065.104167</v>
      </c>
      <c r="K2375" s="1"/>
      <c r="L2375" s="1" t="s">
        <v>4652</v>
      </c>
      <c r="M2375" s="1" t="n">
        <v>0</v>
      </c>
      <c r="N2375" s="1" t="s">
        <v>1815</v>
      </c>
      <c r="O2375" s="1" t="n">
        <v>0.8</v>
      </c>
      <c r="P2375" s="1"/>
      <c r="Q2375" s="1" t="s">
        <v>1815</v>
      </c>
      <c r="R2375" s="1" t="s">
        <v>1843</v>
      </c>
      <c r="S2375" s="1" t="s">
        <v>1843</v>
      </c>
      <c r="T2375" s="1" t="s">
        <v>4079</v>
      </c>
    </row>
    <row r="2376" customFormat="false" ht="15" hidden="false" customHeight="true" outlineLevel="0" collapsed="false">
      <c r="A2376" s="1" t="s">
        <v>4653</v>
      </c>
      <c r="B2376" s="1" t="n">
        <v>1978</v>
      </c>
      <c r="C2376" s="1" t="n">
        <v>1</v>
      </c>
      <c r="D2376" s="1" t="s">
        <v>21</v>
      </c>
      <c r="E2376" s="1" t="s">
        <v>2039</v>
      </c>
      <c r="F2376" s="1" t="n">
        <v>173</v>
      </c>
      <c r="G2376" s="1" t="n">
        <v>86</v>
      </c>
      <c r="H2376" s="2" t="n">
        <v>125000</v>
      </c>
      <c r="I2376" s="2" t="n">
        <f aca="false">(((H2376 / 800) / IF(ISBLANK(R2376), 1000000, IF(ISNA(VLOOKUP(R2376, Mileages!$A$2:$C$34, 2, 0)), R2376, VLOOKUP(R2376, Mileages!$A$2:$C$34, 2, 0)))) + (F2376 * IF(ISBLANK(P2376), 1, P2376) * IF(ISBLANK(T2376), 0, IF(ISNA(VLOOKUP(T2376, 'Fuel Costs'!$A$2:$C$42, 2, 0)), T2376, VLOOKUP(T2376, 'Fuel Costs'!$A$2:$C$42, 2, 0))) / IF(ISBLANK(O2376), 1, O2376))) * 100</f>
        <v>86.515625</v>
      </c>
      <c r="J2376" s="2" t="n">
        <f aca="false">((H2376 / 800) / (IF(ISBLANK(S2376), 100, IF(ISNA(VLOOKUP(S2376, Lives!$A$2:$C$35, 2, 0)), S2376, VLOOKUP(S2376, Lives!$A$2:$C$35, 2, 0))) * 12) + (IF(ISBLANK(Q2376), 0, IF(ISNA(VLOOKUP(Q2376, Wages!$A$2:$C$17, 2, 0)), Q2376, VLOOKUP(Q2376, Wages!$A$2:$C$17, 2, 0))) * IF(ISBLANK(N2376), 0, IF(ISNA(VLOOKUP(N2376, Crews!$A$2:$C$28, 2, 0)), N2376, VLOOKUP(N2376, Crews!$A$2:$C$28, 2, 0))))) * 400</f>
        <v>8065.104167</v>
      </c>
      <c r="K2376" s="1"/>
      <c r="L2376" s="1" t="s">
        <v>4652</v>
      </c>
      <c r="M2376" s="1" t="n">
        <v>1</v>
      </c>
      <c r="N2376" s="1" t="s">
        <v>1815</v>
      </c>
      <c r="O2376" s="1" t="n">
        <v>0.8</v>
      </c>
      <c r="P2376" s="1"/>
      <c r="Q2376" s="1" t="s">
        <v>1815</v>
      </c>
      <c r="R2376" s="1" t="s">
        <v>1843</v>
      </c>
      <c r="S2376" s="1" t="s">
        <v>1843</v>
      </c>
      <c r="T2376" s="1" t="s">
        <v>4079</v>
      </c>
    </row>
    <row r="2377" customFormat="false" ht="15" hidden="false" customHeight="true" outlineLevel="0" collapsed="false">
      <c r="A2377" s="1" t="s">
        <v>4654</v>
      </c>
      <c r="B2377" s="1" t="n">
        <v>1978</v>
      </c>
      <c r="C2377" s="1" t="n">
        <v>1</v>
      </c>
      <c r="D2377" s="1" t="s">
        <v>21</v>
      </c>
      <c r="E2377" s="1"/>
      <c r="F2377" s="1"/>
      <c r="G2377" s="1" t="n">
        <v>86</v>
      </c>
      <c r="H2377" s="2" t="n">
        <v>65000</v>
      </c>
      <c r="I2377" s="2" t="n">
        <f aca="false">(((H2377 / 800) / IF(ISBLANK(R2377), 1000000, IF(ISNA(VLOOKUP(R2377, Mileages!$A$2:$C$34, 2, 0)), R2377, VLOOKUP(R2377, Mileages!$A$2:$C$34, 2, 0)))) + (F2377 * IF(ISBLANK(P2377), 1, P2377) * IF(ISBLANK(T2377), 0, IF(ISNA(VLOOKUP(T2377, 'Fuel Costs'!$A$2:$C$42, 2, 0)), T2377, VLOOKUP(T2377, 'Fuel Costs'!$A$2:$C$42, 2, 0))) / IF(ISBLANK(O2377), 1, O2377))) * 100</f>
        <v>0.006770833333</v>
      </c>
      <c r="J2377" s="2" t="n">
        <f aca="false">((H2377 / 800) / (IF(ISBLANK(S2377), 100, IF(ISNA(VLOOKUP(S2377, Lives!$A$2:$C$35, 2, 0)), S2377, VLOOKUP(S2377, Lives!$A$2:$C$35, 2, 0))) * 12) + (IF(ISBLANK(Q2377), 0, IF(ISNA(VLOOKUP(Q2377, Wages!$A$2:$C$17, 2, 0)), Q2377, VLOOKUP(Q2377, Wages!$A$2:$C$17, 2, 0))) * IF(ISBLANK(N2377), 0, IF(ISNA(VLOOKUP(N2377, Crews!$A$2:$C$28, 2, 0)), N2377, VLOOKUP(N2377, Crews!$A$2:$C$28, 2, 0))))) * 400</f>
        <v>33.85416667</v>
      </c>
      <c r="K2377" s="1" t="s">
        <v>4655</v>
      </c>
      <c r="L2377" s="1" t="s">
        <v>4652</v>
      </c>
      <c r="M2377" s="1" t="n">
        <v>6</v>
      </c>
      <c r="N2377" s="1"/>
      <c r="O2377" s="1"/>
      <c r="P2377" s="1"/>
      <c r="Q2377" s="1"/>
      <c r="R2377" s="1" t="s">
        <v>829</v>
      </c>
      <c r="S2377" s="1" t="s">
        <v>829</v>
      </c>
      <c r="T2377" s="1"/>
    </row>
    <row r="2378" customFormat="false" ht="15" hidden="false" customHeight="true" outlineLevel="0" collapsed="false">
      <c r="A2378" s="1" t="s">
        <v>4656</v>
      </c>
      <c r="B2378" s="1" t="n">
        <v>1978</v>
      </c>
      <c r="C2378" s="1" t="n">
        <v>1</v>
      </c>
      <c r="D2378" s="1" t="s">
        <v>21</v>
      </c>
      <c r="E2378" s="1"/>
      <c r="F2378" s="1"/>
      <c r="G2378" s="1" t="n">
        <v>86</v>
      </c>
      <c r="H2378" s="2" t="n">
        <v>55000</v>
      </c>
      <c r="I2378" s="2" t="n">
        <f aca="false">(((H2378 / 800) / IF(ISBLANK(R2378), 1000000, IF(ISNA(VLOOKUP(R2378, Mileages!$A$2:$C$34, 2, 0)), R2378, VLOOKUP(R2378, Mileages!$A$2:$C$34, 2, 0)))) + (F2378 * IF(ISBLANK(P2378), 1, P2378) * IF(ISBLANK(T2378), 0, IF(ISNA(VLOOKUP(T2378, 'Fuel Costs'!$A$2:$C$42, 2, 0)), T2378, VLOOKUP(T2378, 'Fuel Costs'!$A$2:$C$42, 2, 0))) / IF(ISBLANK(O2378), 1, O2378))) * 100</f>
        <v>0.005729166667</v>
      </c>
      <c r="J2378" s="2" t="n">
        <f aca="false">((H2378 / 800) / (IF(ISBLANK(S2378), 100, IF(ISNA(VLOOKUP(S2378, Lives!$A$2:$C$35, 2, 0)), S2378, VLOOKUP(S2378, Lives!$A$2:$C$35, 2, 0))) * 12) + (IF(ISBLANK(Q2378), 0, IF(ISNA(VLOOKUP(Q2378, Wages!$A$2:$C$17, 2, 0)), Q2378, VLOOKUP(Q2378, Wages!$A$2:$C$17, 2, 0))) * IF(ISBLANK(N2378), 0, IF(ISNA(VLOOKUP(N2378, Crews!$A$2:$C$28, 2, 0)), N2378, VLOOKUP(N2378, Crews!$A$2:$C$28, 2, 0))))) * 400</f>
        <v>28.64583333</v>
      </c>
      <c r="K2378" s="1"/>
      <c r="L2378" s="1" t="s">
        <v>4652</v>
      </c>
      <c r="M2378" s="1" t="n">
        <v>7</v>
      </c>
      <c r="N2378" s="1"/>
      <c r="O2378" s="1"/>
      <c r="P2378" s="1"/>
      <c r="Q2378" s="1"/>
      <c r="R2378" s="1" t="s">
        <v>829</v>
      </c>
      <c r="S2378" s="1" t="s">
        <v>829</v>
      </c>
      <c r="T2378" s="1"/>
    </row>
    <row r="2379" customFormat="false" ht="15" hidden="false" customHeight="true" outlineLevel="0" collapsed="false">
      <c r="A2379" s="1" t="s">
        <v>4657</v>
      </c>
      <c r="B2379" s="1" t="n">
        <v>1978</v>
      </c>
      <c r="C2379" s="1" t="n">
        <v>1</v>
      </c>
      <c r="D2379" s="1" t="s">
        <v>21</v>
      </c>
      <c r="E2379" s="1"/>
      <c r="F2379" s="1"/>
      <c r="G2379" s="1" t="n">
        <v>86</v>
      </c>
      <c r="H2379" s="2" t="n">
        <v>55000</v>
      </c>
      <c r="I2379" s="2" t="n">
        <f aca="false">(((H2379 / 800) / IF(ISBLANK(R2379), 1000000, IF(ISNA(VLOOKUP(R2379, Mileages!$A$2:$C$34, 2, 0)), R2379, VLOOKUP(R2379, Mileages!$A$2:$C$34, 2, 0)))) + (F2379 * IF(ISBLANK(P2379), 1, P2379) * IF(ISBLANK(T2379), 0, IF(ISNA(VLOOKUP(T2379, 'Fuel Costs'!$A$2:$C$42, 2, 0)), T2379, VLOOKUP(T2379, 'Fuel Costs'!$A$2:$C$42, 2, 0))) / IF(ISBLANK(O2379), 1, O2379))) * 100</f>
        <v>0.005729166667</v>
      </c>
      <c r="J2379" s="2" t="n">
        <f aca="false">((H2379 / 800) / (IF(ISBLANK(S2379), 100, IF(ISNA(VLOOKUP(S2379, Lives!$A$2:$C$35, 2, 0)), S2379, VLOOKUP(S2379, Lives!$A$2:$C$35, 2, 0))) * 12) + (IF(ISBLANK(Q2379), 0, IF(ISNA(VLOOKUP(Q2379, Wages!$A$2:$C$17, 2, 0)), Q2379, VLOOKUP(Q2379, Wages!$A$2:$C$17, 2, 0))) * IF(ISBLANK(N2379), 0, IF(ISNA(VLOOKUP(N2379, Crews!$A$2:$C$28, 2, 0)), N2379, VLOOKUP(N2379, Crews!$A$2:$C$28, 2, 0))))) * 400</f>
        <v>28.64583333</v>
      </c>
      <c r="K2379" s="1"/>
      <c r="L2379" s="1" t="s">
        <v>4652</v>
      </c>
      <c r="M2379" s="1" t="n">
        <v>8</v>
      </c>
      <c r="N2379" s="1"/>
      <c r="O2379" s="1"/>
      <c r="P2379" s="1"/>
      <c r="Q2379" s="1"/>
      <c r="R2379" s="1" t="s">
        <v>829</v>
      </c>
      <c r="S2379" s="1" t="s">
        <v>829</v>
      </c>
      <c r="T2379" s="1"/>
    </row>
    <row r="2380" customFormat="false" ht="15" hidden="false" customHeight="true" outlineLevel="0" collapsed="false">
      <c r="A2380" s="1" t="s">
        <v>4658</v>
      </c>
      <c r="B2380" s="1" t="n">
        <v>1978</v>
      </c>
      <c r="C2380" s="1" t="n">
        <v>1</v>
      </c>
      <c r="D2380" s="1" t="s">
        <v>21</v>
      </c>
      <c r="E2380" s="1"/>
      <c r="F2380" s="1"/>
      <c r="G2380" s="1" t="n">
        <v>86</v>
      </c>
      <c r="H2380" s="2" t="n">
        <v>55000</v>
      </c>
      <c r="I2380" s="2" t="n">
        <f aca="false">(((H2380 / 800) / IF(ISBLANK(R2380), 1000000, IF(ISNA(VLOOKUP(R2380, Mileages!$A$2:$C$34, 2, 0)), R2380, VLOOKUP(R2380, Mileages!$A$2:$C$34, 2, 0)))) + (F2380 * IF(ISBLANK(P2380), 1, P2380) * IF(ISBLANK(T2380), 0, IF(ISNA(VLOOKUP(T2380, 'Fuel Costs'!$A$2:$C$42, 2, 0)), T2380, VLOOKUP(T2380, 'Fuel Costs'!$A$2:$C$42, 2, 0))) / IF(ISBLANK(O2380), 1, O2380))) * 100</f>
        <v>0.005729166667</v>
      </c>
      <c r="J2380" s="2" t="n">
        <f aca="false">((H2380 / 800) / (IF(ISBLANK(S2380), 100, IF(ISNA(VLOOKUP(S2380, Lives!$A$2:$C$35, 2, 0)), S2380, VLOOKUP(S2380, Lives!$A$2:$C$35, 2, 0))) * 12) + (IF(ISBLANK(Q2380), 0, IF(ISNA(VLOOKUP(Q2380, Wages!$A$2:$C$17, 2, 0)), Q2380, VLOOKUP(Q2380, Wages!$A$2:$C$17, 2, 0))) * IF(ISBLANK(N2380), 0, IF(ISNA(VLOOKUP(N2380, Crews!$A$2:$C$28, 2, 0)), N2380, VLOOKUP(N2380, Crews!$A$2:$C$28, 2, 0))))) * 400</f>
        <v>28.64583333</v>
      </c>
      <c r="K2380" s="1"/>
      <c r="L2380" s="1" t="s">
        <v>4652</v>
      </c>
      <c r="M2380" s="1" t="n">
        <v>10</v>
      </c>
      <c r="N2380" s="1"/>
      <c r="O2380" s="1"/>
      <c r="P2380" s="1"/>
      <c r="Q2380" s="1"/>
      <c r="R2380" s="1" t="s">
        <v>829</v>
      </c>
      <c r="S2380" s="1" t="s">
        <v>829</v>
      </c>
      <c r="T2380" s="1"/>
    </row>
    <row r="2381" customFormat="false" ht="15" hidden="false" customHeight="true" outlineLevel="0" collapsed="false">
      <c r="A2381" s="1" t="s">
        <v>4659</v>
      </c>
      <c r="B2381" s="1" t="n">
        <v>1978</v>
      </c>
      <c r="C2381" s="1" t="n">
        <v>1</v>
      </c>
      <c r="D2381" s="1" t="s">
        <v>21</v>
      </c>
      <c r="E2381" s="1"/>
      <c r="F2381" s="1"/>
      <c r="G2381" s="1" t="n">
        <v>86</v>
      </c>
      <c r="H2381" s="2" t="n">
        <v>55000</v>
      </c>
      <c r="I2381" s="2" t="n">
        <f aca="false">(((H2381 / 800) / IF(ISBLANK(R2381), 1000000, IF(ISNA(VLOOKUP(R2381, Mileages!$A$2:$C$34, 2, 0)), R2381, VLOOKUP(R2381, Mileages!$A$2:$C$34, 2, 0)))) + (F2381 * IF(ISBLANK(P2381), 1, P2381) * IF(ISBLANK(T2381), 0, IF(ISNA(VLOOKUP(T2381, 'Fuel Costs'!$A$2:$C$42, 2, 0)), T2381, VLOOKUP(T2381, 'Fuel Costs'!$A$2:$C$42, 2, 0))) / IF(ISBLANK(O2381), 1, O2381))) * 100</f>
        <v>0.005729166667</v>
      </c>
      <c r="J2381" s="2" t="n">
        <f aca="false">((H2381 / 800) / (IF(ISBLANK(S2381), 100, IF(ISNA(VLOOKUP(S2381, Lives!$A$2:$C$35, 2, 0)), S2381, VLOOKUP(S2381, Lives!$A$2:$C$35, 2, 0))) * 12) + (IF(ISBLANK(Q2381), 0, IF(ISNA(VLOOKUP(Q2381, Wages!$A$2:$C$17, 2, 0)), Q2381, VLOOKUP(Q2381, Wages!$A$2:$C$17, 2, 0))) * IF(ISBLANK(N2381), 0, IF(ISNA(VLOOKUP(N2381, Crews!$A$2:$C$28, 2, 0)), N2381, VLOOKUP(N2381, Crews!$A$2:$C$28, 2, 0))))) * 400</f>
        <v>28.64583333</v>
      </c>
      <c r="K2381" s="1"/>
      <c r="L2381" s="1" t="s">
        <v>4652</v>
      </c>
      <c r="M2381" s="1" t="n">
        <v>11</v>
      </c>
      <c r="N2381" s="1"/>
      <c r="O2381" s="1"/>
      <c r="P2381" s="1"/>
      <c r="Q2381" s="1"/>
      <c r="R2381" s="1" t="s">
        <v>829</v>
      </c>
      <c r="S2381" s="1" t="s">
        <v>829</v>
      </c>
      <c r="T2381" s="1"/>
    </row>
    <row r="2382" customFormat="false" ht="15" hidden="false" customHeight="true" outlineLevel="0" collapsed="false">
      <c r="A2382" s="1" t="s">
        <v>4660</v>
      </c>
      <c r="B2382" s="1" t="n">
        <v>1978</v>
      </c>
      <c r="C2382" s="1" t="n">
        <v>1</v>
      </c>
      <c r="D2382" s="1" t="s">
        <v>21</v>
      </c>
      <c r="E2382" s="1"/>
      <c r="F2382" s="1"/>
      <c r="G2382" s="1" t="n">
        <v>86</v>
      </c>
      <c r="H2382" s="2" t="n">
        <v>55000</v>
      </c>
      <c r="I2382" s="2" t="n">
        <f aca="false">(((H2382 / 800) / IF(ISBLANK(R2382), 1000000, IF(ISNA(VLOOKUP(R2382, Mileages!$A$2:$C$34, 2, 0)), R2382, VLOOKUP(R2382, Mileages!$A$2:$C$34, 2, 0)))) + (F2382 * IF(ISBLANK(P2382), 1, P2382) * IF(ISBLANK(T2382), 0, IF(ISNA(VLOOKUP(T2382, 'Fuel Costs'!$A$2:$C$42, 2, 0)), T2382, VLOOKUP(T2382, 'Fuel Costs'!$A$2:$C$42, 2, 0))) / IF(ISBLANK(O2382), 1, O2382))) * 100</f>
        <v>0.005729166667</v>
      </c>
      <c r="J2382" s="2" t="n">
        <f aca="false">((H2382 / 800) / (IF(ISBLANK(S2382), 100, IF(ISNA(VLOOKUP(S2382, Lives!$A$2:$C$35, 2, 0)), S2382, VLOOKUP(S2382, Lives!$A$2:$C$35, 2, 0))) * 12) + (IF(ISBLANK(Q2382), 0, IF(ISNA(VLOOKUP(Q2382, Wages!$A$2:$C$17, 2, 0)), Q2382, VLOOKUP(Q2382, Wages!$A$2:$C$17, 2, 0))) * IF(ISBLANK(N2382), 0, IF(ISNA(VLOOKUP(N2382, Crews!$A$2:$C$28, 2, 0)), N2382, VLOOKUP(N2382, Crews!$A$2:$C$28, 2, 0))))) * 400</f>
        <v>28.64583333</v>
      </c>
      <c r="K2382" s="1"/>
      <c r="L2382" s="1" t="s">
        <v>4652</v>
      </c>
      <c r="M2382" s="1" t="n">
        <v>12</v>
      </c>
      <c r="N2382" s="1"/>
      <c r="O2382" s="1"/>
      <c r="P2382" s="1"/>
      <c r="Q2382" s="1"/>
      <c r="R2382" s="1" t="s">
        <v>829</v>
      </c>
      <c r="S2382" s="1" t="s">
        <v>829</v>
      </c>
      <c r="T2382" s="1"/>
    </row>
    <row r="2383" customFormat="false" ht="15" hidden="false" customHeight="true" outlineLevel="0" collapsed="false">
      <c r="A2383" s="1" t="s">
        <v>4661</v>
      </c>
      <c r="B2383" s="1" t="n">
        <v>1978</v>
      </c>
      <c r="C2383" s="1" t="n">
        <v>1</v>
      </c>
      <c r="D2383" s="1" t="s">
        <v>21</v>
      </c>
      <c r="E2383" s="1"/>
      <c r="F2383" s="1"/>
      <c r="G2383" s="1" t="n">
        <v>86</v>
      </c>
      <c r="H2383" s="2" t="n">
        <v>55000</v>
      </c>
      <c r="I2383" s="2" t="n">
        <f aca="false">(((H2383 / 800) / IF(ISBLANK(R2383), 1000000, IF(ISNA(VLOOKUP(R2383, Mileages!$A$2:$C$34, 2, 0)), R2383, VLOOKUP(R2383, Mileages!$A$2:$C$34, 2, 0)))) + (F2383 * IF(ISBLANK(P2383), 1, P2383) * IF(ISBLANK(T2383), 0, IF(ISNA(VLOOKUP(T2383, 'Fuel Costs'!$A$2:$C$42, 2, 0)), T2383, VLOOKUP(T2383, 'Fuel Costs'!$A$2:$C$42, 2, 0))) / IF(ISBLANK(O2383), 1, O2383))) * 100</f>
        <v>0.005729166667</v>
      </c>
      <c r="J2383" s="2" t="n">
        <f aca="false">((H2383 / 800) / (IF(ISBLANK(S2383), 100, IF(ISNA(VLOOKUP(S2383, Lives!$A$2:$C$35, 2, 0)), S2383, VLOOKUP(S2383, Lives!$A$2:$C$35, 2, 0))) * 12) + (IF(ISBLANK(Q2383), 0, IF(ISNA(VLOOKUP(Q2383, Wages!$A$2:$C$17, 2, 0)), Q2383, VLOOKUP(Q2383, Wages!$A$2:$C$17, 2, 0))) * IF(ISBLANK(N2383), 0, IF(ISNA(VLOOKUP(N2383, Crews!$A$2:$C$28, 2, 0)), N2383, VLOOKUP(N2383, Crews!$A$2:$C$28, 2, 0))))) * 400</f>
        <v>28.64583333</v>
      </c>
      <c r="K2383" s="1"/>
      <c r="L2383" s="1" t="s">
        <v>4652</v>
      </c>
      <c r="M2383" s="1" t="n">
        <v>13</v>
      </c>
      <c r="N2383" s="1"/>
      <c r="O2383" s="1"/>
      <c r="P2383" s="1"/>
      <c r="Q2383" s="1"/>
      <c r="R2383" s="1" t="s">
        <v>829</v>
      </c>
      <c r="S2383" s="1" t="s">
        <v>829</v>
      </c>
      <c r="T2383" s="1"/>
    </row>
    <row r="2384" customFormat="false" ht="15" hidden="false" customHeight="true" outlineLevel="0" collapsed="false">
      <c r="A2384" s="1" t="s">
        <v>4662</v>
      </c>
      <c r="B2384" s="1" t="n">
        <v>1978</v>
      </c>
      <c r="C2384" s="1" t="n">
        <v>1</v>
      </c>
      <c r="D2384" s="1" t="s">
        <v>21</v>
      </c>
      <c r="E2384" s="1" t="s">
        <v>2039</v>
      </c>
      <c r="F2384" s="1" t="n">
        <v>173</v>
      </c>
      <c r="G2384" s="1" t="n">
        <v>86</v>
      </c>
      <c r="H2384" s="2" t="n">
        <v>125000</v>
      </c>
      <c r="I2384" s="2" t="n">
        <f aca="false">(((H2384 / 800) / IF(ISBLANK(R2384), 1000000, IF(ISNA(VLOOKUP(R2384, Mileages!$A$2:$C$34, 2, 0)), R2384, VLOOKUP(R2384, Mileages!$A$2:$C$34, 2, 0)))) + (F2384 * IF(ISBLANK(P2384), 1, P2384) * IF(ISBLANK(T2384), 0, IF(ISNA(VLOOKUP(T2384, 'Fuel Costs'!$A$2:$C$42, 2, 0)), T2384, VLOOKUP(T2384, 'Fuel Costs'!$A$2:$C$42, 2, 0))) / IF(ISBLANK(O2384), 1, O2384))) * 100</f>
        <v>86.515625</v>
      </c>
      <c r="J2384" s="2" t="n">
        <f aca="false">((H2384 / 800) / (IF(ISBLANK(S2384), 100, IF(ISNA(VLOOKUP(S2384, Lives!$A$2:$C$35, 2, 0)), S2384, VLOOKUP(S2384, Lives!$A$2:$C$35, 2, 0))) * 12) + (IF(ISBLANK(Q2384), 0, IF(ISNA(VLOOKUP(Q2384, Wages!$A$2:$C$17, 2, 0)), Q2384, VLOOKUP(Q2384, Wages!$A$2:$C$17, 2, 0))) * IF(ISBLANK(N2384), 0, IF(ISNA(VLOOKUP(N2384, Crews!$A$2:$C$28, 2, 0)), N2384, VLOOKUP(N2384, Crews!$A$2:$C$28, 2, 0))))) * 400</f>
        <v>8065.104167</v>
      </c>
      <c r="K2384" s="1"/>
      <c r="L2384" s="1" t="s">
        <v>4663</v>
      </c>
      <c r="M2384" s="1" t="n">
        <v>0</v>
      </c>
      <c r="N2384" s="1" t="s">
        <v>1815</v>
      </c>
      <c r="O2384" s="1" t="n">
        <v>0.8</v>
      </c>
      <c r="P2384" s="1"/>
      <c r="Q2384" s="1" t="s">
        <v>1815</v>
      </c>
      <c r="R2384" s="1" t="s">
        <v>1843</v>
      </c>
      <c r="S2384" s="1" t="s">
        <v>1843</v>
      </c>
      <c r="T2384" s="1" t="s">
        <v>4079</v>
      </c>
    </row>
    <row r="2385" customFormat="false" ht="15" hidden="false" customHeight="true" outlineLevel="0" collapsed="false">
      <c r="A2385" s="1" t="s">
        <v>4664</v>
      </c>
      <c r="B2385" s="1" t="n">
        <v>1978</v>
      </c>
      <c r="C2385" s="1" t="n">
        <v>1</v>
      </c>
      <c r="D2385" s="1" t="s">
        <v>21</v>
      </c>
      <c r="E2385" s="1" t="s">
        <v>2039</v>
      </c>
      <c r="F2385" s="1" t="n">
        <v>173</v>
      </c>
      <c r="G2385" s="1" t="n">
        <v>86</v>
      </c>
      <c r="H2385" s="2" t="n">
        <v>125000</v>
      </c>
      <c r="I2385" s="2" t="n">
        <f aca="false">(((H2385 / 800) / IF(ISBLANK(R2385), 1000000, IF(ISNA(VLOOKUP(R2385, Mileages!$A$2:$C$34, 2, 0)), R2385, VLOOKUP(R2385, Mileages!$A$2:$C$34, 2, 0)))) + (F2385 * IF(ISBLANK(P2385), 1, P2385) * IF(ISBLANK(T2385), 0, IF(ISNA(VLOOKUP(T2385, 'Fuel Costs'!$A$2:$C$42, 2, 0)), T2385, VLOOKUP(T2385, 'Fuel Costs'!$A$2:$C$42, 2, 0))) / IF(ISBLANK(O2385), 1, O2385))) * 100</f>
        <v>86.515625</v>
      </c>
      <c r="J2385" s="2" t="n">
        <f aca="false">((H2385 / 800) / (IF(ISBLANK(S2385), 100, IF(ISNA(VLOOKUP(S2385, Lives!$A$2:$C$35, 2, 0)), S2385, VLOOKUP(S2385, Lives!$A$2:$C$35, 2, 0))) * 12) + (IF(ISBLANK(Q2385), 0, IF(ISNA(VLOOKUP(Q2385, Wages!$A$2:$C$17, 2, 0)), Q2385, VLOOKUP(Q2385, Wages!$A$2:$C$17, 2, 0))) * IF(ISBLANK(N2385), 0, IF(ISNA(VLOOKUP(N2385, Crews!$A$2:$C$28, 2, 0)), N2385, VLOOKUP(N2385, Crews!$A$2:$C$28, 2, 0))))) * 400</f>
        <v>8065.104167</v>
      </c>
      <c r="K2385" s="1"/>
      <c r="L2385" s="1" t="s">
        <v>4663</v>
      </c>
      <c r="M2385" s="1" t="n">
        <v>1</v>
      </c>
      <c r="N2385" s="1" t="s">
        <v>1815</v>
      </c>
      <c r="O2385" s="1" t="n">
        <v>0.8</v>
      </c>
      <c r="P2385" s="1"/>
      <c r="Q2385" s="1" t="s">
        <v>1815</v>
      </c>
      <c r="R2385" s="1" t="s">
        <v>1843</v>
      </c>
      <c r="S2385" s="1" t="s">
        <v>1843</v>
      </c>
      <c r="T2385" s="1" t="s">
        <v>4079</v>
      </c>
    </row>
    <row r="2386" customFormat="false" ht="15" hidden="false" customHeight="true" outlineLevel="0" collapsed="false">
      <c r="A2386" s="1" t="s">
        <v>4665</v>
      </c>
      <c r="B2386" s="1" t="n">
        <v>1978</v>
      </c>
      <c r="C2386" s="1" t="n">
        <v>1</v>
      </c>
      <c r="D2386" s="1" t="s">
        <v>21</v>
      </c>
      <c r="E2386" s="1" t="s">
        <v>2039</v>
      </c>
      <c r="F2386" s="1" t="n">
        <v>173</v>
      </c>
      <c r="G2386" s="1" t="n">
        <v>86</v>
      </c>
      <c r="H2386" s="2" t="n">
        <v>125000</v>
      </c>
      <c r="I2386" s="2" t="n">
        <f aca="false">(((H2386 / 800) / IF(ISBLANK(R2386), 1000000, IF(ISNA(VLOOKUP(R2386, Mileages!$A$2:$C$34, 2, 0)), R2386, VLOOKUP(R2386, Mileages!$A$2:$C$34, 2, 0)))) + (F2386 * IF(ISBLANK(P2386), 1, P2386) * IF(ISBLANK(T2386), 0, IF(ISNA(VLOOKUP(T2386, 'Fuel Costs'!$A$2:$C$42, 2, 0)), T2386, VLOOKUP(T2386, 'Fuel Costs'!$A$2:$C$42, 2, 0))) / IF(ISBLANK(O2386), 1, O2386))) * 100</f>
        <v>86.515625</v>
      </c>
      <c r="J2386" s="2" t="n">
        <f aca="false">((H2386 / 800) / (IF(ISBLANK(S2386), 100, IF(ISNA(VLOOKUP(S2386, Lives!$A$2:$C$35, 2, 0)), S2386, VLOOKUP(S2386, Lives!$A$2:$C$35, 2, 0))) * 12) + (IF(ISBLANK(Q2386), 0, IF(ISNA(VLOOKUP(Q2386, Wages!$A$2:$C$17, 2, 0)), Q2386, VLOOKUP(Q2386, Wages!$A$2:$C$17, 2, 0))) * IF(ISBLANK(N2386), 0, IF(ISNA(VLOOKUP(N2386, Crews!$A$2:$C$28, 2, 0)), N2386, VLOOKUP(N2386, Crews!$A$2:$C$28, 2, 0))))) * 400</f>
        <v>8065.104167</v>
      </c>
      <c r="K2386" s="1"/>
      <c r="L2386" s="1" t="s">
        <v>4663</v>
      </c>
      <c r="M2386" s="1" t="n">
        <v>2</v>
      </c>
      <c r="N2386" s="1" t="s">
        <v>1815</v>
      </c>
      <c r="O2386" s="1" t="n">
        <v>0.8</v>
      </c>
      <c r="P2386" s="1"/>
      <c r="Q2386" s="1" t="s">
        <v>1815</v>
      </c>
      <c r="R2386" s="1" t="s">
        <v>1843</v>
      </c>
      <c r="S2386" s="1" t="s">
        <v>1843</v>
      </c>
      <c r="T2386" s="1" t="s">
        <v>4079</v>
      </c>
    </row>
    <row r="2387" customFormat="false" ht="15" hidden="false" customHeight="true" outlineLevel="0" collapsed="false">
      <c r="A2387" s="1" t="s">
        <v>4666</v>
      </c>
      <c r="B2387" s="1" t="n">
        <v>1978</v>
      </c>
      <c r="C2387" s="1" t="n">
        <v>2</v>
      </c>
      <c r="D2387" s="1" t="s">
        <v>21</v>
      </c>
      <c r="E2387" s="1"/>
      <c r="F2387" s="1"/>
      <c r="G2387" s="1" t="n">
        <v>86</v>
      </c>
      <c r="H2387" s="2" t="n">
        <v>55000</v>
      </c>
      <c r="I2387" s="2" t="n">
        <f aca="false">(((H2387 / 800) / IF(ISBLANK(R2387), 1000000, IF(ISNA(VLOOKUP(R2387, Mileages!$A$2:$C$34, 2, 0)), R2387, VLOOKUP(R2387, Mileages!$A$2:$C$34, 2, 0)))) + (F2387 * IF(ISBLANK(P2387), 1, P2387) * IF(ISBLANK(T2387), 0, IF(ISNA(VLOOKUP(T2387, 'Fuel Costs'!$A$2:$C$42, 2, 0)), T2387, VLOOKUP(T2387, 'Fuel Costs'!$A$2:$C$42, 2, 0))) / IF(ISBLANK(O2387), 1, O2387))) * 100</f>
        <v>0.005729166667</v>
      </c>
      <c r="J2387" s="2" t="n">
        <f aca="false">((H2387 / 800) / (IF(ISBLANK(S2387), 100, IF(ISNA(VLOOKUP(S2387, Lives!$A$2:$C$35, 2, 0)), S2387, VLOOKUP(S2387, Lives!$A$2:$C$35, 2, 0))) * 12) + (IF(ISBLANK(Q2387), 0, IF(ISNA(VLOOKUP(Q2387, Wages!$A$2:$C$17, 2, 0)), Q2387, VLOOKUP(Q2387, Wages!$A$2:$C$17, 2, 0))) * IF(ISBLANK(N2387), 0, IF(ISNA(VLOOKUP(N2387, Crews!$A$2:$C$28, 2, 0)), N2387, VLOOKUP(N2387, Crews!$A$2:$C$28, 2, 0))))) * 400</f>
        <v>28.64583333</v>
      </c>
      <c r="K2387" s="1"/>
      <c r="L2387" s="1" t="s">
        <v>4652</v>
      </c>
      <c r="M2387" s="1" t="n">
        <v>9</v>
      </c>
      <c r="N2387" s="1"/>
      <c r="O2387" s="1"/>
      <c r="P2387" s="1"/>
      <c r="Q2387" s="1"/>
      <c r="R2387" s="1" t="s">
        <v>829</v>
      </c>
      <c r="S2387" s="1" t="s">
        <v>829</v>
      </c>
      <c r="T2387" s="1"/>
    </row>
    <row r="2388" customFormat="false" ht="15" hidden="false" customHeight="true" outlineLevel="0" collapsed="false">
      <c r="A2388" s="1" t="s">
        <v>4667</v>
      </c>
      <c r="B2388" s="1" t="n">
        <v>1978</v>
      </c>
      <c r="C2388" s="1" t="n">
        <v>7</v>
      </c>
      <c r="D2388" s="1" t="s">
        <v>38</v>
      </c>
      <c r="E2388" s="1"/>
      <c r="F2388" s="1"/>
      <c r="G2388" s="1" t="n">
        <v>140</v>
      </c>
      <c r="H2388" s="2" t="n">
        <v>500000</v>
      </c>
      <c r="I2388" s="2" t="n">
        <f aca="false">(((H2388 / 800) / IF(ISBLANK(R2388), 1000000, IF(ISNA(VLOOKUP(R2388, Mileages!$A$2:$C$34, 2, 0)), R2388, VLOOKUP(R2388, Mileages!$A$2:$C$34, 2, 0)))) + (F2388 * IF(ISBLANK(P2388), 1, P2388) * IF(ISBLANK(T2388), 0, IF(ISNA(VLOOKUP(T2388, 'Fuel Costs'!$A$2:$C$42, 2, 0)), T2388, VLOOKUP(T2388, 'Fuel Costs'!$A$2:$C$42, 2, 0))) / IF(ISBLANK(O2388), 1, O2388))) * 100</f>
        <v>0.02604166667</v>
      </c>
      <c r="J2388" s="2" t="n">
        <f aca="false">((H2388 / 800) / (IF(ISBLANK(S2388), 100, IF(ISNA(VLOOKUP(S2388, Lives!$A$2:$C$35, 2, 0)), S2388, VLOOKUP(S2388, Lives!$A$2:$C$35, 2, 0))) * 12) + (IF(ISBLANK(Q2388), 0, IF(ISNA(VLOOKUP(Q2388, Wages!$A$2:$C$17, 2, 0)), Q2388, VLOOKUP(Q2388, Wages!$A$2:$C$17, 2, 0))) * IF(ISBLANK(N2388), 0, IF(ISNA(VLOOKUP(N2388, Crews!$A$2:$C$28, 2, 0)), N2388, VLOOKUP(N2388, Crews!$A$2:$C$28, 2, 0))))) * 400</f>
        <v>277.7777778</v>
      </c>
      <c r="K2388" s="3" t="s">
        <v>1766</v>
      </c>
      <c r="L2388" s="1" t="s">
        <v>4668</v>
      </c>
      <c r="M2388" s="1" t="n">
        <v>0</v>
      </c>
      <c r="N2388" s="1"/>
      <c r="O2388" s="1"/>
      <c r="P2388" s="1"/>
      <c r="Q2388" s="1"/>
      <c r="R2388" s="1" t="s">
        <v>4419</v>
      </c>
      <c r="S2388" s="1" t="s">
        <v>4286</v>
      </c>
      <c r="T2388" s="1"/>
    </row>
    <row r="2389" customFormat="false" ht="15" hidden="false" customHeight="true" outlineLevel="0" collapsed="false">
      <c r="A2389" s="1" t="s">
        <v>4669</v>
      </c>
      <c r="B2389" s="1" t="n">
        <v>1978</v>
      </c>
      <c r="C2389" s="1" t="n">
        <v>8</v>
      </c>
      <c r="D2389" s="1" t="s">
        <v>21</v>
      </c>
      <c r="E2389" s="1" t="s">
        <v>2039</v>
      </c>
      <c r="F2389" s="1" t="n">
        <v>194</v>
      </c>
      <c r="G2389" s="1" t="n">
        <v>64</v>
      </c>
      <c r="H2389" s="2" t="n">
        <v>2900000</v>
      </c>
      <c r="I2389" s="2" t="n">
        <f aca="false">(((H2389 / 800) / IF(ISBLANK(R2389), 1000000, IF(ISNA(VLOOKUP(R2389, Mileages!$A$2:$C$34, 2, 0)), R2389, VLOOKUP(R2389, Mileages!$A$2:$C$34, 2, 0)))) + (F2389 * IF(ISBLANK(P2389), 1, P2389) * IF(ISBLANK(T2389), 0, IF(ISNA(VLOOKUP(T2389, 'Fuel Costs'!$A$2:$C$42, 2, 0)), T2389, VLOOKUP(T2389, 'Fuel Costs'!$A$2:$C$42, 2, 0))) / IF(ISBLANK(O2389), 1, O2389))) * 100</f>
        <v>97.3625</v>
      </c>
      <c r="J2389" s="2" t="n">
        <f aca="false">((H2389 / 800) / (IF(ISBLANK(S2389), 100, IF(ISNA(VLOOKUP(S2389, Lives!$A$2:$C$35, 2, 0)), S2389, VLOOKUP(S2389, Lives!$A$2:$C$35, 2, 0))) * 12) + (IF(ISBLANK(Q2389), 0, IF(ISNA(VLOOKUP(Q2389, Wages!$A$2:$C$17, 2, 0)), Q2389, VLOOKUP(Q2389, Wages!$A$2:$C$17, 2, 0))) * IF(ISBLANK(N2389), 0, IF(ISNA(VLOOKUP(N2389, Crews!$A$2:$C$28, 2, 0)), N2389, VLOOKUP(N2389, Crews!$A$2:$C$28, 2, 0))))) * 400</f>
        <v>9510.416667</v>
      </c>
      <c r="K2389" s="3" t="s">
        <v>4670</v>
      </c>
      <c r="L2389" s="1" t="s">
        <v>4671</v>
      </c>
      <c r="M2389" s="1" t="n">
        <v>0</v>
      </c>
      <c r="N2389" s="1" t="s">
        <v>1815</v>
      </c>
      <c r="O2389" s="1" t="n">
        <v>0.8</v>
      </c>
      <c r="P2389" s="1"/>
      <c r="Q2389" s="1" t="s">
        <v>1815</v>
      </c>
      <c r="R2389" s="1" t="s">
        <v>1843</v>
      </c>
      <c r="S2389" s="1" t="s">
        <v>1843</v>
      </c>
      <c r="T2389" s="1" t="s">
        <v>4079</v>
      </c>
    </row>
    <row r="2390" customFormat="false" ht="15" hidden="false" customHeight="true" outlineLevel="0" collapsed="false">
      <c r="A2390" s="1" t="s">
        <v>4672</v>
      </c>
      <c r="B2390" s="1" t="n">
        <v>1978</v>
      </c>
      <c r="C2390" s="1" t="n">
        <v>8</v>
      </c>
      <c r="D2390" s="1" t="s">
        <v>21</v>
      </c>
      <c r="E2390" s="1" t="s">
        <v>2039</v>
      </c>
      <c r="F2390" s="1" t="n">
        <v>194</v>
      </c>
      <c r="G2390" s="1" t="n">
        <v>64</v>
      </c>
      <c r="H2390" s="2" t="n">
        <v>2800000</v>
      </c>
      <c r="I2390" s="2" t="n">
        <f aca="false">(((H2390 / 800) / IF(ISBLANK(R2390), 1000000, IF(ISNA(VLOOKUP(R2390, Mileages!$A$2:$C$34, 2, 0)), R2390, VLOOKUP(R2390, Mileages!$A$2:$C$34, 2, 0)))) + (F2390 * IF(ISBLANK(P2390), 1, P2390) * IF(ISBLANK(T2390), 0, IF(ISNA(VLOOKUP(T2390, 'Fuel Costs'!$A$2:$C$42, 2, 0)), T2390, VLOOKUP(T2390, 'Fuel Costs'!$A$2:$C$42, 2, 0))) / IF(ISBLANK(O2390), 1, O2390))) * 100</f>
        <v>97.46666667</v>
      </c>
      <c r="J2390" s="2" t="n">
        <f aca="false">((H2390 / 800) / (IF(ISBLANK(S2390), 100, IF(ISNA(VLOOKUP(S2390, Lives!$A$2:$C$35, 2, 0)), S2390, VLOOKUP(S2390, Lives!$A$2:$C$35, 2, 0))) * 12) + (IF(ISBLANK(Q2390), 0, IF(ISNA(VLOOKUP(Q2390, Wages!$A$2:$C$17, 2, 0)), Q2390, VLOOKUP(Q2390, Wages!$A$2:$C$17, 2, 0))) * IF(ISBLANK(N2390), 0, IF(ISNA(VLOOKUP(N2390, Crews!$A$2:$C$28, 2, 0)), N2390, VLOOKUP(N2390, Crews!$A$2:$C$28, 2, 0))))) * 400</f>
        <v>8916.666667</v>
      </c>
      <c r="K2390" s="3" t="s">
        <v>4673</v>
      </c>
      <c r="L2390" s="1" t="s">
        <v>4671</v>
      </c>
      <c r="M2390" s="1" t="n">
        <v>1</v>
      </c>
      <c r="N2390" s="1" t="s">
        <v>3064</v>
      </c>
      <c r="O2390" s="1" t="n">
        <v>0.8</v>
      </c>
      <c r="P2390" s="1"/>
      <c r="Q2390" s="1" t="s">
        <v>3064</v>
      </c>
      <c r="R2390" s="1" t="s">
        <v>3064</v>
      </c>
      <c r="S2390" s="1" t="s">
        <v>3064</v>
      </c>
      <c r="T2390" s="1" t="s">
        <v>4079</v>
      </c>
    </row>
    <row r="2391" customFormat="false" ht="15" hidden="false" customHeight="true" outlineLevel="0" collapsed="false">
      <c r="A2391" s="1" t="s">
        <v>4674</v>
      </c>
      <c r="B2391" s="1" t="n">
        <v>1978</v>
      </c>
      <c r="C2391" s="1" t="n">
        <v>8</v>
      </c>
      <c r="D2391" s="1" t="s">
        <v>38</v>
      </c>
      <c r="E2391" s="1"/>
      <c r="F2391" s="1"/>
      <c r="G2391" s="1" t="n">
        <v>140</v>
      </c>
      <c r="H2391" s="2" t="n">
        <v>500000</v>
      </c>
      <c r="I2391" s="2" t="n">
        <f aca="false">(((H2391 / 800) / IF(ISBLANK(R2391), 1000000, IF(ISNA(VLOOKUP(R2391, Mileages!$A$2:$C$34, 2, 0)), R2391, VLOOKUP(R2391, Mileages!$A$2:$C$34, 2, 0)))) + (F2391 * IF(ISBLANK(P2391), 1, P2391) * IF(ISBLANK(T2391), 0, IF(ISNA(VLOOKUP(T2391, 'Fuel Costs'!$A$2:$C$42, 2, 0)), T2391, VLOOKUP(T2391, 'Fuel Costs'!$A$2:$C$42, 2, 0))) / IF(ISBLANK(O2391), 1, O2391))) * 100</f>
        <v>0.02604166667</v>
      </c>
      <c r="J2391" s="2" t="n">
        <f aca="false">((H2391 / 800) / (IF(ISBLANK(S2391), 100, IF(ISNA(VLOOKUP(S2391, Lives!$A$2:$C$35, 2, 0)), S2391, VLOOKUP(S2391, Lives!$A$2:$C$35, 2, 0))) * 12) + (IF(ISBLANK(Q2391), 0, IF(ISNA(VLOOKUP(Q2391, Wages!$A$2:$C$17, 2, 0)), Q2391, VLOOKUP(Q2391, Wages!$A$2:$C$17, 2, 0))) * IF(ISBLANK(N2391), 0, IF(ISNA(VLOOKUP(N2391, Crews!$A$2:$C$28, 2, 0)), N2391, VLOOKUP(N2391, Crews!$A$2:$C$28, 2, 0))))) * 400</f>
        <v>277.7777778</v>
      </c>
      <c r="K2391" s="3" t="s">
        <v>1766</v>
      </c>
      <c r="L2391" s="1" t="s">
        <v>4675</v>
      </c>
      <c r="M2391" s="1" t="n">
        <v>0</v>
      </c>
      <c r="N2391" s="1"/>
      <c r="O2391" s="1"/>
      <c r="P2391" s="1"/>
      <c r="Q2391" s="1"/>
      <c r="R2391" s="1" t="s">
        <v>4419</v>
      </c>
      <c r="S2391" s="1" t="s">
        <v>4286</v>
      </c>
      <c r="T2391" s="1"/>
    </row>
    <row r="2392" customFormat="false" ht="15" hidden="false" customHeight="true" outlineLevel="0" collapsed="false">
      <c r="A2392" s="1" t="s">
        <v>4676</v>
      </c>
      <c r="B2392" s="1" t="n">
        <v>1978</v>
      </c>
      <c r="C2392" s="1" t="n">
        <v>10</v>
      </c>
      <c r="D2392" s="1" t="s">
        <v>38</v>
      </c>
      <c r="E2392" s="1" t="s">
        <v>1346</v>
      </c>
      <c r="F2392" s="1" t="n">
        <v>328</v>
      </c>
      <c r="G2392" s="1" t="n">
        <v>120</v>
      </c>
      <c r="H2392" s="2" t="n">
        <v>1120000</v>
      </c>
      <c r="I2392" s="2" t="n">
        <f aca="false">(((H2392 / 800) / IF(ISBLANK(R2392), 1000000, IF(ISNA(VLOOKUP(R2392, Mileages!$A$2:$C$34, 2, 0)), R2392, VLOOKUP(R2392, Mileages!$A$2:$C$34, 2, 0)))) + (F2392 * IF(ISBLANK(P2392), 1, P2392) * IF(ISBLANK(T2392), 0, IF(ISNA(VLOOKUP(T2392, 'Fuel Costs'!$A$2:$C$42, 2, 0)), T2392, VLOOKUP(T2392, 'Fuel Costs'!$A$2:$C$42, 2, 0))) / IF(ISBLANK(O2392), 1, O2392))) * 100</f>
        <v>49.34</v>
      </c>
      <c r="J2392" s="2" t="n">
        <f aca="false">((H2392 / 800) / (IF(ISBLANK(S2392), 100, IF(ISNA(VLOOKUP(S2392, Lives!$A$2:$C$35, 2, 0)), S2392, VLOOKUP(S2392, Lives!$A$2:$C$35, 2, 0))) * 12) + (IF(ISBLANK(Q2392), 0, IF(ISNA(VLOOKUP(Q2392, Wages!$A$2:$C$17, 2, 0)), Q2392, VLOOKUP(Q2392, Wages!$A$2:$C$17, 2, 0))) * IF(ISBLANK(N2392), 0, IF(ISNA(VLOOKUP(N2392, Crews!$A$2:$C$28, 2, 0)), N2392, VLOOKUP(N2392, Crews!$A$2:$C$28, 2, 0))))) * 400</f>
        <v>6933.333333</v>
      </c>
      <c r="K2392" s="1"/>
      <c r="L2392" s="1" t="s">
        <v>4677</v>
      </c>
      <c r="M2392" s="1" t="n">
        <v>0</v>
      </c>
      <c r="N2392" s="1" t="s">
        <v>1512</v>
      </c>
      <c r="O2392" s="1" t="n">
        <v>1</v>
      </c>
      <c r="P2392" s="1"/>
      <c r="Q2392" s="1" t="str">
        <f aca="false">IF(ISBLANK('Pak128 Britain In'!$N2392),,'Pak128 Britain In'!$N2392)</f>
        <v>ElectricMultipleUnit</v>
      </c>
      <c r="R2392" s="1" t="s">
        <v>1349</v>
      </c>
      <c r="S2392" s="1" t="s">
        <v>1350</v>
      </c>
      <c r="T2392" s="1" t="s">
        <v>4101</v>
      </c>
    </row>
    <row r="2393" customFormat="false" ht="15" hidden="false" customHeight="true" outlineLevel="0" collapsed="false">
      <c r="A2393" s="1" t="s">
        <v>4678</v>
      </c>
      <c r="B2393" s="1" t="n">
        <v>1978</v>
      </c>
      <c r="C2393" s="1" t="n">
        <v>10</v>
      </c>
      <c r="D2393" s="1" t="s">
        <v>38</v>
      </c>
      <c r="E2393" s="1" t="s">
        <v>1346</v>
      </c>
      <c r="F2393" s="1" t="n">
        <v>0</v>
      </c>
      <c r="G2393" s="1" t="n">
        <v>120</v>
      </c>
      <c r="H2393" s="2" t="n">
        <v>1120000</v>
      </c>
      <c r="I2393" s="2" t="n">
        <f aca="false">(((H2393 / 800) / IF(ISBLANK(R2393), 1000000, IF(ISNA(VLOOKUP(R2393, Mileages!$A$2:$C$34, 2, 0)), R2393, VLOOKUP(R2393, Mileages!$A$2:$C$34, 2, 0)))) + (F2393 * IF(ISBLANK(P2393), 1, P2393) * IF(ISBLANK(T2393), 0, IF(ISNA(VLOOKUP(T2393, 'Fuel Costs'!$A$2:$C$42, 2, 0)), T2393, VLOOKUP(T2393, 'Fuel Costs'!$A$2:$C$42, 2, 0))) / IF(ISBLANK(O2393), 1, O2393))) * 100</f>
        <v>0.1166666667</v>
      </c>
      <c r="J2393" s="2" t="n">
        <f aca="false">((H2393 / 800) / (IF(ISBLANK(S2393), 100, IF(ISNA(VLOOKUP(S2393, Lives!$A$2:$C$35, 2, 0)), S2393, VLOOKUP(S2393, Lives!$A$2:$C$35, 2, 0))) * 12) + (IF(ISBLANK(Q2393), 0, IF(ISNA(VLOOKUP(Q2393, Wages!$A$2:$C$17, 2, 0)), Q2393, VLOOKUP(Q2393, Wages!$A$2:$C$17, 2, 0))) * IF(ISBLANK(N2393), 0, IF(ISNA(VLOOKUP(N2393, Crews!$A$2:$C$28, 2, 0)), N2393, VLOOKUP(N2393, Crews!$A$2:$C$28, 2, 0))))) * 400</f>
        <v>1333.333333</v>
      </c>
      <c r="K2393" s="1"/>
      <c r="L2393" s="1" t="s">
        <v>4677</v>
      </c>
      <c r="M2393" s="1" t="n">
        <v>1</v>
      </c>
      <c r="N2393" s="1"/>
      <c r="O2393" s="1"/>
      <c r="P2393" s="1"/>
      <c r="Q2393" s="1"/>
      <c r="R2393" s="1" t="s">
        <v>689</v>
      </c>
      <c r="S2393" s="1" t="s">
        <v>856</v>
      </c>
      <c r="T2393" s="1"/>
    </row>
    <row r="2394" customFormat="false" ht="15" hidden="false" customHeight="true" outlineLevel="0" collapsed="false">
      <c r="A2394" s="1" t="s">
        <v>4679</v>
      </c>
      <c r="B2394" s="1" t="n">
        <v>1978</v>
      </c>
      <c r="C2394" s="1" t="n">
        <v>10</v>
      </c>
      <c r="D2394" s="1" t="s">
        <v>38</v>
      </c>
      <c r="E2394" s="1" t="s">
        <v>1346</v>
      </c>
      <c r="F2394" s="1" t="n">
        <v>0</v>
      </c>
      <c r="G2394" s="1" t="n">
        <v>120</v>
      </c>
      <c r="H2394" s="2" t="n">
        <v>1120000</v>
      </c>
      <c r="I2394" s="2" t="n">
        <f aca="false">(((H2394 / 800) / IF(ISBLANK(R2394), 1000000, IF(ISNA(VLOOKUP(R2394, Mileages!$A$2:$C$34, 2, 0)), R2394, VLOOKUP(R2394, Mileages!$A$2:$C$34, 2, 0)))) + (F2394 * IF(ISBLANK(P2394), 1, P2394) * IF(ISBLANK(T2394), 0, IF(ISNA(VLOOKUP(T2394, 'Fuel Costs'!$A$2:$C$42, 2, 0)), T2394, VLOOKUP(T2394, 'Fuel Costs'!$A$2:$C$42, 2, 0))) / IF(ISBLANK(O2394), 1, O2394))) * 100</f>
        <v>0.1166666667</v>
      </c>
      <c r="J2394" s="2" t="n">
        <f aca="false">((H2394 / 800) / (IF(ISBLANK(S2394), 100, IF(ISNA(VLOOKUP(S2394, Lives!$A$2:$C$35, 2, 0)), S2394, VLOOKUP(S2394, Lives!$A$2:$C$35, 2, 0))) * 12) + (IF(ISBLANK(Q2394), 0, IF(ISNA(VLOOKUP(Q2394, Wages!$A$2:$C$17, 2, 0)), Q2394, VLOOKUP(Q2394, Wages!$A$2:$C$17, 2, 0))) * IF(ISBLANK(N2394), 0, IF(ISNA(VLOOKUP(N2394, Crews!$A$2:$C$28, 2, 0)), N2394, VLOOKUP(N2394, Crews!$A$2:$C$28, 2, 0))))) * 400</f>
        <v>1333.333333</v>
      </c>
      <c r="K2394" s="1"/>
      <c r="L2394" s="1" t="s">
        <v>4677</v>
      </c>
      <c r="M2394" s="1" t="n">
        <v>2</v>
      </c>
      <c r="N2394" s="1"/>
      <c r="O2394" s="1"/>
      <c r="P2394" s="1"/>
      <c r="Q2394" s="1"/>
      <c r="R2394" s="1" t="s">
        <v>689</v>
      </c>
      <c r="S2394" s="1" t="s">
        <v>856</v>
      </c>
      <c r="T2394" s="1"/>
    </row>
    <row r="2395" customFormat="false" ht="15" hidden="false" customHeight="true" outlineLevel="0" collapsed="false">
      <c r="A2395" s="1" t="s">
        <v>4680</v>
      </c>
      <c r="B2395" s="1" t="n">
        <v>1978</v>
      </c>
      <c r="C2395" s="1" t="n">
        <v>10</v>
      </c>
      <c r="D2395" s="1" t="s">
        <v>38</v>
      </c>
      <c r="E2395" s="1" t="s">
        <v>1346</v>
      </c>
      <c r="F2395" s="1" t="n">
        <v>328</v>
      </c>
      <c r="G2395" s="1" t="n">
        <v>120</v>
      </c>
      <c r="H2395" s="2" t="n">
        <v>1120000</v>
      </c>
      <c r="I2395" s="2" t="n">
        <f aca="false">(((H2395 / 800) / IF(ISBLANK(R2395), 1000000, IF(ISNA(VLOOKUP(R2395, Mileages!$A$2:$C$34, 2, 0)), R2395, VLOOKUP(R2395, Mileages!$A$2:$C$34, 2, 0)))) + (F2395 * IF(ISBLANK(P2395), 1, P2395) * IF(ISBLANK(T2395), 0, IF(ISNA(VLOOKUP(T2395, 'Fuel Costs'!$A$2:$C$42, 2, 0)), T2395, VLOOKUP(T2395, 'Fuel Costs'!$A$2:$C$42, 2, 0))) / IF(ISBLANK(O2395), 1, O2395))) * 100</f>
        <v>49.34</v>
      </c>
      <c r="J2395" s="2" t="n">
        <f aca="false">((H2395 / 800) / (IF(ISBLANK(S2395), 100, IF(ISNA(VLOOKUP(S2395, Lives!$A$2:$C$35, 2, 0)), S2395, VLOOKUP(S2395, Lives!$A$2:$C$35, 2, 0))) * 12) + (IF(ISBLANK(Q2395), 0, IF(ISNA(VLOOKUP(Q2395, Wages!$A$2:$C$17, 2, 0)), Q2395, VLOOKUP(Q2395, Wages!$A$2:$C$17, 2, 0))) * IF(ISBLANK(N2395), 0, IF(ISNA(VLOOKUP(N2395, Crews!$A$2:$C$28, 2, 0)), N2395, VLOOKUP(N2395, Crews!$A$2:$C$28, 2, 0))))) * 400</f>
        <v>6933.333333</v>
      </c>
      <c r="K2395" s="1"/>
      <c r="L2395" s="1" t="s">
        <v>4677</v>
      </c>
      <c r="M2395" s="1" t="n">
        <v>3</v>
      </c>
      <c r="N2395" s="1" t="s">
        <v>1512</v>
      </c>
      <c r="O2395" s="1" t="n">
        <v>1</v>
      </c>
      <c r="P2395" s="1"/>
      <c r="Q2395" s="1" t="str">
        <f aca="false">IF(ISBLANK('Pak128 Britain In'!$N2395),,'Pak128 Britain In'!$N2395)</f>
        <v>ElectricMultipleUnit</v>
      </c>
      <c r="R2395" s="1" t="s">
        <v>1349</v>
      </c>
      <c r="S2395" s="1" t="s">
        <v>1350</v>
      </c>
      <c r="T2395" s="1" t="s">
        <v>4101</v>
      </c>
    </row>
    <row r="2396" customFormat="false" ht="15" hidden="false" customHeight="true" outlineLevel="0" collapsed="false">
      <c r="A2396" s="1" t="s">
        <v>4681</v>
      </c>
      <c r="B2396" s="1" t="n">
        <v>1979</v>
      </c>
      <c r="C2396" s="1" t="n">
        <v>2</v>
      </c>
      <c r="D2396" s="1" t="s">
        <v>38</v>
      </c>
      <c r="E2396" s="1"/>
      <c r="F2396" s="1"/>
      <c r="G2396" s="1" t="n">
        <v>177</v>
      </c>
      <c r="H2396" s="2" t="n">
        <v>644000</v>
      </c>
      <c r="I2396" s="2" t="n">
        <f aca="false">(((H2396 / 800) / IF(ISBLANK(R2396), 1000000, IF(ISNA(VLOOKUP(R2396, Mileages!$A$2:$C$34, 2, 0)), R2396, VLOOKUP(R2396, Mileages!$A$2:$C$34, 2, 0)))) + (F2396 * IF(ISBLANK(P2396), 1, P2396) * IF(ISBLANK(T2396), 0, IF(ISNA(VLOOKUP(T2396, 'Fuel Costs'!$A$2:$C$42, 2, 0)), T2396, VLOOKUP(T2396, 'Fuel Costs'!$A$2:$C$42, 2, 0))) / IF(ISBLANK(O2396), 1, O2396))) * 100</f>
        <v>0.03354166667</v>
      </c>
      <c r="J2396" s="2" t="n">
        <f aca="false">((H2396 / 800) / (IF(ISBLANK(S2396), 100, IF(ISNA(VLOOKUP(S2396, Lives!$A$2:$C$35, 2, 0)), S2396, VLOOKUP(S2396, Lives!$A$2:$C$35, 2, 0))) * 12) + (IF(ISBLANK(Q2396), 0, IF(ISNA(VLOOKUP(Q2396, Wages!$A$2:$C$17, 2, 0)), Q2396, VLOOKUP(Q2396, Wages!$A$2:$C$17, 2, 0))) * IF(ISBLANK(N2396), 0, IF(ISNA(VLOOKUP(N2396, Crews!$A$2:$C$28, 2, 0)), N2396, VLOOKUP(N2396, Crews!$A$2:$C$28, 2, 0))))) * 400</f>
        <v>1341.666667</v>
      </c>
      <c r="K2396" s="1"/>
      <c r="L2396" s="1" t="s">
        <v>4682</v>
      </c>
      <c r="M2396" s="1" t="n">
        <v>0</v>
      </c>
      <c r="N2396" s="1"/>
      <c r="O2396" s="1"/>
      <c r="P2396" s="1"/>
      <c r="Q2396" s="1"/>
      <c r="R2396" s="1" t="s">
        <v>4419</v>
      </c>
      <c r="S2396" s="1" t="s">
        <v>4470</v>
      </c>
      <c r="T2396" s="1"/>
    </row>
    <row r="2397" customFormat="false" ht="15" hidden="false" customHeight="true" outlineLevel="0" collapsed="false">
      <c r="A2397" s="1" t="s">
        <v>4683</v>
      </c>
      <c r="B2397" s="1" t="n">
        <v>1979</v>
      </c>
      <c r="C2397" s="1" t="n">
        <v>4</v>
      </c>
      <c r="D2397" s="1" t="s">
        <v>876</v>
      </c>
      <c r="E2397" s="1" t="s">
        <v>1346</v>
      </c>
      <c r="F2397" s="1" t="n">
        <v>56</v>
      </c>
      <c r="G2397" s="1" t="n">
        <v>70</v>
      </c>
      <c r="H2397" s="2" t="n">
        <v>656000</v>
      </c>
      <c r="I2397" s="2" t="n">
        <f aca="false">(((H2397 / 800) / IF(ISBLANK(R2397), 1000000, IF(ISNA(VLOOKUP(R2397, Mileages!$A$2:$C$34, 2, 0)), R2397, VLOOKUP(R2397, Mileages!$A$2:$C$34, 2, 0)))) + (F2397 * IF(ISBLANK(P2397), 1, P2397) * IF(ISBLANK(T2397), 0, IF(ISNA(VLOOKUP(T2397, 'Fuel Costs'!$A$2:$C$42, 2, 0)), T2397, VLOOKUP(T2397, 'Fuel Costs'!$A$2:$C$42, 2, 0))) / IF(ISBLANK(O2397), 1, O2397))) * 100</f>
        <v>8.482</v>
      </c>
      <c r="J2397" s="2" t="n">
        <f aca="false">((H2397 / 800) / (IF(ISBLANK(S2397), 100, IF(ISNA(VLOOKUP(S2397, Lives!$A$2:$C$35, 2, 0)), S2397, VLOOKUP(S2397, Lives!$A$2:$C$35, 2, 0))) * 12) + (IF(ISBLANK(Q2397), 0, IF(ISNA(VLOOKUP(Q2397, Wages!$A$2:$C$17, 2, 0)), Q2397, VLOOKUP(Q2397, Wages!$A$2:$C$17, 2, 0))) * IF(ISBLANK(N2397), 0, IF(ISNA(VLOOKUP(N2397, Crews!$A$2:$C$28, 2, 0)), N2397, VLOOKUP(N2397, Crews!$A$2:$C$28, 2, 0))))) * 400</f>
        <v>6546.666667</v>
      </c>
      <c r="K2397" s="1" t="s">
        <v>437</v>
      </c>
      <c r="L2397" s="1" t="s">
        <v>4684</v>
      </c>
      <c r="M2397" s="1" t="n">
        <v>0</v>
      </c>
      <c r="N2397" s="1" t="s">
        <v>895</v>
      </c>
      <c r="O2397" s="1"/>
      <c r="P2397" s="1"/>
      <c r="Q2397" s="1" t="s">
        <v>895</v>
      </c>
      <c r="R2397" s="1" t="s">
        <v>1349</v>
      </c>
      <c r="S2397" s="1" t="s">
        <v>1350</v>
      </c>
      <c r="T2397" s="1" t="s">
        <v>4101</v>
      </c>
    </row>
    <row r="2398" customFormat="false" ht="15" hidden="false" customHeight="true" outlineLevel="0" collapsed="false">
      <c r="A2398" s="1" t="s">
        <v>4685</v>
      </c>
      <c r="B2398" s="1" t="n">
        <v>1979</v>
      </c>
      <c r="C2398" s="1" t="n">
        <v>4</v>
      </c>
      <c r="D2398" s="1" t="s">
        <v>2225</v>
      </c>
      <c r="E2398" s="1" t="s">
        <v>3660</v>
      </c>
      <c r="F2398" s="1" t="n">
        <v>118240</v>
      </c>
      <c r="G2398" s="1" t="n">
        <v>894</v>
      </c>
      <c r="H2398" s="2" t="n">
        <v>62000000</v>
      </c>
      <c r="I2398" s="2" t="n">
        <f aca="false">(((H2398 / 800) / IF(ISBLANK(R2398), 1000000, IF(ISNA(VLOOKUP(R2398, Mileages!$A$2:$C$34, 2, 0)), R2398, VLOOKUP(R2398, Mileages!$A$2:$C$34, 2, 0)))) + (F2398 * IF(ISBLANK(P2398), 1, P2398) * IF(ISBLANK(T2398), 0, IF(ISNA(VLOOKUP(T2398, 'Fuel Costs'!$A$2:$C$42, 2, 0)), T2398, VLOOKUP(T2398, 'Fuel Costs'!$A$2:$C$42, 2, 0))) / IF(ISBLANK(O2398), 1, O2398))) * 100</f>
        <v>709.6983333</v>
      </c>
      <c r="J2398" s="2" t="n">
        <f aca="false">((H2398 / 800) / (IF(ISBLANK(S2398), 100, IF(ISNA(VLOOKUP(S2398, Lives!$A$2:$C$35, 2, 0)), S2398, VLOOKUP(S2398, Lives!$A$2:$C$35, 2, 0))) * 12) + (IF(ISBLANK(Q2398), 0, IF(ISNA(VLOOKUP(Q2398, Wages!$A$2:$C$17, 2, 0)), Q2398, VLOOKUP(Q2398, Wages!$A$2:$C$17, 2, 0))) * IF(ISBLANK(N2398), 0, IF(ISNA(VLOOKUP(N2398, Crews!$A$2:$C$28, 2, 0)), N2398, VLOOKUP(N2398, Crews!$A$2:$C$28, 2, 0))))) * 400</f>
        <v>93055.55556</v>
      </c>
      <c r="K2398" s="3" t="s">
        <v>4686</v>
      </c>
      <c r="L2398" s="1" t="s">
        <v>4687</v>
      </c>
      <c r="M2398" s="1" t="n">
        <v>0</v>
      </c>
      <c r="N2398" s="1" t="s">
        <v>2342</v>
      </c>
      <c r="O2398" s="1"/>
      <c r="P2398" s="1" t="n">
        <v>0.02</v>
      </c>
      <c r="Q2398" s="1" t="s">
        <v>2229</v>
      </c>
      <c r="R2398" s="1" t="s">
        <v>4413</v>
      </c>
      <c r="S2398" s="1" t="s">
        <v>2229</v>
      </c>
      <c r="T2398" s="1" t="s">
        <v>4074</v>
      </c>
    </row>
    <row r="2399" customFormat="false" ht="15" hidden="false" customHeight="true" outlineLevel="0" collapsed="false">
      <c r="A2399" s="1" t="s">
        <v>4688</v>
      </c>
      <c r="B2399" s="1" t="n">
        <v>1979</v>
      </c>
      <c r="C2399" s="1" t="n">
        <v>4</v>
      </c>
      <c r="D2399" s="1" t="s">
        <v>2225</v>
      </c>
      <c r="E2399" s="1" t="s">
        <v>3660</v>
      </c>
      <c r="F2399" s="1" t="n">
        <v>118240</v>
      </c>
      <c r="G2399" s="1" t="n">
        <v>894</v>
      </c>
      <c r="H2399" s="2" t="n">
        <v>62000000</v>
      </c>
      <c r="I2399" s="2" t="n">
        <f aca="false">(((H2399 / 800) / IF(ISBLANK(R2399), 1000000, IF(ISNA(VLOOKUP(R2399, Mileages!$A$2:$C$34, 2, 0)), R2399, VLOOKUP(R2399, Mileages!$A$2:$C$34, 2, 0)))) + (F2399 * IF(ISBLANK(P2399), 1, P2399) * IF(ISBLANK(T2399), 0, IF(ISNA(VLOOKUP(T2399, 'Fuel Costs'!$A$2:$C$42, 2, 0)), T2399, VLOOKUP(T2399, 'Fuel Costs'!$A$2:$C$42, 2, 0))) / IF(ISBLANK(O2399), 1, O2399))) * 100</f>
        <v>709.6983333</v>
      </c>
      <c r="J2399" s="2" t="n">
        <f aca="false">((H2399 / 800) / (IF(ISBLANK(S2399), 100, IF(ISNA(VLOOKUP(S2399, Lives!$A$2:$C$35, 2, 0)), S2399, VLOOKUP(S2399, Lives!$A$2:$C$35, 2, 0))) * 12) + (IF(ISBLANK(Q2399), 0, IF(ISNA(VLOOKUP(Q2399, Wages!$A$2:$C$17, 2, 0)), Q2399, VLOOKUP(Q2399, Wages!$A$2:$C$17, 2, 0))) * IF(ISBLANK(N2399), 0, IF(ISNA(VLOOKUP(N2399, Crews!$A$2:$C$28, 2, 0)), N2399, VLOOKUP(N2399, Crews!$A$2:$C$28, 2, 0))))) * 400</f>
        <v>93055.55556</v>
      </c>
      <c r="K2399" s="3" t="s">
        <v>4689</v>
      </c>
      <c r="L2399" s="1" t="s">
        <v>4687</v>
      </c>
      <c r="M2399" s="1" t="n">
        <v>1</v>
      </c>
      <c r="N2399" s="1" t="s">
        <v>2342</v>
      </c>
      <c r="O2399" s="1"/>
      <c r="P2399" s="1" t="n">
        <v>0.02</v>
      </c>
      <c r="Q2399" s="1" t="s">
        <v>2229</v>
      </c>
      <c r="R2399" s="1" t="s">
        <v>4413</v>
      </c>
      <c r="S2399" s="1" t="s">
        <v>2229</v>
      </c>
      <c r="T2399" s="1" t="s">
        <v>4074</v>
      </c>
    </row>
    <row r="2400" customFormat="false" ht="15" hidden="false" customHeight="true" outlineLevel="0" collapsed="false">
      <c r="A2400" s="1" t="s">
        <v>4690</v>
      </c>
      <c r="B2400" s="1" t="n">
        <v>1979</v>
      </c>
      <c r="C2400" s="1" t="n">
        <v>11</v>
      </c>
      <c r="D2400" s="1" t="s">
        <v>38</v>
      </c>
      <c r="E2400" s="1" t="s">
        <v>1346</v>
      </c>
      <c r="F2400" s="1" t="n">
        <v>328</v>
      </c>
      <c r="G2400" s="1" t="n">
        <v>120</v>
      </c>
      <c r="H2400" s="2" t="n">
        <v>1120000</v>
      </c>
      <c r="I2400" s="2" t="n">
        <f aca="false">(((H2400 / 800) / IF(ISBLANK(R2400), 1000000, IF(ISNA(VLOOKUP(R2400, Mileages!$A$2:$C$34, 2, 0)), R2400, VLOOKUP(R2400, Mileages!$A$2:$C$34, 2, 0)))) + (F2400 * IF(ISBLANK(P2400), 1, P2400) * IF(ISBLANK(T2400), 0, IF(ISNA(VLOOKUP(T2400, 'Fuel Costs'!$A$2:$C$42, 2, 0)), T2400, VLOOKUP(T2400, 'Fuel Costs'!$A$2:$C$42, 2, 0))) / IF(ISBLANK(O2400), 1, O2400))) * 100</f>
        <v>49.34</v>
      </c>
      <c r="J2400" s="2" t="n">
        <f aca="false">((H2400 / 800) / (IF(ISBLANK(S2400), 100, IF(ISNA(VLOOKUP(S2400, Lives!$A$2:$C$35, 2, 0)), S2400, VLOOKUP(S2400, Lives!$A$2:$C$35, 2, 0))) * 12) + (IF(ISBLANK(Q2400), 0, IF(ISNA(VLOOKUP(Q2400, Wages!$A$2:$C$17, 2, 0)), Q2400, VLOOKUP(Q2400, Wages!$A$2:$C$17, 2, 0))) * IF(ISBLANK(N2400), 0, IF(ISNA(VLOOKUP(N2400, Crews!$A$2:$C$28, 2, 0)), N2400, VLOOKUP(N2400, Crews!$A$2:$C$28, 2, 0))))) * 400</f>
        <v>6933.333333</v>
      </c>
      <c r="K2400" s="1"/>
      <c r="L2400" s="1" t="s">
        <v>4691</v>
      </c>
      <c r="M2400" s="1" t="n">
        <v>0</v>
      </c>
      <c r="N2400" s="1" t="s">
        <v>1512</v>
      </c>
      <c r="O2400" s="1" t="n">
        <v>1</v>
      </c>
      <c r="P2400" s="1"/>
      <c r="Q2400" s="1" t="str">
        <f aca="false">IF(ISBLANK('Pak128 Britain In'!$N2400),,'Pak128 Britain In'!$N2400)</f>
        <v>ElectricMultipleUnit</v>
      </c>
      <c r="R2400" s="1" t="s">
        <v>1349</v>
      </c>
      <c r="S2400" s="1" t="s">
        <v>1350</v>
      </c>
      <c r="T2400" s="1" t="s">
        <v>4101</v>
      </c>
    </row>
    <row r="2401" customFormat="false" ht="15" hidden="false" customHeight="true" outlineLevel="0" collapsed="false">
      <c r="A2401" s="1" t="s">
        <v>4692</v>
      </c>
      <c r="B2401" s="1" t="n">
        <v>1979</v>
      </c>
      <c r="C2401" s="1" t="n">
        <v>11</v>
      </c>
      <c r="D2401" s="1" t="s">
        <v>38</v>
      </c>
      <c r="E2401" s="1" t="s">
        <v>1346</v>
      </c>
      <c r="F2401" s="1" t="n">
        <v>0</v>
      </c>
      <c r="G2401" s="1" t="n">
        <v>120</v>
      </c>
      <c r="H2401" s="2" t="n">
        <v>1120000</v>
      </c>
      <c r="I2401" s="2" t="n">
        <f aca="false">(((H2401 / 800) / IF(ISBLANK(R2401), 1000000, IF(ISNA(VLOOKUP(R2401, Mileages!$A$2:$C$34, 2, 0)), R2401, VLOOKUP(R2401, Mileages!$A$2:$C$34, 2, 0)))) + (F2401 * IF(ISBLANK(P2401), 1, P2401) * IF(ISBLANK(T2401), 0, IF(ISNA(VLOOKUP(T2401, 'Fuel Costs'!$A$2:$C$42, 2, 0)), T2401, VLOOKUP(T2401, 'Fuel Costs'!$A$2:$C$42, 2, 0))) / IF(ISBLANK(O2401), 1, O2401))) * 100</f>
        <v>0.1166666667</v>
      </c>
      <c r="J2401" s="2" t="n">
        <f aca="false">((H2401 / 800) / (IF(ISBLANK(S2401), 100, IF(ISNA(VLOOKUP(S2401, Lives!$A$2:$C$35, 2, 0)), S2401, VLOOKUP(S2401, Lives!$A$2:$C$35, 2, 0))) * 12) + (IF(ISBLANK(Q2401), 0, IF(ISNA(VLOOKUP(Q2401, Wages!$A$2:$C$17, 2, 0)), Q2401, VLOOKUP(Q2401, Wages!$A$2:$C$17, 2, 0))) * IF(ISBLANK(N2401), 0, IF(ISNA(VLOOKUP(N2401, Crews!$A$2:$C$28, 2, 0)), N2401, VLOOKUP(N2401, Crews!$A$2:$C$28, 2, 0))))) * 400</f>
        <v>1333.333333</v>
      </c>
      <c r="K2401" s="1"/>
      <c r="L2401" s="1" t="s">
        <v>4691</v>
      </c>
      <c r="M2401" s="1" t="n">
        <v>1</v>
      </c>
      <c r="N2401" s="1"/>
      <c r="O2401" s="1"/>
      <c r="P2401" s="1"/>
      <c r="Q2401" s="1"/>
      <c r="R2401" s="1" t="s">
        <v>689</v>
      </c>
      <c r="S2401" s="1" t="s">
        <v>856</v>
      </c>
      <c r="T2401" s="1"/>
    </row>
    <row r="2402" customFormat="false" ht="15" hidden="false" customHeight="true" outlineLevel="0" collapsed="false">
      <c r="A2402" s="1" t="s">
        <v>4693</v>
      </c>
      <c r="B2402" s="1" t="n">
        <v>1979</v>
      </c>
      <c r="C2402" s="1" t="n">
        <v>11</v>
      </c>
      <c r="D2402" s="1" t="s">
        <v>38</v>
      </c>
      <c r="E2402" s="1" t="s">
        <v>1346</v>
      </c>
      <c r="F2402" s="1" t="n">
        <v>328</v>
      </c>
      <c r="G2402" s="1" t="n">
        <v>120</v>
      </c>
      <c r="H2402" s="2" t="n">
        <v>1120000</v>
      </c>
      <c r="I2402" s="2" t="n">
        <f aca="false">(((H2402 / 800) / IF(ISBLANK(R2402), 1000000, IF(ISNA(VLOOKUP(R2402, Mileages!$A$2:$C$34, 2, 0)), R2402, VLOOKUP(R2402, Mileages!$A$2:$C$34, 2, 0)))) + (F2402 * IF(ISBLANK(P2402), 1, P2402) * IF(ISBLANK(T2402), 0, IF(ISNA(VLOOKUP(T2402, 'Fuel Costs'!$A$2:$C$42, 2, 0)), T2402, VLOOKUP(T2402, 'Fuel Costs'!$A$2:$C$42, 2, 0))) / IF(ISBLANK(O2402), 1, O2402))) * 100</f>
        <v>49.34</v>
      </c>
      <c r="J2402" s="2" t="n">
        <f aca="false">((H2402 / 800) / (IF(ISBLANK(S2402), 100, IF(ISNA(VLOOKUP(S2402, Lives!$A$2:$C$35, 2, 0)), S2402, VLOOKUP(S2402, Lives!$A$2:$C$35, 2, 0))) * 12) + (IF(ISBLANK(Q2402), 0, IF(ISNA(VLOOKUP(Q2402, Wages!$A$2:$C$17, 2, 0)), Q2402, VLOOKUP(Q2402, Wages!$A$2:$C$17, 2, 0))) * IF(ISBLANK(N2402), 0, IF(ISNA(VLOOKUP(N2402, Crews!$A$2:$C$28, 2, 0)), N2402, VLOOKUP(N2402, Crews!$A$2:$C$28, 2, 0))))) * 400</f>
        <v>6933.333333</v>
      </c>
      <c r="K2402" s="1"/>
      <c r="L2402" s="1" t="s">
        <v>4691</v>
      </c>
      <c r="M2402" s="1" t="n">
        <v>2</v>
      </c>
      <c r="N2402" s="1" t="s">
        <v>1512</v>
      </c>
      <c r="O2402" s="1" t="n">
        <v>1</v>
      </c>
      <c r="P2402" s="1"/>
      <c r="Q2402" s="1" t="str">
        <f aca="false">IF(ISBLANK('Pak128 Britain In'!$N2402),,'Pak128 Britain In'!$N2402)</f>
        <v>ElectricMultipleUnit</v>
      </c>
      <c r="R2402" s="1" t="s">
        <v>1349</v>
      </c>
      <c r="S2402" s="1" t="s">
        <v>1350</v>
      </c>
      <c r="T2402" s="1" t="s">
        <v>4101</v>
      </c>
    </row>
    <row r="2403" customFormat="false" ht="15" hidden="false" customHeight="true" outlineLevel="0" collapsed="false">
      <c r="A2403" s="1" t="s">
        <v>4694</v>
      </c>
      <c r="B2403" s="1" t="n">
        <v>1980</v>
      </c>
      <c r="C2403" s="1" t="n">
        <v>1</v>
      </c>
      <c r="D2403" s="1" t="s">
        <v>38</v>
      </c>
      <c r="E2403" s="1" t="s">
        <v>1346</v>
      </c>
      <c r="F2403" s="1" t="n">
        <v>220</v>
      </c>
      <c r="G2403" s="1" t="n">
        <v>80</v>
      </c>
      <c r="H2403" s="2" t="n">
        <v>587500</v>
      </c>
      <c r="I2403" s="2" t="n">
        <f aca="false">(((H2403 / 800) / IF(ISBLANK(R2403), 1000000, IF(ISNA(VLOOKUP(R2403, Mileages!$A$2:$C$34, 2, 0)), R2403, VLOOKUP(R2403, Mileages!$A$2:$C$34, 2, 0)))) + (F2403 * IF(ISBLANK(P2403), 1, P2403) * IF(ISBLANK(T2403), 0, IF(ISNA(VLOOKUP(T2403, 'Fuel Costs'!$A$2:$C$42, 2, 0)), T2403, VLOOKUP(T2403, 'Fuel Costs'!$A$2:$C$42, 2, 0))) / IF(ISBLANK(O2403), 1, O2403))) * 100</f>
        <v>22.03671875</v>
      </c>
      <c r="J2403" s="2" t="n">
        <f aca="false">((H2403 / 800) / (IF(ISBLANK(S2403), 100, IF(ISNA(VLOOKUP(S2403, Lives!$A$2:$C$35, 2, 0)), S2403, VLOOKUP(S2403, Lives!$A$2:$C$35, 2, 0))) * 12) + (IF(ISBLANK(Q2403), 0, IF(ISNA(VLOOKUP(Q2403, Wages!$A$2:$C$17, 2, 0)), Q2403, VLOOKUP(Q2403, Wages!$A$2:$C$17, 2, 0))) * IF(ISBLANK(N2403), 0, IF(ISNA(VLOOKUP(N2403, Crews!$A$2:$C$28, 2, 0)), N2403, VLOOKUP(N2403, Crews!$A$2:$C$28, 2, 0))))) * 400</f>
        <v>6489.583333</v>
      </c>
      <c r="K2403" s="1"/>
      <c r="L2403" s="1" t="s">
        <v>4695</v>
      </c>
      <c r="M2403" s="1" t="n">
        <v>0</v>
      </c>
      <c r="N2403" s="1" t="s">
        <v>1512</v>
      </c>
      <c r="O2403" s="1" t="n">
        <v>1</v>
      </c>
      <c r="P2403" s="1"/>
      <c r="Q2403" s="1" t="str">
        <f aca="false">IF(ISBLANK('Pak128 Britain In'!$N2403),,'Pak128 Britain In'!$N2403)</f>
        <v>ElectricMultipleUnit</v>
      </c>
      <c r="R2403" s="1" t="s">
        <v>4696</v>
      </c>
      <c r="S2403" s="1" t="s">
        <v>1350</v>
      </c>
      <c r="T2403" s="1" t="s">
        <v>4697</v>
      </c>
    </row>
    <row r="2404" customFormat="false" ht="15" hidden="false" customHeight="true" outlineLevel="0" collapsed="false">
      <c r="A2404" s="1" t="s">
        <v>4698</v>
      </c>
      <c r="B2404" s="1" t="n">
        <v>1980</v>
      </c>
      <c r="C2404" s="1" t="n">
        <v>1</v>
      </c>
      <c r="D2404" s="1" t="s">
        <v>38</v>
      </c>
      <c r="E2404" s="1" t="s">
        <v>1346</v>
      </c>
      <c r="F2404" s="1" t="n">
        <v>220</v>
      </c>
      <c r="G2404" s="1" t="n">
        <v>80</v>
      </c>
      <c r="H2404" s="2" t="n">
        <v>0</v>
      </c>
      <c r="I2404" s="2" t="n">
        <f aca="false">(((H2404 / 800) / IF(ISBLANK(R2404), 1000000, IF(ISNA(VLOOKUP(R2404, Mileages!$A$2:$C$34, 2, 0)), R2404, VLOOKUP(R2404, Mileages!$A$2:$C$34, 2, 0)))) + (F2404 * IF(ISBLANK(P2404), 1, P2404) * IF(ISBLANK(T2404), 0, IF(ISNA(VLOOKUP(T2404, 'Fuel Costs'!$A$2:$C$42, 2, 0)), T2404, VLOOKUP(T2404, 'Fuel Costs'!$A$2:$C$42, 2, 0))) / IF(ISBLANK(O2404), 1, O2404))) * 100</f>
        <v>22</v>
      </c>
      <c r="J2404" s="2" t="n">
        <f aca="false">((H2404 / 800) / (IF(ISBLANK(S2404), 100, IF(ISNA(VLOOKUP(S2404, Lives!$A$2:$C$35, 2, 0)), S2404, VLOOKUP(S2404, Lives!$A$2:$C$35, 2, 0))) * 12) + (IF(ISBLANK(Q2404), 0, IF(ISNA(VLOOKUP(Q2404, Wages!$A$2:$C$17, 2, 0)), Q2404, VLOOKUP(Q2404, Wages!$A$2:$C$17, 2, 0))) * IF(ISBLANK(N2404), 0, IF(ISNA(VLOOKUP(N2404, Crews!$A$2:$C$28, 2, 0)), N2404, VLOOKUP(N2404, Crews!$A$2:$C$28, 2, 0))))) * 400</f>
        <v>6000</v>
      </c>
      <c r="K2404" s="1"/>
      <c r="L2404" s="1" t="s">
        <v>4695</v>
      </c>
      <c r="M2404" s="1" t="n">
        <v>1</v>
      </c>
      <c r="N2404" s="1" t="s">
        <v>1512</v>
      </c>
      <c r="O2404" s="1" t="n">
        <v>1</v>
      </c>
      <c r="P2404" s="1"/>
      <c r="Q2404" s="1" t="str">
        <f aca="false">IF(ISBLANK('Pak128 Britain In'!$N2404),,'Pak128 Britain In'!$N2404)</f>
        <v>ElectricMultipleUnit</v>
      </c>
      <c r="R2404" s="1" t="s">
        <v>4696</v>
      </c>
      <c r="S2404" s="1" t="s">
        <v>1350</v>
      </c>
      <c r="T2404" s="1" t="s">
        <v>4697</v>
      </c>
    </row>
    <row r="2405" customFormat="false" ht="15" hidden="false" customHeight="true" outlineLevel="0" collapsed="false">
      <c r="A2405" s="1" t="s">
        <v>4699</v>
      </c>
      <c r="B2405" s="1" t="n">
        <v>1980</v>
      </c>
      <c r="C2405" s="1" t="n">
        <v>1</v>
      </c>
      <c r="D2405" s="1" t="s">
        <v>38</v>
      </c>
      <c r="E2405" s="1" t="s">
        <v>1346</v>
      </c>
      <c r="F2405" s="1" t="n">
        <v>300</v>
      </c>
      <c r="G2405" s="1" t="n">
        <v>100</v>
      </c>
      <c r="H2405" s="2" t="n">
        <v>7000000</v>
      </c>
      <c r="I2405" s="2" t="n">
        <f aca="false">(((H2405 / 800) / IF(ISBLANK(R2405), 1000000, IF(ISNA(VLOOKUP(R2405, Mileages!$A$2:$C$34, 2, 0)), R2405, VLOOKUP(R2405, Mileages!$A$2:$C$34, 2, 0)))) + (F2405 * IF(ISBLANK(P2405), 1, P2405) * IF(ISBLANK(T2405), 0, IF(ISNA(VLOOKUP(T2405, 'Fuel Costs'!$A$2:$C$42, 2, 0)), T2405, VLOOKUP(T2405, 'Fuel Costs'!$A$2:$C$42, 2, 0))) / IF(ISBLANK(O2405), 1, O2405))) * 100</f>
        <v>30.4375</v>
      </c>
      <c r="J2405" s="2" t="n">
        <f aca="false">((H2405 / 800) / (IF(ISBLANK(S2405), 100, IF(ISNA(VLOOKUP(S2405, Lives!$A$2:$C$35, 2, 0)), S2405, VLOOKUP(S2405, Lives!$A$2:$C$35, 2, 0))) * 12) + (IF(ISBLANK(Q2405), 0, IF(ISNA(VLOOKUP(Q2405, Wages!$A$2:$C$17, 2, 0)), Q2405, VLOOKUP(Q2405, Wages!$A$2:$C$17, 2, 0))) * IF(ISBLANK(N2405), 0, IF(ISNA(VLOOKUP(N2405, Crews!$A$2:$C$28, 2, 0)), N2405, VLOOKUP(N2405, Crews!$A$2:$C$28, 2, 0))))) * 400</f>
        <v>11833.33333</v>
      </c>
      <c r="K2405" s="3" t="s">
        <v>4700</v>
      </c>
      <c r="L2405" s="1" t="s">
        <v>4701</v>
      </c>
      <c r="M2405" s="1" t="n">
        <v>0</v>
      </c>
      <c r="N2405" s="1" t="s">
        <v>1512</v>
      </c>
      <c r="O2405" s="1" t="n">
        <v>1</v>
      </c>
      <c r="P2405" s="1"/>
      <c r="Q2405" s="1" t="str">
        <f aca="false">IF(ISBLANK('Pak128 Britain In'!$N2405),,'Pak128 Britain In'!$N2405)</f>
        <v>ElectricMultipleUnit</v>
      </c>
      <c r="R2405" s="1" t="s">
        <v>4696</v>
      </c>
      <c r="S2405" s="1" t="s">
        <v>1350</v>
      </c>
      <c r="T2405" s="1" t="s">
        <v>4697</v>
      </c>
    </row>
    <row r="2406" customFormat="false" ht="15" hidden="false" customHeight="true" outlineLevel="0" collapsed="false">
      <c r="A2406" s="1" t="s">
        <v>4702</v>
      </c>
      <c r="B2406" s="1" t="n">
        <v>1980</v>
      </c>
      <c r="C2406" s="1" t="n">
        <v>1</v>
      </c>
      <c r="D2406" s="1" t="s">
        <v>38</v>
      </c>
      <c r="E2406" s="1" t="s">
        <v>1346</v>
      </c>
      <c r="F2406" s="1" t="n">
        <v>300</v>
      </c>
      <c r="G2406" s="1" t="n">
        <v>100</v>
      </c>
      <c r="H2406" s="2" t="n">
        <v>5900000</v>
      </c>
      <c r="I2406" s="2" t="n">
        <f aca="false">(((H2406 / 800) / IF(ISBLANK(R2406), 1000000, IF(ISNA(VLOOKUP(R2406, Mileages!$A$2:$C$34, 2, 0)), R2406, VLOOKUP(R2406, Mileages!$A$2:$C$34, 2, 0)))) + (F2406 * IF(ISBLANK(P2406), 1, P2406) * IF(ISBLANK(T2406), 0, IF(ISNA(VLOOKUP(T2406, 'Fuel Costs'!$A$2:$C$42, 2, 0)), T2406, VLOOKUP(T2406, 'Fuel Costs'!$A$2:$C$42, 2, 0))) / IF(ISBLANK(O2406), 1, O2406))) * 100</f>
        <v>30.36875</v>
      </c>
      <c r="J2406" s="2" t="n">
        <f aca="false">((H2406 / 800) / (IF(ISBLANK(S2406), 100, IF(ISNA(VLOOKUP(S2406, Lives!$A$2:$C$35, 2, 0)), S2406, VLOOKUP(S2406, Lives!$A$2:$C$35, 2, 0))) * 12) + (IF(ISBLANK(Q2406), 0, IF(ISNA(VLOOKUP(Q2406, Wages!$A$2:$C$17, 2, 0)), Q2406, VLOOKUP(Q2406, Wages!$A$2:$C$17, 2, 0))) * IF(ISBLANK(N2406), 0, IF(ISNA(VLOOKUP(N2406, Crews!$A$2:$C$28, 2, 0)), N2406, VLOOKUP(N2406, Crews!$A$2:$C$28, 2, 0))))) * 400</f>
        <v>10916.66667</v>
      </c>
      <c r="K2406" s="1"/>
      <c r="L2406" s="1" t="s">
        <v>4701</v>
      </c>
      <c r="M2406" s="1" t="n">
        <v>1</v>
      </c>
      <c r="N2406" s="1" t="s">
        <v>1512</v>
      </c>
      <c r="O2406" s="1" t="n">
        <v>1</v>
      </c>
      <c r="P2406" s="1"/>
      <c r="Q2406" s="1" t="str">
        <f aca="false">IF(ISBLANK('Pak128 Britain In'!$N2406),,'Pak128 Britain In'!$N2406)</f>
        <v>ElectricMultipleUnit</v>
      </c>
      <c r="R2406" s="1" t="s">
        <v>4696</v>
      </c>
      <c r="S2406" s="1" t="s">
        <v>1350</v>
      </c>
      <c r="T2406" s="1" t="s">
        <v>4697</v>
      </c>
    </row>
    <row r="2407" customFormat="false" ht="15" hidden="false" customHeight="true" outlineLevel="0" collapsed="false">
      <c r="A2407" s="1" t="s">
        <v>4703</v>
      </c>
      <c r="B2407" s="1" t="n">
        <v>1980</v>
      </c>
      <c r="C2407" s="1" t="n">
        <v>1</v>
      </c>
      <c r="D2407" s="1" t="s">
        <v>38</v>
      </c>
      <c r="E2407" s="1" t="s">
        <v>1346</v>
      </c>
      <c r="F2407" s="1"/>
      <c r="G2407" s="1" t="n">
        <v>100</v>
      </c>
      <c r="H2407" s="2" t="n">
        <v>1300000</v>
      </c>
      <c r="I2407" s="2" t="n">
        <f aca="false">(((H2407 / 800) / IF(ISBLANK(R2407), 1000000, IF(ISNA(VLOOKUP(R2407, Mileages!$A$2:$C$34, 2, 0)), R2407, VLOOKUP(R2407, Mileages!$A$2:$C$34, 2, 0)))) + (F2407 * IF(ISBLANK(P2407), 1, P2407) * IF(ISBLANK(T2407), 0, IF(ISNA(VLOOKUP(T2407, 'Fuel Costs'!$A$2:$C$42, 2, 0)), T2407, VLOOKUP(T2407, 'Fuel Costs'!$A$2:$C$42, 2, 0))) / IF(ISBLANK(O2407), 1, O2407))) * 100</f>
        <v>0.06770833333</v>
      </c>
      <c r="J2407" s="2" t="n">
        <f aca="false">((H2407 / 800) / (IF(ISBLANK(S2407), 100, IF(ISNA(VLOOKUP(S2407, Lives!$A$2:$C$35, 2, 0)), S2407, VLOOKUP(S2407, Lives!$A$2:$C$35, 2, 0))) * 12) + (IF(ISBLANK(Q2407), 0, IF(ISNA(VLOOKUP(Q2407, Wages!$A$2:$C$17, 2, 0)), Q2407, VLOOKUP(Q2407, Wages!$A$2:$C$17, 2, 0))) * IF(ISBLANK(N2407), 0, IF(ISNA(VLOOKUP(N2407, Crews!$A$2:$C$28, 2, 0)), N2407, VLOOKUP(N2407, Crews!$A$2:$C$28, 2, 0))))) * 400</f>
        <v>2708.333333</v>
      </c>
      <c r="K2407" s="1"/>
      <c r="L2407" s="1" t="s">
        <v>4701</v>
      </c>
      <c r="M2407" s="1" t="n">
        <v>2</v>
      </c>
      <c r="N2407" s="1"/>
      <c r="O2407" s="1"/>
      <c r="P2407" s="1"/>
      <c r="Q2407" s="1"/>
      <c r="R2407" s="1" t="s">
        <v>4419</v>
      </c>
      <c r="S2407" s="1" t="s">
        <v>4470</v>
      </c>
      <c r="T2407" s="1"/>
    </row>
    <row r="2408" customFormat="false" ht="15" hidden="false" customHeight="true" outlineLevel="0" collapsed="false">
      <c r="A2408" s="1" t="s">
        <v>4704</v>
      </c>
      <c r="B2408" s="1" t="n">
        <v>1980</v>
      </c>
      <c r="C2408" s="1" t="n">
        <v>1</v>
      </c>
      <c r="D2408" s="1" t="s">
        <v>38</v>
      </c>
      <c r="E2408" s="1" t="s">
        <v>1346</v>
      </c>
      <c r="F2408" s="1"/>
      <c r="G2408" s="1" t="n">
        <v>100</v>
      </c>
      <c r="H2408" s="2" t="n">
        <v>1300000</v>
      </c>
      <c r="I2408" s="2" t="n">
        <f aca="false">(((H2408 / 800) / IF(ISBLANK(R2408), 1000000, IF(ISNA(VLOOKUP(R2408, Mileages!$A$2:$C$34, 2, 0)), R2408, VLOOKUP(R2408, Mileages!$A$2:$C$34, 2, 0)))) + (F2408 * IF(ISBLANK(P2408), 1, P2408) * IF(ISBLANK(T2408), 0, IF(ISNA(VLOOKUP(T2408, 'Fuel Costs'!$A$2:$C$42, 2, 0)), T2408, VLOOKUP(T2408, 'Fuel Costs'!$A$2:$C$42, 2, 0))) / IF(ISBLANK(O2408), 1, O2408))) * 100</f>
        <v>0.06770833333</v>
      </c>
      <c r="J2408" s="2" t="n">
        <f aca="false">((H2408 / 800) / (IF(ISBLANK(S2408), 100, IF(ISNA(VLOOKUP(S2408, Lives!$A$2:$C$35, 2, 0)), S2408, VLOOKUP(S2408, Lives!$A$2:$C$35, 2, 0))) * 12) + (IF(ISBLANK(Q2408), 0, IF(ISNA(VLOOKUP(Q2408, Wages!$A$2:$C$17, 2, 0)), Q2408, VLOOKUP(Q2408, Wages!$A$2:$C$17, 2, 0))) * IF(ISBLANK(N2408), 0, IF(ISNA(VLOOKUP(N2408, Crews!$A$2:$C$28, 2, 0)), N2408, VLOOKUP(N2408, Crews!$A$2:$C$28, 2, 0))))) * 400</f>
        <v>2708.333333</v>
      </c>
      <c r="K2408" s="1"/>
      <c r="L2408" s="1" t="s">
        <v>4701</v>
      </c>
      <c r="M2408" s="1" t="n">
        <v>3</v>
      </c>
      <c r="N2408" s="1"/>
      <c r="O2408" s="1"/>
      <c r="P2408" s="1"/>
      <c r="Q2408" s="1"/>
      <c r="R2408" s="1" t="s">
        <v>4419</v>
      </c>
      <c r="S2408" s="1" t="s">
        <v>4470</v>
      </c>
      <c r="T2408" s="1"/>
    </row>
    <row r="2409" customFormat="false" ht="15" hidden="false" customHeight="true" outlineLevel="0" collapsed="false">
      <c r="A2409" s="1" t="s">
        <v>4705</v>
      </c>
      <c r="B2409" s="1" t="n">
        <v>1980</v>
      </c>
      <c r="C2409" s="1" t="n">
        <v>1</v>
      </c>
      <c r="D2409" s="1" t="s">
        <v>38</v>
      </c>
      <c r="E2409" s="1" t="s">
        <v>1346</v>
      </c>
      <c r="F2409" s="1" t="n">
        <v>300</v>
      </c>
      <c r="G2409" s="1" t="n">
        <v>100</v>
      </c>
      <c r="H2409" s="2" t="n">
        <v>5900000</v>
      </c>
      <c r="I2409" s="2" t="n">
        <f aca="false">(((H2409 / 800) / IF(ISBLANK(R2409), 1000000, IF(ISNA(VLOOKUP(R2409, Mileages!$A$2:$C$34, 2, 0)), R2409, VLOOKUP(R2409, Mileages!$A$2:$C$34, 2, 0)))) + (F2409 * IF(ISBLANK(P2409), 1, P2409) * IF(ISBLANK(T2409), 0, IF(ISNA(VLOOKUP(T2409, 'Fuel Costs'!$A$2:$C$42, 2, 0)), T2409, VLOOKUP(T2409, 'Fuel Costs'!$A$2:$C$42, 2, 0))) / IF(ISBLANK(O2409), 1, O2409))) * 100</f>
        <v>30.36875</v>
      </c>
      <c r="J2409" s="2" t="n">
        <f aca="false">((H2409 / 800) / (IF(ISBLANK(S2409), 100, IF(ISNA(VLOOKUP(S2409, Lives!$A$2:$C$35, 2, 0)), S2409, VLOOKUP(S2409, Lives!$A$2:$C$35, 2, 0))) * 12) + (IF(ISBLANK(Q2409), 0, IF(ISNA(VLOOKUP(Q2409, Wages!$A$2:$C$17, 2, 0)), Q2409, VLOOKUP(Q2409, Wages!$A$2:$C$17, 2, 0))) * IF(ISBLANK(N2409), 0, IF(ISNA(VLOOKUP(N2409, Crews!$A$2:$C$28, 2, 0)), N2409, VLOOKUP(N2409, Crews!$A$2:$C$28, 2, 0))))) * 400</f>
        <v>10916.66667</v>
      </c>
      <c r="K2409" s="1"/>
      <c r="L2409" s="1" t="s">
        <v>4701</v>
      </c>
      <c r="M2409" s="1" t="n">
        <v>4</v>
      </c>
      <c r="N2409" s="1" t="s">
        <v>1512</v>
      </c>
      <c r="O2409" s="1" t="n">
        <v>1</v>
      </c>
      <c r="P2409" s="1"/>
      <c r="Q2409" s="1" t="str">
        <f aca="false">IF(ISBLANK('Pak128 Britain In'!$N2409),,'Pak128 Britain In'!$N2409)</f>
        <v>ElectricMultipleUnit</v>
      </c>
      <c r="R2409" s="1" t="s">
        <v>4696</v>
      </c>
      <c r="S2409" s="1" t="s">
        <v>1350</v>
      </c>
      <c r="T2409" s="1" t="s">
        <v>4697</v>
      </c>
    </row>
    <row r="2410" customFormat="false" ht="15" hidden="false" customHeight="true" outlineLevel="0" collapsed="false">
      <c r="A2410" s="1" t="s">
        <v>4706</v>
      </c>
      <c r="B2410" s="1" t="n">
        <v>1980</v>
      </c>
      <c r="C2410" s="1" t="n">
        <v>1</v>
      </c>
      <c r="D2410" s="1" t="s">
        <v>38</v>
      </c>
      <c r="E2410" s="1" t="s">
        <v>1346</v>
      </c>
      <c r="F2410" s="1" t="n">
        <v>300</v>
      </c>
      <c r="G2410" s="1" t="n">
        <v>100</v>
      </c>
      <c r="H2410" s="2" t="n">
        <v>6700000</v>
      </c>
      <c r="I2410" s="2" t="n">
        <f aca="false">(((H2410 / 800) / IF(ISBLANK(R2410), 1000000, IF(ISNA(VLOOKUP(R2410, Mileages!$A$2:$C$34, 2, 0)), R2410, VLOOKUP(R2410, Mileages!$A$2:$C$34, 2, 0)))) + (F2410 * IF(ISBLANK(P2410), 1, P2410) * IF(ISBLANK(T2410), 0, IF(ISNA(VLOOKUP(T2410, 'Fuel Costs'!$A$2:$C$42, 2, 0)), T2410, VLOOKUP(T2410, 'Fuel Costs'!$A$2:$C$42, 2, 0))) / IF(ISBLANK(O2410), 1, O2410))) * 100</f>
        <v>30.41875</v>
      </c>
      <c r="J2410" s="2" t="n">
        <f aca="false">((H2410 / 800) / (IF(ISBLANK(S2410), 100, IF(ISNA(VLOOKUP(S2410, Lives!$A$2:$C$35, 2, 0)), S2410, VLOOKUP(S2410, Lives!$A$2:$C$35, 2, 0))) * 12) + (IF(ISBLANK(Q2410), 0, IF(ISNA(VLOOKUP(Q2410, Wages!$A$2:$C$17, 2, 0)), Q2410, VLOOKUP(Q2410, Wages!$A$2:$C$17, 2, 0))) * IF(ISBLANK(N2410), 0, IF(ISNA(VLOOKUP(N2410, Crews!$A$2:$C$28, 2, 0)), N2410, VLOOKUP(N2410, Crews!$A$2:$C$28, 2, 0))))) * 400</f>
        <v>11583.33333</v>
      </c>
      <c r="K2410" s="1"/>
      <c r="L2410" s="1" t="s">
        <v>4701</v>
      </c>
      <c r="M2410" s="1" t="n">
        <v>5</v>
      </c>
      <c r="N2410" s="1" t="s">
        <v>1512</v>
      </c>
      <c r="O2410" s="1" t="n">
        <v>1</v>
      </c>
      <c r="P2410" s="1"/>
      <c r="Q2410" s="1" t="str">
        <f aca="false">IF(ISBLANK('Pak128 Britain In'!$N2410),,'Pak128 Britain In'!$N2410)</f>
        <v>ElectricMultipleUnit</v>
      </c>
      <c r="R2410" s="1" t="s">
        <v>4696</v>
      </c>
      <c r="S2410" s="1" t="s">
        <v>1350</v>
      </c>
      <c r="T2410" s="1" t="s">
        <v>4697</v>
      </c>
    </row>
    <row r="2411" customFormat="false" ht="15" hidden="false" customHeight="true" outlineLevel="0" collapsed="false">
      <c r="A2411" s="1" t="s">
        <v>4707</v>
      </c>
      <c r="B2411" s="1" t="n">
        <v>1980</v>
      </c>
      <c r="C2411" s="1" t="n">
        <v>3</v>
      </c>
      <c r="D2411" s="1" t="s">
        <v>38</v>
      </c>
      <c r="E2411" s="1" t="s">
        <v>1346</v>
      </c>
      <c r="F2411" s="1" t="n">
        <v>0</v>
      </c>
      <c r="G2411" s="1" t="n">
        <v>250</v>
      </c>
      <c r="H2411" s="2" t="n">
        <v>2000000</v>
      </c>
      <c r="I2411" s="2" t="n">
        <f aca="false">(((H2411 / 800) / IF(ISBLANK(R2411), 1000000, IF(ISNA(VLOOKUP(R2411, Mileages!$A$2:$C$34, 2, 0)), R2411, VLOOKUP(R2411, Mileages!$A$2:$C$34, 2, 0)))) + (F2411 * IF(ISBLANK(P2411), 1, P2411) * IF(ISBLANK(T2411), 0, IF(ISNA(VLOOKUP(T2411, 'Fuel Costs'!$A$2:$C$42, 2, 0)), T2411, VLOOKUP(T2411, 'Fuel Costs'!$A$2:$C$42, 2, 0))) / IF(ISBLANK(O2411), 1, O2411))) * 100</f>
        <v>0.1041666667</v>
      </c>
      <c r="J2411" s="2" t="n">
        <f aca="false">((H2411 / 800) / (IF(ISBLANK(S2411), 100, IF(ISNA(VLOOKUP(S2411, Lives!$A$2:$C$35, 2, 0)), S2411, VLOOKUP(S2411, Lives!$A$2:$C$35, 2, 0))) * 12) + (IF(ISBLANK(Q2411), 0, IF(ISNA(VLOOKUP(Q2411, Wages!$A$2:$C$17, 2, 0)), Q2411, VLOOKUP(Q2411, Wages!$A$2:$C$17, 2, 0))) * IF(ISBLANK(N2411), 0, IF(ISNA(VLOOKUP(N2411, Crews!$A$2:$C$28, 2, 0)), N2411, VLOOKUP(N2411, Crews!$A$2:$C$28, 2, 0))))) * 400</f>
        <v>4166.666667</v>
      </c>
      <c r="K2411" s="1"/>
      <c r="L2411" s="1" t="s">
        <v>4708</v>
      </c>
      <c r="M2411" s="1" t="n">
        <v>0</v>
      </c>
      <c r="N2411" s="1"/>
      <c r="O2411" s="1"/>
      <c r="P2411" s="1"/>
      <c r="Q2411" s="1"/>
      <c r="R2411" s="1" t="s">
        <v>4419</v>
      </c>
      <c r="S2411" s="1" t="s">
        <v>4470</v>
      </c>
      <c r="T2411" s="1"/>
    </row>
    <row r="2412" customFormat="false" ht="15" hidden="false" customHeight="true" outlineLevel="0" collapsed="false">
      <c r="A2412" s="1" t="s">
        <v>4709</v>
      </c>
      <c r="B2412" s="1" t="n">
        <v>1980</v>
      </c>
      <c r="C2412" s="1" t="n">
        <v>3</v>
      </c>
      <c r="D2412" s="1" t="s">
        <v>38</v>
      </c>
      <c r="E2412" s="1" t="s">
        <v>1346</v>
      </c>
      <c r="F2412" s="1" t="n">
        <v>0</v>
      </c>
      <c r="G2412" s="1" t="n">
        <v>250</v>
      </c>
      <c r="H2412" s="2" t="n">
        <v>2500000</v>
      </c>
      <c r="I2412" s="2" t="n">
        <f aca="false">(((H2412 / 800) / IF(ISBLANK(R2412), 1000000, IF(ISNA(VLOOKUP(R2412, Mileages!$A$2:$C$34, 2, 0)), R2412, VLOOKUP(R2412, Mileages!$A$2:$C$34, 2, 0)))) + (F2412 * IF(ISBLANK(P2412), 1, P2412) * IF(ISBLANK(T2412), 0, IF(ISNA(VLOOKUP(T2412, 'Fuel Costs'!$A$2:$C$42, 2, 0)), T2412, VLOOKUP(T2412, 'Fuel Costs'!$A$2:$C$42, 2, 0))) / IF(ISBLANK(O2412), 1, O2412))) * 100</f>
        <v>0.1302083333</v>
      </c>
      <c r="J2412" s="2" t="n">
        <f aca="false">((H2412 / 800) / (IF(ISBLANK(S2412), 100, IF(ISNA(VLOOKUP(S2412, Lives!$A$2:$C$35, 2, 0)), S2412, VLOOKUP(S2412, Lives!$A$2:$C$35, 2, 0))) * 12) + (IF(ISBLANK(Q2412), 0, IF(ISNA(VLOOKUP(Q2412, Wages!$A$2:$C$17, 2, 0)), Q2412, VLOOKUP(Q2412, Wages!$A$2:$C$17, 2, 0))) * IF(ISBLANK(N2412), 0, IF(ISNA(VLOOKUP(N2412, Crews!$A$2:$C$28, 2, 0)), N2412, VLOOKUP(N2412, Crews!$A$2:$C$28, 2, 0))))) * 400</f>
        <v>5208.333333</v>
      </c>
      <c r="K2412" s="1" t="s">
        <v>4710</v>
      </c>
      <c r="L2412" s="1" t="s">
        <v>4708</v>
      </c>
      <c r="M2412" s="1" t="n">
        <v>1</v>
      </c>
      <c r="N2412" s="1"/>
      <c r="O2412" s="1"/>
      <c r="P2412" s="1"/>
      <c r="Q2412" s="1"/>
      <c r="R2412" s="1" t="s">
        <v>4419</v>
      </c>
      <c r="S2412" s="1" t="s">
        <v>4470</v>
      </c>
      <c r="T2412" s="1"/>
    </row>
    <row r="2413" customFormat="false" ht="15" hidden="false" customHeight="true" outlineLevel="0" collapsed="false">
      <c r="A2413" s="1" t="s">
        <v>4711</v>
      </c>
      <c r="B2413" s="1" t="n">
        <v>1980</v>
      </c>
      <c r="C2413" s="1" t="n">
        <v>3</v>
      </c>
      <c r="D2413" s="1" t="s">
        <v>38</v>
      </c>
      <c r="E2413" s="1" t="s">
        <v>1346</v>
      </c>
      <c r="F2413" s="1" t="n">
        <v>0</v>
      </c>
      <c r="G2413" s="1" t="n">
        <v>250</v>
      </c>
      <c r="H2413" s="2" t="n">
        <v>2500000</v>
      </c>
      <c r="I2413" s="2" t="n">
        <f aca="false">(((H2413 / 800) / IF(ISBLANK(R2413), 1000000, IF(ISNA(VLOOKUP(R2413, Mileages!$A$2:$C$34, 2, 0)), R2413, VLOOKUP(R2413, Mileages!$A$2:$C$34, 2, 0)))) + (F2413 * IF(ISBLANK(P2413), 1, P2413) * IF(ISBLANK(T2413), 0, IF(ISNA(VLOOKUP(T2413, 'Fuel Costs'!$A$2:$C$42, 2, 0)), T2413, VLOOKUP(T2413, 'Fuel Costs'!$A$2:$C$42, 2, 0))) / IF(ISBLANK(O2413), 1, O2413))) * 100</f>
        <v>0.1302083333</v>
      </c>
      <c r="J2413" s="2" t="n">
        <f aca="false">((H2413 / 800) / (IF(ISBLANK(S2413), 100, IF(ISNA(VLOOKUP(S2413, Lives!$A$2:$C$35, 2, 0)), S2413, VLOOKUP(S2413, Lives!$A$2:$C$35, 2, 0))) * 12) + (IF(ISBLANK(Q2413), 0, IF(ISNA(VLOOKUP(Q2413, Wages!$A$2:$C$17, 2, 0)), Q2413, VLOOKUP(Q2413, Wages!$A$2:$C$17, 2, 0))) * IF(ISBLANK(N2413), 0, IF(ISNA(VLOOKUP(N2413, Crews!$A$2:$C$28, 2, 0)), N2413, VLOOKUP(N2413, Crews!$A$2:$C$28, 2, 0))))) * 400</f>
        <v>5208.333333</v>
      </c>
      <c r="K2413" s="1" t="s">
        <v>4712</v>
      </c>
      <c r="L2413" s="1" t="s">
        <v>4708</v>
      </c>
      <c r="M2413" s="1" t="n">
        <v>2</v>
      </c>
      <c r="N2413" s="1"/>
      <c r="O2413" s="1"/>
      <c r="P2413" s="1"/>
      <c r="Q2413" s="1"/>
      <c r="R2413" s="1" t="s">
        <v>4419</v>
      </c>
      <c r="S2413" s="1" t="s">
        <v>4470</v>
      </c>
      <c r="T2413" s="1"/>
    </row>
    <row r="2414" customFormat="false" ht="15" hidden="false" customHeight="true" outlineLevel="0" collapsed="false">
      <c r="A2414" s="1" t="s">
        <v>4713</v>
      </c>
      <c r="B2414" s="1" t="n">
        <v>1980</v>
      </c>
      <c r="C2414" s="1" t="n">
        <v>3</v>
      </c>
      <c r="D2414" s="1" t="s">
        <v>38</v>
      </c>
      <c r="E2414" s="1" t="s">
        <v>1346</v>
      </c>
      <c r="F2414" s="1" t="n">
        <v>0</v>
      </c>
      <c r="G2414" s="1" t="n">
        <v>250</v>
      </c>
      <c r="H2414" s="2" t="n">
        <v>2700000</v>
      </c>
      <c r="I2414" s="2" t="n">
        <f aca="false">(((H2414 / 800) / IF(ISBLANK(R2414), 1000000, IF(ISNA(VLOOKUP(R2414, Mileages!$A$2:$C$34, 2, 0)), R2414, VLOOKUP(R2414, Mileages!$A$2:$C$34, 2, 0)))) + (F2414 * IF(ISBLANK(P2414), 1, P2414) * IF(ISBLANK(T2414), 0, IF(ISNA(VLOOKUP(T2414, 'Fuel Costs'!$A$2:$C$42, 2, 0)), T2414, VLOOKUP(T2414, 'Fuel Costs'!$A$2:$C$42, 2, 0))) / IF(ISBLANK(O2414), 1, O2414))) * 100</f>
        <v>0.140625</v>
      </c>
      <c r="J2414" s="2" t="n">
        <f aca="false">((H2414 / 800) / (IF(ISBLANK(S2414), 100, IF(ISNA(VLOOKUP(S2414, Lives!$A$2:$C$35, 2, 0)), S2414, VLOOKUP(S2414, Lives!$A$2:$C$35, 2, 0))) * 12) + (IF(ISBLANK(Q2414), 0, IF(ISNA(VLOOKUP(Q2414, Wages!$A$2:$C$17, 2, 0)), Q2414, VLOOKUP(Q2414, Wages!$A$2:$C$17, 2, 0))) * IF(ISBLANK(N2414), 0, IF(ISNA(VLOOKUP(N2414, Crews!$A$2:$C$28, 2, 0)), N2414, VLOOKUP(N2414, Crews!$A$2:$C$28, 2, 0))))) * 400</f>
        <v>5625</v>
      </c>
      <c r="K2414" s="1" t="s">
        <v>4714</v>
      </c>
      <c r="L2414" s="1" t="s">
        <v>4708</v>
      </c>
      <c r="M2414" s="1" t="n">
        <v>3</v>
      </c>
      <c r="N2414" s="1"/>
      <c r="O2414" s="1"/>
      <c r="P2414" s="1"/>
      <c r="Q2414" s="1"/>
      <c r="R2414" s="1" t="s">
        <v>4419</v>
      </c>
      <c r="S2414" s="1" t="s">
        <v>4470</v>
      </c>
      <c r="T2414" s="1"/>
    </row>
    <row r="2415" customFormat="false" ht="15" hidden="false" customHeight="true" outlineLevel="0" collapsed="false">
      <c r="A2415" s="1" t="s">
        <v>4715</v>
      </c>
      <c r="B2415" s="1" t="n">
        <v>1980</v>
      </c>
      <c r="C2415" s="1" t="n">
        <v>3</v>
      </c>
      <c r="D2415" s="1" t="s">
        <v>38</v>
      </c>
      <c r="E2415" s="1" t="s">
        <v>1346</v>
      </c>
      <c r="F2415" s="1" t="n">
        <v>0</v>
      </c>
      <c r="G2415" s="1" t="n">
        <v>250</v>
      </c>
      <c r="H2415" s="2" t="n">
        <v>2500000</v>
      </c>
      <c r="I2415" s="2" t="n">
        <f aca="false">(((H2415 / 800) / IF(ISBLANK(R2415), 1000000, IF(ISNA(VLOOKUP(R2415, Mileages!$A$2:$C$34, 2, 0)), R2415, VLOOKUP(R2415, Mileages!$A$2:$C$34, 2, 0)))) + (F2415 * IF(ISBLANK(P2415), 1, P2415) * IF(ISBLANK(T2415), 0, IF(ISNA(VLOOKUP(T2415, 'Fuel Costs'!$A$2:$C$42, 2, 0)), T2415, VLOOKUP(T2415, 'Fuel Costs'!$A$2:$C$42, 2, 0))) / IF(ISBLANK(O2415), 1, O2415))) * 100</f>
        <v>0.1302083333</v>
      </c>
      <c r="J2415" s="2" t="n">
        <f aca="false">((H2415 / 800) / (IF(ISBLANK(S2415), 100, IF(ISNA(VLOOKUP(S2415, Lives!$A$2:$C$35, 2, 0)), S2415, VLOOKUP(S2415, Lives!$A$2:$C$35, 2, 0))) * 12) + (IF(ISBLANK(Q2415), 0, IF(ISNA(VLOOKUP(Q2415, Wages!$A$2:$C$17, 2, 0)), Q2415, VLOOKUP(Q2415, Wages!$A$2:$C$17, 2, 0))) * IF(ISBLANK(N2415), 0, IF(ISNA(VLOOKUP(N2415, Crews!$A$2:$C$28, 2, 0)), N2415, VLOOKUP(N2415, Crews!$A$2:$C$28, 2, 0))))) * 400</f>
        <v>5208.333333</v>
      </c>
      <c r="K2415" s="1" t="s">
        <v>4716</v>
      </c>
      <c r="L2415" s="1" t="s">
        <v>4708</v>
      </c>
      <c r="M2415" s="1" t="n">
        <v>4</v>
      </c>
      <c r="N2415" s="1"/>
      <c r="O2415" s="1"/>
      <c r="P2415" s="1"/>
      <c r="Q2415" s="1"/>
      <c r="R2415" s="1" t="s">
        <v>4419</v>
      </c>
      <c r="S2415" s="1" t="s">
        <v>4470</v>
      </c>
      <c r="T2415" s="1"/>
    </row>
    <row r="2416" customFormat="false" ht="15" hidden="false" customHeight="true" outlineLevel="0" collapsed="false">
      <c r="A2416" s="1" t="s">
        <v>4717</v>
      </c>
      <c r="B2416" s="1" t="n">
        <v>1980</v>
      </c>
      <c r="C2416" s="1" t="n">
        <v>3</v>
      </c>
      <c r="D2416" s="1" t="s">
        <v>38</v>
      </c>
      <c r="E2416" s="1" t="s">
        <v>1346</v>
      </c>
      <c r="F2416" s="1" t="n">
        <v>2983</v>
      </c>
      <c r="G2416" s="1" t="n">
        <v>250</v>
      </c>
      <c r="H2416" s="2" t="n">
        <v>11290000</v>
      </c>
      <c r="I2416" s="2" t="n">
        <f aca="false">(((H2416 / 800) / IF(ISBLANK(R2416), 1000000, IF(ISNA(VLOOKUP(R2416, Mileages!$A$2:$C$34, 2, 0)), R2416, VLOOKUP(R2416, Mileages!$A$2:$C$34, 2, 0)))) + (F2416 * IF(ISBLANK(P2416), 1, P2416) * IF(ISBLANK(T2416), 0, IF(ISNA(VLOOKUP(T2416, 'Fuel Costs'!$A$2:$C$42, 2, 0)), T2416, VLOOKUP(T2416, 'Fuel Costs'!$A$2:$C$42, 2, 0))) / IF(ISBLANK(O2416), 1, O2416))) * 100</f>
        <v>299.005625</v>
      </c>
      <c r="J2416" s="2" t="n">
        <f aca="false">((H2416 / 800) / (IF(ISBLANK(S2416), 100, IF(ISNA(VLOOKUP(S2416, Lives!$A$2:$C$35, 2, 0)), S2416, VLOOKUP(S2416, Lives!$A$2:$C$35, 2, 0))) * 12) + (IF(ISBLANK(Q2416), 0, IF(ISNA(VLOOKUP(Q2416, Wages!$A$2:$C$17, 2, 0)), Q2416, VLOOKUP(Q2416, Wages!$A$2:$C$17, 2, 0))) * IF(ISBLANK(N2416), 0, IF(ISNA(VLOOKUP(N2416, Crews!$A$2:$C$28, 2, 0)), N2416, VLOOKUP(N2416, Crews!$A$2:$C$28, 2, 0))))) * 400</f>
        <v>15408.33333</v>
      </c>
      <c r="K2416" s="1"/>
      <c r="L2416" s="1" t="s">
        <v>4708</v>
      </c>
      <c r="M2416" s="1" t="n">
        <v>5</v>
      </c>
      <c r="N2416" s="1" t="s">
        <v>1512</v>
      </c>
      <c r="O2416" s="1" t="n">
        <v>1</v>
      </c>
      <c r="P2416" s="1"/>
      <c r="Q2416" s="1" t="str">
        <f aca="false">IF(ISBLANK('Pak128 Britain In'!$N2416),,'Pak128 Britain In'!$N2416)</f>
        <v>ElectricMultipleUnit</v>
      </c>
      <c r="R2416" s="1" t="s">
        <v>4696</v>
      </c>
      <c r="S2416" s="1" t="s">
        <v>1350</v>
      </c>
      <c r="T2416" s="1" t="s">
        <v>4697</v>
      </c>
    </row>
    <row r="2417" customFormat="false" ht="15" hidden="false" customHeight="true" outlineLevel="0" collapsed="false">
      <c r="A2417" s="1" t="s">
        <v>4718</v>
      </c>
      <c r="B2417" s="1" t="n">
        <v>1980</v>
      </c>
      <c r="C2417" s="1" t="n">
        <v>3</v>
      </c>
      <c r="D2417" s="1" t="s">
        <v>38</v>
      </c>
      <c r="E2417" s="1" t="s">
        <v>1346</v>
      </c>
      <c r="F2417" s="1" t="n">
        <v>2983</v>
      </c>
      <c r="G2417" s="1" t="n">
        <v>250</v>
      </c>
      <c r="H2417" s="2" t="n">
        <v>11290000</v>
      </c>
      <c r="I2417" s="2" t="n">
        <f aca="false">(((H2417 / 800) / IF(ISBLANK(R2417), 1000000, IF(ISNA(VLOOKUP(R2417, Mileages!$A$2:$C$34, 2, 0)), R2417, VLOOKUP(R2417, Mileages!$A$2:$C$34, 2, 0)))) + (F2417 * IF(ISBLANK(P2417), 1, P2417) * IF(ISBLANK(T2417), 0, IF(ISNA(VLOOKUP(T2417, 'Fuel Costs'!$A$2:$C$42, 2, 0)), T2417, VLOOKUP(T2417, 'Fuel Costs'!$A$2:$C$42, 2, 0))) / IF(ISBLANK(O2417), 1, O2417))) * 100</f>
        <v>299.005625</v>
      </c>
      <c r="J2417" s="2" t="n">
        <f aca="false">((H2417 / 800) / (IF(ISBLANK(S2417), 100, IF(ISNA(VLOOKUP(S2417, Lives!$A$2:$C$35, 2, 0)), S2417, VLOOKUP(S2417, Lives!$A$2:$C$35, 2, 0))) * 12) + (IF(ISBLANK(Q2417), 0, IF(ISNA(VLOOKUP(Q2417, Wages!$A$2:$C$17, 2, 0)), Q2417, VLOOKUP(Q2417, Wages!$A$2:$C$17, 2, 0))) * IF(ISBLANK(N2417), 0, IF(ISNA(VLOOKUP(N2417, Crews!$A$2:$C$28, 2, 0)), N2417, VLOOKUP(N2417, Crews!$A$2:$C$28, 2, 0))))) * 400</f>
        <v>15408.33333</v>
      </c>
      <c r="K2417" s="1"/>
      <c r="L2417" s="1" t="s">
        <v>4708</v>
      </c>
      <c r="M2417" s="1" t="n">
        <v>6</v>
      </c>
      <c r="N2417" s="1" t="s">
        <v>1512</v>
      </c>
      <c r="O2417" s="1" t="n">
        <v>1</v>
      </c>
      <c r="P2417" s="1"/>
      <c r="Q2417" s="1" t="str">
        <f aca="false">IF(ISBLANK('Pak128 Britain In'!$N2417),,'Pak128 Britain In'!$N2417)</f>
        <v>ElectricMultipleUnit</v>
      </c>
      <c r="R2417" s="1" t="s">
        <v>4696</v>
      </c>
      <c r="S2417" s="1" t="s">
        <v>1350</v>
      </c>
      <c r="T2417" s="1" t="s">
        <v>4697</v>
      </c>
    </row>
    <row r="2418" customFormat="false" ht="15" hidden="false" customHeight="true" outlineLevel="0" collapsed="false">
      <c r="A2418" s="1" t="s">
        <v>4719</v>
      </c>
      <c r="B2418" s="1" t="n">
        <v>1980</v>
      </c>
      <c r="C2418" s="1" t="n">
        <v>3</v>
      </c>
      <c r="D2418" s="1" t="s">
        <v>38</v>
      </c>
      <c r="E2418" s="1" t="s">
        <v>1346</v>
      </c>
      <c r="F2418" s="1" t="n">
        <v>0</v>
      </c>
      <c r="G2418" s="1" t="n">
        <v>250</v>
      </c>
      <c r="H2418" s="2" t="n">
        <v>2550000</v>
      </c>
      <c r="I2418" s="2" t="n">
        <f aca="false">(((H2418 / 800) / IF(ISBLANK(R2418), 1000000, IF(ISNA(VLOOKUP(R2418, Mileages!$A$2:$C$34, 2, 0)), R2418, VLOOKUP(R2418, Mileages!$A$2:$C$34, 2, 0)))) + (F2418 * IF(ISBLANK(P2418), 1, P2418) * IF(ISBLANK(T2418), 0, IF(ISNA(VLOOKUP(T2418, 'Fuel Costs'!$A$2:$C$42, 2, 0)), T2418, VLOOKUP(T2418, 'Fuel Costs'!$A$2:$C$42, 2, 0))) / IF(ISBLANK(O2418), 1, O2418))) * 100</f>
        <v>0.1328125</v>
      </c>
      <c r="J2418" s="2" t="n">
        <f aca="false">((H2418 / 800) / (IF(ISBLANK(S2418), 100, IF(ISNA(VLOOKUP(S2418, Lives!$A$2:$C$35, 2, 0)), S2418, VLOOKUP(S2418, Lives!$A$2:$C$35, 2, 0))) * 12) + (IF(ISBLANK(Q2418), 0, IF(ISNA(VLOOKUP(Q2418, Wages!$A$2:$C$17, 2, 0)), Q2418, VLOOKUP(Q2418, Wages!$A$2:$C$17, 2, 0))) * IF(ISBLANK(N2418), 0, IF(ISNA(VLOOKUP(N2418, Crews!$A$2:$C$28, 2, 0)), N2418, VLOOKUP(N2418, Crews!$A$2:$C$28, 2, 0))))) * 400</f>
        <v>5312.5</v>
      </c>
      <c r="K2418" s="1" t="s">
        <v>4716</v>
      </c>
      <c r="L2418" s="1" t="s">
        <v>4708</v>
      </c>
      <c r="M2418" s="1" t="n">
        <v>7</v>
      </c>
      <c r="N2418" s="1"/>
      <c r="O2418" s="1"/>
      <c r="P2418" s="1"/>
      <c r="Q2418" s="1"/>
      <c r="R2418" s="1" t="s">
        <v>4419</v>
      </c>
      <c r="S2418" s="1" t="s">
        <v>4470</v>
      </c>
      <c r="T2418" s="1"/>
    </row>
    <row r="2419" customFormat="false" ht="15" hidden="false" customHeight="true" outlineLevel="0" collapsed="false">
      <c r="A2419" s="1" t="s">
        <v>4720</v>
      </c>
      <c r="B2419" s="1" t="n">
        <v>1980</v>
      </c>
      <c r="C2419" s="1" t="n">
        <v>3</v>
      </c>
      <c r="D2419" s="1" t="s">
        <v>38</v>
      </c>
      <c r="E2419" s="1" t="s">
        <v>1346</v>
      </c>
      <c r="F2419" s="1" t="n">
        <v>0</v>
      </c>
      <c r="G2419" s="1" t="n">
        <v>250</v>
      </c>
      <c r="H2419" s="2" t="n">
        <v>2700000</v>
      </c>
      <c r="I2419" s="2" t="n">
        <f aca="false">(((H2419 / 800) / IF(ISBLANK(R2419), 1000000, IF(ISNA(VLOOKUP(R2419, Mileages!$A$2:$C$34, 2, 0)), R2419, VLOOKUP(R2419, Mileages!$A$2:$C$34, 2, 0)))) + (F2419 * IF(ISBLANK(P2419), 1, P2419) * IF(ISBLANK(T2419), 0, IF(ISNA(VLOOKUP(T2419, 'Fuel Costs'!$A$2:$C$42, 2, 0)), T2419, VLOOKUP(T2419, 'Fuel Costs'!$A$2:$C$42, 2, 0))) / IF(ISBLANK(O2419), 1, O2419))) * 100</f>
        <v>0.140625</v>
      </c>
      <c r="J2419" s="2" t="n">
        <f aca="false">((H2419 / 800) / (IF(ISBLANK(S2419), 100, IF(ISNA(VLOOKUP(S2419, Lives!$A$2:$C$35, 2, 0)), S2419, VLOOKUP(S2419, Lives!$A$2:$C$35, 2, 0))) * 12) + (IF(ISBLANK(Q2419), 0, IF(ISNA(VLOOKUP(Q2419, Wages!$A$2:$C$17, 2, 0)), Q2419, VLOOKUP(Q2419, Wages!$A$2:$C$17, 2, 0))) * IF(ISBLANK(N2419), 0, IF(ISNA(VLOOKUP(N2419, Crews!$A$2:$C$28, 2, 0)), N2419, VLOOKUP(N2419, Crews!$A$2:$C$28, 2, 0))))) * 400</f>
        <v>5625</v>
      </c>
      <c r="K2419" s="1" t="s">
        <v>4714</v>
      </c>
      <c r="L2419" s="1" t="s">
        <v>4708</v>
      </c>
      <c r="M2419" s="1" t="n">
        <v>8</v>
      </c>
      <c r="N2419" s="1"/>
      <c r="O2419" s="1"/>
      <c r="P2419" s="1"/>
      <c r="Q2419" s="1"/>
      <c r="R2419" s="1" t="s">
        <v>4419</v>
      </c>
      <c r="S2419" s="1" t="s">
        <v>4470</v>
      </c>
      <c r="T2419" s="1"/>
    </row>
    <row r="2420" customFormat="false" ht="15" hidden="false" customHeight="true" outlineLevel="0" collapsed="false">
      <c r="A2420" s="1" t="s">
        <v>4721</v>
      </c>
      <c r="B2420" s="1" t="n">
        <v>1980</v>
      </c>
      <c r="C2420" s="1" t="n">
        <v>3</v>
      </c>
      <c r="D2420" s="1" t="s">
        <v>38</v>
      </c>
      <c r="E2420" s="1" t="s">
        <v>1346</v>
      </c>
      <c r="F2420" s="1" t="n">
        <v>0</v>
      </c>
      <c r="G2420" s="1" t="n">
        <v>250</v>
      </c>
      <c r="H2420" s="2" t="n">
        <v>2000000</v>
      </c>
      <c r="I2420" s="2" t="n">
        <f aca="false">(((H2420 / 800) / IF(ISBLANK(R2420), 1000000, IF(ISNA(VLOOKUP(R2420, Mileages!$A$2:$C$34, 2, 0)), R2420, VLOOKUP(R2420, Mileages!$A$2:$C$34, 2, 0)))) + (F2420 * IF(ISBLANK(P2420), 1, P2420) * IF(ISBLANK(T2420), 0, IF(ISNA(VLOOKUP(T2420, 'Fuel Costs'!$A$2:$C$42, 2, 0)), T2420, VLOOKUP(T2420, 'Fuel Costs'!$A$2:$C$42, 2, 0))) / IF(ISBLANK(O2420), 1, O2420))) * 100</f>
        <v>0.1041666667</v>
      </c>
      <c r="J2420" s="2" t="n">
        <f aca="false">((H2420 / 800) / (IF(ISBLANK(S2420), 100, IF(ISNA(VLOOKUP(S2420, Lives!$A$2:$C$35, 2, 0)), S2420, VLOOKUP(S2420, Lives!$A$2:$C$35, 2, 0))) * 12) + (IF(ISBLANK(Q2420), 0, IF(ISNA(VLOOKUP(Q2420, Wages!$A$2:$C$17, 2, 0)), Q2420, VLOOKUP(Q2420, Wages!$A$2:$C$17, 2, 0))) * IF(ISBLANK(N2420), 0, IF(ISNA(VLOOKUP(N2420, Crews!$A$2:$C$28, 2, 0)), N2420, VLOOKUP(N2420, Crews!$A$2:$C$28, 2, 0))))) * 400</f>
        <v>4166.666667</v>
      </c>
      <c r="K2420" s="1"/>
      <c r="L2420" s="1" t="s">
        <v>4708</v>
      </c>
      <c r="M2420" s="1" t="n">
        <v>9</v>
      </c>
      <c r="N2420" s="1"/>
      <c r="O2420" s="1"/>
      <c r="P2420" s="1"/>
      <c r="Q2420" s="1"/>
      <c r="R2420" s="1" t="s">
        <v>4419</v>
      </c>
      <c r="S2420" s="1" t="s">
        <v>4470</v>
      </c>
      <c r="T2420" s="1"/>
    </row>
    <row r="2421" customFormat="false" ht="15" hidden="false" customHeight="true" outlineLevel="0" collapsed="false">
      <c r="A2421" s="1" t="s">
        <v>4722</v>
      </c>
      <c r="B2421" s="1" t="n">
        <v>1980</v>
      </c>
      <c r="C2421" s="1" t="n">
        <v>5</v>
      </c>
      <c r="D2421" s="1" t="s">
        <v>21</v>
      </c>
      <c r="E2421" s="1" t="s">
        <v>2039</v>
      </c>
      <c r="F2421" s="1" t="n">
        <v>194</v>
      </c>
      <c r="G2421" s="1" t="n">
        <v>75</v>
      </c>
      <c r="H2421" s="2" t="n">
        <v>7505000</v>
      </c>
      <c r="I2421" s="2" t="n">
        <f aca="false">(((H2421 / 800) / IF(ISBLANK(R2421), 1000000, IF(ISNA(VLOOKUP(R2421, Mileages!$A$2:$C$34, 2, 0)), R2421, VLOOKUP(R2421, Mileages!$A$2:$C$34, 2, 0)))) + (F2421 * IF(ISBLANK(P2421), 1, P2421) * IF(ISBLANK(T2421), 0, IF(ISNA(VLOOKUP(T2421, 'Fuel Costs'!$A$2:$C$42, 2, 0)), T2421, VLOOKUP(T2421, 'Fuel Costs'!$A$2:$C$42, 2, 0))) / IF(ISBLANK(O2421), 1, O2421))) * 100</f>
        <v>58.6690625</v>
      </c>
      <c r="J2421" s="2" t="n">
        <f aca="false">((H2421 / 800) / (IF(ISBLANK(S2421), 100, IF(ISNA(VLOOKUP(S2421, Lives!$A$2:$C$35, 2, 0)), S2421, VLOOKUP(S2421, Lives!$A$2:$C$35, 2, 0))) * 12) + (IF(ISBLANK(Q2421), 0, IF(ISNA(VLOOKUP(Q2421, Wages!$A$2:$C$17, 2, 0)), Q2421, VLOOKUP(Q2421, Wages!$A$2:$C$17, 2, 0))) * IF(ISBLANK(N2421), 0, IF(ISNA(VLOOKUP(N2421, Crews!$A$2:$C$28, 2, 0)), N2421, VLOOKUP(N2421, Crews!$A$2:$C$28, 2, 0))))) * 400</f>
        <v>11908.85417</v>
      </c>
      <c r="K2421" s="3" t="s">
        <v>4723</v>
      </c>
      <c r="L2421" s="1" t="s">
        <v>4724</v>
      </c>
      <c r="M2421" s="1" t="n">
        <v>0</v>
      </c>
      <c r="N2421" s="1" t="s">
        <v>1815</v>
      </c>
      <c r="O2421" s="1" t="n">
        <v>1</v>
      </c>
      <c r="P2421" s="1"/>
      <c r="Q2421" s="1" t="s">
        <v>1815</v>
      </c>
      <c r="R2421" s="1" t="s">
        <v>4725</v>
      </c>
      <c r="S2421" s="1" t="s">
        <v>1843</v>
      </c>
      <c r="T2421" s="1" t="s">
        <v>4726</v>
      </c>
    </row>
    <row r="2422" customFormat="false" ht="15" hidden="false" customHeight="true" outlineLevel="0" collapsed="false">
      <c r="A2422" s="1" t="s">
        <v>4727</v>
      </c>
      <c r="B2422" s="1" t="n">
        <v>1980</v>
      </c>
      <c r="C2422" s="1" t="n">
        <v>5</v>
      </c>
      <c r="D2422" s="1" t="s">
        <v>21</v>
      </c>
      <c r="E2422" s="1" t="s">
        <v>2039</v>
      </c>
      <c r="F2422" s="1" t="n">
        <v>114</v>
      </c>
      <c r="G2422" s="1" t="n">
        <v>75</v>
      </c>
      <c r="H2422" s="2" t="n">
        <v>7250000</v>
      </c>
      <c r="I2422" s="2" t="n">
        <f aca="false">(((H2422 / 800) / IF(ISBLANK(R2422), 1000000, IF(ISNA(VLOOKUP(R2422, Mileages!$A$2:$C$34, 2, 0)), R2422, VLOOKUP(R2422, Mileages!$A$2:$C$34, 2, 0)))) + (F2422 * IF(ISBLANK(P2422), 1, P2422) * IF(ISBLANK(T2422), 0, IF(ISNA(VLOOKUP(T2422, 'Fuel Costs'!$A$2:$C$42, 2, 0)), T2422, VLOOKUP(T2422, 'Fuel Costs'!$A$2:$C$42, 2, 0))) / IF(ISBLANK(O2422), 1, O2422))) * 100</f>
        <v>34.80416667</v>
      </c>
      <c r="J2422" s="2" t="n">
        <f aca="false">((H2422 / 800) / (IF(ISBLANK(S2422), 100, IF(ISNA(VLOOKUP(S2422, Lives!$A$2:$C$35, 2, 0)), S2422, VLOOKUP(S2422, Lives!$A$2:$C$35, 2, 0))) * 12) + (IF(ISBLANK(Q2422), 0, IF(ISNA(VLOOKUP(Q2422, Wages!$A$2:$C$17, 2, 0)), Q2422, VLOOKUP(Q2422, Wages!$A$2:$C$17, 2, 0))) * IF(ISBLANK(N2422), 0, IF(ISNA(VLOOKUP(N2422, Crews!$A$2:$C$28, 2, 0)), N2422, VLOOKUP(N2422, Crews!$A$2:$C$28, 2, 0))))) * 400</f>
        <v>13552.08333</v>
      </c>
      <c r="K2422" s="3" t="s">
        <v>4728</v>
      </c>
      <c r="L2422" s="1" t="s">
        <v>4729</v>
      </c>
      <c r="M2422" s="1" t="n">
        <v>0</v>
      </c>
      <c r="N2422" s="1" t="s">
        <v>3064</v>
      </c>
      <c r="O2422" s="1" t="n">
        <v>1</v>
      </c>
      <c r="P2422" s="1"/>
      <c r="Q2422" s="1" t="s">
        <v>3064</v>
      </c>
      <c r="R2422" s="1" t="s">
        <v>4730</v>
      </c>
      <c r="S2422" s="1" t="s">
        <v>3064</v>
      </c>
      <c r="T2422" s="1" t="s">
        <v>4726</v>
      </c>
    </row>
    <row r="2423" customFormat="false" ht="15" hidden="false" customHeight="true" outlineLevel="0" collapsed="false">
      <c r="A2423" s="1" t="s">
        <v>4731</v>
      </c>
      <c r="B2423" s="1" t="n">
        <v>1980</v>
      </c>
      <c r="C2423" s="1" t="n">
        <v>5</v>
      </c>
      <c r="D2423" s="1" t="s">
        <v>21</v>
      </c>
      <c r="E2423" s="1" t="s">
        <v>2039</v>
      </c>
      <c r="F2423" s="1" t="n">
        <v>114</v>
      </c>
      <c r="G2423" s="1" t="n">
        <v>75</v>
      </c>
      <c r="H2423" s="2" t="n">
        <v>7715000</v>
      </c>
      <c r="I2423" s="2" t="n">
        <f aca="false">(((H2423 / 800) / IF(ISBLANK(R2423), 1000000, IF(ISNA(VLOOKUP(R2423, Mileages!$A$2:$C$34, 2, 0)), R2423, VLOOKUP(R2423, Mileages!$A$2:$C$34, 2, 0)))) + (F2423 * IF(ISBLANK(P2423), 1, P2423) * IF(ISBLANK(T2423), 0, IF(ISNA(VLOOKUP(T2423, 'Fuel Costs'!$A$2:$C$42, 2, 0)), T2423, VLOOKUP(T2423, 'Fuel Costs'!$A$2:$C$42, 2, 0))) / IF(ISBLANK(O2423), 1, O2423))) * 100</f>
        <v>34.84291667</v>
      </c>
      <c r="J2423" s="2" t="n">
        <f aca="false">((H2423 / 800) / (IF(ISBLANK(S2423), 100, IF(ISNA(VLOOKUP(S2423, Lives!$A$2:$C$35, 2, 0)), S2423, VLOOKUP(S2423, Lives!$A$2:$C$35, 2, 0))) * 12) + (IF(ISBLANK(Q2423), 0, IF(ISNA(VLOOKUP(Q2423, Wages!$A$2:$C$17, 2, 0)), Q2423, VLOOKUP(Q2423, Wages!$A$2:$C$17, 2, 0))) * IF(ISBLANK(N2423), 0, IF(ISNA(VLOOKUP(N2423, Crews!$A$2:$C$28, 2, 0)), N2423, VLOOKUP(N2423, Crews!$A$2:$C$28, 2, 0))))) * 400</f>
        <v>14036.45833</v>
      </c>
      <c r="K2423" s="3" t="s">
        <v>4732</v>
      </c>
      <c r="L2423" s="1" t="s">
        <v>4729</v>
      </c>
      <c r="M2423" s="1" t="n">
        <v>1</v>
      </c>
      <c r="N2423" s="1" t="s">
        <v>3064</v>
      </c>
      <c r="O2423" s="1" t="n">
        <v>1</v>
      </c>
      <c r="P2423" s="1"/>
      <c r="Q2423" s="1" t="s">
        <v>3064</v>
      </c>
      <c r="R2423" s="1" t="s">
        <v>4730</v>
      </c>
      <c r="S2423" s="1" t="s">
        <v>3064</v>
      </c>
      <c r="T2423" s="1" t="s">
        <v>4726</v>
      </c>
    </row>
    <row r="2424" customFormat="false" ht="15" hidden="false" customHeight="true" outlineLevel="0" collapsed="false">
      <c r="A2424" s="1" t="s">
        <v>4733</v>
      </c>
      <c r="B2424" s="1" t="n">
        <v>1980</v>
      </c>
      <c r="C2424" s="1" t="n">
        <v>5</v>
      </c>
      <c r="D2424" s="1" t="s">
        <v>38</v>
      </c>
      <c r="E2424" s="1" t="s">
        <v>1346</v>
      </c>
      <c r="F2424" s="1" t="n">
        <v>328</v>
      </c>
      <c r="G2424" s="1" t="n">
        <v>120</v>
      </c>
      <c r="H2424" s="2" t="n">
        <v>1120000</v>
      </c>
      <c r="I2424" s="2" t="n">
        <f aca="false">(((H2424 / 800) / IF(ISBLANK(R2424), 1000000, IF(ISNA(VLOOKUP(R2424, Mileages!$A$2:$C$34, 2, 0)), R2424, VLOOKUP(R2424, Mileages!$A$2:$C$34, 2, 0)))) + (F2424 * IF(ISBLANK(P2424), 1, P2424) * IF(ISBLANK(T2424), 0, IF(ISNA(VLOOKUP(T2424, 'Fuel Costs'!$A$2:$C$42, 2, 0)), T2424, VLOOKUP(T2424, 'Fuel Costs'!$A$2:$C$42, 2, 0))) / IF(ISBLANK(O2424), 1, O2424))) * 100</f>
        <v>32.87</v>
      </c>
      <c r="J2424" s="2" t="n">
        <f aca="false">((H2424 / 800) / (IF(ISBLANK(S2424), 100, IF(ISNA(VLOOKUP(S2424, Lives!$A$2:$C$35, 2, 0)), S2424, VLOOKUP(S2424, Lives!$A$2:$C$35, 2, 0))) * 12) + (IF(ISBLANK(Q2424), 0, IF(ISNA(VLOOKUP(Q2424, Wages!$A$2:$C$17, 2, 0)), Q2424, VLOOKUP(Q2424, Wages!$A$2:$C$17, 2, 0))) * IF(ISBLANK(N2424), 0, IF(ISNA(VLOOKUP(N2424, Crews!$A$2:$C$28, 2, 0)), N2424, VLOOKUP(N2424, Crews!$A$2:$C$28, 2, 0))))) * 400</f>
        <v>6933.333333</v>
      </c>
      <c r="K2424" s="1"/>
      <c r="L2424" s="1" t="s">
        <v>4734</v>
      </c>
      <c r="M2424" s="1" t="n">
        <v>0</v>
      </c>
      <c r="N2424" s="1" t="s">
        <v>1512</v>
      </c>
      <c r="O2424" s="1" t="n">
        <v>1</v>
      </c>
      <c r="P2424" s="1"/>
      <c r="Q2424" s="1" t="str">
        <f aca="false">IF(ISBLANK('Pak128 Britain In'!$N2424),,'Pak128 Britain In'!$N2424)</f>
        <v>ElectricMultipleUnit</v>
      </c>
      <c r="R2424" s="1" t="s">
        <v>4696</v>
      </c>
      <c r="S2424" s="1" t="s">
        <v>1350</v>
      </c>
      <c r="T2424" s="1" t="s">
        <v>4697</v>
      </c>
    </row>
    <row r="2425" customFormat="false" ht="15" hidden="false" customHeight="true" outlineLevel="0" collapsed="false">
      <c r="A2425" s="1" t="s">
        <v>4735</v>
      </c>
      <c r="B2425" s="1" t="n">
        <v>1980</v>
      </c>
      <c r="C2425" s="1" t="n">
        <v>5</v>
      </c>
      <c r="D2425" s="1" t="s">
        <v>38</v>
      </c>
      <c r="E2425" s="1" t="s">
        <v>1346</v>
      </c>
      <c r="F2425" s="1" t="n">
        <v>0</v>
      </c>
      <c r="G2425" s="1" t="n">
        <v>120</v>
      </c>
      <c r="H2425" s="2" t="n">
        <v>1120000</v>
      </c>
      <c r="I2425" s="2" t="n">
        <f aca="false">(((H2425 / 800) / IF(ISBLANK(R2425), 1000000, IF(ISNA(VLOOKUP(R2425, Mileages!$A$2:$C$34, 2, 0)), R2425, VLOOKUP(R2425, Mileages!$A$2:$C$34, 2, 0)))) + (F2425 * IF(ISBLANK(P2425), 1, P2425) * IF(ISBLANK(T2425), 0, IF(ISNA(VLOOKUP(T2425, 'Fuel Costs'!$A$2:$C$42, 2, 0)), T2425, VLOOKUP(T2425, 'Fuel Costs'!$A$2:$C$42, 2, 0))) / IF(ISBLANK(O2425), 1, O2425))) * 100</f>
        <v>0.05833333333</v>
      </c>
      <c r="J2425" s="2" t="n">
        <f aca="false">((H2425 / 800) / (IF(ISBLANK(S2425), 100, IF(ISNA(VLOOKUP(S2425, Lives!$A$2:$C$35, 2, 0)), S2425, VLOOKUP(S2425, Lives!$A$2:$C$35, 2, 0))) * 12) + (IF(ISBLANK(Q2425), 0, IF(ISNA(VLOOKUP(Q2425, Wages!$A$2:$C$17, 2, 0)), Q2425, VLOOKUP(Q2425, Wages!$A$2:$C$17, 2, 0))) * IF(ISBLANK(N2425), 0, IF(ISNA(VLOOKUP(N2425, Crews!$A$2:$C$28, 2, 0)), N2425, VLOOKUP(N2425, Crews!$A$2:$C$28, 2, 0))))) * 400</f>
        <v>2333.333333</v>
      </c>
      <c r="K2425" s="1"/>
      <c r="L2425" s="1" t="s">
        <v>4734</v>
      </c>
      <c r="M2425" s="1" t="n">
        <v>1</v>
      </c>
      <c r="N2425" s="1"/>
      <c r="O2425" s="1"/>
      <c r="P2425" s="1"/>
      <c r="Q2425" s="1"/>
      <c r="R2425" s="1" t="s">
        <v>4419</v>
      </c>
      <c r="S2425" s="1" t="s">
        <v>4470</v>
      </c>
      <c r="T2425" s="1"/>
    </row>
    <row r="2426" customFormat="false" ht="15" hidden="false" customHeight="true" outlineLevel="0" collapsed="false">
      <c r="A2426" s="1" t="s">
        <v>4736</v>
      </c>
      <c r="B2426" s="1" t="n">
        <v>1980</v>
      </c>
      <c r="C2426" s="1" t="n">
        <v>5</v>
      </c>
      <c r="D2426" s="1" t="s">
        <v>38</v>
      </c>
      <c r="E2426" s="1" t="s">
        <v>1346</v>
      </c>
      <c r="F2426" s="1" t="n">
        <v>0</v>
      </c>
      <c r="G2426" s="1" t="n">
        <v>120</v>
      </c>
      <c r="H2426" s="2" t="n">
        <v>1120000</v>
      </c>
      <c r="I2426" s="2" t="n">
        <f aca="false">(((H2426 / 800) / IF(ISBLANK(R2426), 1000000, IF(ISNA(VLOOKUP(R2426, Mileages!$A$2:$C$34, 2, 0)), R2426, VLOOKUP(R2426, Mileages!$A$2:$C$34, 2, 0)))) + (F2426 * IF(ISBLANK(P2426), 1, P2426) * IF(ISBLANK(T2426), 0, IF(ISNA(VLOOKUP(T2426, 'Fuel Costs'!$A$2:$C$42, 2, 0)), T2426, VLOOKUP(T2426, 'Fuel Costs'!$A$2:$C$42, 2, 0))) / IF(ISBLANK(O2426), 1, O2426))) * 100</f>
        <v>0.05833333333</v>
      </c>
      <c r="J2426" s="2" t="n">
        <f aca="false">((H2426 / 800) / (IF(ISBLANK(S2426), 100, IF(ISNA(VLOOKUP(S2426, Lives!$A$2:$C$35, 2, 0)), S2426, VLOOKUP(S2426, Lives!$A$2:$C$35, 2, 0))) * 12) + (IF(ISBLANK(Q2426), 0, IF(ISNA(VLOOKUP(Q2426, Wages!$A$2:$C$17, 2, 0)), Q2426, VLOOKUP(Q2426, Wages!$A$2:$C$17, 2, 0))) * IF(ISBLANK(N2426), 0, IF(ISNA(VLOOKUP(N2426, Crews!$A$2:$C$28, 2, 0)), N2426, VLOOKUP(N2426, Crews!$A$2:$C$28, 2, 0))))) * 400</f>
        <v>2333.333333</v>
      </c>
      <c r="K2426" s="1"/>
      <c r="L2426" s="1" t="s">
        <v>4734</v>
      </c>
      <c r="M2426" s="1" t="n">
        <v>2</v>
      </c>
      <c r="N2426" s="1"/>
      <c r="O2426" s="1"/>
      <c r="P2426" s="1"/>
      <c r="Q2426" s="1"/>
      <c r="R2426" s="1" t="s">
        <v>4419</v>
      </c>
      <c r="S2426" s="1" t="s">
        <v>4470</v>
      </c>
      <c r="T2426" s="1"/>
    </row>
    <row r="2427" customFormat="false" ht="15" hidden="false" customHeight="true" outlineLevel="0" collapsed="false">
      <c r="A2427" s="1" t="s">
        <v>4737</v>
      </c>
      <c r="B2427" s="1" t="n">
        <v>1980</v>
      </c>
      <c r="C2427" s="1" t="n">
        <v>5</v>
      </c>
      <c r="D2427" s="1" t="s">
        <v>38</v>
      </c>
      <c r="E2427" s="1" t="s">
        <v>1346</v>
      </c>
      <c r="F2427" s="1" t="n">
        <v>328</v>
      </c>
      <c r="G2427" s="1" t="n">
        <v>120</v>
      </c>
      <c r="H2427" s="2" t="n">
        <v>1120000</v>
      </c>
      <c r="I2427" s="2" t="n">
        <f aca="false">(((H2427 / 800) / IF(ISBLANK(R2427), 1000000, IF(ISNA(VLOOKUP(R2427, Mileages!$A$2:$C$34, 2, 0)), R2427, VLOOKUP(R2427, Mileages!$A$2:$C$34, 2, 0)))) + (F2427 * IF(ISBLANK(P2427), 1, P2427) * IF(ISBLANK(T2427), 0, IF(ISNA(VLOOKUP(T2427, 'Fuel Costs'!$A$2:$C$42, 2, 0)), T2427, VLOOKUP(T2427, 'Fuel Costs'!$A$2:$C$42, 2, 0))) / IF(ISBLANK(O2427), 1, O2427))) * 100</f>
        <v>32.87</v>
      </c>
      <c r="J2427" s="2" t="n">
        <f aca="false">((H2427 / 800) / (IF(ISBLANK(S2427), 100, IF(ISNA(VLOOKUP(S2427, Lives!$A$2:$C$35, 2, 0)), S2427, VLOOKUP(S2427, Lives!$A$2:$C$35, 2, 0))) * 12) + (IF(ISBLANK(Q2427), 0, IF(ISNA(VLOOKUP(Q2427, Wages!$A$2:$C$17, 2, 0)), Q2427, VLOOKUP(Q2427, Wages!$A$2:$C$17, 2, 0))) * IF(ISBLANK(N2427), 0, IF(ISNA(VLOOKUP(N2427, Crews!$A$2:$C$28, 2, 0)), N2427, VLOOKUP(N2427, Crews!$A$2:$C$28, 2, 0))))) * 400</f>
        <v>6933.333333</v>
      </c>
      <c r="K2427" s="1"/>
      <c r="L2427" s="1" t="s">
        <v>4734</v>
      </c>
      <c r="M2427" s="1" t="n">
        <v>3</v>
      </c>
      <c r="N2427" s="1" t="s">
        <v>1512</v>
      </c>
      <c r="O2427" s="1" t="n">
        <v>1</v>
      </c>
      <c r="P2427" s="1"/>
      <c r="Q2427" s="1" t="str">
        <f aca="false">IF(ISBLANK('Pak128 Britain In'!$N2427),,'Pak128 Britain In'!$N2427)</f>
        <v>ElectricMultipleUnit</v>
      </c>
      <c r="R2427" s="1" t="s">
        <v>4696</v>
      </c>
      <c r="S2427" s="1" t="s">
        <v>1350</v>
      </c>
      <c r="T2427" s="1" t="s">
        <v>4697</v>
      </c>
    </row>
    <row r="2428" customFormat="false" ht="15" hidden="false" customHeight="true" outlineLevel="0" collapsed="false">
      <c r="A2428" s="1" t="s">
        <v>4738</v>
      </c>
      <c r="B2428" s="1" t="n">
        <v>1981</v>
      </c>
      <c r="C2428" s="1" t="n">
        <v>1</v>
      </c>
      <c r="D2428" s="1" t="s">
        <v>38</v>
      </c>
      <c r="E2428" s="1" t="s">
        <v>1346</v>
      </c>
      <c r="F2428" s="1" t="n">
        <v>0</v>
      </c>
      <c r="G2428" s="1" t="n">
        <v>160</v>
      </c>
      <c r="H2428" s="2" t="n">
        <v>1975000</v>
      </c>
      <c r="I2428" s="2" t="n">
        <f aca="false">(((H2428 / 800) / IF(ISBLANK(R2428), 1000000, IF(ISNA(VLOOKUP(R2428, Mileages!$A$2:$C$34, 2, 0)), R2428, VLOOKUP(R2428, Mileages!$A$2:$C$34, 2, 0)))) + (F2428 * IF(ISBLANK(P2428), 1, P2428) * IF(ISBLANK(T2428), 0, IF(ISNA(VLOOKUP(T2428, 'Fuel Costs'!$A$2:$C$42, 2, 0)), T2428, VLOOKUP(T2428, 'Fuel Costs'!$A$2:$C$42, 2, 0))) / IF(ISBLANK(O2428), 1, O2428))) * 100</f>
        <v>0.1028645833</v>
      </c>
      <c r="J2428" s="2" t="n">
        <f aca="false">((H2428 / 800) / (IF(ISBLANK(S2428), 100, IF(ISNA(VLOOKUP(S2428, Lives!$A$2:$C$35, 2, 0)), S2428, VLOOKUP(S2428, Lives!$A$2:$C$35, 2, 0))) * 12) + (IF(ISBLANK(Q2428), 0, IF(ISNA(VLOOKUP(Q2428, Wages!$A$2:$C$17, 2, 0)), Q2428, VLOOKUP(Q2428, Wages!$A$2:$C$17, 2, 0))) * IF(ISBLANK(N2428), 0, IF(ISNA(VLOOKUP(N2428, Crews!$A$2:$C$28, 2, 0)), N2428, VLOOKUP(N2428, Crews!$A$2:$C$28, 2, 0))))) * 400</f>
        <v>4114.583333</v>
      </c>
      <c r="K2428" s="1"/>
      <c r="L2428" s="1" t="s">
        <v>4739</v>
      </c>
      <c r="M2428" s="1" t="n">
        <v>0</v>
      </c>
      <c r="N2428" s="1"/>
      <c r="O2428" s="1"/>
      <c r="P2428" s="1"/>
      <c r="Q2428" s="1"/>
      <c r="R2428" s="1" t="s">
        <v>4419</v>
      </c>
      <c r="S2428" s="1" t="s">
        <v>4470</v>
      </c>
      <c r="T2428" s="1"/>
    </row>
    <row r="2429" customFormat="false" ht="15" hidden="false" customHeight="true" outlineLevel="0" collapsed="false">
      <c r="A2429" s="1" t="s">
        <v>4740</v>
      </c>
      <c r="B2429" s="1" t="n">
        <v>1981</v>
      </c>
      <c r="C2429" s="1" t="n">
        <v>1</v>
      </c>
      <c r="D2429" s="1" t="s">
        <v>38</v>
      </c>
      <c r="E2429" s="1" t="s">
        <v>1346</v>
      </c>
      <c r="F2429" s="1" t="n">
        <v>764</v>
      </c>
      <c r="G2429" s="1" t="n">
        <v>160</v>
      </c>
      <c r="H2429" s="2" t="n">
        <v>1975000</v>
      </c>
      <c r="I2429" s="2" t="n">
        <f aca="false">(((H2429 / 800) / IF(ISBLANK(R2429), 1000000, IF(ISNA(VLOOKUP(R2429, Mileages!$A$2:$C$34, 2, 0)), R2429, VLOOKUP(R2429, Mileages!$A$2:$C$34, 2, 0)))) + (F2429 * IF(ISBLANK(P2429), 1, P2429) * IF(ISBLANK(T2429), 0, IF(ISNA(VLOOKUP(T2429, 'Fuel Costs'!$A$2:$C$42, 2, 0)), T2429, VLOOKUP(T2429, 'Fuel Costs'!$A$2:$C$42, 2, 0))) / IF(ISBLANK(O2429), 1, O2429))) * 100</f>
        <v>76.5234375</v>
      </c>
      <c r="J2429" s="2" t="n">
        <f aca="false">((H2429 / 800) / (IF(ISBLANK(S2429), 100, IF(ISNA(VLOOKUP(S2429, Lives!$A$2:$C$35, 2, 0)), S2429, VLOOKUP(S2429, Lives!$A$2:$C$35, 2, 0))) * 12) + (IF(ISBLANK(Q2429), 0, IF(ISNA(VLOOKUP(Q2429, Wages!$A$2:$C$17, 2, 0)), Q2429, VLOOKUP(Q2429, Wages!$A$2:$C$17, 2, 0))) * IF(ISBLANK(N2429), 0, IF(ISNA(VLOOKUP(N2429, Crews!$A$2:$C$28, 2, 0)), N2429, VLOOKUP(N2429, Crews!$A$2:$C$28, 2, 0))))) * 400</f>
        <v>11028.64583</v>
      </c>
      <c r="K2429" s="1"/>
      <c r="L2429" s="1" t="s">
        <v>4739</v>
      </c>
      <c r="M2429" s="1" t="n">
        <v>1</v>
      </c>
      <c r="N2429" s="1" t="s">
        <v>1488</v>
      </c>
      <c r="O2429" s="1" t="n">
        <v>1</v>
      </c>
      <c r="P2429" s="1"/>
      <c r="Q2429" s="1" t="str">
        <f aca="false">IF(ISBLANK('Pak128 Britain In'!$N2429),,'Pak128 Britain In'!$N2429)</f>
        <v>ElectricDriverRail</v>
      </c>
      <c r="R2429" s="1" t="s">
        <v>4696</v>
      </c>
      <c r="S2429" s="1" t="s">
        <v>4696</v>
      </c>
      <c r="T2429" s="1" t="s">
        <v>4697</v>
      </c>
    </row>
    <row r="2430" customFormat="false" ht="15" hidden="false" customHeight="true" outlineLevel="0" collapsed="false">
      <c r="A2430" s="1" t="s">
        <v>4741</v>
      </c>
      <c r="B2430" s="1" t="n">
        <v>1981</v>
      </c>
      <c r="C2430" s="1" t="n">
        <v>1</v>
      </c>
      <c r="D2430" s="1" t="s">
        <v>38</v>
      </c>
      <c r="E2430" s="1" t="s">
        <v>1346</v>
      </c>
      <c r="F2430" s="1" t="n">
        <v>0</v>
      </c>
      <c r="G2430" s="1" t="n">
        <v>160</v>
      </c>
      <c r="H2430" s="2" t="n">
        <v>1975000</v>
      </c>
      <c r="I2430" s="2" t="n">
        <f aca="false">(((H2430 / 800) / IF(ISBLANK(R2430), 1000000, IF(ISNA(VLOOKUP(R2430, Mileages!$A$2:$C$34, 2, 0)), R2430, VLOOKUP(R2430, Mileages!$A$2:$C$34, 2, 0)))) + (F2430 * IF(ISBLANK(P2430), 1, P2430) * IF(ISBLANK(T2430), 0, IF(ISNA(VLOOKUP(T2430, 'Fuel Costs'!$A$2:$C$42, 2, 0)), T2430, VLOOKUP(T2430, 'Fuel Costs'!$A$2:$C$42, 2, 0))) / IF(ISBLANK(O2430), 1, O2430))) * 100</f>
        <v>0.1028645833</v>
      </c>
      <c r="J2430" s="2" t="n">
        <f aca="false">((H2430 / 800) / (IF(ISBLANK(S2430), 100, IF(ISNA(VLOOKUP(S2430, Lives!$A$2:$C$35, 2, 0)), S2430, VLOOKUP(S2430, Lives!$A$2:$C$35, 2, 0))) * 12) + (IF(ISBLANK(Q2430), 0, IF(ISNA(VLOOKUP(Q2430, Wages!$A$2:$C$17, 2, 0)), Q2430, VLOOKUP(Q2430, Wages!$A$2:$C$17, 2, 0))) * IF(ISBLANK(N2430), 0, IF(ISNA(VLOOKUP(N2430, Crews!$A$2:$C$28, 2, 0)), N2430, VLOOKUP(N2430, Crews!$A$2:$C$28, 2, 0))))) * 400</f>
        <v>4114.583333</v>
      </c>
      <c r="K2430" s="3" t="s">
        <v>4742</v>
      </c>
      <c r="L2430" s="1" t="s">
        <v>4739</v>
      </c>
      <c r="M2430" s="1" t="n">
        <v>2</v>
      </c>
      <c r="N2430" s="1"/>
      <c r="O2430" s="1"/>
      <c r="P2430" s="1"/>
      <c r="Q2430" s="1"/>
      <c r="R2430" s="1" t="s">
        <v>4419</v>
      </c>
      <c r="S2430" s="1" t="s">
        <v>4470</v>
      </c>
      <c r="T2430" s="1"/>
    </row>
    <row r="2431" customFormat="false" ht="15" hidden="false" customHeight="true" outlineLevel="0" collapsed="false">
      <c r="A2431" s="1" t="s">
        <v>4743</v>
      </c>
      <c r="B2431" s="1" t="n">
        <v>1981</v>
      </c>
      <c r="C2431" s="1" t="n">
        <v>1</v>
      </c>
      <c r="D2431" s="1" t="s">
        <v>38</v>
      </c>
      <c r="E2431" s="1" t="s">
        <v>1346</v>
      </c>
      <c r="F2431" s="1" t="n">
        <v>0</v>
      </c>
      <c r="G2431" s="1" t="n">
        <v>160</v>
      </c>
      <c r="H2431" s="2" t="n">
        <v>1975000</v>
      </c>
      <c r="I2431" s="2" t="n">
        <f aca="false">(((H2431 / 800) / IF(ISBLANK(R2431), 1000000, IF(ISNA(VLOOKUP(R2431, Mileages!$A$2:$C$34, 2, 0)), R2431, VLOOKUP(R2431, Mileages!$A$2:$C$34, 2, 0)))) + (F2431 * IF(ISBLANK(P2431), 1, P2431) * IF(ISBLANK(T2431), 0, IF(ISNA(VLOOKUP(T2431, 'Fuel Costs'!$A$2:$C$42, 2, 0)), T2431, VLOOKUP(T2431, 'Fuel Costs'!$A$2:$C$42, 2, 0))) / IF(ISBLANK(O2431), 1, O2431))) * 100</f>
        <v>0.1028645833</v>
      </c>
      <c r="J2431" s="2" t="n">
        <f aca="false">((H2431 / 800) / (IF(ISBLANK(S2431), 100, IF(ISNA(VLOOKUP(S2431, Lives!$A$2:$C$35, 2, 0)), S2431, VLOOKUP(S2431, Lives!$A$2:$C$35, 2, 0))) * 12) + (IF(ISBLANK(Q2431), 0, IF(ISNA(VLOOKUP(Q2431, Wages!$A$2:$C$17, 2, 0)), Q2431, VLOOKUP(Q2431, Wages!$A$2:$C$17, 2, 0))) * IF(ISBLANK(N2431), 0, IF(ISNA(VLOOKUP(N2431, Crews!$A$2:$C$28, 2, 0)), N2431, VLOOKUP(N2431, Crews!$A$2:$C$28, 2, 0))))) * 400</f>
        <v>4114.583333</v>
      </c>
      <c r="K2431" s="1"/>
      <c r="L2431" s="1" t="s">
        <v>4739</v>
      </c>
      <c r="M2431" s="1" t="n">
        <v>3</v>
      </c>
      <c r="N2431" s="1"/>
      <c r="O2431" s="1"/>
      <c r="P2431" s="1"/>
      <c r="Q2431" s="1"/>
      <c r="R2431" s="1" t="s">
        <v>4419</v>
      </c>
      <c r="S2431" s="1" t="s">
        <v>4470</v>
      </c>
      <c r="T2431" s="1"/>
    </row>
    <row r="2432" customFormat="false" ht="15" hidden="false" customHeight="true" outlineLevel="0" collapsed="false">
      <c r="A2432" s="1" t="s">
        <v>4744</v>
      </c>
      <c r="B2432" s="1" t="n">
        <v>1981</v>
      </c>
      <c r="C2432" s="1" t="n">
        <v>3</v>
      </c>
      <c r="D2432" s="1" t="s">
        <v>38</v>
      </c>
      <c r="E2432" s="1" t="s">
        <v>2039</v>
      </c>
      <c r="F2432" s="1" t="n">
        <v>850</v>
      </c>
      <c r="G2432" s="1" t="n">
        <v>145</v>
      </c>
      <c r="H2432" s="2" t="n">
        <v>1400000</v>
      </c>
      <c r="I2432" s="2" t="n">
        <f aca="false">(((H2432 / 800) / IF(ISBLANK(R2432), 1000000, IF(ISNA(VLOOKUP(R2432, Mileages!$A$2:$C$34, 2, 0)), R2432, VLOOKUP(R2432, Mileages!$A$2:$C$34, 2, 0)))) + (F2432 * IF(ISBLANK(P2432), 1, P2432) * IF(ISBLANK(T2432), 0, IF(ISNA(VLOOKUP(T2432, 'Fuel Costs'!$A$2:$C$42, 2, 0)), T2432, VLOOKUP(T2432, 'Fuel Costs'!$A$2:$C$42, 2, 0))) / IF(ISBLANK(O2432), 1, O2432))) * 100</f>
        <v>255.0875</v>
      </c>
      <c r="J2432" s="2" t="n">
        <f aca="false">((H2432 / 800) / (IF(ISBLANK(S2432), 100, IF(ISNA(VLOOKUP(S2432, Lives!$A$2:$C$35, 2, 0)), S2432, VLOOKUP(S2432, Lives!$A$2:$C$35, 2, 0))) * 12) + (IF(ISBLANK(Q2432), 0, IF(ISNA(VLOOKUP(Q2432, Wages!$A$2:$C$17, 2, 0)), Q2432, VLOOKUP(Q2432, Wages!$A$2:$C$17, 2, 0))) * IF(ISBLANK(N2432), 0, IF(ISNA(VLOOKUP(N2432, Crews!$A$2:$C$28, 2, 0)), N2432, VLOOKUP(N2432, Crews!$A$2:$C$28, 2, 0))))) * 400</f>
        <v>10729.16667</v>
      </c>
      <c r="K2432" s="3" t="s">
        <v>4745</v>
      </c>
      <c r="L2432" s="1" t="s">
        <v>4746</v>
      </c>
      <c r="M2432" s="1" t="n">
        <v>0</v>
      </c>
      <c r="N2432" s="1" t="s">
        <v>1488</v>
      </c>
      <c r="O2432" s="1" t="n">
        <v>1</v>
      </c>
      <c r="P2432" s="1"/>
      <c r="Q2432" s="1" t="s">
        <v>1488</v>
      </c>
      <c r="R2432" s="1" t="s">
        <v>4747</v>
      </c>
      <c r="S2432" s="1" t="s">
        <v>4747</v>
      </c>
      <c r="T2432" s="1" t="s">
        <v>4726</v>
      </c>
    </row>
    <row r="2433" customFormat="false" ht="15" hidden="false" customHeight="true" outlineLevel="0" collapsed="false">
      <c r="A2433" s="1" t="s">
        <v>4748</v>
      </c>
      <c r="B2433" s="1" t="n">
        <v>1981</v>
      </c>
      <c r="C2433" s="1" t="n">
        <v>3</v>
      </c>
      <c r="D2433" s="1" t="s">
        <v>38</v>
      </c>
      <c r="E2433" s="1"/>
      <c r="F2433" s="1" t="n">
        <v>0</v>
      </c>
      <c r="G2433" s="1" t="n">
        <v>145</v>
      </c>
      <c r="H2433" s="2" t="n">
        <v>580000</v>
      </c>
      <c r="I2433" s="2" t="n">
        <f aca="false">(((H2433 / 800) / IF(ISBLANK(R2433), 1000000, IF(ISNA(VLOOKUP(R2433, Mileages!$A$2:$C$34, 2, 0)), R2433, VLOOKUP(R2433, Mileages!$A$2:$C$34, 2, 0)))) + (F2433 * IF(ISBLANK(P2433), 1, P2433) * IF(ISBLANK(T2433), 0, IF(ISNA(VLOOKUP(T2433, 'Fuel Costs'!$A$2:$C$42, 2, 0)), T2433, VLOOKUP(T2433, 'Fuel Costs'!$A$2:$C$42, 2, 0))) / IF(ISBLANK(O2433), 1, O2433))) * 100</f>
        <v>0.03020833333</v>
      </c>
      <c r="J2433" s="2" t="n">
        <f aca="false">((H2433 / 800) / (IF(ISBLANK(S2433), 100, IF(ISNA(VLOOKUP(S2433, Lives!$A$2:$C$35, 2, 0)), S2433, VLOOKUP(S2433, Lives!$A$2:$C$35, 2, 0))) * 12) + (IF(ISBLANK(Q2433), 0, IF(ISNA(VLOOKUP(Q2433, Wages!$A$2:$C$17, 2, 0)), Q2433, VLOOKUP(Q2433, Wages!$A$2:$C$17, 2, 0))) * IF(ISBLANK(N2433), 0, IF(ISNA(VLOOKUP(N2433, Crews!$A$2:$C$28, 2, 0)), N2433, VLOOKUP(N2433, Crews!$A$2:$C$28, 2, 0))))) * 400</f>
        <v>1208.333333</v>
      </c>
      <c r="K2433" s="1" t="s">
        <v>4749</v>
      </c>
      <c r="L2433" s="1" t="s">
        <v>4746</v>
      </c>
      <c r="M2433" s="1" t="n">
        <v>1</v>
      </c>
      <c r="N2433" s="1"/>
      <c r="O2433" s="1"/>
      <c r="P2433" s="1"/>
      <c r="Q2433" s="1"/>
      <c r="R2433" s="1" t="s">
        <v>4419</v>
      </c>
      <c r="S2433" s="1" t="s">
        <v>4470</v>
      </c>
      <c r="T2433" s="1"/>
    </row>
    <row r="2434" customFormat="false" ht="15" hidden="false" customHeight="true" outlineLevel="0" collapsed="false">
      <c r="A2434" s="1" t="s">
        <v>4750</v>
      </c>
      <c r="B2434" s="1" t="n">
        <v>1981</v>
      </c>
      <c r="C2434" s="1" t="n">
        <v>3</v>
      </c>
      <c r="D2434" s="1" t="s">
        <v>38</v>
      </c>
      <c r="E2434" s="1"/>
      <c r="F2434" s="1" t="n">
        <v>0</v>
      </c>
      <c r="G2434" s="1" t="n">
        <v>145</v>
      </c>
      <c r="H2434" s="2" t="n">
        <v>580000</v>
      </c>
      <c r="I2434" s="2" t="n">
        <f aca="false">(((H2434 / 800) / IF(ISBLANK(R2434), 1000000, IF(ISNA(VLOOKUP(R2434, Mileages!$A$2:$C$34, 2, 0)), R2434, VLOOKUP(R2434, Mileages!$A$2:$C$34, 2, 0)))) + (F2434 * IF(ISBLANK(P2434), 1, P2434) * IF(ISBLANK(T2434), 0, IF(ISNA(VLOOKUP(T2434, 'Fuel Costs'!$A$2:$C$42, 2, 0)), T2434, VLOOKUP(T2434, 'Fuel Costs'!$A$2:$C$42, 2, 0))) / IF(ISBLANK(O2434), 1, O2434))) * 100</f>
        <v>0.03020833333</v>
      </c>
      <c r="J2434" s="2" t="n">
        <f aca="false">((H2434 / 800) / (IF(ISBLANK(S2434), 100, IF(ISNA(VLOOKUP(S2434, Lives!$A$2:$C$35, 2, 0)), S2434, VLOOKUP(S2434, Lives!$A$2:$C$35, 2, 0))) * 12) + (IF(ISBLANK(Q2434), 0, IF(ISNA(VLOOKUP(Q2434, Wages!$A$2:$C$17, 2, 0)), Q2434, VLOOKUP(Q2434, Wages!$A$2:$C$17, 2, 0))) * IF(ISBLANK(N2434), 0, IF(ISNA(VLOOKUP(N2434, Crews!$A$2:$C$28, 2, 0)), N2434, VLOOKUP(N2434, Crews!$A$2:$C$28, 2, 0))))) * 400</f>
        <v>1208.333333</v>
      </c>
      <c r="K2434" s="1" t="s">
        <v>4749</v>
      </c>
      <c r="L2434" s="1" t="s">
        <v>4746</v>
      </c>
      <c r="M2434" s="1" t="n">
        <v>2</v>
      </c>
      <c r="N2434" s="1"/>
      <c r="O2434" s="1"/>
      <c r="P2434" s="1"/>
      <c r="Q2434" s="1"/>
      <c r="R2434" s="1" t="s">
        <v>4419</v>
      </c>
      <c r="S2434" s="1" t="s">
        <v>4470</v>
      </c>
      <c r="T2434" s="1"/>
    </row>
    <row r="2435" customFormat="false" ht="15" hidden="false" customHeight="true" outlineLevel="0" collapsed="false">
      <c r="A2435" s="1" t="s">
        <v>4751</v>
      </c>
      <c r="B2435" s="1" t="n">
        <v>1981</v>
      </c>
      <c r="C2435" s="1" t="n">
        <v>3</v>
      </c>
      <c r="D2435" s="1" t="s">
        <v>38</v>
      </c>
      <c r="E2435" s="1"/>
      <c r="F2435" s="1" t="n">
        <v>0</v>
      </c>
      <c r="G2435" s="1" t="n">
        <v>145</v>
      </c>
      <c r="H2435" s="2" t="n">
        <v>1400000</v>
      </c>
      <c r="I2435" s="2" t="n">
        <f aca="false">(((H2435 / 800) / IF(ISBLANK(R2435), 1000000, IF(ISNA(VLOOKUP(R2435, Mileages!$A$2:$C$34, 2, 0)), R2435, VLOOKUP(R2435, Mileages!$A$2:$C$34, 2, 0)))) + (F2435 * IF(ISBLANK(P2435), 1, P2435) * IF(ISBLANK(T2435), 0, IF(ISNA(VLOOKUP(T2435, 'Fuel Costs'!$A$2:$C$42, 2, 0)), T2435, VLOOKUP(T2435, 'Fuel Costs'!$A$2:$C$42, 2, 0))) / IF(ISBLANK(O2435), 1, O2435))) * 100</f>
        <v>0.07291666667</v>
      </c>
      <c r="J2435" s="2" t="n">
        <f aca="false">((H2435 / 800) / (IF(ISBLANK(S2435), 100, IF(ISNA(VLOOKUP(S2435, Lives!$A$2:$C$35, 2, 0)), S2435, VLOOKUP(S2435, Lives!$A$2:$C$35, 2, 0))) * 12) + (IF(ISBLANK(Q2435), 0, IF(ISNA(VLOOKUP(Q2435, Wages!$A$2:$C$17, 2, 0)), Q2435, VLOOKUP(Q2435, Wages!$A$2:$C$17, 2, 0))) * IF(ISBLANK(N2435), 0, IF(ISNA(VLOOKUP(N2435, Crews!$A$2:$C$28, 2, 0)), N2435, VLOOKUP(N2435, Crews!$A$2:$C$28, 2, 0))))) * 400</f>
        <v>2916.666667</v>
      </c>
      <c r="K2435" s="1" t="s">
        <v>4749</v>
      </c>
      <c r="L2435" s="1" t="s">
        <v>4746</v>
      </c>
      <c r="M2435" s="1" t="n">
        <v>3</v>
      </c>
      <c r="N2435" s="1"/>
      <c r="O2435" s="1"/>
      <c r="P2435" s="1"/>
      <c r="Q2435" s="1"/>
      <c r="R2435" s="1" t="s">
        <v>4419</v>
      </c>
      <c r="S2435" s="1" t="s">
        <v>4470</v>
      </c>
      <c r="T2435" s="1"/>
    </row>
    <row r="2436" customFormat="false" ht="15" hidden="false" customHeight="true" outlineLevel="0" collapsed="false">
      <c r="A2436" s="1" t="s">
        <v>4752</v>
      </c>
      <c r="B2436" s="1" t="n">
        <v>1981</v>
      </c>
      <c r="C2436" s="1" t="n">
        <v>4</v>
      </c>
      <c r="D2436" s="1" t="s">
        <v>21</v>
      </c>
      <c r="E2436" s="1" t="s">
        <v>2039</v>
      </c>
      <c r="F2436" s="1" t="n">
        <v>183</v>
      </c>
      <c r="G2436" s="1" t="n">
        <v>96</v>
      </c>
      <c r="H2436" s="2" t="n">
        <v>4800000</v>
      </c>
      <c r="I2436" s="2" t="n">
        <f aca="false">(((H2436 / 800) / IF(ISBLANK(R2436), 1000000, IF(ISNA(VLOOKUP(R2436, Mileages!$A$2:$C$34, 2, 0)), R2436, VLOOKUP(R2436, Mileages!$A$2:$C$34, 2, 0)))) + (F2436 * IF(ISBLANK(P2436), 1, P2436) * IF(ISBLANK(T2436), 0, IF(ISNA(VLOOKUP(T2436, 'Fuel Costs'!$A$2:$C$42, 2, 0)), T2436, VLOOKUP(T2436, 'Fuel Costs'!$A$2:$C$42, 2, 0))) / IF(ISBLANK(O2436), 1, O2436))) * 100</f>
        <v>55.2</v>
      </c>
      <c r="J2436" s="2" t="n">
        <f aca="false">((H2436 / 800) / (IF(ISBLANK(S2436), 100, IF(ISNA(VLOOKUP(S2436, Lives!$A$2:$C$35, 2, 0)), S2436, VLOOKUP(S2436, Lives!$A$2:$C$35, 2, 0))) * 12) + (IF(ISBLANK(Q2436), 0, IF(ISNA(VLOOKUP(Q2436, Wages!$A$2:$C$17, 2, 0)), Q2436, VLOOKUP(Q2436, Wages!$A$2:$C$17, 2, 0))) * IF(ISBLANK(N2436), 0, IF(ISNA(VLOOKUP(N2436, Crews!$A$2:$C$28, 2, 0)), N2436, VLOOKUP(N2436, Crews!$A$2:$C$28, 2, 0))))) * 400</f>
        <v>10500</v>
      </c>
      <c r="K2436" s="3" t="s">
        <v>4753</v>
      </c>
      <c r="L2436" s="1" t="s">
        <v>4754</v>
      </c>
      <c r="M2436" s="1" t="n">
        <v>0</v>
      </c>
      <c r="N2436" s="1" t="s">
        <v>1815</v>
      </c>
      <c r="O2436" s="1" t="n">
        <v>1</v>
      </c>
      <c r="P2436" s="1"/>
      <c r="Q2436" s="1" t="s">
        <v>1815</v>
      </c>
      <c r="R2436" s="1" t="s">
        <v>4725</v>
      </c>
      <c r="S2436" s="1" t="s">
        <v>1843</v>
      </c>
      <c r="T2436" s="1" t="s">
        <v>4726</v>
      </c>
    </row>
    <row r="2437" customFormat="false" ht="15" hidden="false" customHeight="true" outlineLevel="0" collapsed="false">
      <c r="A2437" s="1" t="s">
        <v>4755</v>
      </c>
      <c r="B2437" s="1" t="n">
        <v>1981</v>
      </c>
      <c r="C2437" s="1" t="n">
        <v>8</v>
      </c>
      <c r="D2437" s="1" t="s">
        <v>21</v>
      </c>
      <c r="E2437" s="1" t="s">
        <v>2039</v>
      </c>
      <c r="F2437" s="1" t="n">
        <v>194</v>
      </c>
      <c r="G2437" s="1" t="n">
        <v>70</v>
      </c>
      <c r="H2437" s="2" t="n">
        <v>2900000</v>
      </c>
      <c r="I2437" s="2" t="n">
        <f aca="false">(((H2437 / 800) / IF(ISBLANK(R2437), 1000000, IF(ISNA(VLOOKUP(R2437, Mileages!$A$2:$C$34, 2, 0)), R2437, VLOOKUP(R2437, Mileages!$A$2:$C$34, 2, 0)))) + (F2437 * IF(ISBLANK(P2437), 1, P2437) * IF(ISBLANK(T2437), 0, IF(ISNA(VLOOKUP(T2437, 'Fuel Costs'!$A$2:$C$42, 2, 0)), T2437, VLOOKUP(T2437, 'Fuel Costs'!$A$2:$C$42, 2, 0))) / IF(ISBLANK(O2437), 1, O2437))) * 100</f>
        <v>58.38125</v>
      </c>
      <c r="J2437" s="2" t="n">
        <f aca="false">((H2437 / 800) / (IF(ISBLANK(S2437), 100, IF(ISNA(VLOOKUP(S2437, Lives!$A$2:$C$35, 2, 0)), S2437, VLOOKUP(S2437, Lives!$A$2:$C$35, 2, 0))) * 12) + (IF(ISBLANK(Q2437), 0, IF(ISNA(VLOOKUP(Q2437, Wages!$A$2:$C$17, 2, 0)), Q2437, VLOOKUP(Q2437, Wages!$A$2:$C$17, 2, 0))) * IF(ISBLANK(N2437), 0, IF(ISNA(VLOOKUP(N2437, Crews!$A$2:$C$28, 2, 0)), N2437, VLOOKUP(N2437, Crews!$A$2:$C$28, 2, 0))))) * 400</f>
        <v>9510.416667</v>
      </c>
      <c r="K2437" s="3" t="s">
        <v>4756</v>
      </c>
      <c r="L2437" s="1" t="s">
        <v>4757</v>
      </c>
      <c r="M2437" s="1" t="n">
        <v>0</v>
      </c>
      <c r="N2437" s="1" t="s">
        <v>1815</v>
      </c>
      <c r="O2437" s="1" t="n">
        <v>1</v>
      </c>
      <c r="P2437" s="1"/>
      <c r="Q2437" s="1" t="s">
        <v>1815</v>
      </c>
      <c r="R2437" s="1" t="s">
        <v>4725</v>
      </c>
      <c r="S2437" s="1" t="s">
        <v>1843</v>
      </c>
      <c r="T2437" s="1" t="s">
        <v>4726</v>
      </c>
    </row>
    <row r="2438" customFormat="false" ht="15" hidden="false" customHeight="true" outlineLevel="0" collapsed="false">
      <c r="A2438" s="1" t="s">
        <v>4758</v>
      </c>
      <c r="B2438" s="1" t="n">
        <v>1981</v>
      </c>
      <c r="C2438" s="1" t="n">
        <v>8</v>
      </c>
      <c r="D2438" s="1" t="s">
        <v>21</v>
      </c>
      <c r="E2438" s="1" t="s">
        <v>2039</v>
      </c>
      <c r="F2438" s="1" t="n">
        <v>194</v>
      </c>
      <c r="G2438" s="1" t="n">
        <v>70</v>
      </c>
      <c r="H2438" s="2" t="n">
        <v>2800000</v>
      </c>
      <c r="I2438" s="2" t="n">
        <f aca="false">(((H2438 / 800) / IF(ISBLANK(R2438), 1000000, IF(ISNA(VLOOKUP(R2438, Mileages!$A$2:$C$34, 2, 0)), R2438, VLOOKUP(R2438, Mileages!$A$2:$C$34, 2, 0)))) + (F2438 * IF(ISBLANK(P2438), 1, P2438) * IF(ISBLANK(T2438), 0, IF(ISNA(VLOOKUP(T2438, 'Fuel Costs'!$A$2:$C$42, 2, 0)), T2438, VLOOKUP(T2438, 'Fuel Costs'!$A$2:$C$42, 2, 0))) / IF(ISBLANK(O2438), 1, O2438))) * 100</f>
        <v>58.43333333</v>
      </c>
      <c r="J2438" s="2" t="n">
        <f aca="false">((H2438 / 800) / (IF(ISBLANK(S2438), 100, IF(ISNA(VLOOKUP(S2438, Lives!$A$2:$C$35, 2, 0)), S2438, VLOOKUP(S2438, Lives!$A$2:$C$35, 2, 0))) * 12) + (IF(ISBLANK(Q2438), 0, IF(ISNA(VLOOKUP(Q2438, Wages!$A$2:$C$17, 2, 0)), Q2438, VLOOKUP(Q2438, Wages!$A$2:$C$17, 2, 0))) * IF(ISBLANK(N2438), 0, IF(ISNA(VLOOKUP(N2438, Crews!$A$2:$C$28, 2, 0)), N2438, VLOOKUP(N2438, Crews!$A$2:$C$28, 2, 0))))) * 400</f>
        <v>8916.666667</v>
      </c>
      <c r="K2438" s="3" t="s">
        <v>4673</v>
      </c>
      <c r="L2438" s="1" t="s">
        <v>4757</v>
      </c>
      <c r="M2438" s="1" t="n">
        <v>1</v>
      </c>
      <c r="N2438" s="1" t="s">
        <v>3064</v>
      </c>
      <c r="O2438" s="1" t="n">
        <v>1</v>
      </c>
      <c r="P2438" s="1"/>
      <c r="Q2438" s="1" t="s">
        <v>3064</v>
      </c>
      <c r="R2438" s="1" t="s">
        <v>4730</v>
      </c>
      <c r="S2438" s="1" t="s">
        <v>3064</v>
      </c>
      <c r="T2438" s="1" t="s">
        <v>4726</v>
      </c>
    </row>
    <row r="2439" customFormat="false" ht="15" hidden="false" customHeight="true" outlineLevel="0" collapsed="false">
      <c r="A2439" s="1" t="s">
        <v>4759</v>
      </c>
      <c r="B2439" s="1" t="n">
        <v>1982</v>
      </c>
      <c r="C2439" s="1" t="n">
        <v>1</v>
      </c>
      <c r="D2439" s="1" t="s">
        <v>38</v>
      </c>
      <c r="E2439" s="1"/>
      <c r="F2439" s="1"/>
      <c r="G2439" s="1" t="n">
        <v>120</v>
      </c>
      <c r="H2439" s="2" t="n">
        <v>569000</v>
      </c>
      <c r="I2439" s="2" t="n">
        <f aca="false">(((H2439 / 800) / IF(ISBLANK(R2439), 1000000, IF(ISNA(VLOOKUP(R2439, Mileages!$A$2:$C$34, 2, 0)), R2439, VLOOKUP(R2439, Mileages!$A$2:$C$34, 2, 0)))) + (F2439 * IF(ISBLANK(P2439), 1, P2439) * IF(ISBLANK(T2439), 0, IF(ISNA(VLOOKUP(T2439, 'Fuel Costs'!$A$2:$C$42, 2, 0)), T2439, VLOOKUP(T2439, 'Fuel Costs'!$A$2:$C$42, 2, 0))) / IF(ISBLANK(O2439), 1, O2439))) * 100</f>
        <v>0.02963541667</v>
      </c>
      <c r="J2439" s="2" t="n">
        <f aca="false">((H2439 / 800) / (IF(ISBLANK(S2439), 100, IF(ISNA(VLOOKUP(S2439, Lives!$A$2:$C$35, 2, 0)), S2439, VLOOKUP(S2439, Lives!$A$2:$C$35, 2, 0))) * 12) + (IF(ISBLANK(Q2439), 0, IF(ISNA(VLOOKUP(Q2439, Wages!$A$2:$C$17, 2, 0)), Q2439, VLOOKUP(Q2439, Wages!$A$2:$C$17, 2, 0))) * IF(ISBLANK(N2439), 0, IF(ISNA(VLOOKUP(N2439, Crews!$A$2:$C$28, 2, 0)), N2439, VLOOKUP(N2439, Crews!$A$2:$C$28, 2, 0))))) * 400</f>
        <v>237.0833333</v>
      </c>
      <c r="K2439" s="3" t="s">
        <v>4760</v>
      </c>
      <c r="L2439" s="1" t="s">
        <v>4761</v>
      </c>
      <c r="M2439" s="1" t="n">
        <v>1</v>
      </c>
      <c r="N2439" s="1"/>
      <c r="O2439" s="1"/>
      <c r="P2439" s="1"/>
      <c r="Q2439" s="1"/>
      <c r="R2439" s="1" t="s">
        <v>4419</v>
      </c>
      <c r="S2439" s="1" t="s">
        <v>4289</v>
      </c>
      <c r="T2439" s="1"/>
    </row>
    <row r="2440" customFormat="false" ht="15" hidden="false" customHeight="true" outlineLevel="0" collapsed="false">
      <c r="A2440" s="1" t="s">
        <v>4762</v>
      </c>
      <c r="B2440" s="1" t="n">
        <v>1982</v>
      </c>
      <c r="C2440" s="1" t="n">
        <v>3</v>
      </c>
      <c r="D2440" s="1" t="s">
        <v>38</v>
      </c>
      <c r="E2440" s="1" t="s">
        <v>1346</v>
      </c>
      <c r="F2440" s="1" t="n">
        <v>0</v>
      </c>
      <c r="G2440" s="1" t="n">
        <v>121</v>
      </c>
      <c r="H2440" s="2" t="n">
        <v>1860000</v>
      </c>
      <c r="I2440" s="2" t="n">
        <f aca="false">(((H2440 / 800) / IF(ISBLANK(R2440), 1000000, IF(ISNA(VLOOKUP(R2440, Mileages!$A$2:$C$34, 2, 0)), R2440, VLOOKUP(R2440, Mileages!$A$2:$C$34, 2, 0)))) + (F2440 * IF(ISBLANK(P2440), 1, P2440) * IF(ISBLANK(T2440), 0, IF(ISNA(VLOOKUP(T2440, 'Fuel Costs'!$A$2:$C$42, 2, 0)), T2440, VLOOKUP(T2440, 'Fuel Costs'!$A$2:$C$42, 2, 0))) / IF(ISBLANK(O2440), 1, O2440))) * 100</f>
        <v>0.096875</v>
      </c>
      <c r="J2440" s="2" t="n">
        <f aca="false">((H2440 / 800) / (IF(ISBLANK(S2440), 100, IF(ISNA(VLOOKUP(S2440, Lives!$A$2:$C$35, 2, 0)), S2440, VLOOKUP(S2440, Lives!$A$2:$C$35, 2, 0))) * 12) + (IF(ISBLANK(Q2440), 0, IF(ISNA(VLOOKUP(Q2440, Wages!$A$2:$C$17, 2, 0)), Q2440, VLOOKUP(Q2440, Wages!$A$2:$C$17, 2, 0))) * IF(ISBLANK(N2440), 0, IF(ISNA(VLOOKUP(N2440, Crews!$A$2:$C$28, 2, 0)), N2440, VLOOKUP(N2440, Crews!$A$2:$C$28, 2, 0))))) * 400</f>
        <v>3875</v>
      </c>
      <c r="K2440" s="1"/>
      <c r="L2440" s="1" t="s">
        <v>4763</v>
      </c>
      <c r="M2440" s="1" t="n">
        <v>0</v>
      </c>
      <c r="N2440" s="1"/>
      <c r="O2440" s="1"/>
      <c r="P2440" s="1"/>
      <c r="Q2440" s="1"/>
      <c r="R2440" s="1" t="s">
        <v>4419</v>
      </c>
      <c r="S2440" s="1" t="s">
        <v>4470</v>
      </c>
      <c r="T2440" s="1"/>
    </row>
    <row r="2441" customFormat="false" ht="15" hidden="false" customHeight="true" outlineLevel="0" collapsed="false">
      <c r="A2441" s="1" t="s">
        <v>4764</v>
      </c>
      <c r="B2441" s="1" t="n">
        <v>1982</v>
      </c>
      <c r="C2441" s="1" t="n">
        <v>3</v>
      </c>
      <c r="D2441" s="1" t="s">
        <v>38</v>
      </c>
      <c r="E2441" s="1" t="s">
        <v>1346</v>
      </c>
      <c r="F2441" s="1" t="n">
        <v>746</v>
      </c>
      <c r="G2441" s="1" t="n">
        <v>121</v>
      </c>
      <c r="H2441" s="2" t="n">
        <v>1860000</v>
      </c>
      <c r="I2441" s="2" t="n">
        <f aca="false">(((H2441 / 800) / IF(ISBLANK(R2441), 1000000, IF(ISNA(VLOOKUP(R2441, Mileages!$A$2:$C$34, 2, 0)), R2441, VLOOKUP(R2441, Mileages!$A$2:$C$34, 2, 0)))) + (F2441 * IF(ISBLANK(P2441), 1, P2441) * IF(ISBLANK(T2441), 0, IF(ISNA(VLOOKUP(T2441, 'Fuel Costs'!$A$2:$C$42, 2, 0)), T2441, VLOOKUP(T2441, 'Fuel Costs'!$A$2:$C$42, 2, 0))) / IF(ISBLANK(O2441), 1, O2441))) * 100</f>
        <v>74.71625</v>
      </c>
      <c r="J2441" s="2" t="n">
        <f aca="false">((H2441 / 800) / (IF(ISBLANK(S2441), 100, IF(ISNA(VLOOKUP(S2441, Lives!$A$2:$C$35, 2, 0)), S2441, VLOOKUP(S2441, Lives!$A$2:$C$35, 2, 0))) * 12) + (IF(ISBLANK(Q2441), 0, IF(ISNA(VLOOKUP(Q2441, Wages!$A$2:$C$17, 2, 0)), Q2441, VLOOKUP(Q2441, Wages!$A$2:$C$17, 2, 0))) * IF(ISBLANK(N2441), 0, IF(ISNA(VLOOKUP(N2441, Crews!$A$2:$C$28, 2, 0)), N2441, VLOOKUP(N2441, Crews!$A$2:$C$28, 2, 0))))) * 400</f>
        <v>10968.75</v>
      </c>
      <c r="K2441" s="1"/>
      <c r="L2441" s="1" t="s">
        <v>4763</v>
      </c>
      <c r="M2441" s="1" t="n">
        <v>1</v>
      </c>
      <c r="N2441" s="1" t="s">
        <v>1488</v>
      </c>
      <c r="O2441" s="1" t="n">
        <v>1</v>
      </c>
      <c r="P2441" s="1"/>
      <c r="Q2441" s="1" t="str">
        <f aca="false">IF(ISBLANK('Pak128 Britain In'!$N2441),,'Pak128 Britain In'!$N2441)</f>
        <v>ElectricDriverRail</v>
      </c>
      <c r="R2441" s="1" t="s">
        <v>4696</v>
      </c>
      <c r="S2441" s="1" t="s">
        <v>4696</v>
      </c>
      <c r="T2441" s="1" t="s">
        <v>4697</v>
      </c>
    </row>
    <row r="2442" customFormat="false" ht="15" hidden="false" customHeight="true" outlineLevel="0" collapsed="false">
      <c r="A2442" s="1" t="s">
        <v>4765</v>
      </c>
      <c r="B2442" s="1" t="n">
        <v>1982</v>
      </c>
      <c r="C2442" s="1" t="n">
        <v>3</v>
      </c>
      <c r="D2442" s="1" t="s">
        <v>38</v>
      </c>
      <c r="E2442" s="1" t="s">
        <v>1346</v>
      </c>
      <c r="F2442" s="1" t="n">
        <v>0</v>
      </c>
      <c r="G2442" s="1" t="n">
        <v>121</v>
      </c>
      <c r="H2442" s="2" t="n">
        <v>1860000</v>
      </c>
      <c r="I2442" s="2" t="n">
        <f aca="false">(((H2442 / 800) / IF(ISBLANK(R2442), 1000000, IF(ISNA(VLOOKUP(R2442, Mileages!$A$2:$C$34, 2, 0)), R2442, VLOOKUP(R2442, Mileages!$A$2:$C$34, 2, 0)))) + (F2442 * IF(ISBLANK(P2442), 1, P2442) * IF(ISBLANK(T2442), 0, IF(ISNA(VLOOKUP(T2442, 'Fuel Costs'!$A$2:$C$42, 2, 0)), T2442, VLOOKUP(T2442, 'Fuel Costs'!$A$2:$C$42, 2, 0))) / IF(ISBLANK(O2442), 1, O2442))) * 100</f>
        <v>0.096875</v>
      </c>
      <c r="J2442" s="2" t="n">
        <f aca="false">((H2442 / 800) / (IF(ISBLANK(S2442), 100, IF(ISNA(VLOOKUP(S2442, Lives!$A$2:$C$35, 2, 0)), S2442, VLOOKUP(S2442, Lives!$A$2:$C$35, 2, 0))) * 12) + (IF(ISBLANK(Q2442), 0, IF(ISNA(VLOOKUP(Q2442, Wages!$A$2:$C$17, 2, 0)), Q2442, VLOOKUP(Q2442, Wages!$A$2:$C$17, 2, 0))) * IF(ISBLANK(N2442), 0, IF(ISNA(VLOOKUP(N2442, Crews!$A$2:$C$28, 2, 0)), N2442, VLOOKUP(N2442, Crews!$A$2:$C$28, 2, 0))))) * 400</f>
        <v>3875</v>
      </c>
      <c r="K2442" s="1" t="s">
        <v>4766</v>
      </c>
      <c r="L2442" s="1" t="s">
        <v>4763</v>
      </c>
      <c r="M2442" s="1" t="n">
        <v>2</v>
      </c>
      <c r="N2442" s="1"/>
      <c r="O2442" s="1"/>
      <c r="P2442" s="1"/>
      <c r="Q2442" s="1"/>
      <c r="R2442" s="1" t="s">
        <v>4419</v>
      </c>
      <c r="S2442" s="1" t="s">
        <v>4470</v>
      </c>
      <c r="T2442" s="1"/>
    </row>
    <row r="2443" customFormat="false" ht="15" hidden="false" customHeight="true" outlineLevel="0" collapsed="false">
      <c r="A2443" s="1" t="s">
        <v>4767</v>
      </c>
      <c r="B2443" s="1" t="n">
        <v>1982</v>
      </c>
      <c r="C2443" s="1" t="n">
        <v>3</v>
      </c>
      <c r="D2443" s="1" t="s">
        <v>38</v>
      </c>
      <c r="E2443" s="1" t="s">
        <v>1346</v>
      </c>
      <c r="F2443" s="1" t="n">
        <v>0</v>
      </c>
      <c r="G2443" s="1" t="n">
        <v>121</v>
      </c>
      <c r="H2443" s="2" t="n">
        <v>1860000</v>
      </c>
      <c r="I2443" s="2" t="n">
        <f aca="false">(((H2443 / 800) / IF(ISBLANK(R2443), 1000000, IF(ISNA(VLOOKUP(R2443, Mileages!$A$2:$C$34, 2, 0)), R2443, VLOOKUP(R2443, Mileages!$A$2:$C$34, 2, 0)))) + (F2443 * IF(ISBLANK(P2443), 1, P2443) * IF(ISBLANK(T2443), 0, IF(ISNA(VLOOKUP(T2443, 'Fuel Costs'!$A$2:$C$42, 2, 0)), T2443, VLOOKUP(T2443, 'Fuel Costs'!$A$2:$C$42, 2, 0))) / IF(ISBLANK(O2443), 1, O2443))) * 100</f>
        <v>0.096875</v>
      </c>
      <c r="J2443" s="2" t="n">
        <f aca="false">((H2443 / 800) / (IF(ISBLANK(S2443), 100, IF(ISNA(VLOOKUP(S2443, Lives!$A$2:$C$35, 2, 0)), S2443, VLOOKUP(S2443, Lives!$A$2:$C$35, 2, 0))) * 12) + (IF(ISBLANK(Q2443), 0, IF(ISNA(VLOOKUP(Q2443, Wages!$A$2:$C$17, 2, 0)), Q2443, VLOOKUP(Q2443, Wages!$A$2:$C$17, 2, 0))) * IF(ISBLANK(N2443), 0, IF(ISNA(VLOOKUP(N2443, Crews!$A$2:$C$28, 2, 0)), N2443, VLOOKUP(N2443, Crews!$A$2:$C$28, 2, 0))))) * 400</f>
        <v>3875</v>
      </c>
      <c r="K2443" s="1"/>
      <c r="L2443" s="1" t="s">
        <v>4763</v>
      </c>
      <c r="M2443" s="1" t="n">
        <v>3</v>
      </c>
      <c r="N2443" s="1"/>
      <c r="O2443" s="1"/>
      <c r="P2443" s="1"/>
      <c r="Q2443" s="1"/>
      <c r="R2443" s="1" t="s">
        <v>4419</v>
      </c>
      <c r="S2443" s="1" t="s">
        <v>4470</v>
      </c>
      <c r="T2443" s="1"/>
    </row>
    <row r="2444" customFormat="false" ht="15" hidden="false" customHeight="true" outlineLevel="0" collapsed="false">
      <c r="A2444" s="1" t="s">
        <v>4768</v>
      </c>
      <c r="B2444" s="1" t="n">
        <v>1982</v>
      </c>
      <c r="C2444" s="1" t="n">
        <v>5</v>
      </c>
      <c r="D2444" s="1" t="s">
        <v>38</v>
      </c>
      <c r="E2444" s="1"/>
      <c r="F2444" s="1"/>
      <c r="G2444" s="1" t="n">
        <v>120</v>
      </c>
      <c r="H2444" s="2" t="n">
        <v>569000</v>
      </c>
      <c r="I2444" s="2" t="n">
        <f aca="false">(((H2444 / 800) / IF(ISBLANK(R2444), 1000000, IF(ISNA(VLOOKUP(R2444, Mileages!$A$2:$C$34, 2, 0)), R2444, VLOOKUP(R2444, Mileages!$A$2:$C$34, 2, 0)))) + (F2444 * IF(ISBLANK(P2444), 1, P2444) * IF(ISBLANK(T2444), 0, IF(ISNA(VLOOKUP(T2444, 'Fuel Costs'!$A$2:$C$42, 2, 0)), T2444, VLOOKUP(T2444, 'Fuel Costs'!$A$2:$C$42, 2, 0))) / IF(ISBLANK(O2444), 1, O2444))) * 100</f>
        <v>0.02963541667</v>
      </c>
      <c r="J2444" s="2" t="n">
        <f aca="false">((H2444 / 800) / (IF(ISBLANK(S2444), 100, IF(ISNA(VLOOKUP(S2444, Lives!$A$2:$C$35, 2, 0)), S2444, VLOOKUP(S2444, Lives!$A$2:$C$35, 2, 0))) * 12) + (IF(ISBLANK(Q2444), 0, IF(ISNA(VLOOKUP(Q2444, Wages!$A$2:$C$17, 2, 0)), Q2444, VLOOKUP(Q2444, Wages!$A$2:$C$17, 2, 0))) * IF(ISBLANK(N2444), 0, IF(ISNA(VLOOKUP(N2444, Crews!$A$2:$C$28, 2, 0)), N2444, VLOOKUP(N2444, Crews!$A$2:$C$28, 2, 0))))) * 400</f>
        <v>237.0833333</v>
      </c>
      <c r="K2444" s="3" t="s">
        <v>4769</v>
      </c>
      <c r="L2444" s="1" t="s">
        <v>4761</v>
      </c>
      <c r="M2444" s="1" t="n">
        <v>0</v>
      </c>
      <c r="N2444" s="1"/>
      <c r="O2444" s="1"/>
      <c r="P2444" s="1"/>
      <c r="Q2444" s="1"/>
      <c r="R2444" s="1" t="s">
        <v>4419</v>
      </c>
      <c r="S2444" s="1" t="s">
        <v>4289</v>
      </c>
      <c r="T2444" s="1"/>
    </row>
    <row r="2445" customFormat="false" ht="15" hidden="false" customHeight="true" outlineLevel="0" collapsed="false">
      <c r="A2445" s="1" t="s">
        <v>4770</v>
      </c>
      <c r="B2445" s="1" t="n">
        <v>1982</v>
      </c>
      <c r="C2445" s="1" t="n">
        <v>7</v>
      </c>
      <c r="D2445" s="1" t="s">
        <v>2225</v>
      </c>
      <c r="E2445" s="1" t="s">
        <v>3660</v>
      </c>
      <c r="F2445" s="1" t="n">
        <v>1163</v>
      </c>
      <c r="G2445" s="1" t="n">
        <v>371</v>
      </c>
      <c r="H2445" s="2" t="n">
        <v>3200000</v>
      </c>
      <c r="I2445" s="2" t="n">
        <f aca="false">(((H2445 / 800) / IF(ISBLANK(R2445), 1000000, IF(ISNA(VLOOKUP(R2445, Mileages!$A$2:$C$34, 2, 0)), R2445, VLOOKUP(R2445, Mileages!$A$2:$C$34, 2, 0)))) + (F2445 * IF(ISBLANK(P2445), 1, P2445) * IF(ISBLANK(T2445), 0, IF(ISNA(VLOOKUP(T2445, 'Fuel Costs'!$A$2:$C$42, 2, 0)), T2445, VLOOKUP(T2445, 'Fuel Costs'!$A$2:$C$42, 2, 0))) / IF(ISBLANK(O2445), 1, O2445))) * 100</f>
        <v>4.665333333</v>
      </c>
      <c r="J2445" s="2" t="n">
        <f aca="false">((H2445 / 800) / (IF(ISBLANK(S2445), 100, IF(ISNA(VLOOKUP(S2445, Lives!$A$2:$C$35, 2, 0)), S2445, VLOOKUP(S2445, Lives!$A$2:$C$35, 2, 0))) * 12) + (IF(ISBLANK(Q2445), 0, IF(ISNA(VLOOKUP(Q2445, Wages!$A$2:$C$17, 2, 0)), Q2445, VLOOKUP(Q2445, Wages!$A$2:$C$17, 2, 0))) * IF(ISBLANK(N2445), 0, IF(ISNA(VLOOKUP(N2445, Crews!$A$2:$C$28, 2, 0)), N2445, VLOOKUP(N2445, Crews!$A$2:$C$28, 2, 0))))) * 400</f>
        <v>52222.22222</v>
      </c>
      <c r="K2445" s="3" t="s">
        <v>4771</v>
      </c>
      <c r="L2445" s="1" t="s">
        <v>4772</v>
      </c>
      <c r="M2445" s="1" t="n">
        <v>0</v>
      </c>
      <c r="N2445" s="1" t="s">
        <v>2342</v>
      </c>
      <c r="O2445" s="1"/>
      <c r="P2445" s="1" t="n">
        <v>0.02</v>
      </c>
      <c r="Q2445" s="1" t="s">
        <v>2229</v>
      </c>
      <c r="R2445" s="1" t="s">
        <v>4413</v>
      </c>
      <c r="S2445" s="1" t="s">
        <v>2229</v>
      </c>
      <c r="T2445" s="1" t="s">
        <v>4773</v>
      </c>
    </row>
    <row r="2446" customFormat="false" ht="15" hidden="false" customHeight="true" outlineLevel="0" collapsed="false">
      <c r="A2446" s="1" t="s">
        <v>4774</v>
      </c>
      <c r="B2446" s="1" t="n">
        <v>1982</v>
      </c>
      <c r="C2446" s="1" t="n">
        <v>7</v>
      </c>
      <c r="D2446" s="1" t="s">
        <v>2225</v>
      </c>
      <c r="E2446" s="1" t="s">
        <v>3660</v>
      </c>
      <c r="F2446" s="1" t="n">
        <v>1163</v>
      </c>
      <c r="G2446" s="1" t="n">
        <v>371</v>
      </c>
      <c r="H2446" s="2" t="n">
        <v>3200000</v>
      </c>
      <c r="I2446" s="2" t="n">
        <f aca="false">(((H2446 / 800) / IF(ISBLANK(R2446), 1000000, IF(ISNA(VLOOKUP(R2446, Mileages!$A$2:$C$34, 2, 0)), R2446, VLOOKUP(R2446, Mileages!$A$2:$C$34, 2, 0)))) + (F2446 * IF(ISBLANK(P2446), 1, P2446) * IF(ISBLANK(T2446), 0, IF(ISNA(VLOOKUP(T2446, 'Fuel Costs'!$A$2:$C$42, 2, 0)), T2446, VLOOKUP(T2446, 'Fuel Costs'!$A$2:$C$42, 2, 0))) / IF(ISBLANK(O2446), 1, O2446))) * 100</f>
        <v>4.665333333</v>
      </c>
      <c r="J2446" s="2" t="n">
        <f aca="false">((H2446 / 800) / (IF(ISBLANK(S2446), 100, IF(ISNA(VLOOKUP(S2446, Lives!$A$2:$C$35, 2, 0)), S2446, VLOOKUP(S2446, Lives!$A$2:$C$35, 2, 0))) * 12) + (IF(ISBLANK(Q2446), 0, IF(ISNA(VLOOKUP(Q2446, Wages!$A$2:$C$17, 2, 0)), Q2446, VLOOKUP(Q2446, Wages!$A$2:$C$17, 2, 0))) * IF(ISBLANK(N2446), 0, IF(ISNA(VLOOKUP(N2446, Crews!$A$2:$C$28, 2, 0)), N2446, VLOOKUP(N2446, Crews!$A$2:$C$28, 2, 0))))) * 400</f>
        <v>12222.22222</v>
      </c>
      <c r="K2446" s="3" t="s">
        <v>4447</v>
      </c>
      <c r="L2446" s="1" t="s">
        <v>4772</v>
      </c>
      <c r="M2446" s="1" t="n">
        <v>1</v>
      </c>
      <c r="N2446" s="1" t="s">
        <v>25</v>
      </c>
      <c r="O2446" s="1"/>
      <c r="P2446" s="1" t="n">
        <v>0.02</v>
      </c>
      <c r="Q2446" s="1" t="s">
        <v>2229</v>
      </c>
      <c r="R2446" s="1" t="s">
        <v>4413</v>
      </c>
      <c r="S2446" s="1" t="s">
        <v>2229</v>
      </c>
      <c r="T2446" s="1" t="s">
        <v>4773</v>
      </c>
    </row>
    <row r="2447" customFormat="false" ht="15" hidden="false" customHeight="true" outlineLevel="0" collapsed="false">
      <c r="A2447" s="1" t="s">
        <v>4775</v>
      </c>
      <c r="B2447" s="1" t="n">
        <v>1982</v>
      </c>
      <c r="C2447" s="1" t="n">
        <v>12</v>
      </c>
      <c r="D2447" s="1" t="s">
        <v>38</v>
      </c>
      <c r="E2447" s="1" t="s">
        <v>2039</v>
      </c>
      <c r="F2447" s="1" t="n">
        <v>2460</v>
      </c>
      <c r="G2447" s="1" t="n">
        <v>130</v>
      </c>
      <c r="H2447" s="2" t="n">
        <v>7606000</v>
      </c>
      <c r="I2447" s="2" t="n">
        <f aca="false">(((H2447 / 800) / IF(ISBLANK(R2447), 1000000, IF(ISNA(VLOOKUP(R2447, Mileages!$A$2:$C$34, 2, 0)), R2447, VLOOKUP(R2447, Mileages!$A$2:$C$34, 2, 0)))) + (F2447 * IF(ISBLANK(P2447), 1, P2447) * IF(ISBLANK(T2447), 0, IF(ISNA(VLOOKUP(T2447, 'Fuel Costs'!$A$2:$C$42, 2, 0)), T2447, VLOOKUP(T2447, 'Fuel Costs'!$A$2:$C$42, 2, 0))) / IF(ISBLANK(O2447), 1, O2447))) * 100</f>
        <v>738.475375</v>
      </c>
      <c r="J2447" s="2" t="n">
        <f aca="false">((H2447 / 800) / (IF(ISBLANK(S2447), 100, IF(ISNA(VLOOKUP(S2447, Lives!$A$2:$C$35, 2, 0)), S2447, VLOOKUP(S2447, Lives!$A$2:$C$35, 2, 0))) * 12) + (IF(ISBLANK(Q2447), 0, IF(ISNA(VLOOKUP(Q2447, Wages!$A$2:$C$17, 2, 0)), Q2447, VLOOKUP(Q2447, Wages!$A$2:$C$17, 2, 0))) * IF(ISBLANK(N2447), 0, IF(ISNA(VLOOKUP(N2447, Crews!$A$2:$C$28, 2, 0)), N2447, VLOOKUP(N2447, Crews!$A$2:$C$28, 2, 0))))) * 400</f>
        <v>13961.45833</v>
      </c>
      <c r="K2447" s="3" t="s">
        <v>4776</v>
      </c>
      <c r="L2447" s="1" t="s">
        <v>4777</v>
      </c>
      <c r="M2447" s="1" t="n">
        <v>0</v>
      </c>
      <c r="N2447" s="1" t="s">
        <v>1488</v>
      </c>
      <c r="O2447" s="1" t="n">
        <v>1</v>
      </c>
      <c r="P2447" s="1"/>
      <c r="Q2447" s="1" t="s">
        <v>1488</v>
      </c>
      <c r="R2447" s="1" t="s">
        <v>4747</v>
      </c>
      <c r="S2447" s="1" t="s">
        <v>4747</v>
      </c>
      <c r="T2447" s="1" t="s">
        <v>4726</v>
      </c>
    </row>
    <row r="2448" customFormat="false" ht="15" hidden="false" customHeight="true" outlineLevel="0" collapsed="false">
      <c r="A2448" s="1" t="s">
        <v>4778</v>
      </c>
      <c r="B2448" s="1" t="n">
        <v>1983</v>
      </c>
      <c r="C2448" s="1" t="n">
        <v>3</v>
      </c>
      <c r="D2448" s="1" t="s">
        <v>38</v>
      </c>
      <c r="E2448" s="1" t="s">
        <v>1346</v>
      </c>
      <c r="F2448" s="1" t="n">
        <v>350</v>
      </c>
      <c r="G2448" s="1" t="n">
        <v>100</v>
      </c>
      <c r="H2448" s="2" t="n">
        <v>1550000</v>
      </c>
      <c r="I2448" s="2" t="n">
        <f aca="false">(((H2448 / 800) / IF(ISBLANK(R2448), 1000000, IF(ISNA(VLOOKUP(R2448, Mileages!$A$2:$C$34, 2, 0)), R2448, VLOOKUP(R2448, Mileages!$A$2:$C$34, 2, 0)))) + (F2448 * IF(ISBLANK(P2448), 1, P2448) * IF(ISBLANK(T2448), 0, IF(ISNA(VLOOKUP(T2448, 'Fuel Costs'!$A$2:$C$42, 2, 0)), T2448, VLOOKUP(T2448, 'Fuel Costs'!$A$2:$C$42, 2, 0))) / IF(ISBLANK(O2448), 1, O2448))) * 100</f>
        <v>35.096875</v>
      </c>
      <c r="J2448" s="2" t="n">
        <f aca="false">((H2448 / 800) / (IF(ISBLANK(S2448), 100, IF(ISNA(VLOOKUP(S2448, Lives!$A$2:$C$35, 2, 0)), S2448, VLOOKUP(S2448, Lives!$A$2:$C$35, 2, 0))) * 12) + (IF(ISBLANK(Q2448), 0, IF(ISNA(VLOOKUP(Q2448, Wages!$A$2:$C$17, 2, 0)), Q2448, VLOOKUP(Q2448, Wages!$A$2:$C$17, 2, 0))) * IF(ISBLANK(N2448), 0, IF(ISNA(VLOOKUP(N2448, Crews!$A$2:$C$28, 2, 0)), N2448, VLOOKUP(N2448, Crews!$A$2:$C$28, 2, 0))))) * 400</f>
        <v>7291.666667</v>
      </c>
      <c r="K2448" s="1"/>
      <c r="L2448" s="1" t="s">
        <v>4779</v>
      </c>
      <c r="M2448" s="1" t="n">
        <v>0</v>
      </c>
      <c r="N2448" s="1" t="s">
        <v>1512</v>
      </c>
      <c r="O2448" s="1" t="n">
        <v>1</v>
      </c>
      <c r="P2448" s="1"/>
      <c r="Q2448" s="1" t="str">
        <f aca="false">IF(ISBLANK('Pak128 Britain In'!$N2448),,'Pak128 Britain In'!$N2448)</f>
        <v>ElectricMultipleUnit</v>
      </c>
      <c r="R2448" s="1" t="s">
        <v>4696</v>
      </c>
      <c r="S2448" s="1" t="s">
        <v>1350</v>
      </c>
      <c r="T2448" s="1" t="s">
        <v>4697</v>
      </c>
    </row>
    <row r="2449" customFormat="false" ht="15" hidden="false" customHeight="true" outlineLevel="0" collapsed="false">
      <c r="A2449" s="1" t="s">
        <v>4780</v>
      </c>
      <c r="B2449" s="1" t="n">
        <v>1983</v>
      </c>
      <c r="C2449" s="1" t="n">
        <v>3</v>
      </c>
      <c r="D2449" s="1" t="s">
        <v>38</v>
      </c>
      <c r="E2449" s="1" t="s">
        <v>1346</v>
      </c>
      <c r="F2449" s="1" t="n">
        <v>350</v>
      </c>
      <c r="G2449" s="1" t="n">
        <v>100</v>
      </c>
      <c r="H2449" s="2" t="n">
        <v>1550000</v>
      </c>
      <c r="I2449" s="2" t="n">
        <f aca="false">(((H2449 / 800) / IF(ISBLANK(R2449), 1000000, IF(ISNA(VLOOKUP(R2449, Mileages!$A$2:$C$34, 2, 0)), R2449, VLOOKUP(R2449, Mileages!$A$2:$C$34, 2, 0)))) + (F2449 * IF(ISBLANK(P2449), 1, P2449) * IF(ISBLANK(T2449), 0, IF(ISNA(VLOOKUP(T2449, 'Fuel Costs'!$A$2:$C$42, 2, 0)), T2449, VLOOKUP(T2449, 'Fuel Costs'!$A$2:$C$42, 2, 0))) / IF(ISBLANK(O2449), 1, O2449))) * 100</f>
        <v>35.096875</v>
      </c>
      <c r="J2449" s="2" t="n">
        <f aca="false">((H2449 / 800) / (IF(ISBLANK(S2449), 100, IF(ISNA(VLOOKUP(S2449, Lives!$A$2:$C$35, 2, 0)), S2449, VLOOKUP(S2449, Lives!$A$2:$C$35, 2, 0))) * 12) + (IF(ISBLANK(Q2449), 0, IF(ISNA(VLOOKUP(Q2449, Wages!$A$2:$C$17, 2, 0)), Q2449, VLOOKUP(Q2449, Wages!$A$2:$C$17, 2, 0))) * IF(ISBLANK(N2449), 0, IF(ISNA(VLOOKUP(N2449, Crews!$A$2:$C$28, 2, 0)), N2449, VLOOKUP(N2449, Crews!$A$2:$C$28, 2, 0))))) * 400</f>
        <v>7291.666667</v>
      </c>
      <c r="K2449" s="1"/>
      <c r="L2449" s="1" t="s">
        <v>4779</v>
      </c>
      <c r="M2449" s="1" t="n">
        <v>1</v>
      </c>
      <c r="N2449" s="1" t="s">
        <v>1512</v>
      </c>
      <c r="O2449" s="1" t="n">
        <v>1</v>
      </c>
      <c r="P2449" s="1"/>
      <c r="Q2449" s="1" t="str">
        <f aca="false">IF(ISBLANK('Pak128 Britain In'!$N2449),,'Pak128 Britain In'!$N2449)</f>
        <v>ElectricMultipleUnit</v>
      </c>
      <c r="R2449" s="1" t="s">
        <v>4696</v>
      </c>
      <c r="S2449" s="1" t="s">
        <v>1350</v>
      </c>
      <c r="T2449" s="1" t="s">
        <v>4697</v>
      </c>
    </row>
    <row r="2450" customFormat="false" ht="15" hidden="false" customHeight="true" outlineLevel="0" collapsed="false">
      <c r="A2450" s="1" t="s">
        <v>4781</v>
      </c>
      <c r="B2450" s="1" t="n">
        <v>1983</v>
      </c>
      <c r="C2450" s="1" t="n">
        <v>3</v>
      </c>
      <c r="D2450" s="1" t="s">
        <v>38</v>
      </c>
      <c r="E2450" s="1" t="s">
        <v>1346</v>
      </c>
      <c r="F2450" s="1"/>
      <c r="G2450" s="1" t="n">
        <v>100</v>
      </c>
      <c r="H2450" s="2" t="n">
        <v>700000</v>
      </c>
      <c r="I2450" s="2" t="n">
        <f aca="false">(((H2450 / 800) / IF(ISBLANK(R2450), 1000000, IF(ISNA(VLOOKUP(R2450, Mileages!$A$2:$C$34, 2, 0)), R2450, VLOOKUP(R2450, Mileages!$A$2:$C$34, 2, 0)))) + (F2450 * IF(ISBLANK(P2450), 1, P2450) * IF(ISBLANK(T2450), 0, IF(ISNA(VLOOKUP(T2450, 'Fuel Costs'!$A$2:$C$42, 2, 0)), T2450, VLOOKUP(T2450, 'Fuel Costs'!$A$2:$C$42, 2, 0))) / IF(ISBLANK(O2450), 1, O2450))) * 100</f>
        <v>0.03645833333</v>
      </c>
      <c r="J2450" s="2" t="n">
        <f aca="false">((H2450 / 800) / (IF(ISBLANK(S2450), 100, IF(ISNA(VLOOKUP(S2450, Lives!$A$2:$C$35, 2, 0)), S2450, VLOOKUP(S2450, Lives!$A$2:$C$35, 2, 0))) * 12) + (IF(ISBLANK(Q2450), 0, IF(ISNA(VLOOKUP(Q2450, Wages!$A$2:$C$17, 2, 0)), Q2450, VLOOKUP(Q2450, Wages!$A$2:$C$17, 2, 0))) * IF(ISBLANK(N2450), 0, IF(ISNA(VLOOKUP(N2450, Crews!$A$2:$C$28, 2, 0)), N2450, VLOOKUP(N2450, Crews!$A$2:$C$28, 2, 0))))) * 400</f>
        <v>1458.333333</v>
      </c>
      <c r="K2450" s="1"/>
      <c r="L2450" s="1" t="s">
        <v>4779</v>
      </c>
      <c r="M2450" s="1" t="n">
        <v>2</v>
      </c>
      <c r="N2450" s="1"/>
      <c r="O2450" s="1"/>
      <c r="P2450" s="1"/>
      <c r="Q2450" s="1"/>
      <c r="R2450" s="1" t="s">
        <v>4419</v>
      </c>
      <c r="S2450" s="1" t="s">
        <v>4470</v>
      </c>
      <c r="T2450" s="1"/>
    </row>
    <row r="2451" customFormat="false" ht="15" hidden="false" customHeight="true" outlineLevel="0" collapsed="false">
      <c r="A2451" s="1" t="s">
        <v>4782</v>
      </c>
      <c r="B2451" s="1" t="n">
        <v>1983</v>
      </c>
      <c r="C2451" s="1" t="n">
        <v>3</v>
      </c>
      <c r="D2451" s="1" t="s">
        <v>38</v>
      </c>
      <c r="E2451" s="1" t="s">
        <v>1346</v>
      </c>
      <c r="F2451" s="1" t="n">
        <v>350</v>
      </c>
      <c r="G2451" s="1" t="n">
        <v>100</v>
      </c>
      <c r="H2451" s="2" t="n">
        <v>1550000</v>
      </c>
      <c r="I2451" s="2" t="n">
        <f aca="false">(((H2451 / 800) / IF(ISBLANK(R2451), 1000000, IF(ISNA(VLOOKUP(R2451, Mileages!$A$2:$C$34, 2, 0)), R2451, VLOOKUP(R2451, Mileages!$A$2:$C$34, 2, 0)))) + (F2451 * IF(ISBLANK(P2451), 1, P2451) * IF(ISBLANK(T2451), 0, IF(ISNA(VLOOKUP(T2451, 'Fuel Costs'!$A$2:$C$42, 2, 0)), T2451, VLOOKUP(T2451, 'Fuel Costs'!$A$2:$C$42, 2, 0))) / IF(ISBLANK(O2451), 1, O2451))) * 100</f>
        <v>35.096875</v>
      </c>
      <c r="J2451" s="2" t="n">
        <f aca="false">((H2451 / 800) / (IF(ISBLANK(S2451), 100, IF(ISNA(VLOOKUP(S2451, Lives!$A$2:$C$35, 2, 0)), S2451, VLOOKUP(S2451, Lives!$A$2:$C$35, 2, 0))) * 12) + (IF(ISBLANK(Q2451), 0, IF(ISNA(VLOOKUP(Q2451, Wages!$A$2:$C$17, 2, 0)), Q2451, VLOOKUP(Q2451, Wages!$A$2:$C$17, 2, 0))) * IF(ISBLANK(N2451), 0, IF(ISNA(VLOOKUP(N2451, Crews!$A$2:$C$28, 2, 0)), N2451, VLOOKUP(N2451, Crews!$A$2:$C$28, 2, 0))))) * 400</f>
        <v>7291.666667</v>
      </c>
      <c r="K2451" s="1"/>
      <c r="L2451" s="1" t="s">
        <v>4779</v>
      </c>
      <c r="M2451" s="1" t="n">
        <v>4</v>
      </c>
      <c r="N2451" s="1" t="s">
        <v>1512</v>
      </c>
      <c r="O2451" s="1" t="n">
        <v>1</v>
      </c>
      <c r="P2451" s="1"/>
      <c r="Q2451" s="1" t="str">
        <f aca="false">IF(ISBLANK('Pak128 Britain In'!$N2451),,'Pak128 Britain In'!$N2451)</f>
        <v>ElectricMultipleUnit</v>
      </c>
      <c r="R2451" s="1" t="s">
        <v>4696</v>
      </c>
      <c r="S2451" s="1" t="s">
        <v>1350</v>
      </c>
      <c r="T2451" s="1" t="s">
        <v>4697</v>
      </c>
    </row>
    <row r="2452" customFormat="false" ht="15" hidden="false" customHeight="true" outlineLevel="0" collapsed="false">
      <c r="A2452" s="1" t="s">
        <v>4783</v>
      </c>
      <c r="B2452" s="1" t="n">
        <v>1983</v>
      </c>
      <c r="C2452" s="1" t="n">
        <v>3</v>
      </c>
      <c r="D2452" s="1" t="s">
        <v>38</v>
      </c>
      <c r="E2452" s="1" t="s">
        <v>1346</v>
      </c>
      <c r="F2452" s="1" t="n">
        <v>350</v>
      </c>
      <c r="G2452" s="1" t="n">
        <v>100</v>
      </c>
      <c r="H2452" s="2" t="n">
        <v>1550000</v>
      </c>
      <c r="I2452" s="2" t="n">
        <f aca="false">(((H2452 / 800) / IF(ISBLANK(R2452), 1000000, IF(ISNA(VLOOKUP(R2452, Mileages!$A$2:$C$34, 2, 0)), R2452, VLOOKUP(R2452, Mileages!$A$2:$C$34, 2, 0)))) + (F2452 * IF(ISBLANK(P2452), 1, P2452) * IF(ISBLANK(T2452), 0, IF(ISNA(VLOOKUP(T2452, 'Fuel Costs'!$A$2:$C$42, 2, 0)), T2452, VLOOKUP(T2452, 'Fuel Costs'!$A$2:$C$42, 2, 0))) / IF(ISBLANK(O2452), 1, O2452))) * 100</f>
        <v>35.096875</v>
      </c>
      <c r="J2452" s="2" t="n">
        <f aca="false">((H2452 / 800) / (IF(ISBLANK(S2452), 100, IF(ISNA(VLOOKUP(S2452, Lives!$A$2:$C$35, 2, 0)), S2452, VLOOKUP(S2452, Lives!$A$2:$C$35, 2, 0))) * 12) + (IF(ISBLANK(Q2452), 0, IF(ISNA(VLOOKUP(Q2452, Wages!$A$2:$C$17, 2, 0)), Q2452, VLOOKUP(Q2452, Wages!$A$2:$C$17, 2, 0))) * IF(ISBLANK(N2452), 0, IF(ISNA(VLOOKUP(N2452, Crews!$A$2:$C$28, 2, 0)), N2452, VLOOKUP(N2452, Crews!$A$2:$C$28, 2, 0))))) * 400</f>
        <v>7291.666667</v>
      </c>
      <c r="K2452" s="1"/>
      <c r="L2452" s="1" t="s">
        <v>4779</v>
      </c>
      <c r="M2452" s="1" t="n">
        <v>5</v>
      </c>
      <c r="N2452" s="1" t="s">
        <v>1512</v>
      </c>
      <c r="O2452" s="1" t="n">
        <v>1</v>
      </c>
      <c r="P2452" s="1"/>
      <c r="Q2452" s="1" t="str">
        <f aca="false">IF(ISBLANK('Pak128 Britain In'!$N2452),,'Pak128 Britain In'!$N2452)</f>
        <v>ElectricMultipleUnit</v>
      </c>
      <c r="R2452" s="1" t="s">
        <v>4696</v>
      </c>
      <c r="S2452" s="1" t="s">
        <v>1350</v>
      </c>
      <c r="T2452" s="1" t="s">
        <v>4697</v>
      </c>
    </row>
    <row r="2453" customFormat="false" ht="15" hidden="false" customHeight="true" outlineLevel="0" collapsed="false">
      <c r="A2453" s="1" t="s">
        <v>4784</v>
      </c>
      <c r="B2453" s="1" t="n">
        <v>1983</v>
      </c>
      <c r="C2453" s="1" t="n">
        <v>3</v>
      </c>
      <c r="D2453" s="1" t="s">
        <v>38</v>
      </c>
      <c r="E2453" s="1" t="s">
        <v>1346</v>
      </c>
      <c r="F2453" s="1" t="n">
        <v>370</v>
      </c>
      <c r="G2453" s="1" t="n">
        <v>145</v>
      </c>
      <c r="H2453" s="2" t="n">
        <v>1500000</v>
      </c>
      <c r="I2453" s="2" t="n">
        <f aca="false">(((H2453 / 800) / IF(ISBLANK(R2453), 1000000, IF(ISNA(VLOOKUP(R2453, Mileages!$A$2:$C$34, 2, 0)), R2453, VLOOKUP(R2453, Mileages!$A$2:$C$34, 2, 0)))) + (F2453 * IF(ISBLANK(P2453), 1, P2453) * IF(ISBLANK(T2453), 0, IF(ISNA(VLOOKUP(T2453, 'Fuel Costs'!$A$2:$C$42, 2, 0)), T2453, VLOOKUP(T2453, 'Fuel Costs'!$A$2:$C$42, 2, 0))) / IF(ISBLANK(O2453), 1, O2453))) * 100</f>
        <v>37.09375</v>
      </c>
      <c r="J2453" s="2" t="n">
        <f aca="false">((H2453 / 800) / (IF(ISBLANK(S2453), 100, IF(ISNA(VLOOKUP(S2453, Lives!$A$2:$C$35, 2, 0)), S2453, VLOOKUP(S2453, Lives!$A$2:$C$35, 2, 0))) * 12) + (IF(ISBLANK(Q2453), 0, IF(ISNA(VLOOKUP(Q2453, Wages!$A$2:$C$17, 2, 0)), Q2453, VLOOKUP(Q2453, Wages!$A$2:$C$17, 2, 0))) * IF(ISBLANK(N2453), 0, IF(ISNA(VLOOKUP(N2453, Crews!$A$2:$C$28, 2, 0)), N2453, VLOOKUP(N2453, Crews!$A$2:$C$28, 2, 0))))) * 400</f>
        <v>10781.25</v>
      </c>
      <c r="K2453" s="1"/>
      <c r="L2453" s="1" t="s">
        <v>4785</v>
      </c>
      <c r="M2453" s="1" t="n">
        <v>0</v>
      </c>
      <c r="N2453" s="1" t="s">
        <v>1488</v>
      </c>
      <c r="O2453" s="1" t="n">
        <v>1</v>
      </c>
      <c r="P2453" s="1"/>
      <c r="Q2453" s="1" t="str">
        <f aca="false">IF(ISBLANK('Pak128 Britain In'!$N2453),,'Pak128 Britain In'!$N2453)</f>
        <v>ElectricDriverRail</v>
      </c>
      <c r="R2453" s="1" t="s">
        <v>4696</v>
      </c>
      <c r="S2453" s="1" t="s">
        <v>4696</v>
      </c>
      <c r="T2453" s="1" t="s">
        <v>4697</v>
      </c>
    </row>
    <row r="2454" customFormat="false" ht="15" hidden="false" customHeight="true" outlineLevel="0" collapsed="false">
      <c r="A2454" s="1" t="s">
        <v>4786</v>
      </c>
      <c r="B2454" s="1" t="n">
        <v>1983</v>
      </c>
      <c r="C2454" s="1" t="n">
        <v>3</v>
      </c>
      <c r="D2454" s="1" t="s">
        <v>29</v>
      </c>
      <c r="E2454" s="1" t="s">
        <v>1839</v>
      </c>
      <c r="F2454" s="1" t="n">
        <v>894</v>
      </c>
      <c r="G2454" s="1" t="n">
        <v>90</v>
      </c>
      <c r="H2454" s="2" t="n">
        <v>120000000</v>
      </c>
      <c r="I2454" s="2" t="n">
        <f aca="false">(((H2454 / 800) / IF(ISBLANK(R2454), 1000000, IF(ISNA(VLOOKUP(R2454, Mileages!$A$2:$C$34, 2, 0)), R2454, VLOOKUP(R2454, Mileages!$A$2:$C$34, 2, 0)))) + (F2454 * IF(ISBLANK(P2454), 1, P2454) * IF(ISBLANK(T2454), 0, IF(ISNA(VLOOKUP(T2454, 'Fuel Costs'!$A$2:$C$42, 2, 0)), T2454, VLOOKUP(T2454, 'Fuel Costs'!$A$2:$C$42, 2, 0))) / IF(ISBLANK(O2454), 1, O2454))) * 100</f>
        <v>20.38</v>
      </c>
      <c r="J2454" s="2" t="n">
        <f aca="false">((H2454 / 800) / (IF(ISBLANK(S2454), 100, IF(ISNA(VLOOKUP(S2454, Lives!$A$2:$C$35, 2, 0)), S2454, VLOOKUP(S2454, Lives!$A$2:$C$35, 2, 0))) * 12) + (IF(ISBLANK(Q2454), 0, IF(ISNA(VLOOKUP(Q2454, Wages!$A$2:$C$17, 2, 0)), Q2454, VLOOKUP(Q2454, Wages!$A$2:$C$17, 2, 0))) * IF(ISBLANK(N2454), 0, IF(ISNA(VLOOKUP(N2454, Crews!$A$2:$C$28, 2, 0)), N2454, VLOOKUP(N2454, Crews!$A$2:$C$28, 2, 0))))) * 400</f>
        <v>90000</v>
      </c>
      <c r="K2454" s="3" t="s">
        <v>4787</v>
      </c>
      <c r="L2454" s="1" t="s">
        <v>4788</v>
      </c>
      <c r="M2454" s="1" t="n">
        <v>0</v>
      </c>
      <c r="N2454" s="1" t="s">
        <v>4273</v>
      </c>
      <c r="O2454" s="1" t="n">
        <v>0.5</v>
      </c>
      <c r="P2454" s="1" t="n">
        <v>0.05</v>
      </c>
      <c r="Q2454" s="1" t="s">
        <v>34</v>
      </c>
      <c r="R2454" s="1" t="s">
        <v>3933</v>
      </c>
      <c r="S2454" s="1" t="s">
        <v>574</v>
      </c>
      <c r="T2454" s="1" t="s">
        <v>4773</v>
      </c>
    </row>
    <row r="2455" customFormat="false" ht="15" hidden="false" customHeight="true" outlineLevel="0" collapsed="false">
      <c r="A2455" s="1" t="s">
        <v>4789</v>
      </c>
      <c r="B2455" s="1" t="n">
        <v>1983</v>
      </c>
      <c r="C2455" s="1" t="n">
        <v>3</v>
      </c>
      <c r="D2455" s="1" t="s">
        <v>29</v>
      </c>
      <c r="E2455" s="1" t="s">
        <v>1839</v>
      </c>
      <c r="F2455" s="1" t="n">
        <v>894</v>
      </c>
      <c r="G2455" s="1" t="n">
        <v>90</v>
      </c>
      <c r="H2455" s="2" t="n">
        <v>12000000</v>
      </c>
      <c r="I2455" s="2" t="n">
        <f aca="false">(((H2455 / 800) / IF(ISBLANK(R2455), 1000000, IF(ISNA(VLOOKUP(R2455, Mileages!$A$2:$C$34, 2, 0)), R2455, VLOOKUP(R2455, Mileages!$A$2:$C$34, 2, 0)))) + (F2455 * IF(ISBLANK(P2455), 1, P2455) * IF(ISBLANK(T2455), 0, IF(ISNA(VLOOKUP(T2455, 'Fuel Costs'!$A$2:$C$42, 2, 0)), T2455, VLOOKUP(T2455, 'Fuel Costs'!$A$2:$C$42, 2, 0))) / IF(ISBLANK(O2455), 1, O2455))) * 100</f>
        <v>18.13</v>
      </c>
      <c r="J2455" s="2" t="n">
        <f aca="false">((H2455 / 800) / (IF(ISBLANK(S2455), 100, IF(ISNA(VLOOKUP(S2455, Lives!$A$2:$C$35, 2, 0)), S2455, VLOOKUP(S2455, Lives!$A$2:$C$35, 2, 0))) * 12) + (IF(ISBLANK(Q2455), 0, IF(ISNA(VLOOKUP(Q2455, Wages!$A$2:$C$17, 2, 0)), Q2455, VLOOKUP(Q2455, Wages!$A$2:$C$17, 2, 0))) * IF(ISBLANK(N2455), 0, IF(ISNA(VLOOKUP(N2455, Crews!$A$2:$C$28, 2, 0)), N2455, VLOOKUP(N2455, Crews!$A$2:$C$28, 2, 0))))) * 400</f>
        <v>45000</v>
      </c>
      <c r="K2455" s="3" t="s">
        <v>4787</v>
      </c>
      <c r="L2455" s="1" t="s">
        <v>4788</v>
      </c>
      <c r="M2455" s="1" t="n">
        <v>1</v>
      </c>
      <c r="N2455" s="1" t="s">
        <v>4273</v>
      </c>
      <c r="O2455" s="1" t="n">
        <v>0.5</v>
      </c>
      <c r="P2455" s="1" t="n">
        <v>0.05</v>
      </c>
      <c r="Q2455" s="1" t="s">
        <v>34</v>
      </c>
      <c r="R2455" s="1" t="s">
        <v>3933</v>
      </c>
      <c r="S2455" s="1" t="s">
        <v>574</v>
      </c>
      <c r="T2455" s="1" t="s">
        <v>4773</v>
      </c>
    </row>
    <row r="2456" customFormat="false" ht="15" hidden="false" customHeight="true" outlineLevel="0" collapsed="false">
      <c r="A2456" s="1" t="s">
        <v>4790</v>
      </c>
      <c r="B2456" s="1" t="n">
        <v>1983</v>
      </c>
      <c r="C2456" s="1" t="n">
        <v>3</v>
      </c>
      <c r="D2456" s="1" t="s">
        <v>29</v>
      </c>
      <c r="E2456" s="1" t="s">
        <v>1839</v>
      </c>
      <c r="F2456" s="1" t="n">
        <v>894</v>
      </c>
      <c r="G2456" s="1" t="n">
        <v>90</v>
      </c>
      <c r="H2456" s="2" t="n">
        <v>12000000</v>
      </c>
      <c r="I2456" s="2" t="n">
        <f aca="false">(((H2456 / 800) / IF(ISBLANK(R2456), 1000000, IF(ISNA(VLOOKUP(R2456, Mileages!$A$2:$C$34, 2, 0)), R2456, VLOOKUP(R2456, Mileages!$A$2:$C$34, 2, 0)))) + (F2456 * IF(ISBLANK(P2456), 1, P2456) * IF(ISBLANK(T2456), 0, IF(ISNA(VLOOKUP(T2456, 'Fuel Costs'!$A$2:$C$42, 2, 0)), T2456, VLOOKUP(T2456, 'Fuel Costs'!$A$2:$C$42, 2, 0))) / IF(ISBLANK(O2456), 1, O2456))) * 100</f>
        <v>18.13</v>
      </c>
      <c r="J2456" s="2" t="n">
        <f aca="false">((H2456 / 800) / (IF(ISBLANK(S2456), 100, IF(ISNA(VLOOKUP(S2456, Lives!$A$2:$C$35, 2, 0)), S2456, VLOOKUP(S2456, Lives!$A$2:$C$35, 2, 0))) * 12) + (IF(ISBLANK(Q2456), 0, IF(ISNA(VLOOKUP(Q2456, Wages!$A$2:$C$17, 2, 0)), Q2456, VLOOKUP(Q2456, Wages!$A$2:$C$17, 2, 0))) * IF(ISBLANK(N2456), 0, IF(ISNA(VLOOKUP(N2456, Crews!$A$2:$C$28, 2, 0)), N2456, VLOOKUP(N2456, Crews!$A$2:$C$28, 2, 0))))) * 400</f>
        <v>45000</v>
      </c>
      <c r="K2456" s="3" t="s">
        <v>4787</v>
      </c>
      <c r="L2456" s="1" t="s">
        <v>4788</v>
      </c>
      <c r="M2456" s="1" t="n">
        <v>2</v>
      </c>
      <c r="N2456" s="1" t="s">
        <v>4273</v>
      </c>
      <c r="O2456" s="1" t="n">
        <v>0.5</v>
      </c>
      <c r="P2456" s="1" t="n">
        <v>0.05</v>
      </c>
      <c r="Q2456" s="1" t="s">
        <v>34</v>
      </c>
      <c r="R2456" s="1" t="s">
        <v>3933</v>
      </c>
      <c r="S2456" s="1" t="s">
        <v>574</v>
      </c>
      <c r="T2456" s="1" t="s">
        <v>4773</v>
      </c>
    </row>
    <row r="2457" customFormat="false" ht="15" hidden="false" customHeight="true" outlineLevel="0" collapsed="false">
      <c r="A2457" s="1" t="s">
        <v>4791</v>
      </c>
      <c r="B2457" s="1" t="n">
        <v>1983</v>
      </c>
      <c r="C2457" s="1" t="n">
        <v>5</v>
      </c>
      <c r="D2457" s="1" t="s">
        <v>2225</v>
      </c>
      <c r="E2457" s="1" t="s">
        <v>3660</v>
      </c>
      <c r="F2457" s="1" t="n">
        <v>22500</v>
      </c>
      <c r="G2457" s="1" t="n">
        <v>775</v>
      </c>
      <c r="H2457" s="2" t="n">
        <v>15000000</v>
      </c>
      <c r="I2457" s="2" t="n">
        <f aca="false">(((H2457 / 800) / IF(ISBLANK(R2457), 1000000, IF(ISNA(VLOOKUP(R2457, Mileages!$A$2:$C$34, 2, 0)), R2457, VLOOKUP(R2457, Mileages!$A$2:$C$34, 2, 0)))) + (F2457 * IF(ISBLANK(P2457), 1, P2457) * IF(ISBLANK(T2457), 0, IF(ISNA(VLOOKUP(T2457, 'Fuel Costs'!$A$2:$C$42, 2, 0)), T2457, VLOOKUP(T2457, 'Fuel Costs'!$A$2:$C$42, 2, 0))) / IF(ISBLANK(O2457), 1, O2457))) * 100</f>
        <v>90.0625</v>
      </c>
      <c r="J2457" s="2" t="n">
        <f aca="false">((H2457 / 800) / (IF(ISBLANK(S2457), 100, IF(ISNA(VLOOKUP(S2457, Lives!$A$2:$C$35, 2, 0)), S2457, VLOOKUP(S2457, Lives!$A$2:$C$35, 2, 0))) * 12) + (IF(ISBLANK(Q2457), 0, IF(ISNA(VLOOKUP(Q2457, Wages!$A$2:$C$17, 2, 0)), Q2457, VLOOKUP(Q2457, Wages!$A$2:$C$17, 2, 0))) * IF(ISBLANK(N2457), 0, IF(ISNA(VLOOKUP(N2457, Crews!$A$2:$C$28, 2, 0)), N2457, VLOOKUP(N2457, Crews!$A$2:$C$28, 2, 0))))) * 400</f>
        <v>60416.66667</v>
      </c>
      <c r="K2457" s="3" t="s">
        <v>4792</v>
      </c>
      <c r="L2457" s="1" t="s">
        <v>4793</v>
      </c>
      <c r="M2457" s="1" t="n">
        <v>0</v>
      </c>
      <c r="N2457" s="1" t="s">
        <v>2342</v>
      </c>
      <c r="O2457" s="1"/>
      <c r="P2457" s="1" t="n">
        <v>0.02</v>
      </c>
      <c r="Q2457" s="1" t="s">
        <v>2229</v>
      </c>
      <c r="R2457" s="1" t="s">
        <v>4413</v>
      </c>
      <c r="S2457" s="1" t="s">
        <v>2229</v>
      </c>
      <c r="T2457" s="1" t="s">
        <v>4773</v>
      </c>
    </row>
    <row r="2458" customFormat="false" ht="15" hidden="false" customHeight="true" outlineLevel="0" collapsed="false">
      <c r="A2458" s="1" t="s">
        <v>4794</v>
      </c>
      <c r="B2458" s="1" t="n">
        <v>1983</v>
      </c>
      <c r="C2458" s="1" t="n">
        <v>5</v>
      </c>
      <c r="D2458" s="1" t="s">
        <v>157</v>
      </c>
      <c r="E2458" s="1" t="s">
        <v>2039</v>
      </c>
      <c r="F2458" s="1" t="n">
        <v>186</v>
      </c>
      <c r="G2458" s="1" t="n">
        <v>60</v>
      </c>
      <c r="H2458" s="2" t="n">
        <v>11421850</v>
      </c>
      <c r="I2458" s="2" t="n">
        <f aca="false">(((H2458 / 800) / IF(ISBLANK(R2458), 1000000, IF(ISNA(VLOOKUP(R2458, Mileages!$A$2:$C$34, 2, 0)), R2458, VLOOKUP(R2458, Mileages!$A$2:$C$34, 2, 0)))) + (F2458 * IF(ISBLANK(P2458), 1, P2458) * IF(ISBLANK(T2458), 0, IF(ISNA(VLOOKUP(T2458, 'Fuel Costs'!$A$2:$C$42, 2, 0)), T2458, VLOOKUP(T2458, 'Fuel Costs'!$A$2:$C$42, 2, 0))) / IF(ISBLANK(O2458), 1, O2458))) * 100</f>
        <v>56.51386563</v>
      </c>
      <c r="J2458" s="2" t="n">
        <f aca="false">((H2458 / 800) / (IF(ISBLANK(S2458), 100, IF(ISNA(VLOOKUP(S2458, Lives!$A$2:$C$35, 2, 0)), S2458, VLOOKUP(S2458, Lives!$A$2:$C$35, 2, 0))) * 12) + (IF(ISBLANK(Q2458), 0, IF(ISNA(VLOOKUP(Q2458, Wages!$A$2:$C$17, 2, 0)), Q2458, VLOOKUP(Q2458, Wages!$A$2:$C$17, 2, 0))) * IF(ISBLANK(N2458), 0, IF(ISNA(VLOOKUP(N2458, Crews!$A$2:$C$28, 2, 0)), N2458, VLOOKUP(N2458, Crews!$A$2:$C$28, 2, 0))))) * 400</f>
        <v>15948.88021</v>
      </c>
      <c r="K2458" s="3" t="s">
        <v>4795</v>
      </c>
      <c r="L2458" s="1" t="s">
        <v>4796</v>
      </c>
      <c r="M2458" s="1" t="n">
        <v>0</v>
      </c>
      <c r="N2458" s="1" t="s">
        <v>1488</v>
      </c>
      <c r="O2458" s="1" t="n">
        <v>1</v>
      </c>
      <c r="P2458" s="1"/>
      <c r="Q2458" s="1" t="s">
        <v>1488</v>
      </c>
      <c r="R2458" s="1" t="s">
        <v>4747</v>
      </c>
      <c r="S2458" s="1" t="s">
        <v>4747</v>
      </c>
      <c r="T2458" s="1" t="s">
        <v>4726</v>
      </c>
    </row>
    <row r="2459" customFormat="false" ht="15" hidden="false" customHeight="true" outlineLevel="0" collapsed="false">
      <c r="A2459" s="1" t="s">
        <v>4797</v>
      </c>
      <c r="B2459" s="1" t="n">
        <v>1983</v>
      </c>
      <c r="C2459" s="1"/>
      <c r="D2459" s="1" t="s">
        <v>38</v>
      </c>
      <c r="E2459" s="1" t="s">
        <v>1346</v>
      </c>
      <c r="F2459" s="1"/>
      <c r="G2459" s="1" t="n">
        <v>100</v>
      </c>
      <c r="H2459" s="2" t="n">
        <v>700000</v>
      </c>
      <c r="I2459" s="2" t="n">
        <f aca="false">(((H2459 / 800) / IF(ISBLANK(R2459), 1000000, IF(ISNA(VLOOKUP(R2459, Mileages!$A$2:$C$34, 2, 0)), R2459, VLOOKUP(R2459, Mileages!$A$2:$C$34, 2, 0)))) + (F2459 * IF(ISBLANK(P2459), 1, P2459) * IF(ISBLANK(T2459), 0, IF(ISNA(VLOOKUP(T2459, 'Fuel Costs'!$A$2:$C$42, 2, 0)), T2459, VLOOKUP(T2459, 'Fuel Costs'!$A$2:$C$42, 2, 0))) / IF(ISBLANK(O2459), 1, O2459))) * 100</f>
        <v>0.03645833333</v>
      </c>
      <c r="J2459" s="2" t="n">
        <f aca="false">((H2459 / 800) / (IF(ISBLANK(S2459), 100, IF(ISNA(VLOOKUP(S2459, Lives!$A$2:$C$35, 2, 0)), S2459, VLOOKUP(S2459, Lives!$A$2:$C$35, 2, 0))) * 12) + (IF(ISBLANK(Q2459), 0, IF(ISNA(VLOOKUP(Q2459, Wages!$A$2:$C$17, 2, 0)), Q2459, VLOOKUP(Q2459, Wages!$A$2:$C$17, 2, 0))) * IF(ISBLANK(N2459), 0, IF(ISNA(VLOOKUP(N2459, Crews!$A$2:$C$28, 2, 0)), N2459, VLOOKUP(N2459, Crews!$A$2:$C$28, 2, 0))))) * 400</f>
        <v>1458.333333</v>
      </c>
      <c r="K2459" s="1"/>
      <c r="L2459" s="1" t="s">
        <v>4779</v>
      </c>
      <c r="M2459" s="1" t="n">
        <v>3</v>
      </c>
      <c r="N2459" s="1"/>
      <c r="O2459" s="1"/>
      <c r="P2459" s="1"/>
      <c r="Q2459" s="1"/>
      <c r="R2459" s="1" t="s">
        <v>4419</v>
      </c>
      <c r="S2459" s="1" t="s">
        <v>4470</v>
      </c>
      <c r="T2459" s="1"/>
    </row>
    <row r="2460" customFormat="false" ht="15" hidden="false" customHeight="true" outlineLevel="0" collapsed="false">
      <c r="A2460" s="1" t="s">
        <v>4798</v>
      </c>
      <c r="B2460" s="1" t="n">
        <v>1984</v>
      </c>
      <c r="C2460" s="1" t="n">
        <v>1</v>
      </c>
      <c r="D2460" s="1" t="s">
        <v>21</v>
      </c>
      <c r="E2460" s="1" t="s">
        <v>1839</v>
      </c>
      <c r="F2460" s="1" t="n">
        <v>37</v>
      </c>
      <c r="G2460" s="1" t="n">
        <v>105</v>
      </c>
      <c r="H2460" s="2" t="n">
        <v>97500</v>
      </c>
      <c r="I2460" s="2" t="n">
        <f aca="false">(((H2460 / 800) / IF(ISBLANK(R2460), 1000000, IF(ISNA(VLOOKUP(R2460, Mileages!$A$2:$C$34, 2, 0)), R2460, VLOOKUP(R2460, Mileages!$A$2:$C$34, 2, 0)))) + (F2460 * IF(ISBLANK(P2460), 1, P2460) * IF(ISBLANK(T2460), 0, IF(ISNA(VLOOKUP(T2460, 'Fuel Costs'!$A$2:$C$42, 2, 0)), T2460, VLOOKUP(T2460, 'Fuel Costs'!$A$2:$C$42, 2, 0))) / IF(ISBLANK(O2460), 1, O2460))) * 100</f>
        <v>18.50609375</v>
      </c>
      <c r="J2460" s="2" t="n">
        <f aca="false">((H2460 / 800) / (IF(ISBLANK(S2460), 100, IF(ISNA(VLOOKUP(S2460, Lives!$A$2:$C$35, 2, 0)), S2460, VLOOKUP(S2460, Lives!$A$2:$C$35, 2, 0))) * 12) + (IF(ISBLANK(Q2460), 0, IF(ISNA(VLOOKUP(Q2460, Wages!$A$2:$C$17, 2, 0)), Q2460, VLOOKUP(Q2460, Wages!$A$2:$C$17, 2, 0))) * IF(ISBLANK(N2460), 0, IF(ISNA(VLOOKUP(N2460, Crews!$A$2:$C$28, 2, 0)), N2460, VLOOKUP(N2460, Crews!$A$2:$C$28, 2, 0))))) * 400</f>
        <v>8050.78125</v>
      </c>
      <c r="K2460" s="1"/>
      <c r="L2460" s="1" t="s">
        <v>4799</v>
      </c>
      <c r="M2460" s="1" t="n">
        <v>1</v>
      </c>
      <c r="N2460" s="1" t="s">
        <v>25</v>
      </c>
      <c r="O2460" s="1" t="n">
        <v>1</v>
      </c>
      <c r="P2460" s="1"/>
      <c r="Q2460" s="1" t="s">
        <v>1815</v>
      </c>
      <c r="R2460" s="1" t="s">
        <v>4725</v>
      </c>
      <c r="S2460" s="1" t="s">
        <v>1843</v>
      </c>
      <c r="T2460" s="1" t="s">
        <v>4800</v>
      </c>
    </row>
    <row r="2461" customFormat="false" ht="15" hidden="false" customHeight="true" outlineLevel="0" collapsed="false">
      <c r="A2461" s="1" t="s">
        <v>4801</v>
      </c>
      <c r="B2461" s="1" t="n">
        <v>1984</v>
      </c>
      <c r="C2461" s="1" t="n">
        <v>1</v>
      </c>
      <c r="D2461" s="1" t="s">
        <v>21</v>
      </c>
      <c r="E2461" s="1" t="s">
        <v>1839</v>
      </c>
      <c r="F2461" s="1" t="n">
        <v>37</v>
      </c>
      <c r="G2461" s="1" t="n">
        <v>105</v>
      </c>
      <c r="H2461" s="2" t="n">
        <v>97500</v>
      </c>
      <c r="I2461" s="2" t="n">
        <f aca="false">(((H2461 / 800) / IF(ISBLANK(R2461), 1000000, IF(ISNA(VLOOKUP(R2461, Mileages!$A$2:$C$34, 2, 0)), R2461, VLOOKUP(R2461, Mileages!$A$2:$C$34, 2, 0)))) + (F2461 * IF(ISBLANK(P2461), 1, P2461) * IF(ISBLANK(T2461), 0, IF(ISNA(VLOOKUP(T2461, 'Fuel Costs'!$A$2:$C$42, 2, 0)), T2461, VLOOKUP(T2461, 'Fuel Costs'!$A$2:$C$42, 2, 0))) / IF(ISBLANK(O2461), 1, O2461))) * 100</f>
        <v>18.50609375</v>
      </c>
      <c r="J2461" s="2" t="n">
        <f aca="false">((H2461 / 800) / (IF(ISBLANK(S2461), 100, IF(ISNA(VLOOKUP(S2461, Lives!$A$2:$C$35, 2, 0)), S2461, VLOOKUP(S2461, Lives!$A$2:$C$35, 2, 0))) * 12) + (IF(ISBLANK(Q2461), 0, IF(ISNA(VLOOKUP(Q2461, Wages!$A$2:$C$17, 2, 0)), Q2461, VLOOKUP(Q2461, Wages!$A$2:$C$17, 2, 0))) * IF(ISBLANK(N2461), 0, IF(ISNA(VLOOKUP(N2461, Crews!$A$2:$C$28, 2, 0)), N2461, VLOOKUP(N2461, Crews!$A$2:$C$28, 2, 0))))) * 400</f>
        <v>8050.78125</v>
      </c>
      <c r="K2461" s="1"/>
      <c r="L2461" s="1" t="s">
        <v>4799</v>
      </c>
      <c r="M2461" s="1" t="n">
        <v>2</v>
      </c>
      <c r="N2461" s="1" t="s">
        <v>25</v>
      </c>
      <c r="O2461" s="1" t="n">
        <v>1</v>
      </c>
      <c r="P2461" s="1"/>
      <c r="Q2461" s="1" t="s">
        <v>1815</v>
      </c>
      <c r="R2461" s="1" t="s">
        <v>4725</v>
      </c>
      <c r="S2461" s="1" t="s">
        <v>1843</v>
      </c>
      <c r="T2461" s="1" t="s">
        <v>4800</v>
      </c>
    </row>
    <row r="2462" customFormat="false" ht="15" hidden="false" customHeight="true" outlineLevel="0" collapsed="false">
      <c r="A2462" s="1" t="s">
        <v>4802</v>
      </c>
      <c r="B2462" s="1" t="n">
        <v>1984</v>
      </c>
      <c r="C2462" s="1" t="n">
        <v>1</v>
      </c>
      <c r="D2462" s="1" t="s">
        <v>876</v>
      </c>
      <c r="E2462" s="1" t="s">
        <v>1346</v>
      </c>
      <c r="F2462" s="1" t="n">
        <v>50</v>
      </c>
      <c r="G2462" s="1" t="n">
        <v>70</v>
      </c>
      <c r="H2462" s="2" t="n">
        <v>434000</v>
      </c>
      <c r="I2462" s="2" t="n">
        <f aca="false">(((H2462 / 800) / IF(ISBLANK(R2462), 1000000, IF(ISNA(VLOOKUP(R2462, Mileages!$A$2:$C$34, 2, 0)), R2462, VLOOKUP(R2462, Mileages!$A$2:$C$34, 2, 0)))) + (F2462 * IF(ISBLANK(P2462), 1, P2462) * IF(ISBLANK(T2462), 0, IF(ISNA(VLOOKUP(T2462, 'Fuel Costs'!$A$2:$C$42, 2, 0)), T2462, VLOOKUP(T2462, 'Fuel Costs'!$A$2:$C$42, 2, 0))) / IF(ISBLANK(O2462), 1, O2462))) * 100</f>
        <v>5.027125</v>
      </c>
      <c r="J2462" s="2" t="n">
        <f aca="false">((H2462 / 800) / (IF(ISBLANK(S2462), 100, IF(ISNA(VLOOKUP(S2462, Lives!$A$2:$C$35, 2, 0)), S2462, VLOOKUP(S2462, Lives!$A$2:$C$35, 2, 0))) * 12) + (IF(ISBLANK(Q2462), 0, IF(ISNA(VLOOKUP(Q2462, Wages!$A$2:$C$17, 2, 0)), Q2462, VLOOKUP(Q2462, Wages!$A$2:$C$17, 2, 0))) * IF(ISBLANK(N2462), 0, IF(ISNA(VLOOKUP(N2462, Crews!$A$2:$C$28, 2, 0)), N2462, VLOOKUP(N2462, Crews!$A$2:$C$28, 2, 0))))) * 400</f>
        <v>6361.666667</v>
      </c>
      <c r="K2462" s="3" t="s">
        <v>4803</v>
      </c>
      <c r="L2462" s="1" t="s">
        <v>4804</v>
      </c>
      <c r="M2462" s="1" t="n">
        <v>0</v>
      </c>
      <c r="N2462" s="1" t="s">
        <v>895</v>
      </c>
      <c r="O2462" s="1"/>
      <c r="P2462" s="1"/>
      <c r="Q2462" s="1" t="s">
        <v>895</v>
      </c>
      <c r="R2462" s="1" t="s">
        <v>4696</v>
      </c>
      <c r="S2462" s="1" t="s">
        <v>1350</v>
      </c>
      <c r="T2462" s="1" t="s">
        <v>4697</v>
      </c>
    </row>
    <row r="2463" customFormat="false" ht="15" hidden="false" customHeight="true" outlineLevel="0" collapsed="false">
      <c r="A2463" s="1" t="s">
        <v>4805</v>
      </c>
      <c r="B2463" s="1" t="n">
        <v>1984</v>
      </c>
      <c r="C2463" s="1" t="n">
        <v>2</v>
      </c>
      <c r="D2463" s="1" t="s">
        <v>21</v>
      </c>
      <c r="E2463" s="1" t="s">
        <v>1839</v>
      </c>
      <c r="F2463" s="1" t="n">
        <v>37</v>
      </c>
      <c r="G2463" s="1" t="n">
        <v>105</v>
      </c>
      <c r="H2463" s="2" t="n">
        <v>97500</v>
      </c>
      <c r="I2463" s="2" t="n">
        <f aca="false">(((H2463 / 800) / IF(ISBLANK(R2463), 1000000, IF(ISNA(VLOOKUP(R2463, Mileages!$A$2:$C$34, 2, 0)), R2463, VLOOKUP(R2463, Mileages!$A$2:$C$34, 2, 0)))) + (F2463 * IF(ISBLANK(P2463), 1, P2463) * IF(ISBLANK(T2463), 0, IF(ISNA(VLOOKUP(T2463, 'Fuel Costs'!$A$2:$C$42, 2, 0)), T2463, VLOOKUP(T2463, 'Fuel Costs'!$A$2:$C$42, 2, 0))) / IF(ISBLANK(O2463), 1, O2463))) * 100</f>
        <v>18.50609375</v>
      </c>
      <c r="J2463" s="2" t="n">
        <f aca="false">((H2463 / 800) / (IF(ISBLANK(S2463), 100, IF(ISNA(VLOOKUP(S2463, Lives!$A$2:$C$35, 2, 0)), S2463, VLOOKUP(S2463, Lives!$A$2:$C$35, 2, 0))) * 12) + (IF(ISBLANK(Q2463), 0, IF(ISNA(VLOOKUP(Q2463, Wages!$A$2:$C$17, 2, 0)), Q2463, VLOOKUP(Q2463, Wages!$A$2:$C$17, 2, 0))) * IF(ISBLANK(N2463), 0, IF(ISNA(VLOOKUP(N2463, Crews!$A$2:$C$28, 2, 0)), N2463, VLOOKUP(N2463, Crews!$A$2:$C$28, 2, 0))))) * 400</f>
        <v>8050.78125</v>
      </c>
      <c r="K2463" s="1"/>
      <c r="L2463" s="1" t="s">
        <v>4799</v>
      </c>
      <c r="M2463" s="1" t="n">
        <v>0</v>
      </c>
      <c r="N2463" s="1" t="s">
        <v>25</v>
      </c>
      <c r="O2463" s="1" t="n">
        <v>1</v>
      </c>
      <c r="P2463" s="1"/>
      <c r="Q2463" s="1" t="s">
        <v>1815</v>
      </c>
      <c r="R2463" s="1" t="s">
        <v>4725</v>
      </c>
      <c r="S2463" s="1" t="s">
        <v>1843</v>
      </c>
      <c r="T2463" s="1" t="s">
        <v>4800</v>
      </c>
    </row>
    <row r="2464" customFormat="false" ht="15" hidden="false" customHeight="true" outlineLevel="0" collapsed="false">
      <c r="A2464" s="1" t="s">
        <v>4806</v>
      </c>
      <c r="B2464" s="1" t="n">
        <v>1984</v>
      </c>
      <c r="C2464" s="1" t="n">
        <v>2</v>
      </c>
      <c r="D2464" s="1" t="s">
        <v>2225</v>
      </c>
      <c r="E2464" s="1" t="s">
        <v>3660</v>
      </c>
      <c r="F2464" s="1" t="n">
        <v>1640</v>
      </c>
      <c r="G2464" s="1" t="n">
        <v>495</v>
      </c>
      <c r="H2464" s="2" t="n">
        <v>3200000</v>
      </c>
      <c r="I2464" s="2" t="n">
        <f aca="false">(((H2464 / 800) / IF(ISBLANK(R2464), 1000000, IF(ISNA(VLOOKUP(R2464, Mileages!$A$2:$C$34, 2, 0)), R2464, VLOOKUP(R2464, Mileages!$A$2:$C$34, 2, 0)))) + (F2464 * IF(ISBLANK(P2464), 1, P2464) * IF(ISBLANK(T2464), 0, IF(ISNA(VLOOKUP(T2464, 'Fuel Costs'!$A$2:$C$42, 2, 0)), T2464, VLOOKUP(T2464, 'Fuel Costs'!$A$2:$C$42, 2, 0))) / IF(ISBLANK(O2464), 1, O2464))) * 100</f>
        <v>6.573333333</v>
      </c>
      <c r="J2464" s="2" t="n">
        <f aca="false">((H2464 / 800) / (IF(ISBLANK(S2464), 100, IF(ISNA(VLOOKUP(S2464, Lives!$A$2:$C$35, 2, 0)), S2464, VLOOKUP(S2464, Lives!$A$2:$C$35, 2, 0))) * 12) + (IF(ISBLANK(Q2464), 0, IF(ISNA(VLOOKUP(Q2464, Wages!$A$2:$C$17, 2, 0)), Q2464, VLOOKUP(Q2464, Wages!$A$2:$C$17, 2, 0))) * IF(ISBLANK(N2464), 0, IF(ISNA(VLOOKUP(N2464, Crews!$A$2:$C$28, 2, 0)), N2464, VLOOKUP(N2464, Crews!$A$2:$C$28, 2, 0))))) * 400</f>
        <v>52222.22222</v>
      </c>
      <c r="K2464" s="3" t="s">
        <v>4807</v>
      </c>
      <c r="L2464" s="1" t="s">
        <v>4808</v>
      </c>
      <c r="M2464" s="1" t="n">
        <v>0</v>
      </c>
      <c r="N2464" s="1" t="s">
        <v>2342</v>
      </c>
      <c r="O2464" s="1"/>
      <c r="P2464" s="1" t="n">
        <v>0.02</v>
      </c>
      <c r="Q2464" s="1" t="s">
        <v>2229</v>
      </c>
      <c r="R2464" s="1" t="s">
        <v>4413</v>
      </c>
      <c r="S2464" s="1" t="s">
        <v>2229</v>
      </c>
      <c r="T2464" s="1" t="s">
        <v>4773</v>
      </c>
    </row>
    <row r="2465" customFormat="false" ht="15" hidden="false" customHeight="true" outlineLevel="0" collapsed="false">
      <c r="A2465" s="1" t="s">
        <v>4809</v>
      </c>
      <c r="B2465" s="1" t="n">
        <v>1984</v>
      </c>
      <c r="C2465" s="1" t="n">
        <v>2</v>
      </c>
      <c r="D2465" s="1" t="s">
        <v>2225</v>
      </c>
      <c r="E2465" s="1" t="s">
        <v>3660</v>
      </c>
      <c r="F2465" s="1" t="n">
        <v>1640</v>
      </c>
      <c r="G2465" s="1" t="n">
        <v>495</v>
      </c>
      <c r="H2465" s="2" t="n">
        <v>3200000</v>
      </c>
      <c r="I2465" s="2" t="n">
        <f aca="false">(((H2465 / 800) / IF(ISBLANK(R2465), 1000000, IF(ISNA(VLOOKUP(R2465, Mileages!$A$2:$C$34, 2, 0)), R2465, VLOOKUP(R2465, Mileages!$A$2:$C$34, 2, 0)))) + (F2465 * IF(ISBLANK(P2465), 1, P2465) * IF(ISBLANK(T2465), 0, IF(ISNA(VLOOKUP(T2465, 'Fuel Costs'!$A$2:$C$42, 2, 0)), T2465, VLOOKUP(T2465, 'Fuel Costs'!$A$2:$C$42, 2, 0))) / IF(ISBLANK(O2465), 1, O2465))) * 100</f>
        <v>6.573333333</v>
      </c>
      <c r="J2465" s="2" t="n">
        <f aca="false">((H2465 / 800) / (IF(ISBLANK(S2465), 100, IF(ISNA(VLOOKUP(S2465, Lives!$A$2:$C$35, 2, 0)), S2465, VLOOKUP(S2465, Lives!$A$2:$C$35, 2, 0))) * 12) + (IF(ISBLANK(Q2465), 0, IF(ISNA(VLOOKUP(Q2465, Wages!$A$2:$C$17, 2, 0)), Q2465, VLOOKUP(Q2465, Wages!$A$2:$C$17, 2, 0))) * IF(ISBLANK(N2465), 0, IF(ISNA(VLOOKUP(N2465, Crews!$A$2:$C$28, 2, 0)), N2465, VLOOKUP(N2465, Crews!$A$2:$C$28, 2, 0))))) * 400</f>
        <v>12222.22222</v>
      </c>
      <c r="K2465" s="3" t="s">
        <v>4810</v>
      </c>
      <c r="L2465" s="1" t="s">
        <v>4808</v>
      </c>
      <c r="M2465" s="1" t="n">
        <v>1</v>
      </c>
      <c r="N2465" s="1" t="s">
        <v>25</v>
      </c>
      <c r="O2465" s="1"/>
      <c r="P2465" s="1" t="n">
        <v>0.02</v>
      </c>
      <c r="Q2465" s="1" t="s">
        <v>2229</v>
      </c>
      <c r="R2465" s="1" t="s">
        <v>4413</v>
      </c>
      <c r="S2465" s="1" t="s">
        <v>2229</v>
      </c>
      <c r="T2465" s="1" t="s">
        <v>4773</v>
      </c>
    </row>
    <row r="2466" customFormat="false" ht="15" hidden="false" customHeight="true" outlineLevel="0" collapsed="false">
      <c r="A2466" s="1" t="s">
        <v>4811</v>
      </c>
      <c r="B2466" s="1" t="n">
        <v>1984</v>
      </c>
      <c r="C2466" s="1" t="n">
        <v>3</v>
      </c>
      <c r="D2466" s="1" t="s">
        <v>21</v>
      </c>
      <c r="E2466" s="1" t="s">
        <v>2039</v>
      </c>
      <c r="F2466" s="1" t="n">
        <v>62</v>
      </c>
      <c r="G2466" s="1" t="n">
        <v>100</v>
      </c>
      <c r="H2466" s="2" t="n">
        <v>100000</v>
      </c>
      <c r="I2466" s="2" t="n">
        <f aca="false">(((H2466 / 800) / IF(ISBLANK(R2466), 1000000, IF(ISNA(VLOOKUP(R2466, Mileages!$A$2:$C$34, 2, 0)), R2466, VLOOKUP(R2466, Mileages!$A$2:$C$34, 2, 0)))) + (F2466 * IF(ISBLANK(P2466), 1, P2466) * IF(ISBLANK(T2466), 0, IF(ISNA(VLOOKUP(T2466, 'Fuel Costs'!$A$2:$C$42, 2, 0)), T2466, VLOOKUP(T2466, 'Fuel Costs'!$A$2:$C$42, 2, 0))) / IF(ISBLANK(O2466), 1, O2466))) * 100</f>
        <v>18.60625</v>
      </c>
      <c r="J2466" s="2" t="n">
        <f aca="false">((H2466 / 800) / (IF(ISBLANK(S2466), 100, IF(ISNA(VLOOKUP(S2466, Lives!$A$2:$C$35, 2, 0)), S2466, VLOOKUP(S2466, Lives!$A$2:$C$35, 2, 0))) * 12) + (IF(ISBLANK(Q2466), 0, IF(ISNA(VLOOKUP(Q2466, Wages!$A$2:$C$17, 2, 0)), Q2466, VLOOKUP(Q2466, Wages!$A$2:$C$17, 2, 0))) * IF(ISBLANK(N2466), 0, IF(ISNA(VLOOKUP(N2466, Crews!$A$2:$C$28, 2, 0)), N2466, VLOOKUP(N2466, Crews!$A$2:$C$28, 2, 0))))) * 400</f>
        <v>8052.083333</v>
      </c>
      <c r="K2466" s="1"/>
      <c r="L2466" s="1" t="s">
        <v>4812</v>
      </c>
      <c r="M2466" s="1" t="n">
        <v>0</v>
      </c>
      <c r="N2466" s="1" t="s">
        <v>1815</v>
      </c>
      <c r="O2466" s="1" t="n">
        <v>1</v>
      </c>
      <c r="P2466" s="1"/>
      <c r="Q2466" s="1" t="s">
        <v>1815</v>
      </c>
      <c r="R2466" s="1" t="s">
        <v>4725</v>
      </c>
      <c r="S2466" s="1" t="s">
        <v>1843</v>
      </c>
      <c r="T2466" s="1" t="s">
        <v>4726</v>
      </c>
    </row>
    <row r="2467" customFormat="false" ht="15" hidden="false" customHeight="true" outlineLevel="0" collapsed="false">
      <c r="A2467" s="1" t="s">
        <v>4813</v>
      </c>
      <c r="B2467" s="1" t="n">
        <v>1984</v>
      </c>
      <c r="C2467" s="1" t="n">
        <v>3</v>
      </c>
      <c r="D2467" s="1" t="s">
        <v>21</v>
      </c>
      <c r="E2467" s="1" t="s">
        <v>2039</v>
      </c>
      <c r="F2467" s="1" t="n">
        <v>62</v>
      </c>
      <c r="G2467" s="1" t="n">
        <v>100</v>
      </c>
      <c r="H2467" s="2" t="n">
        <v>100000</v>
      </c>
      <c r="I2467" s="2" t="n">
        <f aca="false">(((H2467 / 800) / IF(ISBLANK(R2467), 1000000, IF(ISNA(VLOOKUP(R2467, Mileages!$A$2:$C$34, 2, 0)), R2467, VLOOKUP(R2467, Mileages!$A$2:$C$34, 2, 0)))) + (F2467 * IF(ISBLANK(P2467), 1, P2467) * IF(ISBLANK(T2467), 0, IF(ISNA(VLOOKUP(T2467, 'Fuel Costs'!$A$2:$C$42, 2, 0)), T2467, VLOOKUP(T2467, 'Fuel Costs'!$A$2:$C$42, 2, 0))) / IF(ISBLANK(O2467), 1, O2467))) * 100</f>
        <v>18.60625</v>
      </c>
      <c r="J2467" s="2" t="n">
        <f aca="false">((H2467 / 800) / (IF(ISBLANK(S2467), 100, IF(ISNA(VLOOKUP(S2467, Lives!$A$2:$C$35, 2, 0)), S2467, VLOOKUP(S2467, Lives!$A$2:$C$35, 2, 0))) * 12) + (IF(ISBLANK(Q2467), 0, IF(ISNA(VLOOKUP(Q2467, Wages!$A$2:$C$17, 2, 0)), Q2467, VLOOKUP(Q2467, Wages!$A$2:$C$17, 2, 0))) * IF(ISBLANK(N2467), 0, IF(ISNA(VLOOKUP(N2467, Crews!$A$2:$C$28, 2, 0)), N2467, VLOOKUP(N2467, Crews!$A$2:$C$28, 2, 0))))) * 400</f>
        <v>8052.083333</v>
      </c>
      <c r="K2467" s="1"/>
      <c r="L2467" s="1" t="s">
        <v>4812</v>
      </c>
      <c r="M2467" s="1" t="n">
        <v>1</v>
      </c>
      <c r="N2467" s="1" t="s">
        <v>1815</v>
      </c>
      <c r="O2467" s="1" t="n">
        <v>1</v>
      </c>
      <c r="P2467" s="1"/>
      <c r="Q2467" s="1" t="s">
        <v>1815</v>
      </c>
      <c r="R2467" s="1" t="s">
        <v>4725</v>
      </c>
      <c r="S2467" s="1" t="s">
        <v>1843</v>
      </c>
      <c r="T2467" s="1" t="s">
        <v>4726</v>
      </c>
    </row>
    <row r="2468" customFormat="false" ht="15" hidden="false" customHeight="true" outlineLevel="0" collapsed="false">
      <c r="A2468" s="1" t="s">
        <v>4814</v>
      </c>
      <c r="B2468" s="1" t="n">
        <v>1984</v>
      </c>
      <c r="C2468" s="1" t="n">
        <v>3</v>
      </c>
      <c r="D2468" s="1" t="s">
        <v>21</v>
      </c>
      <c r="E2468" s="1" t="s">
        <v>2039</v>
      </c>
      <c r="F2468" s="1" t="n">
        <v>62</v>
      </c>
      <c r="G2468" s="1" t="n">
        <v>100</v>
      </c>
      <c r="H2468" s="2" t="n">
        <v>100000</v>
      </c>
      <c r="I2468" s="2" t="n">
        <f aca="false">(((H2468 / 800) / IF(ISBLANK(R2468), 1000000, IF(ISNA(VLOOKUP(R2468, Mileages!$A$2:$C$34, 2, 0)), R2468, VLOOKUP(R2468, Mileages!$A$2:$C$34, 2, 0)))) + (F2468 * IF(ISBLANK(P2468), 1, P2468) * IF(ISBLANK(T2468), 0, IF(ISNA(VLOOKUP(T2468, 'Fuel Costs'!$A$2:$C$42, 2, 0)), T2468, VLOOKUP(T2468, 'Fuel Costs'!$A$2:$C$42, 2, 0))) / IF(ISBLANK(O2468), 1, O2468))) * 100</f>
        <v>18.60625</v>
      </c>
      <c r="J2468" s="2" t="n">
        <f aca="false">((H2468 / 800) / (IF(ISBLANK(S2468), 100, IF(ISNA(VLOOKUP(S2468, Lives!$A$2:$C$35, 2, 0)), S2468, VLOOKUP(S2468, Lives!$A$2:$C$35, 2, 0))) * 12) + (IF(ISBLANK(Q2468), 0, IF(ISNA(VLOOKUP(Q2468, Wages!$A$2:$C$17, 2, 0)), Q2468, VLOOKUP(Q2468, Wages!$A$2:$C$17, 2, 0))) * IF(ISBLANK(N2468), 0, IF(ISNA(VLOOKUP(N2468, Crews!$A$2:$C$28, 2, 0)), N2468, VLOOKUP(N2468, Crews!$A$2:$C$28, 2, 0))))) * 400</f>
        <v>8052.083333</v>
      </c>
      <c r="K2468" s="1"/>
      <c r="L2468" s="1" t="s">
        <v>4812</v>
      </c>
      <c r="M2468" s="1" t="n">
        <v>2</v>
      </c>
      <c r="N2468" s="1" t="s">
        <v>1815</v>
      </c>
      <c r="O2468" s="1" t="n">
        <v>1</v>
      </c>
      <c r="P2468" s="1"/>
      <c r="Q2468" s="1" t="s">
        <v>1815</v>
      </c>
      <c r="R2468" s="1" t="s">
        <v>4725</v>
      </c>
      <c r="S2468" s="1" t="s">
        <v>1843</v>
      </c>
      <c r="T2468" s="1" t="s">
        <v>4726</v>
      </c>
    </row>
    <row r="2469" customFormat="false" ht="15" hidden="false" customHeight="true" outlineLevel="0" collapsed="false">
      <c r="A2469" s="1" t="s">
        <v>4815</v>
      </c>
      <c r="B2469" s="1" t="n">
        <v>1984</v>
      </c>
      <c r="C2469" s="1" t="n">
        <v>3</v>
      </c>
      <c r="D2469" s="1" t="s">
        <v>21</v>
      </c>
      <c r="E2469" s="1" t="s">
        <v>2039</v>
      </c>
      <c r="F2469" s="1" t="n">
        <v>62</v>
      </c>
      <c r="G2469" s="1" t="n">
        <v>100</v>
      </c>
      <c r="H2469" s="2" t="n">
        <v>100000</v>
      </c>
      <c r="I2469" s="2" t="n">
        <f aca="false">(((H2469 / 800) / IF(ISBLANK(R2469), 1000000, IF(ISNA(VLOOKUP(R2469, Mileages!$A$2:$C$34, 2, 0)), R2469, VLOOKUP(R2469, Mileages!$A$2:$C$34, 2, 0)))) + (F2469 * IF(ISBLANK(P2469), 1, P2469) * IF(ISBLANK(T2469), 0, IF(ISNA(VLOOKUP(T2469, 'Fuel Costs'!$A$2:$C$42, 2, 0)), T2469, VLOOKUP(T2469, 'Fuel Costs'!$A$2:$C$42, 2, 0))) / IF(ISBLANK(O2469), 1, O2469))) * 100</f>
        <v>18.60625</v>
      </c>
      <c r="J2469" s="2" t="n">
        <f aca="false">((H2469 / 800) / (IF(ISBLANK(S2469), 100, IF(ISNA(VLOOKUP(S2469, Lives!$A$2:$C$35, 2, 0)), S2469, VLOOKUP(S2469, Lives!$A$2:$C$35, 2, 0))) * 12) + (IF(ISBLANK(Q2469), 0, IF(ISNA(VLOOKUP(Q2469, Wages!$A$2:$C$17, 2, 0)), Q2469, VLOOKUP(Q2469, Wages!$A$2:$C$17, 2, 0))) * IF(ISBLANK(N2469), 0, IF(ISNA(VLOOKUP(N2469, Crews!$A$2:$C$28, 2, 0)), N2469, VLOOKUP(N2469, Crews!$A$2:$C$28, 2, 0))))) * 400</f>
        <v>8052.083333</v>
      </c>
      <c r="K2469" s="1"/>
      <c r="L2469" s="1" t="s">
        <v>4812</v>
      </c>
      <c r="M2469" s="1" t="n">
        <v>3</v>
      </c>
      <c r="N2469" s="1" t="s">
        <v>1815</v>
      </c>
      <c r="O2469" s="1" t="n">
        <v>1</v>
      </c>
      <c r="P2469" s="1"/>
      <c r="Q2469" s="1" t="s">
        <v>1815</v>
      </c>
      <c r="R2469" s="1" t="s">
        <v>4725</v>
      </c>
      <c r="S2469" s="1" t="s">
        <v>1843</v>
      </c>
      <c r="T2469" s="1" t="s">
        <v>4726</v>
      </c>
    </row>
    <row r="2470" customFormat="false" ht="15" hidden="false" customHeight="true" outlineLevel="0" collapsed="false">
      <c r="A2470" s="1" t="s">
        <v>4816</v>
      </c>
      <c r="B2470" s="1" t="n">
        <v>1984</v>
      </c>
      <c r="C2470" s="1" t="n">
        <v>3</v>
      </c>
      <c r="D2470" s="1" t="s">
        <v>21</v>
      </c>
      <c r="E2470" s="1" t="s">
        <v>2039</v>
      </c>
      <c r="F2470" s="1" t="n">
        <v>62</v>
      </c>
      <c r="G2470" s="1" t="n">
        <v>100</v>
      </c>
      <c r="H2470" s="2" t="n">
        <v>100000</v>
      </c>
      <c r="I2470" s="2" t="n">
        <f aca="false">(((H2470 / 800) / IF(ISBLANK(R2470), 1000000, IF(ISNA(VLOOKUP(R2470, Mileages!$A$2:$C$34, 2, 0)), R2470, VLOOKUP(R2470, Mileages!$A$2:$C$34, 2, 0)))) + (F2470 * IF(ISBLANK(P2470), 1, P2470) * IF(ISBLANK(T2470), 0, IF(ISNA(VLOOKUP(T2470, 'Fuel Costs'!$A$2:$C$42, 2, 0)), T2470, VLOOKUP(T2470, 'Fuel Costs'!$A$2:$C$42, 2, 0))) / IF(ISBLANK(O2470), 1, O2470))) * 100</f>
        <v>18.60625</v>
      </c>
      <c r="J2470" s="2" t="n">
        <f aca="false">((H2470 / 800) / (IF(ISBLANK(S2470), 100, IF(ISNA(VLOOKUP(S2470, Lives!$A$2:$C$35, 2, 0)), S2470, VLOOKUP(S2470, Lives!$A$2:$C$35, 2, 0))) * 12) + (IF(ISBLANK(Q2470), 0, IF(ISNA(VLOOKUP(Q2470, Wages!$A$2:$C$17, 2, 0)), Q2470, VLOOKUP(Q2470, Wages!$A$2:$C$17, 2, 0))) * IF(ISBLANK(N2470), 0, IF(ISNA(VLOOKUP(N2470, Crews!$A$2:$C$28, 2, 0)), N2470, VLOOKUP(N2470, Crews!$A$2:$C$28, 2, 0))))) * 400</f>
        <v>8052.083333</v>
      </c>
      <c r="K2470" s="1"/>
      <c r="L2470" s="1" t="s">
        <v>4812</v>
      </c>
      <c r="M2470" s="1" t="n">
        <v>4</v>
      </c>
      <c r="N2470" s="1" t="s">
        <v>1815</v>
      </c>
      <c r="O2470" s="1" t="n">
        <v>1</v>
      </c>
      <c r="P2470" s="1"/>
      <c r="Q2470" s="1" t="s">
        <v>1815</v>
      </c>
      <c r="R2470" s="1" t="s">
        <v>4725</v>
      </c>
      <c r="S2470" s="1" t="s">
        <v>1843</v>
      </c>
      <c r="T2470" s="1" t="s">
        <v>4726</v>
      </c>
    </row>
    <row r="2471" customFormat="false" ht="15" hidden="false" customHeight="true" outlineLevel="0" collapsed="false">
      <c r="A2471" s="1" t="s">
        <v>4817</v>
      </c>
      <c r="B2471" s="1" t="n">
        <v>1984</v>
      </c>
      <c r="C2471" s="1" t="n">
        <v>3</v>
      </c>
      <c r="D2471" s="1" t="s">
        <v>21</v>
      </c>
      <c r="E2471" s="1" t="s">
        <v>2039</v>
      </c>
      <c r="F2471" s="1" t="n">
        <v>62</v>
      </c>
      <c r="G2471" s="1" t="n">
        <v>100</v>
      </c>
      <c r="H2471" s="2" t="n">
        <v>100000</v>
      </c>
      <c r="I2471" s="2" t="n">
        <f aca="false">(((H2471 / 800) / IF(ISBLANK(R2471), 1000000, IF(ISNA(VLOOKUP(R2471, Mileages!$A$2:$C$34, 2, 0)), R2471, VLOOKUP(R2471, Mileages!$A$2:$C$34, 2, 0)))) + (F2471 * IF(ISBLANK(P2471), 1, P2471) * IF(ISBLANK(T2471), 0, IF(ISNA(VLOOKUP(T2471, 'Fuel Costs'!$A$2:$C$42, 2, 0)), T2471, VLOOKUP(T2471, 'Fuel Costs'!$A$2:$C$42, 2, 0))) / IF(ISBLANK(O2471), 1, O2471))) * 100</f>
        <v>18.60625</v>
      </c>
      <c r="J2471" s="2" t="n">
        <f aca="false">((H2471 / 800) / (IF(ISBLANK(S2471), 100, IF(ISNA(VLOOKUP(S2471, Lives!$A$2:$C$35, 2, 0)), S2471, VLOOKUP(S2471, Lives!$A$2:$C$35, 2, 0))) * 12) + (IF(ISBLANK(Q2471), 0, IF(ISNA(VLOOKUP(Q2471, Wages!$A$2:$C$17, 2, 0)), Q2471, VLOOKUP(Q2471, Wages!$A$2:$C$17, 2, 0))) * IF(ISBLANK(N2471), 0, IF(ISNA(VLOOKUP(N2471, Crews!$A$2:$C$28, 2, 0)), N2471, VLOOKUP(N2471, Crews!$A$2:$C$28, 2, 0))))) * 400</f>
        <v>8052.083333</v>
      </c>
      <c r="K2471" s="1"/>
      <c r="L2471" s="1" t="s">
        <v>4812</v>
      </c>
      <c r="M2471" s="1" t="n">
        <v>5</v>
      </c>
      <c r="N2471" s="1" t="s">
        <v>1815</v>
      </c>
      <c r="O2471" s="1" t="n">
        <v>1</v>
      </c>
      <c r="P2471" s="1"/>
      <c r="Q2471" s="1" t="s">
        <v>1815</v>
      </c>
      <c r="R2471" s="1" t="s">
        <v>4725</v>
      </c>
      <c r="S2471" s="1" t="s">
        <v>1843</v>
      </c>
      <c r="T2471" s="1" t="s">
        <v>4726</v>
      </c>
    </row>
    <row r="2472" customFormat="false" ht="15" hidden="false" customHeight="true" outlineLevel="0" collapsed="false">
      <c r="A2472" s="1" t="s">
        <v>4818</v>
      </c>
      <c r="B2472" s="1" t="n">
        <v>1984</v>
      </c>
      <c r="C2472" s="1" t="n">
        <v>3</v>
      </c>
      <c r="D2472" s="1" t="s">
        <v>38</v>
      </c>
      <c r="E2472" s="1" t="s">
        <v>2039</v>
      </c>
      <c r="F2472" s="1" t="n">
        <v>212</v>
      </c>
      <c r="G2472" s="1" t="n">
        <v>121</v>
      </c>
      <c r="H2472" s="2" t="n">
        <v>1840000</v>
      </c>
      <c r="I2472" s="2" t="n">
        <f aca="false">(((H2472 / 800) / IF(ISBLANK(R2472), 1000000, IF(ISNA(VLOOKUP(R2472, Mileages!$A$2:$C$34, 2, 0)), R2472, VLOOKUP(R2472, Mileages!$A$2:$C$34, 2, 0)))) + (F2472 * IF(ISBLANK(P2472), 1, P2472) * IF(ISBLANK(T2472), 0, IF(ISNA(VLOOKUP(T2472, 'Fuel Costs'!$A$2:$C$42, 2, 0)), T2472, VLOOKUP(T2472, 'Fuel Costs'!$A$2:$C$42, 2, 0))) / IF(ISBLANK(O2472), 1, O2472))) * 100</f>
        <v>63.715</v>
      </c>
      <c r="J2472" s="2" t="n">
        <f aca="false">((H2472 / 800) / (IF(ISBLANK(S2472), 100, IF(ISNA(VLOOKUP(S2472, Lives!$A$2:$C$35, 2, 0)), S2472, VLOOKUP(S2472, Lives!$A$2:$C$35, 2, 0))) * 12) + (IF(ISBLANK(Q2472), 0, IF(ISNA(VLOOKUP(Q2472, Wages!$A$2:$C$17, 2, 0)), Q2472, VLOOKUP(Q2472, Wages!$A$2:$C$17, 2, 0))) * IF(ISBLANK(N2472), 0, IF(ISNA(VLOOKUP(N2472, Crews!$A$2:$C$28, 2, 0)), N2472, VLOOKUP(N2472, Crews!$A$2:$C$28, 2, 0))))) * 400</f>
        <v>6958.333333</v>
      </c>
      <c r="K2472" s="1" t="s">
        <v>4819</v>
      </c>
      <c r="L2472" s="1" t="s">
        <v>4820</v>
      </c>
      <c r="M2472" s="1" t="n">
        <v>0</v>
      </c>
      <c r="N2472" s="1" t="s">
        <v>1512</v>
      </c>
      <c r="O2472" s="1" t="n">
        <v>1</v>
      </c>
      <c r="P2472" s="1"/>
      <c r="Q2472" s="1" t="s">
        <v>1512</v>
      </c>
      <c r="R2472" s="1" t="s">
        <v>4747</v>
      </c>
      <c r="S2472" s="1" t="s">
        <v>4747</v>
      </c>
      <c r="T2472" s="1" t="s">
        <v>4726</v>
      </c>
    </row>
    <row r="2473" customFormat="false" ht="15" hidden="false" customHeight="true" outlineLevel="0" collapsed="false">
      <c r="A2473" s="1" t="s">
        <v>4821</v>
      </c>
      <c r="B2473" s="1" t="n">
        <v>1984</v>
      </c>
      <c r="C2473" s="1" t="n">
        <v>3</v>
      </c>
      <c r="D2473" s="1" t="s">
        <v>38</v>
      </c>
      <c r="E2473" s="1" t="s">
        <v>2039</v>
      </c>
      <c r="F2473" s="1" t="n">
        <v>212</v>
      </c>
      <c r="G2473" s="1" t="n">
        <v>121</v>
      </c>
      <c r="H2473" s="2" t="n">
        <v>1840000</v>
      </c>
      <c r="I2473" s="2" t="n">
        <f aca="false">(((H2473 / 800) / IF(ISBLANK(R2473), 1000000, IF(ISNA(VLOOKUP(R2473, Mileages!$A$2:$C$34, 2, 0)), R2473, VLOOKUP(R2473, Mileages!$A$2:$C$34, 2, 0)))) + (F2473 * IF(ISBLANK(P2473), 1, P2473) * IF(ISBLANK(T2473), 0, IF(ISNA(VLOOKUP(T2473, 'Fuel Costs'!$A$2:$C$42, 2, 0)), T2473, VLOOKUP(T2473, 'Fuel Costs'!$A$2:$C$42, 2, 0))) / IF(ISBLANK(O2473), 1, O2473))) * 100</f>
        <v>63.715</v>
      </c>
      <c r="J2473" s="2" t="n">
        <f aca="false">((H2473 / 800) / (IF(ISBLANK(S2473), 100, IF(ISNA(VLOOKUP(S2473, Lives!$A$2:$C$35, 2, 0)), S2473, VLOOKUP(S2473, Lives!$A$2:$C$35, 2, 0))) * 12) + (IF(ISBLANK(Q2473), 0, IF(ISNA(VLOOKUP(Q2473, Wages!$A$2:$C$17, 2, 0)), Q2473, VLOOKUP(Q2473, Wages!$A$2:$C$17, 2, 0))) * IF(ISBLANK(N2473), 0, IF(ISNA(VLOOKUP(N2473, Crews!$A$2:$C$28, 2, 0)), N2473, VLOOKUP(N2473, Crews!$A$2:$C$28, 2, 0))))) * 400</f>
        <v>958.3333333</v>
      </c>
      <c r="K2473" s="1"/>
      <c r="L2473" s="1" t="s">
        <v>4820</v>
      </c>
      <c r="M2473" s="1" t="n">
        <v>1</v>
      </c>
      <c r="N2473" s="1"/>
      <c r="O2473" s="1" t="n">
        <v>1</v>
      </c>
      <c r="P2473" s="1"/>
      <c r="Q2473" s="1"/>
      <c r="R2473" s="1" t="s">
        <v>4747</v>
      </c>
      <c r="S2473" s="1" t="s">
        <v>4747</v>
      </c>
      <c r="T2473" s="1" t="s">
        <v>4726</v>
      </c>
    </row>
    <row r="2474" customFormat="false" ht="15" hidden="false" customHeight="true" outlineLevel="0" collapsed="false">
      <c r="A2474" s="1" t="s">
        <v>4822</v>
      </c>
      <c r="B2474" s="1" t="n">
        <v>1984</v>
      </c>
      <c r="C2474" s="1" t="n">
        <v>3</v>
      </c>
      <c r="D2474" s="1" t="s">
        <v>38</v>
      </c>
      <c r="E2474" s="1" t="s">
        <v>2039</v>
      </c>
      <c r="F2474" s="1" t="n">
        <v>212</v>
      </c>
      <c r="G2474" s="1" t="n">
        <v>121</v>
      </c>
      <c r="H2474" s="2" t="n">
        <v>1840000</v>
      </c>
      <c r="I2474" s="2" t="n">
        <f aca="false">(((H2474 / 800) / IF(ISBLANK(R2474), 1000000, IF(ISNA(VLOOKUP(R2474, Mileages!$A$2:$C$34, 2, 0)), R2474, VLOOKUP(R2474, Mileages!$A$2:$C$34, 2, 0)))) + (F2474 * IF(ISBLANK(P2474), 1, P2474) * IF(ISBLANK(T2474), 0, IF(ISNA(VLOOKUP(T2474, 'Fuel Costs'!$A$2:$C$42, 2, 0)), T2474, VLOOKUP(T2474, 'Fuel Costs'!$A$2:$C$42, 2, 0))) / IF(ISBLANK(O2474), 1, O2474))) * 100</f>
        <v>63.715</v>
      </c>
      <c r="J2474" s="2" t="n">
        <f aca="false">((H2474 / 800) / (IF(ISBLANK(S2474), 100, IF(ISNA(VLOOKUP(S2474, Lives!$A$2:$C$35, 2, 0)), S2474, VLOOKUP(S2474, Lives!$A$2:$C$35, 2, 0))) * 12) + (IF(ISBLANK(Q2474), 0, IF(ISNA(VLOOKUP(Q2474, Wages!$A$2:$C$17, 2, 0)), Q2474, VLOOKUP(Q2474, Wages!$A$2:$C$17, 2, 0))) * IF(ISBLANK(N2474), 0, IF(ISNA(VLOOKUP(N2474, Crews!$A$2:$C$28, 2, 0)), N2474, VLOOKUP(N2474, Crews!$A$2:$C$28, 2, 0))))) * 400</f>
        <v>6958.333333</v>
      </c>
      <c r="K2474" s="1" t="s">
        <v>4823</v>
      </c>
      <c r="L2474" s="1" t="s">
        <v>4820</v>
      </c>
      <c r="M2474" s="1" t="n">
        <v>2</v>
      </c>
      <c r="N2474" s="1" t="s">
        <v>1512</v>
      </c>
      <c r="O2474" s="1" t="n">
        <v>1</v>
      </c>
      <c r="P2474" s="1"/>
      <c r="Q2474" s="1" t="s">
        <v>1512</v>
      </c>
      <c r="R2474" s="1" t="s">
        <v>4747</v>
      </c>
      <c r="S2474" s="1" t="s">
        <v>4747</v>
      </c>
      <c r="T2474" s="1" t="s">
        <v>4726</v>
      </c>
    </row>
    <row r="2475" customFormat="false" ht="15" hidden="false" customHeight="true" outlineLevel="0" collapsed="false">
      <c r="A2475" s="1" t="s">
        <v>4824</v>
      </c>
      <c r="B2475" s="1" t="n">
        <v>1984</v>
      </c>
      <c r="C2475" s="1" t="n">
        <v>4</v>
      </c>
      <c r="D2475" s="1" t="s">
        <v>21</v>
      </c>
      <c r="E2475" s="1" t="s">
        <v>2039</v>
      </c>
      <c r="F2475" s="1" t="n">
        <v>194</v>
      </c>
      <c r="G2475" s="1" t="n">
        <v>96</v>
      </c>
      <c r="H2475" s="2" t="n">
        <v>3250000</v>
      </c>
      <c r="I2475" s="2" t="n">
        <f aca="false">(((H2475 / 800) / IF(ISBLANK(R2475), 1000000, IF(ISNA(VLOOKUP(R2475, Mileages!$A$2:$C$34, 2, 0)), R2475, VLOOKUP(R2475, Mileages!$A$2:$C$34, 2, 0)))) + (F2475 * IF(ISBLANK(P2475), 1, P2475) * IF(ISBLANK(T2475), 0, IF(ISNA(VLOOKUP(T2475, 'Fuel Costs'!$A$2:$C$42, 2, 0)), T2475, VLOOKUP(T2475, 'Fuel Costs'!$A$2:$C$42, 2, 0))) / IF(ISBLANK(O2475), 1, O2475))) * 100</f>
        <v>58.403125</v>
      </c>
      <c r="J2475" s="2" t="n">
        <f aca="false">((H2475 / 800) / (IF(ISBLANK(S2475), 100, IF(ISNA(VLOOKUP(S2475, Lives!$A$2:$C$35, 2, 0)), S2475, VLOOKUP(S2475, Lives!$A$2:$C$35, 2, 0))) * 12) + (IF(ISBLANK(Q2475), 0, IF(ISNA(VLOOKUP(Q2475, Wages!$A$2:$C$17, 2, 0)), Q2475, VLOOKUP(Q2475, Wages!$A$2:$C$17, 2, 0))) * IF(ISBLANK(N2475), 0, IF(ISNA(VLOOKUP(N2475, Crews!$A$2:$C$28, 2, 0)), N2475, VLOOKUP(N2475, Crews!$A$2:$C$28, 2, 0))))) * 400</f>
        <v>9692.708333</v>
      </c>
      <c r="K2475" s="3" t="s">
        <v>4825</v>
      </c>
      <c r="L2475" s="1" t="s">
        <v>4826</v>
      </c>
      <c r="M2475" s="1" t="n">
        <v>0</v>
      </c>
      <c r="N2475" s="1" t="s">
        <v>1815</v>
      </c>
      <c r="O2475" s="1" t="n">
        <v>1</v>
      </c>
      <c r="P2475" s="1"/>
      <c r="Q2475" s="1" t="s">
        <v>1815</v>
      </c>
      <c r="R2475" s="1" t="s">
        <v>4725</v>
      </c>
      <c r="S2475" s="1" t="s">
        <v>1843</v>
      </c>
      <c r="T2475" s="1" t="s">
        <v>4726</v>
      </c>
    </row>
    <row r="2476" customFormat="false" ht="15" hidden="false" customHeight="true" outlineLevel="0" collapsed="false">
      <c r="A2476" s="1" t="s">
        <v>4827</v>
      </c>
      <c r="B2476" s="1" t="n">
        <v>1984</v>
      </c>
      <c r="C2476" s="1" t="n">
        <v>11</v>
      </c>
      <c r="D2476" s="1" t="s">
        <v>2225</v>
      </c>
      <c r="E2476" s="1" t="s">
        <v>3660</v>
      </c>
      <c r="F2476" s="1" t="n">
        <v>32040</v>
      </c>
      <c r="G2476" s="1" t="n">
        <v>794</v>
      </c>
      <c r="H2476" s="2" t="n">
        <v>45000000</v>
      </c>
      <c r="I2476" s="2" t="n">
        <f aca="false">(((H2476 / 800) / IF(ISBLANK(R2476), 1000000, IF(ISNA(VLOOKUP(R2476, Mileages!$A$2:$C$34, 2, 0)), R2476, VLOOKUP(R2476, Mileages!$A$2:$C$34, 2, 0)))) + (F2476 * IF(ISBLANK(P2476), 1, P2476) * IF(ISBLANK(T2476), 0, IF(ISNA(VLOOKUP(T2476, 'Fuel Costs'!$A$2:$C$42, 2, 0)), T2476, VLOOKUP(T2476, 'Fuel Costs'!$A$2:$C$42, 2, 0))) / IF(ISBLANK(O2476), 1, O2476))) * 100</f>
        <v>128.3475</v>
      </c>
      <c r="J2476" s="2" t="n">
        <f aca="false">((H2476 / 800) / (IF(ISBLANK(S2476), 100, IF(ISNA(VLOOKUP(S2476, Lives!$A$2:$C$35, 2, 0)), S2476, VLOOKUP(S2476, Lives!$A$2:$C$35, 2, 0))) * 12) + (IF(ISBLANK(Q2476), 0, IF(ISNA(VLOOKUP(Q2476, Wages!$A$2:$C$17, 2, 0)), Q2476, VLOOKUP(Q2476, Wages!$A$2:$C$17, 2, 0))) * IF(ISBLANK(N2476), 0, IF(ISNA(VLOOKUP(N2476, Crews!$A$2:$C$28, 2, 0)), N2476, VLOOKUP(N2476, Crews!$A$2:$C$28, 2, 0))))) * 400</f>
        <v>81250</v>
      </c>
      <c r="K2476" s="3" t="s">
        <v>4828</v>
      </c>
      <c r="L2476" s="1" t="s">
        <v>4829</v>
      </c>
      <c r="M2476" s="1" t="n">
        <v>0</v>
      </c>
      <c r="N2476" s="1" t="s">
        <v>2342</v>
      </c>
      <c r="O2476" s="1"/>
      <c r="P2476" s="1" t="n">
        <v>0.02</v>
      </c>
      <c r="Q2476" s="1" t="s">
        <v>2229</v>
      </c>
      <c r="R2476" s="1" t="s">
        <v>4413</v>
      </c>
      <c r="S2476" s="1" t="s">
        <v>2229</v>
      </c>
      <c r="T2476" s="1" t="s">
        <v>4773</v>
      </c>
    </row>
    <row r="2477" customFormat="false" ht="15" hidden="false" customHeight="true" outlineLevel="0" collapsed="false">
      <c r="A2477" s="1" t="s">
        <v>4830</v>
      </c>
      <c r="B2477" s="1" t="n">
        <v>1984</v>
      </c>
      <c r="C2477" s="1" t="n">
        <v>11</v>
      </c>
      <c r="D2477" s="1" t="s">
        <v>2225</v>
      </c>
      <c r="E2477" s="1" t="s">
        <v>3660</v>
      </c>
      <c r="F2477" s="1" t="n">
        <v>32040</v>
      </c>
      <c r="G2477" s="1" t="n">
        <v>794</v>
      </c>
      <c r="H2477" s="2" t="n">
        <v>45000000</v>
      </c>
      <c r="I2477" s="2" t="n">
        <f aca="false">(((H2477 / 800) / IF(ISBLANK(R2477), 1000000, IF(ISNA(VLOOKUP(R2477, Mileages!$A$2:$C$34, 2, 0)), R2477, VLOOKUP(R2477, Mileages!$A$2:$C$34, 2, 0)))) + (F2477 * IF(ISBLANK(P2477), 1, P2477) * IF(ISBLANK(T2477), 0, IF(ISNA(VLOOKUP(T2477, 'Fuel Costs'!$A$2:$C$42, 2, 0)), T2477, VLOOKUP(T2477, 'Fuel Costs'!$A$2:$C$42, 2, 0))) / IF(ISBLANK(O2477), 1, O2477))) * 100</f>
        <v>128.3475</v>
      </c>
      <c r="J2477" s="2" t="n">
        <f aca="false">((H2477 / 800) / (IF(ISBLANK(S2477), 100, IF(ISNA(VLOOKUP(S2477, Lives!$A$2:$C$35, 2, 0)), S2477, VLOOKUP(S2477, Lives!$A$2:$C$35, 2, 0))) * 12) + (IF(ISBLANK(Q2477), 0, IF(ISNA(VLOOKUP(Q2477, Wages!$A$2:$C$17, 2, 0)), Q2477, VLOOKUP(Q2477, Wages!$A$2:$C$17, 2, 0))) * IF(ISBLANK(N2477), 0, IF(ISNA(VLOOKUP(N2477, Crews!$A$2:$C$28, 2, 0)), N2477, VLOOKUP(N2477, Crews!$A$2:$C$28, 2, 0))))) * 400</f>
        <v>81250</v>
      </c>
      <c r="K2477" s="3" t="s">
        <v>4831</v>
      </c>
      <c r="L2477" s="1" t="s">
        <v>4829</v>
      </c>
      <c r="M2477" s="1" t="n">
        <v>1</v>
      </c>
      <c r="N2477" s="1" t="s">
        <v>2342</v>
      </c>
      <c r="O2477" s="1"/>
      <c r="P2477" s="1" t="n">
        <v>0.02</v>
      </c>
      <c r="Q2477" s="1" t="s">
        <v>2229</v>
      </c>
      <c r="R2477" s="1" t="s">
        <v>4413</v>
      </c>
      <c r="S2477" s="1" t="s">
        <v>2229</v>
      </c>
      <c r="T2477" s="1" t="s">
        <v>4773</v>
      </c>
    </row>
    <row r="2478" customFormat="false" ht="15" hidden="false" customHeight="true" outlineLevel="0" collapsed="false">
      <c r="A2478" s="1" t="s">
        <v>4832</v>
      </c>
      <c r="B2478" s="1" t="n">
        <v>1985</v>
      </c>
      <c r="C2478" s="1" t="n">
        <v>5</v>
      </c>
      <c r="D2478" s="1" t="s">
        <v>38</v>
      </c>
      <c r="E2478" s="1" t="s">
        <v>2039</v>
      </c>
      <c r="F2478" s="1" t="n">
        <v>168</v>
      </c>
      <c r="G2478" s="1" t="n">
        <v>120</v>
      </c>
      <c r="H2478" s="2" t="n">
        <v>1250000</v>
      </c>
      <c r="I2478" s="2" t="n">
        <f aca="false">(((H2478 / 800) / IF(ISBLANK(R2478), 1000000, IF(ISNA(VLOOKUP(R2478, Mileages!$A$2:$C$34, 2, 0)), R2478, VLOOKUP(R2478, Mileages!$A$2:$C$34, 2, 0)))) + (F2478 * IF(ISBLANK(P2478), 1, P2478) * IF(ISBLANK(T2478), 0, IF(ISNA(VLOOKUP(T2478, 'Fuel Costs'!$A$2:$C$42, 2, 0)), T2478, VLOOKUP(T2478, 'Fuel Costs'!$A$2:$C$42, 2, 0))) / IF(ISBLANK(O2478), 1, O2478))) * 100</f>
        <v>50.478125</v>
      </c>
      <c r="J2478" s="2" t="n">
        <f aca="false">((H2478 / 800) / (IF(ISBLANK(S2478), 100, IF(ISNA(VLOOKUP(S2478, Lives!$A$2:$C$35, 2, 0)), S2478, VLOOKUP(S2478, Lives!$A$2:$C$35, 2, 0))) * 12) + (IF(ISBLANK(Q2478), 0, IF(ISNA(VLOOKUP(Q2478, Wages!$A$2:$C$17, 2, 0)), Q2478, VLOOKUP(Q2478, Wages!$A$2:$C$17, 2, 0))) * IF(ISBLANK(N2478), 0, IF(ISNA(VLOOKUP(N2478, Crews!$A$2:$C$28, 2, 0)), N2478, VLOOKUP(N2478, Crews!$A$2:$C$28, 2, 0))))) * 400</f>
        <v>6651.041667</v>
      </c>
      <c r="K2478" s="1" t="s">
        <v>4819</v>
      </c>
      <c r="L2478" s="1" t="s">
        <v>4833</v>
      </c>
      <c r="M2478" s="1" t="n">
        <v>0</v>
      </c>
      <c r="N2478" s="1" t="s">
        <v>1512</v>
      </c>
      <c r="O2478" s="1" t="n">
        <v>1</v>
      </c>
      <c r="P2478" s="1"/>
      <c r="Q2478" s="1" t="s">
        <v>1512</v>
      </c>
      <c r="R2478" s="1" t="s">
        <v>4747</v>
      </c>
      <c r="S2478" s="1" t="s">
        <v>4747</v>
      </c>
      <c r="T2478" s="1" t="s">
        <v>4726</v>
      </c>
    </row>
    <row r="2479" customFormat="false" ht="15" hidden="false" customHeight="true" outlineLevel="0" collapsed="false">
      <c r="A2479" s="1" t="s">
        <v>4834</v>
      </c>
      <c r="B2479" s="1" t="n">
        <v>1985</v>
      </c>
      <c r="C2479" s="1" t="n">
        <v>5</v>
      </c>
      <c r="D2479" s="1" t="s">
        <v>38</v>
      </c>
      <c r="E2479" s="1" t="s">
        <v>2039</v>
      </c>
      <c r="F2479" s="1" t="n">
        <v>168</v>
      </c>
      <c r="G2479" s="1" t="n">
        <v>120</v>
      </c>
      <c r="H2479" s="2" t="n">
        <v>1250000</v>
      </c>
      <c r="I2479" s="2" t="n">
        <f aca="false">(((H2479 / 800) / IF(ISBLANK(R2479), 1000000, IF(ISNA(VLOOKUP(R2479, Mileages!$A$2:$C$34, 2, 0)), R2479, VLOOKUP(R2479, Mileages!$A$2:$C$34, 2, 0)))) + (F2479 * IF(ISBLANK(P2479), 1, P2479) * IF(ISBLANK(T2479), 0, IF(ISNA(VLOOKUP(T2479, 'Fuel Costs'!$A$2:$C$42, 2, 0)), T2479, VLOOKUP(T2479, 'Fuel Costs'!$A$2:$C$42, 2, 0))) / IF(ISBLANK(O2479), 1, O2479))) * 100</f>
        <v>50.478125</v>
      </c>
      <c r="J2479" s="2" t="n">
        <f aca="false">((H2479 / 800) / (IF(ISBLANK(S2479), 100, IF(ISNA(VLOOKUP(S2479, Lives!$A$2:$C$35, 2, 0)), S2479, VLOOKUP(S2479, Lives!$A$2:$C$35, 2, 0))) * 12) + (IF(ISBLANK(Q2479), 0, IF(ISNA(VLOOKUP(Q2479, Wages!$A$2:$C$17, 2, 0)), Q2479, VLOOKUP(Q2479, Wages!$A$2:$C$17, 2, 0))) * IF(ISBLANK(N2479), 0, IF(ISNA(VLOOKUP(N2479, Crews!$A$2:$C$28, 2, 0)), N2479, VLOOKUP(N2479, Crews!$A$2:$C$28, 2, 0))))) * 400</f>
        <v>6651.041667</v>
      </c>
      <c r="K2479" s="1" t="s">
        <v>4823</v>
      </c>
      <c r="L2479" s="1" t="s">
        <v>4833</v>
      </c>
      <c r="M2479" s="1" t="n">
        <v>1</v>
      </c>
      <c r="N2479" s="1" t="s">
        <v>1512</v>
      </c>
      <c r="O2479" s="1" t="n">
        <v>1</v>
      </c>
      <c r="P2479" s="1"/>
      <c r="Q2479" s="1" t="s">
        <v>1512</v>
      </c>
      <c r="R2479" s="1" t="s">
        <v>4747</v>
      </c>
      <c r="S2479" s="1" t="s">
        <v>4747</v>
      </c>
      <c r="T2479" s="1" t="s">
        <v>4726</v>
      </c>
    </row>
    <row r="2480" customFormat="false" ht="15" hidden="false" customHeight="true" outlineLevel="0" collapsed="false">
      <c r="A2480" s="1" t="s">
        <v>4835</v>
      </c>
      <c r="B2480" s="1" t="n">
        <v>1985</v>
      </c>
      <c r="C2480" s="1" t="n">
        <v>5</v>
      </c>
      <c r="D2480" s="1" t="s">
        <v>38</v>
      </c>
      <c r="E2480" s="1"/>
      <c r="F2480" s="1"/>
      <c r="G2480" s="1" t="n">
        <v>200</v>
      </c>
      <c r="H2480" s="2" t="n">
        <v>641000</v>
      </c>
      <c r="I2480" s="2" t="n">
        <f aca="false">(((H2480 / 800) / IF(ISBLANK(R2480), 1000000, IF(ISNA(VLOOKUP(R2480, Mileages!$A$2:$C$34, 2, 0)), R2480, VLOOKUP(R2480, Mileages!$A$2:$C$34, 2, 0)))) + (F2480 * IF(ISBLANK(P2480), 1, P2480) * IF(ISBLANK(T2480), 0, IF(ISNA(VLOOKUP(T2480, 'Fuel Costs'!$A$2:$C$42, 2, 0)), T2480, VLOOKUP(T2480, 'Fuel Costs'!$A$2:$C$42, 2, 0))) / IF(ISBLANK(O2480), 1, O2480))) * 100</f>
        <v>0.03338541667</v>
      </c>
      <c r="J2480" s="2" t="n">
        <f aca="false">((H2480 / 800) / (IF(ISBLANK(S2480), 100, IF(ISNA(VLOOKUP(S2480, Lives!$A$2:$C$35, 2, 0)), S2480, VLOOKUP(S2480, Lives!$A$2:$C$35, 2, 0))) * 12) + (IF(ISBLANK(Q2480), 0, IF(ISNA(VLOOKUP(Q2480, Wages!$A$2:$C$17, 2, 0)), Q2480, VLOOKUP(Q2480, Wages!$A$2:$C$17, 2, 0))) * IF(ISBLANK(N2480), 0, IF(ISNA(VLOOKUP(N2480, Crews!$A$2:$C$28, 2, 0)), N2480, VLOOKUP(N2480, Crews!$A$2:$C$28, 2, 0))))) * 400</f>
        <v>1335.416667</v>
      </c>
      <c r="K2480" s="1"/>
      <c r="L2480" s="1" t="s">
        <v>4836</v>
      </c>
      <c r="M2480" s="1" t="n">
        <v>0</v>
      </c>
      <c r="N2480" s="1"/>
      <c r="O2480" s="1"/>
      <c r="P2480" s="1"/>
      <c r="Q2480" s="1"/>
      <c r="R2480" s="1" t="s">
        <v>4419</v>
      </c>
      <c r="S2480" s="1" t="s">
        <v>4470</v>
      </c>
      <c r="T2480" s="1"/>
    </row>
    <row r="2481" customFormat="false" ht="15" hidden="false" customHeight="true" outlineLevel="0" collapsed="false">
      <c r="A2481" s="1" t="s">
        <v>4837</v>
      </c>
      <c r="B2481" s="1" t="n">
        <v>1985</v>
      </c>
      <c r="C2481" s="1" t="n">
        <v>12</v>
      </c>
      <c r="D2481" s="1" t="s">
        <v>2225</v>
      </c>
      <c r="E2481" s="1" t="s">
        <v>3660</v>
      </c>
      <c r="F2481" s="1" t="n">
        <v>2980</v>
      </c>
      <c r="G2481" s="1" t="n">
        <v>450</v>
      </c>
      <c r="H2481" s="2" t="n">
        <v>9000000</v>
      </c>
      <c r="I2481" s="2" t="n">
        <f aca="false">(((H2481 / 800) / IF(ISBLANK(R2481), 1000000, IF(ISNA(VLOOKUP(R2481, Mileages!$A$2:$C$34, 2, 0)), R2481, VLOOKUP(R2481, Mileages!$A$2:$C$34, 2, 0)))) + (F2481 * IF(ISBLANK(P2481), 1, P2481) * IF(ISBLANK(T2481), 0, IF(ISNA(VLOOKUP(T2481, 'Fuel Costs'!$A$2:$C$42, 2, 0)), T2481, VLOOKUP(T2481, 'Fuel Costs'!$A$2:$C$42, 2, 0))) / IF(ISBLANK(O2481), 1, O2481))) * 100</f>
        <v>11.9575</v>
      </c>
      <c r="J2481" s="2" t="n">
        <f aca="false">((H2481 / 800) / (IF(ISBLANK(S2481), 100, IF(ISNA(VLOOKUP(S2481, Lives!$A$2:$C$35, 2, 0)), S2481, VLOOKUP(S2481, Lives!$A$2:$C$35, 2, 0))) * 12) + (IF(ISBLANK(Q2481), 0, IF(ISNA(VLOOKUP(Q2481, Wages!$A$2:$C$17, 2, 0)), Q2481, VLOOKUP(Q2481, Wages!$A$2:$C$17, 2, 0))) * IF(ISBLANK(N2481), 0, IF(ISNA(VLOOKUP(N2481, Crews!$A$2:$C$28, 2, 0)), N2481, VLOOKUP(N2481, Crews!$A$2:$C$28, 2, 0))))) * 400</f>
        <v>16250</v>
      </c>
      <c r="K2481" s="3" t="s">
        <v>4838</v>
      </c>
      <c r="L2481" s="1" t="s">
        <v>4839</v>
      </c>
      <c r="M2481" s="1" t="n">
        <v>0</v>
      </c>
      <c r="N2481" s="1" t="s">
        <v>25</v>
      </c>
      <c r="O2481" s="1"/>
      <c r="P2481" s="1" t="n">
        <v>0.02</v>
      </c>
      <c r="Q2481" s="1" t="s">
        <v>2229</v>
      </c>
      <c r="R2481" s="1" t="s">
        <v>4413</v>
      </c>
      <c r="S2481" s="1" t="s">
        <v>2229</v>
      </c>
      <c r="T2481" s="1" t="s">
        <v>4773</v>
      </c>
    </row>
    <row r="2482" customFormat="false" ht="15" hidden="false" customHeight="true" outlineLevel="0" collapsed="false">
      <c r="A2482" s="1" t="s">
        <v>4840</v>
      </c>
      <c r="B2482" s="1" t="n">
        <v>1985</v>
      </c>
      <c r="C2482" s="1" t="n">
        <v>12</v>
      </c>
      <c r="D2482" s="1" t="s">
        <v>2225</v>
      </c>
      <c r="E2482" s="1" t="s">
        <v>3660</v>
      </c>
      <c r="F2482" s="1" t="n">
        <v>2980</v>
      </c>
      <c r="G2482" s="1" t="n">
        <v>450</v>
      </c>
      <c r="H2482" s="2" t="n">
        <v>9000000</v>
      </c>
      <c r="I2482" s="2" t="n">
        <f aca="false">(((H2482 / 800) / IF(ISBLANK(R2482), 1000000, IF(ISNA(VLOOKUP(R2482, Mileages!$A$2:$C$34, 2, 0)), R2482, VLOOKUP(R2482, Mileages!$A$2:$C$34, 2, 0)))) + (F2482 * IF(ISBLANK(P2482), 1, P2482) * IF(ISBLANK(T2482), 0, IF(ISNA(VLOOKUP(T2482, 'Fuel Costs'!$A$2:$C$42, 2, 0)), T2482, VLOOKUP(T2482, 'Fuel Costs'!$A$2:$C$42, 2, 0))) / IF(ISBLANK(O2482), 1, O2482))) * 100</f>
        <v>11.9575</v>
      </c>
      <c r="J2482" s="2" t="n">
        <f aca="false">((H2482 / 800) / (IF(ISBLANK(S2482), 100, IF(ISNA(VLOOKUP(S2482, Lives!$A$2:$C$35, 2, 0)), S2482, VLOOKUP(S2482, Lives!$A$2:$C$35, 2, 0))) * 12) + (IF(ISBLANK(Q2482), 0, IF(ISNA(VLOOKUP(Q2482, Wages!$A$2:$C$17, 2, 0)), Q2482, VLOOKUP(Q2482, Wages!$A$2:$C$17, 2, 0))) * IF(ISBLANK(N2482), 0, IF(ISNA(VLOOKUP(N2482, Crews!$A$2:$C$28, 2, 0)), N2482, VLOOKUP(N2482, Crews!$A$2:$C$28, 2, 0))))) * 400</f>
        <v>16250</v>
      </c>
      <c r="K2482" s="3" t="s">
        <v>4841</v>
      </c>
      <c r="L2482" s="1" t="s">
        <v>4839</v>
      </c>
      <c r="M2482" s="1" t="n">
        <v>1</v>
      </c>
      <c r="N2482" s="1" t="s">
        <v>25</v>
      </c>
      <c r="O2482" s="1"/>
      <c r="P2482" s="1" t="n">
        <v>0.02</v>
      </c>
      <c r="Q2482" s="1" t="s">
        <v>2229</v>
      </c>
      <c r="R2482" s="1" t="s">
        <v>4413</v>
      </c>
      <c r="S2482" s="1" t="s">
        <v>2229</v>
      </c>
      <c r="T2482" s="1" t="s">
        <v>4773</v>
      </c>
    </row>
    <row r="2483" customFormat="false" ht="15" hidden="false" customHeight="true" outlineLevel="0" collapsed="false">
      <c r="A2483" s="1" t="s">
        <v>4842</v>
      </c>
      <c r="B2483" s="1" t="n">
        <v>1985</v>
      </c>
      <c r="C2483" s="1" t="n">
        <v>12</v>
      </c>
      <c r="D2483" s="1" t="s">
        <v>2225</v>
      </c>
      <c r="E2483" s="1" t="s">
        <v>3660</v>
      </c>
      <c r="F2483" s="1" t="n">
        <v>2980</v>
      </c>
      <c r="G2483" s="1" t="n">
        <v>450</v>
      </c>
      <c r="H2483" s="2" t="n">
        <v>9000000</v>
      </c>
      <c r="I2483" s="2" t="n">
        <f aca="false">(((H2483 / 800) / IF(ISBLANK(R2483), 1000000, IF(ISNA(VLOOKUP(R2483, Mileages!$A$2:$C$34, 2, 0)), R2483, VLOOKUP(R2483, Mileages!$A$2:$C$34, 2, 0)))) + (F2483 * IF(ISBLANK(P2483), 1, P2483) * IF(ISBLANK(T2483), 0, IF(ISNA(VLOOKUP(T2483, 'Fuel Costs'!$A$2:$C$42, 2, 0)), T2483, VLOOKUP(T2483, 'Fuel Costs'!$A$2:$C$42, 2, 0))) / IF(ISBLANK(O2483), 1, O2483))) * 100</f>
        <v>11.9575</v>
      </c>
      <c r="J2483" s="2" t="n">
        <f aca="false">((H2483 / 800) / (IF(ISBLANK(S2483), 100, IF(ISNA(VLOOKUP(S2483, Lives!$A$2:$C$35, 2, 0)), S2483, VLOOKUP(S2483, Lives!$A$2:$C$35, 2, 0))) * 12) + (IF(ISBLANK(Q2483), 0, IF(ISNA(VLOOKUP(Q2483, Wages!$A$2:$C$17, 2, 0)), Q2483, VLOOKUP(Q2483, Wages!$A$2:$C$17, 2, 0))) * IF(ISBLANK(N2483), 0, IF(ISNA(VLOOKUP(N2483, Crews!$A$2:$C$28, 2, 0)), N2483, VLOOKUP(N2483, Crews!$A$2:$C$28, 2, 0))))) * 400</f>
        <v>16250</v>
      </c>
      <c r="K2483" s="3" t="s">
        <v>4841</v>
      </c>
      <c r="L2483" s="1" t="s">
        <v>4839</v>
      </c>
      <c r="M2483" s="1" t="n">
        <v>2</v>
      </c>
      <c r="N2483" s="1" t="s">
        <v>25</v>
      </c>
      <c r="O2483" s="1"/>
      <c r="P2483" s="1" t="n">
        <v>0.02</v>
      </c>
      <c r="Q2483" s="1" t="s">
        <v>2229</v>
      </c>
      <c r="R2483" s="1" t="s">
        <v>4413</v>
      </c>
      <c r="S2483" s="1" t="s">
        <v>2229</v>
      </c>
      <c r="T2483" s="1" t="s">
        <v>4773</v>
      </c>
    </row>
    <row r="2484" customFormat="false" ht="15" hidden="false" customHeight="true" outlineLevel="0" collapsed="false">
      <c r="A2484" s="1" t="s">
        <v>4843</v>
      </c>
      <c r="B2484" s="1" t="n">
        <v>1986</v>
      </c>
      <c r="C2484" s="1" t="n">
        <v>1</v>
      </c>
      <c r="D2484" s="1" t="s">
        <v>21</v>
      </c>
      <c r="E2484" s="1" t="s">
        <v>2039</v>
      </c>
      <c r="F2484" s="1" t="n">
        <v>50</v>
      </c>
      <c r="G2484" s="1" t="n">
        <v>96</v>
      </c>
      <c r="H2484" s="2" t="n">
        <v>97500</v>
      </c>
      <c r="I2484" s="2" t="n">
        <f aca="false">(((H2484 / 800) / IF(ISBLANK(R2484), 1000000, IF(ISNA(VLOOKUP(R2484, Mileages!$A$2:$C$34, 2, 0)), R2484, VLOOKUP(R2484, Mileages!$A$2:$C$34, 2, 0)))) + (F2484 * IF(ISBLANK(P2484), 1, P2484) * IF(ISBLANK(T2484), 0, IF(ISNA(VLOOKUP(T2484, 'Fuel Costs'!$A$2:$C$42, 2, 0)), T2484, VLOOKUP(T2484, 'Fuel Costs'!$A$2:$C$42, 2, 0))) / IF(ISBLANK(O2484), 1, O2484))) * 100</f>
        <v>15.00609375</v>
      </c>
      <c r="J2484" s="2" t="n">
        <f aca="false">((H2484 / 800) / (IF(ISBLANK(S2484), 100, IF(ISNA(VLOOKUP(S2484, Lives!$A$2:$C$35, 2, 0)), S2484, VLOOKUP(S2484, Lives!$A$2:$C$35, 2, 0))) * 12) + (IF(ISBLANK(Q2484), 0, IF(ISNA(VLOOKUP(Q2484, Wages!$A$2:$C$17, 2, 0)), Q2484, VLOOKUP(Q2484, Wages!$A$2:$C$17, 2, 0))) * IF(ISBLANK(N2484), 0, IF(ISNA(VLOOKUP(N2484, Crews!$A$2:$C$28, 2, 0)), N2484, VLOOKUP(N2484, Crews!$A$2:$C$28, 2, 0))))) * 400</f>
        <v>8050.78125</v>
      </c>
      <c r="K2484" s="3" t="s">
        <v>4844</v>
      </c>
      <c r="L2484" s="1" t="s">
        <v>4845</v>
      </c>
      <c r="M2484" s="1" t="n">
        <v>0</v>
      </c>
      <c r="N2484" s="1" t="s">
        <v>1815</v>
      </c>
      <c r="O2484" s="1" t="n">
        <v>1</v>
      </c>
      <c r="P2484" s="1"/>
      <c r="Q2484" s="1" t="s">
        <v>1815</v>
      </c>
      <c r="R2484" s="1" t="s">
        <v>4725</v>
      </c>
      <c r="S2484" s="1" t="s">
        <v>1843</v>
      </c>
      <c r="T2484" s="1" t="s">
        <v>4726</v>
      </c>
    </row>
    <row r="2485" customFormat="false" ht="15" hidden="false" customHeight="true" outlineLevel="0" collapsed="false">
      <c r="A2485" s="1" t="s">
        <v>4846</v>
      </c>
      <c r="B2485" s="1" t="n">
        <v>1986</v>
      </c>
      <c r="C2485" s="1" t="n">
        <v>1</v>
      </c>
      <c r="D2485" s="1" t="s">
        <v>21</v>
      </c>
      <c r="E2485" s="1" t="s">
        <v>2039</v>
      </c>
      <c r="F2485" s="1" t="n">
        <v>50</v>
      </c>
      <c r="G2485" s="1" t="n">
        <v>96</v>
      </c>
      <c r="H2485" s="2" t="n">
        <v>97500</v>
      </c>
      <c r="I2485" s="2" t="n">
        <f aca="false">(((H2485 / 800) / IF(ISBLANK(R2485), 1000000, IF(ISNA(VLOOKUP(R2485, Mileages!$A$2:$C$34, 2, 0)), R2485, VLOOKUP(R2485, Mileages!$A$2:$C$34, 2, 0)))) + (F2485 * IF(ISBLANK(P2485), 1, P2485) * IF(ISBLANK(T2485), 0, IF(ISNA(VLOOKUP(T2485, 'Fuel Costs'!$A$2:$C$42, 2, 0)), T2485, VLOOKUP(T2485, 'Fuel Costs'!$A$2:$C$42, 2, 0))) / IF(ISBLANK(O2485), 1, O2485))) * 100</f>
        <v>15.00609375</v>
      </c>
      <c r="J2485" s="2" t="n">
        <f aca="false">((H2485 / 800) / (IF(ISBLANK(S2485), 100, IF(ISNA(VLOOKUP(S2485, Lives!$A$2:$C$35, 2, 0)), S2485, VLOOKUP(S2485, Lives!$A$2:$C$35, 2, 0))) * 12) + (IF(ISBLANK(Q2485), 0, IF(ISNA(VLOOKUP(Q2485, Wages!$A$2:$C$17, 2, 0)), Q2485, VLOOKUP(Q2485, Wages!$A$2:$C$17, 2, 0))) * IF(ISBLANK(N2485), 0, IF(ISNA(VLOOKUP(N2485, Crews!$A$2:$C$28, 2, 0)), N2485, VLOOKUP(N2485, Crews!$A$2:$C$28, 2, 0))))) * 400</f>
        <v>8050.78125</v>
      </c>
      <c r="K2485" s="1"/>
      <c r="L2485" s="1" t="s">
        <v>4845</v>
      </c>
      <c r="M2485" s="1" t="n">
        <v>1</v>
      </c>
      <c r="N2485" s="1" t="s">
        <v>1815</v>
      </c>
      <c r="O2485" s="1" t="n">
        <v>1</v>
      </c>
      <c r="P2485" s="1"/>
      <c r="Q2485" s="1" t="s">
        <v>1815</v>
      </c>
      <c r="R2485" s="1" t="s">
        <v>4725</v>
      </c>
      <c r="S2485" s="1" t="s">
        <v>1843</v>
      </c>
      <c r="T2485" s="1" t="s">
        <v>4726</v>
      </c>
    </row>
    <row r="2486" customFormat="false" ht="15" hidden="false" customHeight="true" outlineLevel="0" collapsed="false">
      <c r="A2486" s="1" t="s">
        <v>4847</v>
      </c>
      <c r="B2486" s="1" t="n">
        <v>1986</v>
      </c>
      <c r="C2486" s="1" t="n">
        <v>1</v>
      </c>
      <c r="D2486" s="1" t="s">
        <v>21</v>
      </c>
      <c r="E2486" s="1" t="s">
        <v>2039</v>
      </c>
      <c r="F2486" s="1" t="n">
        <v>50</v>
      </c>
      <c r="G2486" s="1" t="n">
        <v>96</v>
      </c>
      <c r="H2486" s="2" t="n">
        <v>97500</v>
      </c>
      <c r="I2486" s="2" t="n">
        <f aca="false">(((H2486 / 800) / IF(ISBLANK(R2486), 1000000, IF(ISNA(VLOOKUP(R2486, Mileages!$A$2:$C$34, 2, 0)), R2486, VLOOKUP(R2486, Mileages!$A$2:$C$34, 2, 0)))) + (F2486 * IF(ISBLANK(P2486), 1, P2486) * IF(ISBLANK(T2486), 0, IF(ISNA(VLOOKUP(T2486, 'Fuel Costs'!$A$2:$C$42, 2, 0)), T2486, VLOOKUP(T2486, 'Fuel Costs'!$A$2:$C$42, 2, 0))) / IF(ISBLANK(O2486), 1, O2486))) * 100</f>
        <v>15.00609375</v>
      </c>
      <c r="J2486" s="2" t="n">
        <f aca="false">((H2486 / 800) / (IF(ISBLANK(S2486), 100, IF(ISNA(VLOOKUP(S2486, Lives!$A$2:$C$35, 2, 0)), S2486, VLOOKUP(S2486, Lives!$A$2:$C$35, 2, 0))) * 12) + (IF(ISBLANK(Q2486), 0, IF(ISNA(VLOOKUP(Q2486, Wages!$A$2:$C$17, 2, 0)), Q2486, VLOOKUP(Q2486, Wages!$A$2:$C$17, 2, 0))) * IF(ISBLANK(N2486), 0, IF(ISNA(VLOOKUP(N2486, Crews!$A$2:$C$28, 2, 0)), N2486, VLOOKUP(N2486, Crews!$A$2:$C$28, 2, 0))))) * 400</f>
        <v>8050.78125</v>
      </c>
      <c r="K2486" s="1"/>
      <c r="L2486" s="1" t="s">
        <v>4845</v>
      </c>
      <c r="M2486" s="1" t="n">
        <v>2</v>
      </c>
      <c r="N2486" s="1" t="s">
        <v>1815</v>
      </c>
      <c r="O2486" s="1" t="n">
        <v>1</v>
      </c>
      <c r="P2486" s="1"/>
      <c r="Q2486" s="1" t="s">
        <v>1815</v>
      </c>
      <c r="R2486" s="1" t="s">
        <v>4725</v>
      </c>
      <c r="S2486" s="1" t="s">
        <v>1843</v>
      </c>
      <c r="T2486" s="1" t="s">
        <v>4726</v>
      </c>
    </row>
    <row r="2487" customFormat="false" ht="15" hidden="false" customHeight="true" outlineLevel="0" collapsed="false">
      <c r="A2487" s="1" t="s">
        <v>4848</v>
      </c>
      <c r="B2487" s="1" t="n">
        <v>1986</v>
      </c>
      <c r="C2487" s="1" t="n">
        <v>2</v>
      </c>
      <c r="D2487" s="1" t="s">
        <v>21</v>
      </c>
      <c r="E2487" s="1" t="s">
        <v>2039</v>
      </c>
      <c r="F2487" s="1" t="n">
        <v>85</v>
      </c>
      <c r="G2487" s="1" t="n">
        <v>64</v>
      </c>
      <c r="H2487" s="2" t="n">
        <v>2750000</v>
      </c>
      <c r="I2487" s="2" t="n">
        <f aca="false">(((H2487 / 800) / IF(ISBLANK(R2487), 1000000, IF(ISNA(VLOOKUP(R2487, Mileages!$A$2:$C$34, 2, 0)), R2487, VLOOKUP(R2487, Mileages!$A$2:$C$34, 2, 0)))) + (F2487 * IF(ISBLANK(P2487), 1, P2487) * IF(ISBLANK(T2487), 0, IF(ISNA(VLOOKUP(T2487, 'Fuel Costs'!$A$2:$C$42, 2, 0)), T2487, VLOOKUP(T2487, 'Fuel Costs'!$A$2:$C$42, 2, 0))) / IF(ISBLANK(O2487), 1, O2487))) * 100</f>
        <v>25.671875</v>
      </c>
      <c r="J2487" s="2" t="n">
        <f aca="false">((H2487 / 800) / (IF(ISBLANK(S2487), 100, IF(ISNA(VLOOKUP(S2487, Lives!$A$2:$C$35, 2, 0)), S2487, VLOOKUP(S2487, Lives!$A$2:$C$35, 2, 0))) * 12) + (IF(ISBLANK(Q2487), 0, IF(ISNA(VLOOKUP(Q2487, Wages!$A$2:$C$17, 2, 0)), Q2487, VLOOKUP(Q2487, Wages!$A$2:$C$17, 2, 0))) * IF(ISBLANK(N2487), 0, IF(ISNA(VLOOKUP(N2487, Crews!$A$2:$C$28, 2, 0)), N2487, VLOOKUP(N2487, Crews!$A$2:$C$28, 2, 0))))) * 400</f>
        <v>9432.291667</v>
      </c>
      <c r="K2487" s="3" t="s">
        <v>4849</v>
      </c>
      <c r="L2487" s="1" t="s">
        <v>4850</v>
      </c>
      <c r="M2487" s="1" t="n">
        <v>0</v>
      </c>
      <c r="N2487" s="1" t="s">
        <v>1815</v>
      </c>
      <c r="O2487" s="1" t="n">
        <v>1</v>
      </c>
      <c r="P2487" s="1"/>
      <c r="Q2487" s="1" t="s">
        <v>1815</v>
      </c>
      <c r="R2487" s="1" t="s">
        <v>4725</v>
      </c>
      <c r="S2487" s="1" t="s">
        <v>1843</v>
      </c>
      <c r="T2487" s="1" t="s">
        <v>4726</v>
      </c>
    </row>
    <row r="2488" customFormat="false" ht="15" hidden="false" customHeight="true" outlineLevel="0" collapsed="false">
      <c r="A2488" s="1" t="s">
        <v>4851</v>
      </c>
      <c r="B2488" s="1" t="n">
        <v>1986</v>
      </c>
      <c r="C2488" s="1" t="n">
        <v>2</v>
      </c>
      <c r="D2488" s="1" t="s">
        <v>21</v>
      </c>
      <c r="E2488" s="1" t="s">
        <v>2039</v>
      </c>
      <c r="F2488" s="1" t="n">
        <v>85</v>
      </c>
      <c r="G2488" s="1" t="n">
        <v>64</v>
      </c>
      <c r="H2488" s="2" t="n">
        <v>3400000</v>
      </c>
      <c r="I2488" s="2" t="n">
        <f aca="false">(((H2488 / 800) / IF(ISBLANK(R2488), 1000000, IF(ISNA(VLOOKUP(R2488, Mileages!$A$2:$C$34, 2, 0)), R2488, VLOOKUP(R2488, Mileages!$A$2:$C$34, 2, 0)))) + (F2488 * IF(ISBLANK(P2488), 1, P2488) * IF(ISBLANK(T2488), 0, IF(ISNA(VLOOKUP(T2488, 'Fuel Costs'!$A$2:$C$42, 2, 0)), T2488, VLOOKUP(T2488, 'Fuel Costs'!$A$2:$C$42, 2, 0))) / IF(ISBLANK(O2488), 1, O2488))) * 100</f>
        <v>25.7125</v>
      </c>
      <c r="J2488" s="2" t="n">
        <f aca="false">((H2488 / 800) / (IF(ISBLANK(S2488), 100, IF(ISNA(VLOOKUP(S2488, Lives!$A$2:$C$35, 2, 0)), S2488, VLOOKUP(S2488, Lives!$A$2:$C$35, 2, 0))) * 12) + (IF(ISBLANK(Q2488), 0, IF(ISNA(VLOOKUP(Q2488, Wages!$A$2:$C$17, 2, 0)), Q2488, VLOOKUP(Q2488, Wages!$A$2:$C$17, 2, 0))) * IF(ISBLANK(N2488), 0, IF(ISNA(VLOOKUP(N2488, Crews!$A$2:$C$28, 2, 0)), N2488, VLOOKUP(N2488, Crews!$A$2:$C$28, 2, 0))))) * 400</f>
        <v>9770.833333</v>
      </c>
      <c r="K2488" s="3" t="s">
        <v>4852</v>
      </c>
      <c r="L2488" s="1" t="s">
        <v>4853</v>
      </c>
      <c r="M2488" s="1" t="n">
        <v>0</v>
      </c>
      <c r="N2488" s="1" t="s">
        <v>1815</v>
      </c>
      <c r="O2488" s="1" t="n">
        <v>1</v>
      </c>
      <c r="P2488" s="1"/>
      <c r="Q2488" s="1" t="s">
        <v>1815</v>
      </c>
      <c r="R2488" s="1" t="s">
        <v>4725</v>
      </c>
      <c r="S2488" s="1" t="s">
        <v>1843</v>
      </c>
      <c r="T2488" s="1" t="s">
        <v>4726</v>
      </c>
    </row>
    <row r="2489" customFormat="false" ht="15" hidden="false" customHeight="true" outlineLevel="0" collapsed="false">
      <c r="A2489" s="1" t="s">
        <v>4854</v>
      </c>
      <c r="B2489" s="1" t="n">
        <v>1986</v>
      </c>
      <c r="C2489" s="1" t="n">
        <v>3</v>
      </c>
      <c r="D2489" s="1" t="s">
        <v>21</v>
      </c>
      <c r="E2489" s="1" t="s">
        <v>2039</v>
      </c>
      <c r="F2489" s="1" t="n">
        <v>194</v>
      </c>
      <c r="G2489" s="1" t="n">
        <v>75</v>
      </c>
      <c r="H2489" s="2" t="n">
        <v>3250000</v>
      </c>
      <c r="I2489" s="2" t="n">
        <f aca="false">(((H2489 / 800) / IF(ISBLANK(R2489), 1000000, IF(ISNA(VLOOKUP(R2489, Mileages!$A$2:$C$34, 2, 0)), R2489, VLOOKUP(R2489, Mileages!$A$2:$C$34, 2, 0)))) + (F2489 * IF(ISBLANK(P2489), 1, P2489) * IF(ISBLANK(T2489), 0, IF(ISNA(VLOOKUP(T2489, 'Fuel Costs'!$A$2:$C$42, 2, 0)), T2489, VLOOKUP(T2489, 'Fuel Costs'!$A$2:$C$42, 2, 0))) / IF(ISBLANK(O2489), 1, O2489))) * 100</f>
        <v>58.403125</v>
      </c>
      <c r="J2489" s="2" t="n">
        <f aca="false">((H2489 / 800) / (IF(ISBLANK(S2489), 100, IF(ISNA(VLOOKUP(S2489, Lives!$A$2:$C$35, 2, 0)), S2489, VLOOKUP(S2489, Lives!$A$2:$C$35, 2, 0))) * 12) + (IF(ISBLANK(Q2489), 0, IF(ISNA(VLOOKUP(Q2489, Wages!$A$2:$C$17, 2, 0)), Q2489, VLOOKUP(Q2489, Wages!$A$2:$C$17, 2, 0))) * IF(ISBLANK(N2489), 0, IF(ISNA(VLOOKUP(N2489, Crews!$A$2:$C$28, 2, 0)), N2489, VLOOKUP(N2489, Crews!$A$2:$C$28, 2, 0))))) * 400</f>
        <v>9692.708333</v>
      </c>
      <c r="K2489" s="3" t="s">
        <v>4855</v>
      </c>
      <c r="L2489" s="1" t="s">
        <v>4856</v>
      </c>
      <c r="M2489" s="1" t="n">
        <v>0</v>
      </c>
      <c r="N2489" s="1" t="s">
        <v>1815</v>
      </c>
      <c r="O2489" s="1" t="n">
        <v>1</v>
      </c>
      <c r="P2489" s="1"/>
      <c r="Q2489" s="1" t="s">
        <v>1815</v>
      </c>
      <c r="R2489" s="1" t="s">
        <v>4725</v>
      </c>
      <c r="S2489" s="1" t="s">
        <v>1843</v>
      </c>
      <c r="T2489" s="1" t="s">
        <v>4726</v>
      </c>
    </row>
    <row r="2490" customFormat="false" ht="15" hidden="false" customHeight="true" outlineLevel="0" collapsed="false">
      <c r="A2490" s="1" t="s">
        <v>4857</v>
      </c>
      <c r="B2490" s="1" t="n">
        <v>1986</v>
      </c>
      <c r="C2490" s="1" t="n">
        <v>3</v>
      </c>
      <c r="D2490" s="1" t="s">
        <v>21</v>
      </c>
      <c r="E2490" s="1" t="s">
        <v>2039</v>
      </c>
      <c r="F2490" s="1" t="n">
        <v>95</v>
      </c>
      <c r="G2490" s="1" t="n">
        <v>100</v>
      </c>
      <c r="H2490" s="2" t="n">
        <v>100000</v>
      </c>
      <c r="I2490" s="2" t="n">
        <f aca="false">(((H2490 / 800) / IF(ISBLANK(R2490), 1000000, IF(ISNA(VLOOKUP(R2490, Mileages!$A$2:$C$34, 2, 0)), R2490, VLOOKUP(R2490, Mileages!$A$2:$C$34, 2, 0)))) + (F2490 * IF(ISBLANK(P2490), 1, P2490) * IF(ISBLANK(T2490), 0, IF(ISNA(VLOOKUP(T2490, 'Fuel Costs'!$A$2:$C$42, 2, 0)), T2490, VLOOKUP(T2490, 'Fuel Costs'!$A$2:$C$42, 2, 0))) / IF(ISBLANK(O2490), 1, O2490))) * 100</f>
        <v>28.50625</v>
      </c>
      <c r="J2490" s="2" t="n">
        <f aca="false">((H2490 / 800) / (IF(ISBLANK(S2490), 100, IF(ISNA(VLOOKUP(S2490, Lives!$A$2:$C$35, 2, 0)), S2490, VLOOKUP(S2490, Lives!$A$2:$C$35, 2, 0))) * 12) + (IF(ISBLANK(Q2490), 0, IF(ISNA(VLOOKUP(Q2490, Wages!$A$2:$C$17, 2, 0)), Q2490, VLOOKUP(Q2490, Wages!$A$2:$C$17, 2, 0))) * IF(ISBLANK(N2490), 0, IF(ISNA(VLOOKUP(N2490, Crews!$A$2:$C$28, 2, 0)), N2490, VLOOKUP(N2490, Crews!$A$2:$C$28, 2, 0))))) * 400</f>
        <v>8052.083333</v>
      </c>
      <c r="K2490" s="1"/>
      <c r="L2490" s="1" t="s">
        <v>4858</v>
      </c>
      <c r="M2490" s="1" t="n">
        <v>0</v>
      </c>
      <c r="N2490" s="1" t="s">
        <v>1815</v>
      </c>
      <c r="O2490" s="1" t="n">
        <v>1</v>
      </c>
      <c r="P2490" s="1"/>
      <c r="Q2490" s="1" t="s">
        <v>1815</v>
      </c>
      <c r="R2490" s="1" t="s">
        <v>4725</v>
      </c>
      <c r="S2490" s="1" t="s">
        <v>1843</v>
      </c>
      <c r="T2490" s="1" t="s">
        <v>4726</v>
      </c>
    </row>
    <row r="2491" customFormat="false" ht="15" hidden="false" customHeight="true" outlineLevel="0" collapsed="false">
      <c r="A2491" s="1" t="s">
        <v>4859</v>
      </c>
      <c r="B2491" s="1" t="n">
        <v>1986</v>
      </c>
      <c r="C2491" s="1" t="n">
        <v>3</v>
      </c>
      <c r="D2491" s="1" t="s">
        <v>21</v>
      </c>
      <c r="E2491" s="1" t="s">
        <v>2039</v>
      </c>
      <c r="F2491" s="1" t="n">
        <v>95</v>
      </c>
      <c r="G2491" s="1" t="n">
        <v>100</v>
      </c>
      <c r="H2491" s="2" t="n">
        <v>100000</v>
      </c>
      <c r="I2491" s="2" t="n">
        <f aca="false">(((H2491 / 800) / IF(ISBLANK(R2491), 1000000, IF(ISNA(VLOOKUP(R2491, Mileages!$A$2:$C$34, 2, 0)), R2491, VLOOKUP(R2491, Mileages!$A$2:$C$34, 2, 0)))) + (F2491 * IF(ISBLANK(P2491), 1, P2491) * IF(ISBLANK(T2491), 0, IF(ISNA(VLOOKUP(T2491, 'Fuel Costs'!$A$2:$C$42, 2, 0)), T2491, VLOOKUP(T2491, 'Fuel Costs'!$A$2:$C$42, 2, 0))) / IF(ISBLANK(O2491), 1, O2491))) * 100</f>
        <v>28.50625</v>
      </c>
      <c r="J2491" s="2" t="n">
        <f aca="false">((H2491 / 800) / (IF(ISBLANK(S2491), 100, IF(ISNA(VLOOKUP(S2491, Lives!$A$2:$C$35, 2, 0)), S2491, VLOOKUP(S2491, Lives!$A$2:$C$35, 2, 0))) * 12) + (IF(ISBLANK(Q2491), 0, IF(ISNA(VLOOKUP(Q2491, Wages!$A$2:$C$17, 2, 0)), Q2491, VLOOKUP(Q2491, Wages!$A$2:$C$17, 2, 0))) * IF(ISBLANK(N2491), 0, IF(ISNA(VLOOKUP(N2491, Crews!$A$2:$C$28, 2, 0)), N2491, VLOOKUP(N2491, Crews!$A$2:$C$28, 2, 0))))) * 400</f>
        <v>8052.083333</v>
      </c>
      <c r="K2491" s="1"/>
      <c r="L2491" s="1" t="s">
        <v>4858</v>
      </c>
      <c r="M2491" s="1" t="n">
        <v>1</v>
      </c>
      <c r="N2491" s="1" t="s">
        <v>1815</v>
      </c>
      <c r="O2491" s="1" t="n">
        <v>1</v>
      </c>
      <c r="P2491" s="1"/>
      <c r="Q2491" s="1" t="s">
        <v>1815</v>
      </c>
      <c r="R2491" s="1" t="s">
        <v>4725</v>
      </c>
      <c r="S2491" s="1" t="s">
        <v>1843</v>
      </c>
      <c r="T2491" s="1" t="s">
        <v>4726</v>
      </c>
    </row>
    <row r="2492" customFormat="false" ht="15" hidden="false" customHeight="true" outlineLevel="0" collapsed="false">
      <c r="A2492" s="1" t="s">
        <v>4860</v>
      </c>
      <c r="B2492" s="1" t="n">
        <v>1986</v>
      </c>
      <c r="C2492" s="1" t="n">
        <v>3</v>
      </c>
      <c r="D2492" s="1" t="s">
        <v>21</v>
      </c>
      <c r="E2492" s="1" t="s">
        <v>2039</v>
      </c>
      <c r="F2492" s="1" t="n">
        <v>95</v>
      </c>
      <c r="G2492" s="1" t="n">
        <v>100</v>
      </c>
      <c r="H2492" s="2" t="n">
        <v>100000</v>
      </c>
      <c r="I2492" s="2" t="n">
        <f aca="false">(((H2492 / 800) / IF(ISBLANK(R2492), 1000000, IF(ISNA(VLOOKUP(R2492, Mileages!$A$2:$C$34, 2, 0)), R2492, VLOOKUP(R2492, Mileages!$A$2:$C$34, 2, 0)))) + (F2492 * IF(ISBLANK(P2492), 1, P2492) * IF(ISBLANK(T2492), 0, IF(ISNA(VLOOKUP(T2492, 'Fuel Costs'!$A$2:$C$42, 2, 0)), T2492, VLOOKUP(T2492, 'Fuel Costs'!$A$2:$C$42, 2, 0))) / IF(ISBLANK(O2492), 1, O2492))) * 100</f>
        <v>28.50625</v>
      </c>
      <c r="J2492" s="2" t="n">
        <f aca="false">((H2492 / 800) / (IF(ISBLANK(S2492), 100, IF(ISNA(VLOOKUP(S2492, Lives!$A$2:$C$35, 2, 0)), S2492, VLOOKUP(S2492, Lives!$A$2:$C$35, 2, 0))) * 12) + (IF(ISBLANK(Q2492), 0, IF(ISNA(VLOOKUP(Q2492, Wages!$A$2:$C$17, 2, 0)), Q2492, VLOOKUP(Q2492, Wages!$A$2:$C$17, 2, 0))) * IF(ISBLANK(N2492), 0, IF(ISNA(VLOOKUP(N2492, Crews!$A$2:$C$28, 2, 0)), N2492, VLOOKUP(N2492, Crews!$A$2:$C$28, 2, 0))))) * 400</f>
        <v>8052.083333</v>
      </c>
      <c r="K2492" s="1"/>
      <c r="L2492" s="1" t="s">
        <v>4858</v>
      </c>
      <c r="M2492" s="1" t="n">
        <v>2</v>
      </c>
      <c r="N2492" s="1" t="s">
        <v>1815</v>
      </c>
      <c r="O2492" s="1" t="n">
        <v>1</v>
      </c>
      <c r="P2492" s="1"/>
      <c r="Q2492" s="1" t="s">
        <v>1815</v>
      </c>
      <c r="R2492" s="1" t="s">
        <v>4725</v>
      </c>
      <c r="S2492" s="1" t="s">
        <v>1843</v>
      </c>
      <c r="T2492" s="1" t="s">
        <v>4726</v>
      </c>
    </row>
    <row r="2493" customFormat="false" ht="15" hidden="false" customHeight="true" outlineLevel="0" collapsed="false">
      <c r="A2493" s="1" t="s">
        <v>4861</v>
      </c>
      <c r="B2493" s="1" t="n">
        <v>1986</v>
      </c>
      <c r="C2493" s="1" t="n">
        <v>3</v>
      </c>
      <c r="D2493" s="1" t="s">
        <v>21</v>
      </c>
      <c r="E2493" s="1" t="s">
        <v>2039</v>
      </c>
      <c r="F2493" s="1" t="n">
        <v>95</v>
      </c>
      <c r="G2493" s="1" t="n">
        <v>100</v>
      </c>
      <c r="H2493" s="2" t="n">
        <v>100000</v>
      </c>
      <c r="I2493" s="2" t="n">
        <f aca="false">(((H2493 / 800) / IF(ISBLANK(R2493), 1000000, IF(ISNA(VLOOKUP(R2493, Mileages!$A$2:$C$34, 2, 0)), R2493, VLOOKUP(R2493, Mileages!$A$2:$C$34, 2, 0)))) + (F2493 * IF(ISBLANK(P2493), 1, P2493) * IF(ISBLANK(T2493), 0, IF(ISNA(VLOOKUP(T2493, 'Fuel Costs'!$A$2:$C$42, 2, 0)), T2493, VLOOKUP(T2493, 'Fuel Costs'!$A$2:$C$42, 2, 0))) / IF(ISBLANK(O2493), 1, O2493))) * 100</f>
        <v>28.50625</v>
      </c>
      <c r="J2493" s="2" t="n">
        <f aca="false">((H2493 / 800) / (IF(ISBLANK(S2493), 100, IF(ISNA(VLOOKUP(S2493, Lives!$A$2:$C$35, 2, 0)), S2493, VLOOKUP(S2493, Lives!$A$2:$C$35, 2, 0))) * 12) + (IF(ISBLANK(Q2493), 0, IF(ISNA(VLOOKUP(Q2493, Wages!$A$2:$C$17, 2, 0)), Q2493, VLOOKUP(Q2493, Wages!$A$2:$C$17, 2, 0))) * IF(ISBLANK(N2493), 0, IF(ISNA(VLOOKUP(N2493, Crews!$A$2:$C$28, 2, 0)), N2493, VLOOKUP(N2493, Crews!$A$2:$C$28, 2, 0))))) * 400</f>
        <v>8052.083333</v>
      </c>
      <c r="K2493" s="1"/>
      <c r="L2493" s="1" t="s">
        <v>4858</v>
      </c>
      <c r="M2493" s="1" t="n">
        <v>3</v>
      </c>
      <c r="N2493" s="1" t="s">
        <v>1815</v>
      </c>
      <c r="O2493" s="1" t="n">
        <v>1</v>
      </c>
      <c r="P2493" s="1"/>
      <c r="Q2493" s="1" t="s">
        <v>1815</v>
      </c>
      <c r="R2493" s="1" t="s">
        <v>4725</v>
      </c>
      <c r="S2493" s="1" t="s">
        <v>1843</v>
      </c>
      <c r="T2493" s="1" t="s">
        <v>4726</v>
      </c>
    </row>
    <row r="2494" customFormat="false" ht="15" hidden="false" customHeight="true" outlineLevel="0" collapsed="false">
      <c r="A2494" s="1" t="s">
        <v>4862</v>
      </c>
      <c r="B2494" s="1" t="n">
        <v>1986</v>
      </c>
      <c r="C2494" s="1" t="n">
        <v>3</v>
      </c>
      <c r="D2494" s="1" t="s">
        <v>21</v>
      </c>
      <c r="E2494" s="1" t="s">
        <v>2039</v>
      </c>
      <c r="F2494" s="1" t="n">
        <v>95</v>
      </c>
      <c r="G2494" s="1" t="n">
        <v>100</v>
      </c>
      <c r="H2494" s="2" t="n">
        <v>100000</v>
      </c>
      <c r="I2494" s="2" t="n">
        <f aca="false">(((H2494 / 800) / IF(ISBLANK(R2494), 1000000, IF(ISNA(VLOOKUP(R2494, Mileages!$A$2:$C$34, 2, 0)), R2494, VLOOKUP(R2494, Mileages!$A$2:$C$34, 2, 0)))) + (F2494 * IF(ISBLANK(P2494), 1, P2494) * IF(ISBLANK(T2494), 0, IF(ISNA(VLOOKUP(T2494, 'Fuel Costs'!$A$2:$C$42, 2, 0)), T2494, VLOOKUP(T2494, 'Fuel Costs'!$A$2:$C$42, 2, 0))) / IF(ISBLANK(O2494), 1, O2494))) * 100</f>
        <v>28.50625</v>
      </c>
      <c r="J2494" s="2" t="n">
        <f aca="false">((H2494 / 800) / (IF(ISBLANK(S2494), 100, IF(ISNA(VLOOKUP(S2494, Lives!$A$2:$C$35, 2, 0)), S2494, VLOOKUP(S2494, Lives!$A$2:$C$35, 2, 0))) * 12) + (IF(ISBLANK(Q2494), 0, IF(ISNA(VLOOKUP(Q2494, Wages!$A$2:$C$17, 2, 0)), Q2494, VLOOKUP(Q2494, Wages!$A$2:$C$17, 2, 0))) * IF(ISBLANK(N2494), 0, IF(ISNA(VLOOKUP(N2494, Crews!$A$2:$C$28, 2, 0)), N2494, VLOOKUP(N2494, Crews!$A$2:$C$28, 2, 0))))) * 400</f>
        <v>8052.083333</v>
      </c>
      <c r="K2494" s="1"/>
      <c r="L2494" s="1" t="s">
        <v>4858</v>
      </c>
      <c r="M2494" s="1" t="n">
        <v>4</v>
      </c>
      <c r="N2494" s="1" t="s">
        <v>1815</v>
      </c>
      <c r="O2494" s="1" t="n">
        <v>1</v>
      </c>
      <c r="P2494" s="1"/>
      <c r="Q2494" s="1" t="s">
        <v>1815</v>
      </c>
      <c r="R2494" s="1" t="s">
        <v>4725</v>
      </c>
      <c r="S2494" s="1" t="s">
        <v>1843</v>
      </c>
      <c r="T2494" s="1" t="s">
        <v>4726</v>
      </c>
    </row>
    <row r="2495" customFormat="false" ht="15" hidden="false" customHeight="true" outlineLevel="0" collapsed="false">
      <c r="A2495" s="1" t="s">
        <v>4863</v>
      </c>
      <c r="B2495" s="1" t="n">
        <v>1986</v>
      </c>
      <c r="C2495" s="1" t="n">
        <v>3</v>
      </c>
      <c r="D2495" s="1" t="s">
        <v>21</v>
      </c>
      <c r="E2495" s="1" t="s">
        <v>2039</v>
      </c>
      <c r="F2495" s="1" t="n">
        <v>95</v>
      </c>
      <c r="G2495" s="1" t="n">
        <v>100</v>
      </c>
      <c r="H2495" s="2" t="n">
        <v>100000</v>
      </c>
      <c r="I2495" s="2" t="n">
        <f aca="false">(((H2495 / 800) / IF(ISBLANK(R2495), 1000000, IF(ISNA(VLOOKUP(R2495, Mileages!$A$2:$C$34, 2, 0)), R2495, VLOOKUP(R2495, Mileages!$A$2:$C$34, 2, 0)))) + (F2495 * IF(ISBLANK(P2495), 1, P2495) * IF(ISBLANK(T2495), 0, IF(ISNA(VLOOKUP(T2495, 'Fuel Costs'!$A$2:$C$42, 2, 0)), T2495, VLOOKUP(T2495, 'Fuel Costs'!$A$2:$C$42, 2, 0))) / IF(ISBLANK(O2495), 1, O2495))) * 100</f>
        <v>28.50625</v>
      </c>
      <c r="J2495" s="2" t="n">
        <f aca="false">((H2495 / 800) / (IF(ISBLANK(S2495), 100, IF(ISNA(VLOOKUP(S2495, Lives!$A$2:$C$35, 2, 0)), S2495, VLOOKUP(S2495, Lives!$A$2:$C$35, 2, 0))) * 12) + (IF(ISBLANK(Q2495), 0, IF(ISNA(VLOOKUP(Q2495, Wages!$A$2:$C$17, 2, 0)), Q2495, VLOOKUP(Q2495, Wages!$A$2:$C$17, 2, 0))) * IF(ISBLANK(N2495), 0, IF(ISNA(VLOOKUP(N2495, Crews!$A$2:$C$28, 2, 0)), N2495, VLOOKUP(N2495, Crews!$A$2:$C$28, 2, 0))))) * 400</f>
        <v>8052.083333</v>
      </c>
      <c r="K2495" s="1"/>
      <c r="L2495" s="1" t="s">
        <v>4858</v>
      </c>
      <c r="M2495" s="1" t="n">
        <v>5</v>
      </c>
      <c r="N2495" s="1" t="s">
        <v>1815</v>
      </c>
      <c r="O2495" s="1" t="n">
        <v>1</v>
      </c>
      <c r="P2495" s="1"/>
      <c r="Q2495" s="1" t="s">
        <v>1815</v>
      </c>
      <c r="R2495" s="1" t="s">
        <v>4725</v>
      </c>
      <c r="S2495" s="1" t="s">
        <v>1843</v>
      </c>
      <c r="T2495" s="1" t="s">
        <v>4726</v>
      </c>
    </row>
    <row r="2496" customFormat="false" ht="15" hidden="false" customHeight="true" outlineLevel="0" collapsed="false">
      <c r="A2496" s="1" t="s">
        <v>4864</v>
      </c>
      <c r="B2496" s="1" t="n">
        <v>1986</v>
      </c>
      <c r="C2496" s="1" t="n">
        <v>4</v>
      </c>
      <c r="D2496" s="1" t="s">
        <v>29</v>
      </c>
      <c r="E2496" s="1" t="s">
        <v>2039</v>
      </c>
      <c r="F2496" s="1" t="n">
        <v>2869</v>
      </c>
      <c r="G2496" s="1" t="n">
        <v>54</v>
      </c>
      <c r="H2496" s="2" t="n">
        <v>86000000</v>
      </c>
      <c r="I2496" s="2" t="n">
        <f aca="false">(((H2496 / 800) / IF(ISBLANK(R2496), 1000000, IF(ISNA(VLOOKUP(R2496, Mileages!$A$2:$C$34, 2, 0)), R2496, VLOOKUP(R2496, Mileages!$A$2:$C$34, 2, 0)))) + (F2496 * IF(ISBLANK(P2496), 1, P2496) * IF(ISBLANK(T2496), 0, IF(ISNA(VLOOKUP(T2496, 'Fuel Costs'!$A$2:$C$42, 2, 0)), T2496, VLOOKUP(T2496, 'Fuel Costs'!$A$2:$C$42, 2, 0))) / IF(ISBLANK(O2496), 1, O2496))) * 100</f>
        <v>173.9316667</v>
      </c>
      <c r="J2496" s="2" t="n">
        <f aca="false">((H2496 / 800) / (IF(ISBLANK(S2496), 100, IF(ISNA(VLOOKUP(S2496, Lives!$A$2:$C$35, 2, 0)), S2496, VLOOKUP(S2496, Lives!$A$2:$C$35, 2, 0))) * 12) + (IF(ISBLANK(Q2496), 0, IF(ISNA(VLOOKUP(Q2496, Wages!$A$2:$C$17, 2, 0)), Q2496, VLOOKUP(Q2496, Wages!$A$2:$C$17, 2, 0))) * IF(ISBLANK(N2496), 0, IF(ISNA(VLOOKUP(N2496, Crews!$A$2:$C$28, 2, 0)), N2496, VLOOKUP(N2496, Crews!$A$2:$C$28, 2, 0))))) * 400</f>
        <v>235833.3333</v>
      </c>
      <c r="K2496" s="3" t="s">
        <v>4865</v>
      </c>
      <c r="L2496" s="1" t="s">
        <v>4866</v>
      </c>
      <c r="M2496" s="1" t="n">
        <v>0</v>
      </c>
      <c r="N2496" s="1" t="s">
        <v>323</v>
      </c>
      <c r="O2496" s="1" t="n">
        <v>1</v>
      </c>
      <c r="P2496" s="1" t="n">
        <v>0.2</v>
      </c>
      <c r="Q2496" s="1" t="s">
        <v>34</v>
      </c>
      <c r="R2496" s="1" t="s">
        <v>3933</v>
      </c>
      <c r="S2496" s="1" t="s">
        <v>574</v>
      </c>
      <c r="T2496" s="1" t="s">
        <v>4726</v>
      </c>
    </row>
    <row r="2497" customFormat="false" ht="15" hidden="false" customHeight="true" outlineLevel="0" collapsed="false">
      <c r="A2497" s="1" t="s">
        <v>4867</v>
      </c>
      <c r="B2497" s="1" t="n">
        <v>1986</v>
      </c>
      <c r="C2497" s="1" t="n">
        <v>5</v>
      </c>
      <c r="D2497" s="1" t="s">
        <v>21</v>
      </c>
      <c r="E2497" s="1" t="s">
        <v>1839</v>
      </c>
      <c r="F2497" s="1" t="n">
        <v>37</v>
      </c>
      <c r="G2497" s="1" t="n">
        <v>105</v>
      </c>
      <c r="H2497" s="2" t="n">
        <v>97500</v>
      </c>
      <c r="I2497" s="2" t="n">
        <f aca="false">(((H2497 / 800) / IF(ISBLANK(R2497), 1000000, IF(ISNA(VLOOKUP(R2497, Mileages!$A$2:$C$34, 2, 0)), R2497, VLOOKUP(R2497, Mileages!$A$2:$C$34, 2, 0)))) + (F2497 * IF(ISBLANK(P2497), 1, P2497) * IF(ISBLANK(T2497), 0, IF(ISNA(VLOOKUP(T2497, 'Fuel Costs'!$A$2:$C$42, 2, 0)), T2497, VLOOKUP(T2497, 'Fuel Costs'!$A$2:$C$42, 2, 0))) / IF(ISBLANK(O2497), 1, O2497))) * 100</f>
        <v>18.50609375</v>
      </c>
      <c r="J2497" s="2" t="n">
        <f aca="false">((H2497 / 800) / (IF(ISBLANK(S2497), 100, IF(ISNA(VLOOKUP(S2497, Lives!$A$2:$C$35, 2, 0)), S2497, VLOOKUP(S2497, Lives!$A$2:$C$35, 2, 0))) * 12) + (IF(ISBLANK(Q2497), 0, IF(ISNA(VLOOKUP(Q2497, Wages!$A$2:$C$17, 2, 0)), Q2497, VLOOKUP(Q2497, Wages!$A$2:$C$17, 2, 0))) * IF(ISBLANK(N2497), 0, IF(ISNA(VLOOKUP(N2497, Crews!$A$2:$C$28, 2, 0)), N2497, VLOOKUP(N2497, Crews!$A$2:$C$28, 2, 0))))) * 400</f>
        <v>8050.78125</v>
      </c>
      <c r="K2497" s="1"/>
      <c r="L2497" s="1" t="s">
        <v>4868</v>
      </c>
      <c r="M2497" s="1" t="n">
        <v>0</v>
      </c>
      <c r="N2497" s="1" t="s">
        <v>25</v>
      </c>
      <c r="O2497" s="1" t="n">
        <v>1</v>
      </c>
      <c r="P2497" s="1"/>
      <c r="Q2497" s="1" t="s">
        <v>1815</v>
      </c>
      <c r="R2497" s="1" t="s">
        <v>4725</v>
      </c>
      <c r="S2497" s="1" t="s">
        <v>1843</v>
      </c>
      <c r="T2497" s="1" t="s">
        <v>4800</v>
      </c>
    </row>
    <row r="2498" customFormat="false" ht="15" hidden="false" customHeight="true" outlineLevel="0" collapsed="false">
      <c r="A2498" s="1" t="s">
        <v>4869</v>
      </c>
      <c r="B2498" s="1" t="n">
        <v>1986</v>
      </c>
      <c r="C2498" s="1" t="n">
        <v>5</v>
      </c>
      <c r="D2498" s="1" t="s">
        <v>21</v>
      </c>
      <c r="E2498" s="1" t="s">
        <v>1839</v>
      </c>
      <c r="F2498" s="1" t="n">
        <v>37</v>
      </c>
      <c r="G2498" s="1" t="n">
        <v>105</v>
      </c>
      <c r="H2498" s="2" t="n">
        <v>97500</v>
      </c>
      <c r="I2498" s="2" t="n">
        <f aca="false">(((H2498 / 800) / IF(ISBLANK(R2498), 1000000, IF(ISNA(VLOOKUP(R2498, Mileages!$A$2:$C$34, 2, 0)), R2498, VLOOKUP(R2498, Mileages!$A$2:$C$34, 2, 0)))) + (F2498 * IF(ISBLANK(P2498), 1, P2498) * IF(ISBLANK(T2498), 0, IF(ISNA(VLOOKUP(T2498, 'Fuel Costs'!$A$2:$C$42, 2, 0)), T2498, VLOOKUP(T2498, 'Fuel Costs'!$A$2:$C$42, 2, 0))) / IF(ISBLANK(O2498), 1, O2498))) * 100</f>
        <v>18.50609375</v>
      </c>
      <c r="J2498" s="2" t="n">
        <f aca="false">((H2498 / 800) / (IF(ISBLANK(S2498), 100, IF(ISNA(VLOOKUP(S2498, Lives!$A$2:$C$35, 2, 0)), S2498, VLOOKUP(S2498, Lives!$A$2:$C$35, 2, 0))) * 12) + (IF(ISBLANK(Q2498), 0, IF(ISNA(VLOOKUP(Q2498, Wages!$A$2:$C$17, 2, 0)), Q2498, VLOOKUP(Q2498, Wages!$A$2:$C$17, 2, 0))) * IF(ISBLANK(N2498), 0, IF(ISNA(VLOOKUP(N2498, Crews!$A$2:$C$28, 2, 0)), N2498, VLOOKUP(N2498, Crews!$A$2:$C$28, 2, 0))))) * 400</f>
        <v>8050.78125</v>
      </c>
      <c r="K2498" s="1"/>
      <c r="L2498" s="1" t="s">
        <v>4868</v>
      </c>
      <c r="M2498" s="1" t="n">
        <v>1</v>
      </c>
      <c r="N2498" s="1" t="s">
        <v>25</v>
      </c>
      <c r="O2498" s="1" t="n">
        <v>1</v>
      </c>
      <c r="P2498" s="1"/>
      <c r="Q2498" s="1" t="s">
        <v>1815</v>
      </c>
      <c r="R2498" s="1" t="s">
        <v>4725</v>
      </c>
      <c r="S2498" s="1" t="s">
        <v>1843</v>
      </c>
      <c r="T2498" s="1" t="s">
        <v>4800</v>
      </c>
    </row>
    <row r="2499" customFormat="false" ht="15" hidden="false" customHeight="true" outlineLevel="0" collapsed="false">
      <c r="A2499" s="1" t="s">
        <v>4870</v>
      </c>
      <c r="B2499" s="1" t="n">
        <v>1986</v>
      </c>
      <c r="C2499" s="1" t="n">
        <v>5</v>
      </c>
      <c r="D2499" s="1" t="s">
        <v>21</v>
      </c>
      <c r="E2499" s="1" t="s">
        <v>1839</v>
      </c>
      <c r="F2499" s="1" t="n">
        <v>37</v>
      </c>
      <c r="G2499" s="1" t="n">
        <v>105</v>
      </c>
      <c r="H2499" s="2" t="n">
        <v>97500</v>
      </c>
      <c r="I2499" s="2" t="n">
        <f aca="false">(((H2499 / 800) / IF(ISBLANK(R2499), 1000000, IF(ISNA(VLOOKUP(R2499, Mileages!$A$2:$C$34, 2, 0)), R2499, VLOOKUP(R2499, Mileages!$A$2:$C$34, 2, 0)))) + (F2499 * IF(ISBLANK(P2499), 1, P2499) * IF(ISBLANK(T2499), 0, IF(ISNA(VLOOKUP(T2499, 'Fuel Costs'!$A$2:$C$42, 2, 0)), T2499, VLOOKUP(T2499, 'Fuel Costs'!$A$2:$C$42, 2, 0))) / IF(ISBLANK(O2499), 1, O2499))) * 100</f>
        <v>18.50609375</v>
      </c>
      <c r="J2499" s="2" t="n">
        <f aca="false">((H2499 / 800) / (IF(ISBLANK(S2499), 100, IF(ISNA(VLOOKUP(S2499, Lives!$A$2:$C$35, 2, 0)), S2499, VLOOKUP(S2499, Lives!$A$2:$C$35, 2, 0))) * 12) + (IF(ISBLANK(Q2499), 0, IF(ISNA(VLOOKUP(Q2499, Wages!$A$2:$C$17, 2, 0)), Q2499, VLOOKUP(Q2499, Wages!$A$2:$C$17, 2, 0))) * IF(ISBLANK(N2499), 0, IF(ISNA(VLOOKUP(N2499, Crews!$A$2:$C$28, 2, 0)), N2499, VLOOKUP(N2499, Crews!$A$2:$C$28, 2, 0))))) * 400</f>
        <v>8050.78125</v>
      </c>
      <c r="K2499" s="1"/>
      <c r="L2499" s="1" t="s">
        <v>4868</v>
      </c>
      <c r="M2499" s="1" t="n">
        <v>2</v>
      </c>
      <c r="N2499" s="1" t="s">
        <v>25</v>
      </c>
      <c r="O2499" s="1" t="n">
        <v>1</v>
      </c>
      <c r="P2499" s="1"/>
      <c r="Q2499" s="1" t="s">
        <v>1815</v>
      </c>
      <c r="R2499" s="1" t="s">
        <v>4725</v>
      </c>
      <c r="S2499" s="1" t="s">
        <v>1843</v>
      </c>
      <c r="T2499" s="1" t="s">
        <v>4800</v>
      </c>
    </row>
    <row r="2500" customFormat="false" ht="15" hidden="false" customHeight="true" outlineLevel="0" collapsed="false">
      <c r="A2500" s="1" t="s">
        <v>4871</v>
      </c>
      <c r="B2500" s="1" t="n">
        <v>1986</v>
      </c>
      <c r="C2500" s="1" t="n">
        <v>7</v>
      </c>
      <c r="D2500" s="1" t="s">
        <v>29</v>
      </c>
      <c r="E2500" s="1" t="s">
        <v>2039</v>
      </c>
      <c r="F2500" s="1" t="n">
        <v>300</v>
      </c>
      <c r="G2500" s="1" t="n">
        <v>18</v>
      </c>
      <c r="H2500" s="2" t="n">
        <v>81000000</v>
      </c>
      <c r="I2500" s="2" t="n">
        <f aca="false">(((H2500 / 800) / IF(ISBLANK(R2500), 1000000, IF(ISNA(VLOOKUP(R2500, Mileages!$A$2:$C$34, 2, 0)), R2500, VLOOKUP(R2500, Mileages!$A$2:$C$34, 2, 0)))) + (F2500 * IF(ISBLANK(P2500), 1, P2500) * IF(ISBLANK(T2500), 0, IF(ISNA(VLOOKUP(T2500, 'Fuel Costs'!$A$2:$C$42, 2, 0)), T2500, VLOOKUP(T2500, 'Fuel Costs'!$A$2:$C$42, 2, 0))) / IF(ISBLANK(O2500), 1, O2500))) * 100</f>
        <v>19.6875</v>
      </c>
      <c r="J2500" s="2" t="n">
        <f aca="false">((H2500 / 800) / (IF(ISBLANK(S2500), 100, IF(ISNA(VLOOKUP(S2500, Lives!$A$2:$C$35, 2, 0)), S2500, VLOOKUP(S2500, Lives!$A$2:$C$35, 2, 0))) * 12) + (IF(ISBLANK(Q2500), 0, IF(ISNA(VLOOKUP(Q2500, Wages!$A$2:$C$17, 2, 0)), Q2500, VLOOKUP(Q2500, Wages!$A$2:$C$17, 2, 0))) * IF(ISBLANK(N2500), 0, IF(ISNA(VLOOKUP(N2500, Crews!$A$2:$C$28, 2, 0)), N2500, VLOOKUP(N2500, Crews!$A$2:$C$28, 2, 0))))) * 400</f>
        <v>233750</v>
      </c>
      <c r="K2500" s="1" t="s">
        <v>4489</v>
      </c>
      <c r="L2500" s="1" t="s">
        <v>4872</v>
      </c>
      <c r="M2500" s="1" t="n">
        <v>0</v>
      </c>
      <c r="N2500" s="1" t="s">
        <v>323</v>
      </c>
      <c r="O2500" s="1" t="n">
        <v>1</v>
      </c>
      <c r="P2500" s="1" t="n">
        <v>0.2</v>
      </c>
      <c r="Q2500" s="1" t="s">
        <v>34</v>
      </c>
      <c r="R2500" s="1" t="s">
        <v>3933</v>
      </c>
      <c r="S2500" s="1" t="s">
        <v>574</v>
      </c>
      <c r="T2500" s="1" t="s">
        <v>4726</v>
      </c>
    </row>
    <row r="2501" customFormat="false" ht="15" hidden="false" customHeight="true" outlineLevel="0" collapsed="false">
      <c r="A2501" s="1" t="s">
        <v>4873</v>
      </c>
      <c r="B2501" s="1" t="n">
        <v>1986</v>
      </c>
      <c r="C2501" s="1" t="n">
        <v>9</v>
      </c>
      <c r="D2501" s="1" t="s">
        <v>38</v>
      </c>
      <c r="E2501" s="1" t="s">
        <v>1346</v>
      </c>
      <c r="F2501" s="1" t="n">
        <v>0</v>
      </c>
      <c r="G2501" s="1" t="n">
        <v>145</v>
      </c>
      <c r="H2501" s="2" t="n">
        <v>1975000</v>
      </c>
      <c r="I2501" s="2" t="n">
        <f aca="false">(((H2501 / 800) / IF(ISBLANK(R2501), 1000000, IF(ISNA(VLOOKUP(R2501, Mileages!$A$2:$C$34, 2, 0)), R2501, VLOOKUP(R2501, Mileages!$A$2:$C$34, 2, 0)))) + (F2501 * IF(ISBLANK(P2501), 1, P2501) * IF(ISBLANK(T2501), 0, IF(ISNA(VLOOKUP(T2501, 'Fuel Costs'!$A$2:$C$42, 2, 0)), T2501, VLOOKUP(T2501, 'Fuel Costs'!$A$2:$C$42, 2, 0))) / IF(ISBLANK(O2501), 1, O2501))) * 100</f>
        <v>0.1028645833</v>
      </c>
      <c r="J2501" s="2" t="n">
        <f aca="false">((H2501 / 800) / (IF(ISBLANK(S2501), 100, IF(ISNA(VLOOKUP(S2501, Lives!$A$2:$C$35, 2, 0)), S2501, VLOOKUP(S2501, Lives!$A$2:$C$35, 2, 0))) * 12) + (IF(ISBLANK(Q2501), 0, IF(ISNA(VLOOKUP(Q2501, Wages!$A$2:$C$17, 2, 0)), Q2501, VLOOKUP(Q2501, Wages!$A$2:$C$17, 2, 0))) * IF(ISBLANK(N2501), 0, IF(ISNA(VLOOKUP(N2501, Crews!$A$2:$C$28, 2, 0)), N2501, VLOOKUP(N2501, Crews!$A$2:$C$28, 2, 0))))) * 400</f>
        <v>4114.583333</v>
      </c>
      <c r="K2501" s="1"/>
      <c r="L2501" s="1" t="s">
        <v>4874</v>
      </c>
      <c r="M2501" s="1" t="n">
        <v>0</v>
      </c>
      <c r="N2501" s="1"/>
      <c r="O2501" s="1"/>
      <c r="P2501" s="1"/>
      <c r="Q2501" s="1"/>
      <c r="R2501" s="1" t="s">
        <v>4419</v>
      </c>
      <c r="S2501" s="1" t="s">
        <v>4470</v>
      </c>
      <c r="T2501" s="1"/>
    </row>
    <row r="2502" customFormat="false" ht="15" hidden="false" customHeight="true" outlineLevel="0" collapsed="false">
      <c r="A2502" s="1" t="s">
        <v>4875</v>
      </c>
      <c r="B2502" s="1" t="n">
        <v>1986</v>
      </c>
      <c r="C2502" s="1" t="n">
        <v>9</v>
      </c>
      <c r="D2502" s="1" t="s">
        <v>38</v>
      </c>
      <c r="E2502" s="1" t="s">
        <v>1346</v>
      </c>
      <c r="F2502" s="1" t="n">
        <v>764</v>
      </c>
      <c r="G2502" s="1" t="n">
        <v>145</v>
      </c>
      <c r="H2502" s="2" t="n">
        <v>1975000</v>
      </c>
      <c r="I2502" s="2" t="n">
        <f aca="false">(((H2502 / 800) / IF(ISBLANK(R2502), 1000000, IF(ISNA(VLOOKUP(R2502, Mileages!$A$2:$C$34, 2, 0)), R2502, VLOOKUP(R2502, Mileages!$A$2:$C$34, 2, 0)))) + (F2502 * IF(ISBLANK(P2502), 1, P2502) * IF(ISBLANK(T2502), 0, IF(ISNA(VLOOKUP(T2502, 'Fuel Costs'!$A$2:$C$42, 2, 0)), T2502, VLOOKUP(T2502, 'Fuel Costs'!$A$2:$C$42, 2, 0))) / IF(ISBLANK(O2502), 1, O2502))) * 100</f>
        <v>76.5234375</v>
      </c>
      <c r="J2502" s="2" t="n">
        <f aca="false">((H2502 / 800) / (IF(ISBLANK(S2502), 100, IF(ISNA(VLOOKUP(S2502, Lives!$A$2:$C$35, 2, 0)), S2502, VLOOKUP(S2502, Lives!$A$2:$C$35, 2, 0))) * 12) + (IF(ISBLANK(Q2502), 0, IF(ISNA(VLOOKUP(Q2502, Wages!$A$2:$C$17, 2, 0)), Q2502, VLOOKUP(Q2502, Wages!$A$2:$C$17, 2, 0))) * IF(ISBLANK(N2502), 0, IF(ISNA(VLOOKUP(N2502, Crews!$A$2:$C$28, 2, 0)), N2502, VLOOKUP(N2502, Crews!$A$2:$C$28, 2, 0))))) * 400</f>
        <v>11028.64583</v>
      </c>
      <c r="K2502" s="1"/>
      <c r="L2502" s="1" t="s">
        <v>4874</v>
      </c>
      <c r="M2502" s="1" t="n">
        <v>1</v>
      </c>
      <c r="N2502" s="1" t="s">
        <v>1488</v>
      </c>
      <c r="O2502" s="1" t="n">
        <v>1</v>
      </c>
      <c r="P2502" s="1"/>
      <c r="Q2502" s="1" t="str">
        <f aca="false">IF(ISBLANK('Pak128 Britain In'!$N2502),,'Pak128 Britain In'!$N2502)</f>
        <v>ElectricDriverRail</v>
      </c>
      <c r="R2502" s="1" t="s">
        <v>4696</v>
      </c>
      <c r="S2502" s="1" t="s">
        <v>4696</v>
      </c>
      <c r="T2502" s="1" t="s">
        <v>4697</v>
      </c>
    </row>
    <row r="2503" customFormat="false" ht="15" hidden="false" customHeight="true" outlineLevel="0" collapsed="false">
      <c r="A2503" s="1" t="s">
        <v>4876</v>
      </c>
      <c r="B2503" s="1" t="n">
        <v>1986</v>
      </c>
      <c r="C2503" s="1" t="n">
        <v>9</v>
      </c>
      <c r="D2503" s="1" t="s">
        <v>38</v>
      </c>
      <c r="E2503" s="1" t="s">
        <v>1346</v>
      </c>
      <c r="F2503" s="1" t="n">
        <v>0</v>
      </c>
      <c r="G2503" s="1" t="n">
        <v>145</v>
      </c>
      <c r="H2503" s="2" t="n">
        <v>1975000</v>
      </c>
      <c r="I2503" s="2" t="n">
        <f aca="false">(((H2503 / 800) / IF(ISBLANK(R2503), 1000000, IF(ISNA(VLOOKUP(R2503, Mileages!$A$2:$C$34, 2, 0)), R2503, VLOOKUP(R2503, Mileages!$A$2:$C$34, 2, 0)))) + (F2503 * IF(ISBLANK(P2503), 1, P2503) * IF(ISBLANK(T2503), 0, IF(ISNA(VLOOKUP(T2503, 'Fuel Costs'!$A$2:$C$42, 2, 0)), T2503, VLOOKUP(T2503, 'Fuel Costs'!$A$2:$C$42, 2, 0))) / IF(ISBLANK(O2503), 1, O2503))) * 100</f>
        <v>0.1028645833</v>
      </c>
      <c r="J2503" s="2" t="n">
        <f aca="false">((H2503 / 800) / (IF(ISBLANK(S2503), 100, IF(ISNA(VLOOKUP(S2503, Lives!$A$2:$C$35, 2, 0)), S2503, VLOOKUP(S2503, Lives!$A$2:$C$35, 2, 0))) * 12) + (IF(ISBLANK(Q2503), 0, IF(ISNA(VLOOKUP(Q2503, Wages!$A$2:$C$17, 2, 0)), Q2503, VLOOKUP(Q2503, Wages!$A$2:$C$17, 2, 0))) * IF(ISBLANK(N2503), 0, IF(ISNA(VLOOKUP(N2503, Crews!$A$2:$C$28, 2, 0)), N2503, VLOOKUP(N2503, Crews!$A$2:$C$28, 2, 0))))) * 400</f>
        <v>4114.583333</v>
      </c>
      <c r="K2503" s="1"/>
      <c r="L2503" s="1" t="s">
        <v>4874</v>
      </c>
      <c r="M2503" s="1" t="n">
        <v>2</v>
      </c>
      <c r="N2503" s="1"/>
      <c r="O2503" s="1"/>
      <c r="P2503" s="1"/>
      <c r="Q2503" s="1"/>
      <c r="R2503" s="1" t="s">
        <v>4419</v>
      </c>
      <c r="S2503" s="1" t="s">
        <v>4470</v>
      </c>
      <c r="T2503" s="1"/>
    </row>
    <row r="2504" customFormat="false" ht="15" hidden="false" customHeight="true" outlineLevel="0" collapsed="false">
      <c r="A2504" s="1" t="s">
        <v>4877</v>
      </c>
      <c r="B2504" s="1" t="n">
        <v>1987</v>
      </c>
      <c r="C2504" s="1" t="n">
        <v>1</v>
      </c>
      <c r="D2504" s="1" t="s">
        <v>21</v>
      </c>
      <c r="E2504" s="1"/>
      <c r="F2504" s="1"/>
      <c r="G2504" s="1" t="n">
        <v>86</v>
      </c>
      <c r="H2504" s="2" t="n">
        <v>65000</v>
      </c>
      <c r="I2504" s="2" t="n">
        <f aca="false">(((H2504 / 800) / IF(ISBLANK(R2504), 1000000, IF(ISNA(VLOOKUP(R2504, Mileages!$A$2:$C$34, 2, 0)), R2504, VLOOKUP(R2504, Mileages!$A$2:$C$34, 2, 0)))) + (F2504 * IF(ISBLANK(P2504), 1, P2504) * IF(ISBLANK(T2504), 0, IF(ISNA(VLOOKUP(T2504, 'Fuel Costs'!$A$2:$C$42, 2, 0)), T2504, VLOOKUP(T2504, 'Fuel Costs'!$A$2:$C$42, 2, 0))) / IF(ISBLANK(O2504), 1, O2504))) * 100</f>
        <v>0.005078125</v>
      </c>
      <c r="J2504" s="2" t="n">
        <f aca="false">((H2504 / 800) / (IF(ISBLANK(S2504), 100, IF(ISNA(VLOOKUP(S2504, Lives!$A$2:$C$35, 2, 0)), S2504, VLOOKUP(S2504, Lives!$A$2:$C$35, 2, 0))) * 12) + (IF(ISBLANK(Q2504), 0, IF(ISNA(VLOOKUP(Q2504, Wages!$A$2:$C$17, 2, 0)), Q2504, VLOOKUP(Q2504, Wages!$A$2:$C$17, 2, 0))) * IF(ISBLANK(N2504), 0, IF(ISNA(VLOOKUP(N2504, Crews!$A$2:$C$28, 2, 0)), N2504, VLOOKUP(N2504, Crews!$A$2:$C$28, 2, 0))))) * 400</f>
        <v>33.85416667</v>
      </c>
      <c r="K2504" s="1" t="s">
        <v>4878</v>
      </c>
      <c r="L2504" s="1" t="s">
        <v>4879</v>
      </c>
      <c r="M2504" s="1" t="n">
        <v>4</v>
      </c>
      <c r="N2504" s="1"/>
      <c r="O2504" s="1"/>
      <c r="P2504" s="1"/>
      <c r="Q2504" s="1"/>
      <c r="R2504" s="1" t="s">
        <v>4880</v>
      </c>
      <c r="S2504" s="1" t="s">
        <v>829</v>
      </c>
      <c r="T2504" s="1"/>
    </row>
    <row r="2505" customFormat="false" ht="15" hidden="false" customHeight="true" outlineLevel="0" collapsed="false">
      <c r="A2505" s="1" t="s">
        <v>4881</v>
      </c>
      <c r="B2505" s="1" t="n">
        <v>1987</v>
      </c>
      <c r="C2505" s="1" t="n">
        <v>1</v>
      </c>
      <c r="D2505" s="1" t="s">
        <v>21</v>
      </c>
      <c r="E2505" s="1"/>
      <c r="F2505" s="1"/>
      <c r="G2505" s="1" t="n">
        <v>86</v>
      </c>
      <c r="H2505" s="2" t="n">
        <v>55000</v>
      </c>
      <c r="I2505" s="2" t="n">
        <f aca="false">(((H2505 / 800) / IF(ISBLANK(R2505), 1000000, IF(ISNA(VLOOKUP(R2505, Mileages!$A$2:$C$34, 2, 0)), R2505, VLOOKUP(R2505, Mileages!$A$2:$C$34, 2, 0)))) + (F2505 * IF(ISBLANK(P2505), 1, P2505) * IF(ISBLANK(T2505), 0, IF(ISNA(VLOOKUP(T2505, 'Fuel Costs'!$A$2:$C$42, 2, 0)), T2505, VLOOKUP(T2505, 'Fuel Costs'!$A$2:$C$42, 2, 0))) / IF(ISBLANK(O2505), 1, O2505))) * 100</f>
        <v>0.004296875</v>
      </c>
      <c r="J2505" s="2" t="n">
        <f aca="false">((H2505 / 800) / (IF(ISBLANK(S2505), 100, IF(ISNA(VLOOKUP(S2505, Lives!$A$2:$C$35, 2, 0)), S2505, VLOOKUP(S2505, Lives!$A$2:$C$35, 2, 0))) * 12) + (IF(ISBLANK(Q2505), 0, IF(ISNA(VLOOKUP(Q2505, Wages!$A$2:$C$17, 2, 0)), Q2505, VLOOKUP(Q2505, Wages!$A$2:$C$17, 2, 0))) * IF(ISBLANK(N2505), 0, IF(ISNA(VLOOKUP(N2505, Crews!$A$2:$C$28, 2, 0)), N2505, VLOOKUP(N2505, Crews!$A$2:$C$28, 2, 0))))) * 400</f>
        <v>28.64583333</v>
      </c>
      <c r="K2505" s="1"/>
      <c r="L2505" s="1" t="s">
        <v>4879</v>
      </c>
      <c r="M2505" s="1" t="n">
        <v>5</v>
      </c>
      <c r="N2505" s="1"/>
      <c r="O2505" s="1"/>
      <c r="P2505" s="1"/>
      <c r="Q2505" s="1"/>
      <c r="R2505" s="1" t="s">
        <v>4880</v>
      </c>
      <c r="S2505" s="1" t="s">
        <v>829</v>
      </c>
      <c r="T2505" s="1"/>
    </row>
    <row r="2506" customFormat="false" ht="15" hidden="false" customHeight="true" outlineLevel="0" collapsed="false">
      <c r="A2506" s="1" t="s">
        <v>4882</v>
      </c>
      <c r="B2506" s="1" t="n">
        <v>1987</v>
      </c>
      <c r="C2506" s="1" t="n">
        <v>1</v>
      </c>
      <c r="D2506" s="1" t="s">
        <v>21</v>
      </c>
      <c r="E2506" s="1"/>
      <c r="F2506" s="1"/>
      <c r="G2506" s="1" t="n">
        <v>86</v>
      </c>
      <c r="H2506" s="2" t="n">
        <v>55000</v>
      </c>
      <c r="I2506" s="2" t="n">
        <f aca="false">(((H2506 / 800) / IF(ISBLANK(R2506), 1000000, IF(ISNA(VLOOKUP(R2506, Mileages!$A$2:$C$34, 2, 0)), R2506, VLOOKUP(R2506, Mileages!$A$2:$C$34, 2, 0)))) + (F2506 * IF(ISBLANK(P2506), 1, P2506) * IF(ISBLANK(T2506), 0, IF(ISNA(VLOOKUP(T2506, 'Fuel Costs'!$A$2:$C$42, 2, 0)), T2506, VLOOKUP(T2506, 'Fuel Costs'!$A$2:$C$42, 2, 0))) / IF(ISBLANK(O2506), 1, O2506))) * 100</f>
        <v>0.004296875</v>
      </c>
      <c r="J2506" s="2" t="n">
        <f aca="false">((H2506 / 800) / (IF(ISBLANK(S2506), 100, IF(ISNA(VLOOKUP(S2506, Lives!$A$2:$C$35, 2, 0)), S2506, VLOOKUP(S2506, Lives!$A$2:$C$35, 2, 0))) * 12) + (IF(ISBLANK(Q2506), 0, IF(ISNA(VLOOKUP(Q2506, Wages!$A$2:$C$17, 2, 0)), Q2506, VLOOKUP(Q2506, Wages!$A$2:$C$17, 2, 0))) * IF(ISBLANK(N2506), 0, IF(ISNA(VLOOKUP(N2506, Crews!$A$2:$C$28, 2, 0)), N2506, VLOOKUP(N2506, Crews!$A$2:$C$28, 2, 0))))) * 400</f>
        <v>28.64583333</v>
      </c>
      <c r="K2506" s="1"/>
      <c r="L2506" s="1" t="s">
        <v>4879</v>
      </c>
      <c r="M2506" s="1" t="n">
        <v>6</v>
      </c>
      <c r="N2506" s="1"/>
      <c r="O2506" s="1"/>
      <c r="P2506" s="1"/>
      <c r="Q2506" s="1"/>
      <c r="R2506" s="1" t="s">
        <v>4880</v>
      </c>
      <c r="S2506" s="1" t="s">
        <v>829</v>
      </c>
      <c r="T2506" s="1"/>
    </row>
    <row r="2507" customFormat="false" ht="15" hidden="false" customHeight="true" outlineLevel="0" collapsed="false">
      <c r="A2507" s="1" t="s">
        <v>4883</v>
      </c>
      <c r="B2507" s="1" t="n">
        <v>1987</v>
      </c>
      <c r="C2507" s="1" t="n">
        <v>1</v>
      </c>
      <c r="D2507" s="1" t="s">
        <v>21</v>
      </c>
      <c r="E2507" s="1"/>
      <c r="F2507" s="1"/>
      <c r="G2507" s="1" t="n">
        <v>86</v>
      </c>
      <c r="H2507" s="2" t="n">
        <v>55000</v>
      </c>
      <c r="I2507" s="2" t="n">
        <f aca="false">(((H2507 / 800) / IF(ISBLANK(R2507), 1000000, IF(ISNA(VLOOKUP(R2507, Mileages!$A$2:$C$34, 2, 0)), R2507, VLOOKUP(R2507, Mileages!$A$2:$C$34, 2, 0)))) + (F2507 * IF(ISBLANK(P2507), 1, P2507) * IF(ISBLANK(T2507), 0, IF(ISNA(VLOOKUP(T2507, 'Fuel Costs'!$A$2:$C$42, 2, 0)), T2507, VLOOKUP(T2507, 'Fuel Costs'!$A$2:$C$42, 2, 0))) / IF(ISBLANK(O2507), 1, O2507))) * 100</f>
        <v>0.004296875</v>
      </c>
      <c r="J2507" s="2" t="n">
        <f aca="false">((H2507 / 800) / (IF(ISBLANK(S2507), 100, IF(ISNA(VLOOKUP(S2507, Lives!$A$2:$C$35, 2, 0)), S2507, VLOOKUP(S2507, Lives!$A$2:$C$35, 2, 0))) * 12) + (IF(ISBLANK(Q2507), 0, IF(ISNA(VLOOKUP(Q2507, Wages!$A$2:$C$17, 2, 0)), Q2507, VLOOKUP(Q2507, Wages!$A$2:$C$17, 2, 0))) * IF(ISBLANK(N2507), 0, IF(ISNA(VLOOKUP(N2507, Crews!$A$2:$C$28, 2, 0)), N2507, VLOOKUP(N2507, Crews!$A$2:$C$28, 2, 0))))) * 400</f>
        <v>28.64583333</v>
      </c>
      <c r="K2507" s="1"/>
      <c r="L2507" s="1" t="s">
        <v>4879</v>
      </c>
      <c r="M2507" s="1" t="n">
        <v>8</v>
      </c>
      <c r="N2507" s="1"/>
      <c r="O2507" s="1"/>
      <c r="P2507" s="1"/>
      <c r="Q2507" s="1"/>
      <c r="R2507" s="1" t="s">
        <v>4880</v>
      </c>
      <c r="S2507" s="1" t="s">
        <v>829</v>
      </c>
      <c r="T2507" s="1"/>
    </row>
    <row r="2508" customFormat="false" ht="15" hidden="false" customHeight="true" outlineLevel="0" collapsed="false">
      <c r="A2508" s="1" t="s">
        <v>4884</v>
      </c>
      <c r="B2508" s="1" t="n">
        <v>1987</v>
      </c>
      <c r="C2508" s="1" t="n">
        <v>1</v>
      </c>
      <c r="D2508" s="1" t="s">
        <v>21</v>
      </c>
      <c r="E2508" s="1"/>
      <c r="F2508" s="1"/>
      <c r="G2508" s="1" t="n">
        <v>86</v>
      </c>
      <c r="H2508" s="2" t="n">
        <v>55000</v>
      </c>
      <c r="I2508" s="2" t="n">
        <f aca="false">(((H2508 / 800) / IF(ISBLANK(R2508), 1000000, IF(ISNA(VLOOKUP(R2508, Mileages!$A$2:$C$34, 2, 0)), R2508, VLOOKUP(R2508, Mileages!$A$2:$C$34, 2, 0)))) + (F2508 * IF(ISBLANK(P2508), 1, P2508) * IF(ISBLANK(T2508), 0, IF(ISNA(VLOOKUP(T2508, 'Fuel Costs'!$A$2:$C$42, 2, 0)), T2508, VLOOKUP(T2508, 'Fuel Costs'!$A$2:$C$42, 2, 0))) / IF(ISBLANK(O2508), 1, O2508))) * 100</f>
        <v>0.004296875</v>
      </c>
      <c r="J2508" s="2" t="n">
        <f aca="false">((H2508 / 800) / (IF(ISBLANK(S2508), 100, IF(ISNA(VLOOKUP(S2508, Lives!$A$2:$C$35, 2, 0)), S2508, VLOOKUP(S2508, Lives!$A$2:$C$35, 2, 0))) * 12) + (IF(ISBLANK(Q2508), 0, IF(ISNA(VLOOKUP(Q2508, Wages!$A$2:$C$17, 2, 0)), Q2508, VLOOKUP(Q2508, Wages!$A$2:$C$17, 2, 0))) * IF(ISBLANK(N2508), 0, IF(ISNA(VLOOKUP(N2508, Crews!$A$2:$C$28, 2, 0)), N2508, VLOOKUP(N2508, Crews!$A$2:$C$28, 2, 0))))) * 400</f>
        <v>28.64583333</v>
      </c>
      <c r="K2508" s="1"/>
      <c r="L2508" s="1" t="s">
        <v>4879</v>
      </c>
      <c r="M2508" s="1" t="n">
        <v>9</v>
      </c>
      <c r="N2508" s="1"/>
      <c r="O2508" s="1"/>
      <c r="P2508" s="1"/>
      <c r="Q2508" s="1"/>
      <c r="R2508" s="1" t="s">
        <v>4880</v>
      </c>
      <c r="S2508" s="1" t="s">
        <v>829</v>
      </c>
      <c r="T2508" s="1"/>
    </row>
    <row r="2509" customFormat="false" ht="15" hidden="false" customHeight="true" outlineLevel="0" collapsed="false">
      <c r="A2509" s="1" t="s">
        <v>4885</v>
      </c>
      <c r="B2509" s="1" t="n">
        <v>1987</v>
      </c>
      <c r="C2509" s="1" t="n">
        <v>1</v>
      </c>
      <c r="D2509" s="1" t="s">
        <v>21</v>
      </c>
      <c r="E2509" s="1"/>
      <c r="F2509" s="1"/>
      <c r="G2509" s="1" t="n">
        <v>86</v>
      </c>
      <c r="H2509" s="2" t="n">
        <v>55000</v>
      </c>
      <c r="I2509" s="2" t="n">
        <f aca="false">(((H2509 / 800) / IF(ISBLANK(R2509), 1000000, IF(ISNA(VLOOKUP(R2509, Mileages!$A$2:$C$34, 2, 0)), R2509, VLOOKUP(R2509, Mileages!$A$2:$C$34, 2, 0)))) + (F2509 * IF(ISBLANK(P2509), 1, P2509) * IF(ISBLANK(T2509), 0, IF(ISNA(VLOOKUP(T2509, 'Fuel Costs'!$A$2:$C$42, 2, 0)), T2509, VLOOKUP(T2509, 'Fuel Costs'!$A$2:$C$42, 2, 0))) / IF(ISBLANK(O2509), 1, O2509))) * 100</f>
        <v>0.004296875</v>
      </c>
      <c r="J2509" s="2" t="n">
        <f aca="false">((H2509 / 800) / (IF(ISBLANK(S2509), 100, IF(ISNA(VLOOKUP(S2509, Lives!$A$2:$C$35, 2, 0)), S2509, VLOOKUP(S2509, Lives!$A$2:$C$35, 2, 0))) * 12) + (IF(ISBLANK(Q2509), 0, IF(ISNA(VLOOKUP(Q2509, Wages!$A$2:$C$17, 2, 0)), Q2509, VLOOKUP(Q2509, Wages!$A$2:$C$17, 2, 0))) * IF(ISBLANK(N2509), 0, IF(ISNA(VLOOKUP(N2509, Crews!$A$2:$C$28, 2, 0)), N2509, VLOOKUP(N2509, Crews!$A$2:$C$28, 2, 0))))) * 400</f>
        <v>28.64583333</v>
      </c>
      <c r="K2509" s="1"/>
      <c r="L2509" s="1" t="s">
        <v>4879</v>
      </c>
      <c r="M2509" s="1" t="n">
        <v>10</v>
      </c>
      <c r="N2509" s="1"/>
      <c r="O2509" s="1"/>
      <c r="P2509" s="1"/>
      <c r="Q2509" s="1"/>
      <c r="R2509" s="1" t="s">
        <v>4880</v>
      </c>
      <c r="S2509" s="1" t="s">
        <v>829</v>
      </c>
      <c r="T2509" s="1"/>
    </row>
    <row r="2510" customFormat="false" ht="15" hidden="false" customHeight="true" outlineLevel="0" collapsed="false">
      <c r="A2510" s="1" t="s">
        <v>4886</v>
      </c>
      <c r="B2510" s="1" t="n">
        <v>1987</v>
      </c>
      <c r="C2510" s="1" t="n">
        <v>1</v>
      </c>
      <c r="D2510" s="1" t="s">
        <v>21</v>
      </c>
      <c r="E2510" s="1"/>
      <c r="F2510" s="1"/>
      <c r="G2510" s="1" t="n">
        <v>86</v>
      </c>
      <c r="H2510" s="2" t="n">
        <v>55000</v>
      </c>
      <c r="I2510" s="2" t="n">
        <f aca="false">(((H2510 / 800) / IF(ISBLANK(R2510), 1000000, IF(ISNA(VLOOKUP(R2510, Mileages!$A$2:$C$34, 2, 0)), R2510, VLOOKUP(R2510, Mileages!$A$2:$C$34, 2, 0)))) + (F2510 * IF(ISBLANK(P2510), 1, P2510) * IF(ISBLANK(T2510), 0, IF(ISNA(VLOOKUP(T2510, 'Fuel Costs'!$A$2:$C$42, 2, 0)), T2510, VLOOKUP(T2510, 'Fuel Costs'!$A$2:$C$42, 2, 0))) / IF(ISBLANK(O2510), 1, O2510))) * 100</f>
        <v>0.004296875</v>
      </c>
      <c r="J2510" s="2" t="n">
        <f aca="false">((H2510 / 800) / (IF(ISBLANK(S2510), 100, IF(ISNA(VLOOKUP(S2510, Lives!$A$2:$C$35, 2, 0)), S2510, VLOOKUP(S2510, Lives!$A$2:$C$35, 2, 0))) * 12) + (IF(ISBLANK(Q2510), 0, IF(ISNA(VLOOKUP(Q2510, Wages!$A$2:$C$17, 2, 0)), Q2510, VLOOKUP(Q2510, Wages!$A$2:$C$17, 2, 0))) * IF(ISBLANK(N2510), 0, IF(ISNA(VLOOKUP(N2510, Crews!$A$2:$C$28, 2, 0)), N2510, VLOOKUP(N2510, Crews!$A$2:$C$28, 2, 0))))) * 400</f>
        <v>28.64583333</v>
      </c>
      <c r="K2510" s="1"/>
      <c r="L2510" s="1" t="s">
        <v>4879</v>
      </c>
      <c r="M2510" s="1" t="n">
        <v>11</v>
      </c>
      <c r="N2510" s="1"/>
      <c r="O2510" s="1"/>
      <c r="P2510" s="1"/>
      <c r="Q2510" s="1"/>
      <c r="R2510" s="1" t="s">
        <v>4880</v>
      </c>
      <c r="S2510" s="1" t="s">
        <v>829</v>
      </c>
      <c r="T2510" s="1"/>
    </row>
    <row r="2511" customFormat="false" ht="15" hidden="false" customHeight="true" outlineLevel="0" collapsed="false">
      <c r="A2511" s="1" t="s">
        <v>4887</v>
      </c>
      <c r="B2511" s="1" t="n">
        <v>1987</v>
      </c>
      <c r="C2511" s="1" t="n">
        <v>1</v>
      </c>
      <c r="D2511" s="1" t="s">
        <v>29</v>
      </c>
      <c r="E2511" s="1"/>
      <c r="F2511" s="1"/>
      <c r="G2511" s="1" t="n">
        <v>40</v>
      </c>
      <c r="H2511" s="2"/>
      <c r="I2511" s="2"/>
      <c r="J2511" s="2"/>
      <c r="K2511" s="1" t="s">
        <v>321</v>
      </c>
      <c r="L2511" s="1" t="s">
        <v>4888</v>
      </c>
      <c r="M2511" s="1" t="n">
        <v>0</v>
      </c>
      <c r="N2511" s="1"/>
      <c r="O2511" s="1"/>
      <c r="P2511" s="1"/>
      <c r="Q2511" s="1"/>
      <c r="R2511" s="1"/>
      <c r="S2511" s="1"/>
      <c r="T2511" s="1"/>
    </row>
    <row r="2512" customFormat="false" ht="15" hidden="false" customHeight="true" outlineLevel="0" collapsed="false">
      <c r="A2512" s="1" t="s">
        <v>4889</v>
      </c>
      <c r="B2512" s="1" t="n">
        <v>1987</v>
      </c>
      <c r="C2512" s="1" t="n">
        <v>1</v>
      </c>
      <c r="D2512" s="1" t="s">
        <v>29</v>
      </c>
      <c r="E2512" s="1"/>
      <c r="F2512" s="1"/>
      <c r="G2512" s="1" t="n">
        <v>40</v>
      </c>
      <c r="H2512" s="2"/>
      <c r="I2512" s="2"/>
      <c r="J2512" s="2"/>
      <c r="K2512" s="1" t="s">
        <v>321</v>
      </c>
      <c r="L2512" s="1" t="s">
        <v>4888</v>
      </c>
      <c r="M2512" s="1" t="n">
        <v>1</v>
      </c>
      <c r="N2512" s="1"/>
      <c r="O2512" s="1"/>
      <c r="P2512" s="1"/>
      <c r="Q2512" s="1"/>
      <c r="R2512" s="1"/>
      <c r="S2512" s="1"/>
      <c r="T2512" s="1"/>
    </row>
    <row r="2513" customFormat="false" ht="15" hidden="false" customHeight="true" outlineLevel="0" collapsed="false">
      <c r="A2513" s="1" t="s">
        <v>4890</v>
      </c>
      <c r="B2513" s="1" t="n">
        <v>1987</v>
      </c>
      <c r="C2513" s="1" t="n">
        <v>1</v>
      </c>
      <c r="D2513" s="1" t="s">
        <v>29</v>
      </c>
      <c r="E2513" s="1"/>
      <c r="F2513" s="1"/>
      <c r="G2513" s="1" t="n">
        <v>40</v>
      </c>
      <c r="H2513" s="2"/>
      <c r="I2513" s="2"/>
      <c r="J2513" s="2"/>
      <c r="K2513" s="1" t="s">
        <v>321</v>
      </c>
      <c r="L2513" s="1" t="s">
        <v>4888</v>
      </c>
      <c r="M2513" s="1" t="n">
        <v>2</v>
      </c>
      <c r="N2513" s="1"/>
      <c r="O2513" s="1"/>
      <c r="P2513" s="1"/>
      <c r="Q2513" s="1"/>
      <c r="R2513" s="1"/>
      <c r="S2513" s="1"/>
      <c r="T2513" s="1"/>
    </row>
    <row r="2514" customFormat="false" ht="15" hidden="false" customHeight="true" outlineLevel="0" collapsed="false">
      <c r="A2514" s="1" t="s">
        <v>4891</v>
      </c>
      <c r="B2514" s="1" t="n">
        <v>1987</v>
      </c>
      <c r="C2514" s="1" t="n">
        <v>1</v>
      </c>
      <c r="D2514" s="1" t="s">
        <v>38</v>
      </c>
      <c r="E2514" s="1" t="s">
        <v>1346</v>
      </c>
      <c r="F2514" s="1" t="n">
        <v>5860</v>
      </c>
      <c r="G2514" s="1" t="n">
        <v>175</v>
      </c>
      <c r="H2514" s="2" t="n">
        <v>6552000</v>
      </c>
      <c r="I2514" s="2" t="n">
        <f aca="false">(((H2514 / 800) / IF(ISBLANK(R2514), 1000000, IF(ISNA(VLOOKUP(R2514, Mileages!$A$2:$C$34, 2, 0)), R2514, VLOOKUP(R2514, Mileages!$A$2:$C$34, 2, 0)))) + (F2514 * IF(ISBLANK(P2514), 1, P2514) * IF(ISBLANK(T2514), 0, IF(ISNA(VLOOKUP(T2514, 'Fuel Costs'!$A$2:$C$42, 2, 0)), T2514, VLOOKUP(T2514, 'Fuel Costs'!$A$2:$C$42, 2, 0))) / IF(ISBLANK(O2514), 1, O2514))) * 100</f>
        <v>586.4095</v>
      </c>
      <c r="J2514" s="2" t="n">
        <f aca="false">((H2514 / 800) / (IF(ISBLANK(S2514), 100, IF(ISNA(VLOOKUP(S2514, Lives!$A$2:$C$35, 2, 0)), S2514, VLOOKUP(S2514, Lives!$A$2:$C$35, 2, 0))) * 12) + (IF(ISBLANK(Q2514), 0, IF(ISNA(VLOOKUP(Q2514, Wages!$A$2:$C$17, 2, 0)), Q2514, VLOOKUP(Q2514, Wages!$A$2:$C$17, 2, 0))) * IF(ISBLANK(N2514), 0, IF(ISNA(VLOOKUP(N2514, Crews!$A$2:$C$28, 2, 0)), N2514, VLOOKUP(N2514, Crews!$A$2:$C$28, 2, 0))))) * 400</f>
        <v>11460</v>
      </c>
      <c r="K2514" s="1"/>
      <c r="L2514" s="1" t="s">
        <v>4892</v>
      </c>
      <c r="M2514" s="1" t="n">
        <v>0</v>
      </c>
      <c r="N2514" s="1" t="s">
        <v>1512</v>
      </c>
      <c r="O2514" s="1" t="n">
        <v>1</v>
      </c>
      <c r="P2514" s="1"/>
      <c r="Q2514" s="1" t="str">
        <f aca="false">IF(ISBLANK('Pak128 Britain In'!$N2514),,'Pak128 Britain In'!$N2514)</f>
        <v>ElectricMultipleUnit</v>
      </c>
      <c r="R2514" s="1" t="s">
        <v>4696</v>
      </c>
      <c r="S2514" s="1" t="s">
        <v>1350</v>
      </c>
      <c r="T2514" s="1" t="s">
        <v>4697</v>
      </c>
    </row>
    <row r="2515" customFormat="false" ht="15" hidden="false" customHeight="true" outlineLevel="0" collapsed="false">
      <c r="A2515" s="1" t="s">
        <v>4893</v>
      </c>
      <c r="B2515" s="1" t="n">
        <v>1987</v>
      </c>
      <c r="C2515" s="1" t="n">
        <v>1</v>
      </c>
      <c r="D2515" s="1" t="s">
        <v>38</v>
      </c>
      <c r="E2515" s="1" t="s">
        <v>1346</v>
      </c>
      <c r="F2515" s="1" t="n">
        <v>5860</v>
      </c>
      <c r="G2515" s="1" t="n">
        <v>175</v>
      </c>
      <c r="H2515" s="2" t="n">
        <v>6552000</v>
      </c>
      <c r="I2515" s="2" t="n">
        <f aca="false">(((H2515 / 800) / IF(ISBLANK(R2515), 1000000, IF(ISNA(VLOOKUP(R2515, Mileages!$A$2:$C$34, 2, 0)), R2515, VLOOKUP(R2515, Mileages!$A$2:$C$34, 2, 0)))) + (F2515 * IF(ISBLANK(P2515), 1, P2515) * IF(ISBLANK(T2515), 0, IF(ISNA(VLOOKUP(T2515, 'Fuel Costs'!$A$2:$C$42, 2, 0)), T2515, VLOOKUP(T2515, 'Fuel Costs'!$A$2:$C$42, 2, 0))) / IF(ISBLANK(O2515), 1, O2515))) * 100</f>
        <v>586.4095</v>
      </c>
      <c r="J2515" s="2" t="n">
        <f aca="false">((H2515 / 800) / (IF(ISBLANK(S2515), 100, IF(ISNA(VLOOKUP(S2515, Lives!$A$2:$C$35, 2, 0)), S2515, VLOOKUP(S2515, Lives!$A$2:$C$35, 2, 0))) * 12) + (IF(ISBLANK(Q2515), 0, IF(ISNA(VLOOKUP(Q2515, Wages!$A$2:$C$17, 2, 0)), Q2515, VLOOKUP(Q2515, Wages!$A$2:$C$17, 2, 0))) * IF(ISBLANK(N2515), 0, IF(ISNA(VLOOKUP(N2515, Crews!$A$2:$C$28, 2, 0)), N2515, VLOOKUP(N2515, Crews!$A$2:$C$28, 2, 0))))) * 400</f>
        <v>11460</v>
      </c>
      <c r="K2515" s="1"/>
      <c r="L2515" s="1" t="s">
        <v>4892</v>
      </c>
      <c r="M2515" s="1" t="n">
        <v>1</v>
      </c>
      <c r="N2515" s="1" t="s">
        <v>1512</v>
      </c>
      <c r="O2515" s="1" t="n">
        <v>1</v>
      </c>
      <c r="P2515" s="1"/>
      <c r="Q2515" s="1" t="str">
        <f aca="false">IF(ISBLANK('Pak128 Britain In'!$N2515),,'Pak128 Britain In'!$N2515)</f>
        <v>ElectricMultipleUnit</v>
      </c>
      <c r="R2515" s="1" t="s">
        <v>4696</v>
      </c>
      <c r="S2515" s="1" t="s">
        <v>1350</v>
      </c>
      <c r="T2515" s="1" t="s">
        <v>4697</v>
      </c>
    </row>
    <row r="2516" customFormat="false" ht="15" hidden="false" customHeight="true" outlineLevel="0" collapsed="false">
      <c r="A2516" s="1" t="s">
        <v>4894</v>
      </c>
      <c r="B2516" s="1" t="n">
        <v>1987</v>
      </c>
      <c r="C2516" s="1" t="n">
        <v>1</v>
      </c>
      <c r="D2516" s="1" t="s">
        <v>29</v>
      </c>
      <c r="E2516" s="1" t="s">
        <v>2039</v>
      </c>
      <c r="F2516" s="1" t="n">
        <v>23170</v>
      </c>
      <c r="G2516" s="1" t="n">
        <v>41</v>
      </c>
      <c r="H2516" s="2" t="n">
        <v>90000000</v>
      </c>
      <c r="I2516" s="2" t="n">
        <f aca="false">(((H2516 / 800) / IF(ISBLANK(R2516), 1000000, IF(ISNA(VLOOKUP(R2516, Mileages!$A$2:$C$34, 2, 0)), R2516, VLOOKUP(R2516, Mileages!$A$2:$C$34, 2, 0)))) + (F2516 * IF(ISBLANK(P2516), 1, P2516) * IF(ISBLANK(T2516), 0, IF(ISNA(VLOOKUP(T2516, 'Fuel Costs'!$A$2:$C$42, 2, 0)), T2516, VLOOKUP(T2516, 'Fuel Costs'!$A$2:$C$42, 2, 0))) / IF(ISBLANK(O2516), 1, O2516))) * 100</f>
        <v>696.975</v>
      </c>
      <c r="J2516" s="2" t="n">
        <f aca="false">((H2516 / 800) / (IF(ISBLANK(S2516), 100, IF(ISNA(VLOOKUP(S2516, Lives!$A$2:$C$35, 2, 0)), S2516, VLOOKUP(S2516, Lives!$A$2:$C$35, 2, 0))) * 12) + (IF(ISBLANK(Q2516), 0, IF(ISNA(VLOOKUP(Q2516, Wages!$A$2:$C$17, 2, 0)), Q2516, VLOOKUP(Q2516, Wages!$A$2:$C$17, 2, 0))) * IF(ISBLANK(N2516), 0, IF(ISNA(VLOOKUP(N2516, Crews!$A$2:$C$28, 2, 0)), N2516, VLOOKUP(N2516, Crews!$A$2:$C$28, 2, 0))))) * 400</f>
        <v>237500</v>
      </c>
      <c r="K2516" s="1" t="s">
        <v>321</v>
      </c>
      <c r="L2516" s="1" t="s">
        <v>4895</v>
      </c>
      <c r="M2516" s="1" t="n">
        <v>0</v>
      </c>
      <c r="N2516" s="1" t="s">
        <v>323</v>
      </c>
      <c r="O2516" s="1" t="n">
        <v>1</v>
      </c>
      <c r="P2516" s="1" t="n">
        <v>0.1</v>
      </c>
      <c r="Q2516" s="1" t="s">
        <v>34</v>
      </c>
      <c r="R2516" s="1" t="s">
        <v>3933</v>
      </c>
      <c r="S2516" s="1" t="s">
        <v>574</v>
      </c>
      <c r="T2516" s="1" t="s">
        <v>4726</v>
      </c>
    </row>
    <row r="2517" customFormat="false" ht="15" hidden="false" customHeight="true" outlineLevel="0" collapsed="false">
      <c r="A2517" s="1" t="s">
        <v>4896</v>
      </c>
      <c r="B2517" s="1" t="n">
        <v>1987</v>
      </c>
      <c r="C2517" s="1" t="n">
        <v>2</v>
      </c>
      <c r="D2517" s="1" t="s">
        <v>21</v>
      </c>
      <c r="E2517" s="1"/>
      <c r="F2517" s="1"/>
      <c r="G2517" s="1" t="n">
        <v>86</v>
      </c>
      <c r="H2517" s="2" t="n">
        <v>55000</v>
      </c>
      <c r="I2517" s="2" t="n">
        <f aca="false">(((H2517 / 800) / IF(ISBLANK(R2517), 1000000, IF(ISNA(VLOOKUP(R2517, Mileages!$A$2:$C$34, 2, 0)), R2517, VLOOKUP(R2517, Mileages!$A$2:$C$34, 2, 0)))) + (F2517 * IF(ISBLANK(P2517), 1, P2517) * IF(ISBLANK(T2517), 0, IF(ISNA(VLOOKUP(T2517, 'Fuel Costs'!$A$2:$C$42, 2, 0)), T2517, VLOOKUP(T2517, 'Fuel Costs'!$A$2:$C$42, 2, 0))) / IF(ISBLANK(O2517), 1, O2517))) * 100</f>
        <v>0.004296875</v>
      </c>
      <c r="J2517" s="2" t="n">
        <f aca="false">((H2517 / 800) / (IF(ISBLANK(S2517), 100, IF(ISNA(VLOOKUP(S2517, Lives!$A$2:$C$35, 2, 0)), S2517, VLOOKUP(S2517, Lives!$A$2:$C$35, 2, 0))) * 12) + (IF(ISBLANK(Q2517), 0, IF(ISNA(VLOOKUP(Q2517, Wages!$A$2:$C$17, 2, 0)), Q2517, VLOOKUP(Q2517, Wages!$A$2:$C$17, 2, 0))) * IF(ISBLANK(N2517), 0, IF(ISNA(VLOOKUP(N2517, Crews!$A$2:$C$28, 2, 0)), N2517, VLOOKUP(N2517, Crews!$A$2:$C$28, 2, 0))))) * 400</f>
        <v>28.64583333</v>
      </c>
      <c r="K2517" s="1"/>
      <c r="L2517" s="1" t="s">
        <v>4879</v>
      </c>
      <c r="M2517" s="1" t="n">
        <v>7</v>
      </c>
      <c r="N2517" s="1"/>
      <c r="O2517" s="1"/>
      <c r="P2517" s="1"/>
      <c r="Q2517" s="1"/>
      <c r="R2517" s="1" t="s">
        <v>4880</v>
      </c>
      <c r="S2517" s="1" t="s">
        <v>829</v>
      </c>
      <c r="T2517" s="1"/>
    </row>
    <row r="2518" customFormat="false" ht="15" hidden="false" customHeight="true" outlineLevel="0" collapsed="false">
      <c r="A2518" s="1" t="s">
        <v>4897</v>
      </c>
      <c r="B2518" s="1" t="n">
        <v>1987</v>
      </c>
      <c r="C2518" s="1" t="n">
        <v>2</v>
      </c>
      <c r="D2518" s="1" t="s">
        <v>38</v>
      </c>
      <c r="E2518" s="1" t="s">
        <v>1346</v>
      </c>
      <c r="F2518" s="1" t="n">
        <v>3730</v>
      </c>
      <c r="G2518" s="1" t="n">
        <v>177</v>
      </c>
      <c r="H2518" s="2" t="n">
        <v>6552000</v>
      </c>
      <c r="I2518" s="2" t="n">
        <f aca="false">(((H2518 / 800) / IF(ISBLANK(R2518), 1000000, IF(ISNA(VLOOKUP(R2518, Mileages!$A$2:$C$34, 2, 0)), R2518, VLOOKUP(R2518, Mileages!$A$2:$C$34, 2, 0)))) + (F2518 * IF(ISBLANK(P2518), 1, P2518) * IF(ISBLANK(T2518), 0, IF(ISNA(VLOOKUP(T2518, 'Fuel Costs'!$A$2:$C$42, 2, 0)), T2518, VLOOKUP(T2518, 'Fuel Costs'!$A$2:$C$42, 2, 0))) / IF(ISBLANK(O2518), 1, O2518))) * 100</f>
        <v>373.4095</v>
      </c>
      <c r="J2518" s="2" t="n">
        <f aca="false">((H2518 / 800) / (IF(ISBLANK(S2518), 100, IF(ISNA(VLOOKUP(S2518, Lives!$A$2:$C$35, 2, 0)), S2518, VLOOKUP(S2518, Lives!$A$2:$C$35, 2, 0))) * 12) + (IF(ISBLANK(Q2518), 0, IF(ISNA(VLOOKUP(Q2518, Wages!$A$2:$C$17, 2, 0)), Q2518, VLOOKUP(Q2518, Wages!$A$2:$C$17, 2, 0))) * IF(ISBLANK(N2518), 0, IF(ISNA(VLOOKUP(N2518, Crews!$A$2:$C$28, 2, 0)), N2518, VLOOKUP(N2518, Crews!$A$2:$C$28, 2, 0))))) * 400</f>
        <v>11460</v>
      </c>
      <c r="K2518" s="3" t="s">
        <v>4268</v>
      </c>
      <c r="L2518" s="1" t="s">
        <v>4898</v>
      </c>
      <c r="M2518" s="1" t="n">
        <v>0</v>
      </c>
      <c r="N2518" s="1" t="s">
        <v>1512</v>
      </c>
      <c r="O2518" s="1" t="n">
        <v>1</v>
      </c>
      <c r="P2518" s="1"/>
      <c r="Q2518" s="1" t="str">
        <f aca="false">IF(ISBLANK('Pak128 Britain In'!$N2518),,'Pak128 Britain In'!$N2518)</f>
        <v>ElectricMultipleUnit</v>
      </c>
      <c r="R2518" s="1" t="s">
        <v>4696</v>
      </c>
      <c r="S2518" s="1" t="s">
        <v>1350</v>
      </c>
      <c r="T2518" s="1" t="s">
        <v>4697</v>
      </c>
    </row>
    <row r="2519" customFormat="false" ht="15" hidden="false" customHeight="true" outlineLevel="0" collapsed="false">
      <c r="A2519" s="1" t="s">
        <v>4899</v>
      </c>
      <c r="B2519" s="1" t="n">
        <v>1987</v>
      </c>
      <c r="C2519" s="1" t="n">
        <v>3</v>
      </c>
      <c r="D2519" s="1" t="s">
        <v>38</v>
      </c>
      <c r="E2519" s="1" t="s">
        <v>1346</v>
      </c>
      <c r="F2519" s="1" t="n">
        <v>131</v>
      </c>
      <c r="G2519" s="1" t="n">
        <v>80</v>
      </c>
      <c r="H2519" s="2" t="n">
        <v>525000</v>
      </c>
      <c r="I2519" s="2" t="n">
        <f aca="false">(((H2519 / 800) / IF(ISBLANK(R2519), 1000000, IF(ISNA(VLOOKUP(R2519, Mileages!$A$2:$C$34, 2, 0)), R2519, VLOOKUP(R2519, Mileages!$A$2:$C$34, 2, 0)))) + (F2519 * IF(ISBLANK(P2519), 1, P2519) * IF(ISBLANK(T2519), 0, IF(ISNA(VLOOKUP(T2519, 'Fuel Costs'!$A$2:$C$42, 2, 0)), T2519, VLOOKUP(T2519, 'Fuel Costs'!$A$2:$C$42, 2, 0))) / IF(ISBLANK(O2519), 1, O2519))) * 100</f>
        <v>13.1328125</v>
      </c>
      <c r="J2519" s="2" t="n">
        <f aca="false">((H2519 / 800) / (IF(ISBLANK(S2519), 100, IF(ISNA(VLOOKUP(S2519, Lives!$A$2:$C$35, 2, 0)), S2519, VLOOKUP(S2519, Lives!$A$2:$C$35, 2, 0))) * 12) + (IF(ISBLANK(Q2519), 0, IF(ISNA(VLOOKUP(Q2519, Wages!$A$2:$C$17, 2, 0)), Q2519, VLOOKUP(Q2519, Wages!$A$2:$C$17, 2, 0))) * IF(ISBLANK(N2519), 0, IF(ISNA(VLOOKUP(N2519, Crews!$A$2:$C$28, 2, 0)), N2519, VLOOKUP(N2519, Crews!$A$2:$C$28, 2, 0))))) * 400</f>
        <v>6437.5</v>
      </c>
      <c r="K2519" s="1"/>
      <c r="L2519" s="1" t="s">
        <v>4900</v>
      </c>
      <c r="M2519" s="1" t="n">
        <v>0</v>
      </c>
      <c r="N2519" s="1" t="s">
        <v>1512</v>
      </c>
      <c r="O2519" s="1" t="n">
        <v>1</v>
      </c>
      <c r="P2519" s="1"/>
      <c r="Q2519" s="1" t="str">
        <f aca="false">IF(ISBLANK('Pak128 Britain In'!$N2519),,'Pak128 Britain In'!$N2519)</f>
        <v>ElectricMultipleUnit</v>
      </c>
      <c r="R2519" s="1" t="s">
        <v>4696</v>
      </c>
      <c r="S2519" s="1" t="s">
        <v>1350</v>
      </c>
      <c r="T2519" s="1" t="s">
        <v>4697</v>
      </c>
    </row>
    <row r="2520" customFormat="false" ht="15" hidden="false" customHeight="true" outlineLevel="0" collapsed="false">
      <c r="A2520" s="1" t="s">
        <v>4901</v>
      </c>
      <c r="B2520" s="1" t="n">
        <v>1987</v>
      </c>
      <c r="C2520" s="1" t="n">
        <v>3</v>
      </c>
      <c r="D2520" s="1" t="s">
        <v>38</v>
      </c>
      <c r="E2520" s="1" t="s">
        <v>1346</v>
      </c>
      <c r="F2520" s="1" t="n">
        <v>131</v>
      </c>
      <c r="G2520" s="1" t="n">
        <v>80</v>
      </c>
      <c r="H2520" s="2" t="n">
        <v>525000</v>
      </c>
      <c r="I2520" s="2" t="n">
        <f aca="false">(((H2520 / 800) / IF(ISBLANK(R2520), 1000000, IF(ISNA(VLOOKUP(R2520, Mileages!$A$2:$C$34, 2, 0)), R2520, VLOOKUP(R2520, Mileages!$A$2:$C$34, 2, 0)))) + (F2520 * IF(ISBLANK(P2520), 1, P2520) * IF(ISBLANK(T2520), 0, IF(ISNA(VLOOKUP(T2520, 'Fuel Costs'!$A$2:$C$42, 2, 0)), T2520, VLOOKUP(T2520, 'Fuel Costs'!$A$2:$C$42, 2, 0))) / IF(ISBLANK(O2520), 1, O2520))) * 100</f>
        <v>13.1328125</v>
      </c>
      <c r="J2520" s="2" t="n">
        <f aca="false">((H2520 / 800) / (IF(ISBLANK(S2520), 100, IF(ISNA(VLOOKUP(S2520, Lives!$A$2:$C$35, 2, 0)), S2520, VLOOKUP(S2520, Lives!$A$2:$C$35, 2, 0))) * 12) + (IF(ISBLANK(Q2520), 0, IF(ISNA(VLOOKUP(Q2520, Wages!$A$2:$C$17, 2, 0)), Q2520, VLOOKUP(Q2520, Wages!$A$2:$C$17, 2, 0))) * IF(ISBLANK(N2520), 0, IF(ISNA(VLOOKUP(N2520, Crews!$A$2:$C$28, 2, 0)), N2520, VLOOKUP(N2520, Crews!$A$2:$C$28, 2, 0))))) * 400</f>
        <v>6437.5</v>
      </c>
      <c r="K2520" s="1"/>
      <c r="L2520" s="1" t="s">
        <v>4900</v>
      </c>
      <c r="M2520" s="1" t="n">
        <v>1</v>
      </c>
      <c r="N2520" s="1" t="s">
        <v>1512</v>
      </c>
      <c r="O2520" s="1" t="n">
        <v>1</v>
      </c>
      <c r="P2520" s="1"/>
      <c r="Q2520" s="1" t="str">
        <f aca="false">IF(ISBLANK('Pak128 Britain In'!$N2520),,'Pak128 Britain In'!$N2520)</f>
        <v>ElectricMultipleUnit</v>
      </c>
      <c r="R2520" s="1" t="s">
        <v>4696</v>
      </c>
      <c r="S2520" s="1" t="s">
        <v>1350</v>
      </c>
      <c r="T2520" s="1" t="s">
        <v>4697</v>
      </c>
    </row>
    <row r="2521" customFormat="false" ht="15" hidden="false" customHeight="true" outlineLevel="0" collapsed="false">
      <c r="A2521" s="1" t="s">
        <v>4902</v>
      </c>
      <c r="B2521" s="1" t="n">
        <v>1987</v>
      </c>
      <c r="C2521" s="1" t="n">
        <v>4</v>
      </c>
      <c r="D2521" s="1" t="s">
        <v>21</v>
      </c>
      <c r="E2521" s="1" t="s">
        <v>2039</v>
      </c>
      <c r="F2521" s="1" t="n">
        <v>282</v>
      </c>
      <c r="G2521" s="1" t="n">
        <v>88</v>
      </c>
      <c r="H2521" s="2" t="n">
        <v>125000</v>
      </c>
      <c r="I2521" s="2" t="n">
        <f aca="false">(((H2521 / 800) / IF(ISBLANK(R2521), 1000000, IF(ISNA(VLOOKUP(R2521, Mileages!$A$2:$C$34, 2, 0)), R2521, VLOOKUP(R2521, Mileages!$A$2:$C$34, 2, 0)))) + (F2521 * IF(ISBLANK(P2521), 1, P2521) * IF(ISBLANK(T2521), 0, IF(ISNA(VLOOKUP(T2521, 'Fuel Costs'!$A$2:$C$42, 2, 0)), T2521, VLOOKUP(T2521, 'Fuel Costs'!$A$2:$C$42, 2, 0))) / IF(ISBLANK(O2521), 1, O2521))) * 100</f>
        <v>84.6078125</v>
      </c>
      <c r="J2521" s="2" t="n">
        <f aca="false">((H2521 / 800) / (IF(ISBLANK(S2521), 100, IF(ISNA(VLOOKUP(S2521, Lives!$A$2:$C$35, 2, 0)), S2521, VLOOKUP(S2521, Lives!$A$2:$C$35, 2, 0))) * 12) + (IF(ISBLANK(Q2521), 0, IF(ISNA(VLOOKUP(Q2521, Wages!$A$2:$C$17, 2, 0)), Q2521, VLOOKUP(Q2521, Wages!$A$2:$C$17, 2, 0))) * IF(ISBLANK(N2521), 0, IF(ISNA(VLOOKUP(N2521, Crews!$A$2:$C$28, 2, 0)), N2521, VLOOKUP(N2521, Crews!$A$2:$C$28, 2, 0))))) * 400</f>
        <v>8065.104167</v>
      </c>
      <c r="K2521" s="1"/>
      <c r="L2521" s="1" t="s">
        <v>4879</v>
      </c>
      <c r="M2521" s="1" t="n">
        <v>0</v>
      </c>
      <c r="N2521" s="1" t="s">
        <v>1815</v>
      </c>
      <c r="O2521" s="1" t="n">
        <v>1</v>
      </c>
      <c r="P2521" s="1"/>
      <c r="Q2521" s="1" t="s">
        <v>1815</v>
      </c>
      <c r="R2521" s="1" t="s">
        <v>4725</v>
      </c>
      <c r="S2521" s="1" t="s">
        <v>1843</v>
      </c>
      <c r="T2521" s="1" t="s">
        <v>4726</v>
      </c>
    </row>
    <row r="2522" customFormat="false" ht="15" hidden="false" customHeight="true" outlineLevel="0" collapsed="false">
      <c r="A2522" s="1" t="s">
        <v>4903</v>
      </c>
      <c r="B2522" s="1" t="n">
        <v>1987</v>
      </c>
      <c r="C2522" s="1" t="n">
        <v>4</v>
      </c>
      <c r="D2522" s="1" t="s">
        <v>21</v>
      </c>
      <c r="E2522" s="1" t="s">
        <v>2039</v>
      </c>
      <c r="F2522" s="1" t="n">
        <v>282</v>
      </c>
      <c r="G2522" s="1" t="n">
        <v>88</v>
      </c>
      <c r="H2522" s="2" t="n">
        <v>125000</v>
      </c>
      <c r="I2522" s="2" t="n">
        <f aca="false">(((H2522 / 800) / IF(ISBLANK(R2522), 1000000, IF(ISNA(VLOOKUP(R2522, Mileages!$A$2:$C$34, 2, 0)), R2522, VLOOKUP(R2522, Mileages!$A$2:$C$34, 2, 0)))) + (F2522 * IF(ISBLANK(P2522), 1, P2522) * IF(ISBLANK(T2522), 0, IF(ISNA(VLOOKUP(T2522, 'Fuel Costs'!$A$2:$C$42, 2, 0)), T2522, VLOOKUP(T2522, 'Fuel Costs'!$A$2:$C$42, 2, 0))) / IF(ISBLANK(O2522), 1, O2522))) * 100</f>
        <v>84.6078125</v>
      </c>
      <c r="J2522" s="2" t="n">
        <f aca="false">((H2522 / 800) / (IF(ISBLANK(S2522), 100, IF(ISNA(VLOOKUP(S2522, Lives!$A$2:$C$35, 2, 0)), S2522, VLOOKUP(S2522, Lives!$A$2:$C$35, 2, 0))) * 12) + (IF(ISBLANK(Q2522), 0, IF(ISNA(VLOOKUP(Q2522, Wages!$A$2:$C$17, 2, 0)), Q2522, VLOOKUP(Q2522, Wages!$A$2:$C$17, 2, 0))) * IF(ISBLANK(N2522), 0, IF(ISNA(VLOOKUP(N2522, Crews!$A$2:$C$28, 2, 0)), N2522, VLOOKUP(N2522, Crews!$A$2:$C$28, 2, 0))))) * 400</f>
        <v>8065.104167</v>
      </c>
      <c r="K2522" s="1"/>
      <c r="L2522" s="1" t="s">
        <v>4879</v>
      </c>
      <c r="M2522" s="1" t="n">
        <v>1</v>
      </c>
      <c r="N2522" s="1" t="s">
        <v>1815</v>
      </c>
      <c r="O2522" s="1" t="n">
        <v>1</v>
      </c>
      <c r="P2522" s="1"/>
      <c r="Q2522" s="1" t="s">
        <v>1815</v>
      </c>
      <c r="R2522" s="1" t="s">
        <v>4725</v>
      </c>
      <c r="S2522" s="1" t="s">
        <v>1843</v>
      </c>
      <c r="T2522" s="1" t="s">
        <v>4726</v>
      </c>
    </row>
    <row r="2523" customFormat="false" ht="15" hidden="false" customHeight="true" outlineLevel="0" collapsed="false">
      <c r="A2523" s="1" t="s">
        <v>4904</v>
      </c>
      <c r="B2523" s="1" t="n">
        <v>1987</v>
      </c>
      <c r="C2523" s="1" t="n">
        <v>7</v>
      </c>
      <c r="D2523" s="1" t="s">
        <v>38</v>
      </c>
      <c r="E2523" s="1" t="s">
        <v>2039</v>
      </c>
      <c r="F2523" s="1" t="n">
        <v>212</v>
      </c>
      <c r="G2523" s="1" t="n">
        <v>120</v>
      </c>
      <c r="H2523" s="2" t="n">
        <v>1960000</v>
      </c>
      <c r="I2523" s="2" t="n">
        <f aca="false">(((H2523 / 800) / IF(ISBLANK(R2523), 1000000, IF(ISNA(VLOOKUP(R2523, Mileages!$A$2:$C$34, 2, 0)), R2523, VLOOKUP(R2523, Mileages!$A$2:$C$34, 2, 0)))) + (F2523 * IF(ISBLANK(P2523), 1, P2523) * IF(ISBLANK(T2523), 0, IF(ISNA(VLOOKUP(T2523, 'Fuel Costs'!$A$2:$C$42, 2, 0)), T2523, VLOOKUP(T2523, 'Fuel Costs'!$A$2:$C$42, 2, 0))) / IF(ISBLANK(O2523), 1, O2523))) * 100</f>
        <v>63.7225</v>
      </c>
      <c r="J2523" s="2" t="n">
        <f aca="false">((H2523 / 800) / (IF(ISBLANK(S2523), 100, IF(ISNA(VLOOKUP(S2523, Lives!$A$2:$C$35, 2, 0)), S2523, VLOOKUP(S2523, Lives!$A$2:$C$35, 2, 0))) * 12) + (IF(ISBLANK(Q2523), 0, IF(ISNA(VLOOKUP(Q2523, Wages!$A$2:$C$17, 2, 0)), Q2523, VLOOKUP(Q2523, Wages!$A$2:$C$17, 2, 0))) * IF(ISBLANK(N2523), 0, IF(ISNA(VLOOKUP(N2523, Crews!$A$2:$C$28, 2, 0)), N2523, VLOOKUP(N2523, Crews!$A$2:$C$28, 2, 0))))) * 400</f>
        <v>7020.833333</v>
      </c>
      <c r="K2523" s="1" t="s">
        <v>4819</v>
      </c>
      <c r="L2523" s="1" t="s">
        <v>4905</v>
      </c>
      <c r="M2523" s="1" t="n">
        <v>0</v>
      </c>
      <c r="N2523" s="1" t="s">
        <v>1512</v>
      </c>
      <c r="O2523" s="1" t="n">
        <v>1</v>
      </c>
      <c r="P2523" s="1"/>
      <c r="Q2523" s="1" t="s">
        <v>1512</v>
      </c>
      <c r="R2523" s="1" t="s">
        <v>4747</v>
      </c>
      <c r="S2523" s="1" t="s">
        <v>4747</v>
      </c>
      <c r="T2523" s="1" t="s">
        <v>4726</v>
      </c>
    </row>
    <row r="2524" customFormat="false" ht="15" hidden="false" customHeight="true" outlineLevel="0" collapsed="false">
      <c r="A2524" s="1" t="s">
        <v>4906</v>
      </c>
      <c r="B2524" s="1" t="n">
        <v>1987</v>
      </c>
      <c r="C2524" s="1" t="n">
        <v>7</v>
      </c>
      <c r="D2524" s="1" t="s">
        <v>38</v>
      </c>
      <c r="E2524" s="1" t="s">
        <v>2039</v>
      </c>
      <c r="F2524" s="1" t="n">
        <v>212</v>
      </c>
      <c r="G2524" s="1" t="n">
        <v>120</v>
      </c>
      <c r="H2524" s="2" t="n">
        <v>1990000</v>
      </c>
      <c r="I2524" s="2" t="n">
        <f aca="false">(((H2524 / 800) / IF(ISBLANK(R2524), 1000000, IF(ISNA(VLOOKUP(R2524, Mileages!$A$2:$C$34, 2, 0)), R2524, VLOOKUP(R2524, Mileages!$A$2:$C$34, 2, 0)))) + (F2524 * IF(ISBLANK(P2524), 1, P2524) * IF(ISBLANK(T2524), 0, IF(ISNA(VLOOKUP(T2524, 'Fuel Costs'!$A$2:$C$42, 2, 0)), T2524, VLOOKUP(T2524, 'Fuel Costs'!$A$2:$C$42, 2, 0))) / IF(ISBLANK(O2524), 1, O2524))) * 100</f>
        <v>63.724375</v>
      </c>
      <c r="J2524" s="2" t="n">
        <f aca="false">((H2524 / 800) / (IF(ISBLANK(S2524), 100, IF(ISNA(VLOOKUP(S2524, Lives!$A$2:$C$35, 2, 0)), S2524, VLOOKUP(S2524, Lives!$A$2:$C$35, 2, 0))) * 12) + (IF(ISBLANK(Q2524), 0, IF(ISNA(VLOOKUP(Q2524, Wages!$A$2:$C$17, 2, 0)), Q2524, VLOOKUP(Q2524, Wages!$A$2:$C$17, 2, 0))) * IF(ISBLANK(N2524), 0, IF(ISNA(VLOOKUP(N2524, Crews!$A$2:$C$28, 2, 0)), N2524, VLOOKUP(N2524, Crews!$A$2:$C$28, 2, 0))))) * 400</f>
        <v>19036.45833</v>
      </c>
      <c r="K2524" s="1" t="s">
        <v>4819</v>
      </c>
      <c r="L2524" s="1" t="s">
        <v>4905</v>
      </c>
      <c r="M2524" s="1" t="n">
        <v>1</v>
      </c>
      <c r="N2524" s="1" t="s">
        <v>1481</v>
      </c>
      <c r="O2524" s="1" t="n">
        <v>1</v>
      </c>
      <c r="P2524" s="1"/>
      <c r="Q2524" s="1" t="s">
        <v>1481</v>
      </c>
      <c r="R2524" s="1" t="s">
        <v>4747</v>
      </c>
      <c r="S2524" s="1" t="s">
        <v>4747</v>
      </c>
      <c r="T2524" s="1" t="s">
        <v>4726</v>
      </c>
    </row>
    <row r="2525" customFormat="false" ht="15" hidden="false" customHeight="true" outlineLevel="0" collapsed="false">
      <c r="A2525" s="1" t="s">
        <v>4907</v>
      </c>
      <c r="B2525" s="1" t="n">
        <v>1987</v>
      </c>
      <c r="C2525" s="1" t="n">
        <v>7</v>
      </c>
      <c r="D2525" s="1" t="s">
        <v>38</v>
      </c>
      <c r="E2525" s="1" t="s">
        <v>2039</v>
      </c>
      <c r="F2525" s="1" t="n">
        <v>212</v>
      </c>
      <c r="G2525" s="1" t="n">
        <v>120</v>
      </c>
      <c r="H2525" s="2" t="n">
        <v>1960000</v>
      </c>
      <c r="I2525" s="2" t="n">
        <f aca="false">(((H2525 / 800) / IF(ISBLANK(R2525), 1000000, IF(ISNA(VLOOKUP(R2525, Mileages!$A$2:$C$34, 2, 0)), R2525, VLOOKUP(R2525, Mileages!$A$2:$C$34, 2, 0)))) + (F2525 * IF(ISBLANK(P2525), 1, P2525) * IF(ISBLANK(T2525), 0, IF(ISNA(VLOOKUP(T2525, 'Fuel Costs'!$A$2:$C$42, 2, 0)), T2525, VLOOKUP(T2525, 'Fuel Costs'!$A$2:$C$42, 2, 0))) / IF(ISBLANK(O2525), 1, O2525))) * 100</f>
        <v>63.7225</v>
      </c>
      <c r="J2525" s="2" t="n">
        <f aca="false">((H2525 / 800) / (IF(ISBLANK(S2525), 100, IF(ISNA(VLOOKUP(S2525, Lives!$A$2:$C$35, 2, 0)), S2525, VLOOKUP(S2525, Lives!$A$2:$C$35, 2, 0))) * 12) + (IF(ISBLANK(Q2525), 0, IF(ISNA(VLOOKUP(Q2525, Wages!$A$2:$C$17, 2, 0)), Q2525, VLOOKUP(Q2525, Wages!$A$2:$C$17, 2, 0))) * IF(ISBLANK(N2525), 0, IF(ISNA(VLOOKUP(N2525, Crews!$A$2:$C$28, 2, 0)), N2525, VLOOKUP(N2525, Crews!$A$2:$C$28, 2, 0))))) * 400</f>
        <v>7020.833333</v>
      </c>
      <c r="K2525" s="1" t="s">
        <v>4823</v>
      </c>
      <c r="L2525" s="1" t="s">
        <v>4905</v>
      </c>
      <c r="M2525" s="1" t="n">
        <v>2</v>
      </c>
      <c r="N2525" s="1" t="s">
        <v>1512</v>
      </c>
      <c r="O2525" s="1" t="n">
        <v>1</v>
      </c>
      <c r="P2525" s="1"/>
      <c r="Q2525" s="1" t="s">
        <v>1512</v>
      </c>
      <c r="R2525" s="1" t="s">
        <v>4747</v>
      </c>
      <c r="S2525" s="1" t="s">
        <v>4747</v>
      </c>
      <c r="T2525" s="1" t="s">
        <v>4726</v>
      </c>
    </row>
    <row r="2526" customFormat="false" ht="15" hidden="false" customHeight="true" outlineLevel="0" collapsed="false">
      <c r="A2526" s="1" t="s">
        <v>4908</v>
      </c>
      <c r="B2526" s="1" t="n">
        <v>1987</v>
      </c>
      <c r="C2526" s="1" t="n">
        <v>7</v>
      </c>
      <c r="D2526" s="1" t="s">
        <v>38</v>
      </c>
      <c r="E2526" s="1" t="s">
        <v>1346</v>
      </c>
      <c r="F2526" s="1" t="n">
        <v>0</v>
      </c>
      <c r="G2526" s="1" t="n">
        <v>160</v>
      </c>
      <c r="H2526" s="2" t="n">
        <v>2400000</v>
      </c>
      <c r="I2526" s="2" t="n">
        <f aca="false">(((H2526 / 800) / IF(ISBLANK(R2526), 1000000, IF(ISNA(VLOOKUP(R2526, Mileages!$A$2:$C$34, 2, 0)), R2526, VLOOKUP(R2526, Mileages!$A$2:$C$34, 2, 0)))) + (F2526 * IF(ISBLANK(P2526), 1, P2526) * IF(ISBLANK(T2526), 0, IF(ISNA(VLOOKUP(T2526, 'Fuel Costs'!$A$2:$C$42, 2, 0)), T2526, VLOOKUP(T2526, 'Fuel Costs'!$A$2:$C$42, 2, 0))) / IF(ISBLANK(O2526), 1, O2526))) * 100</f>
        <v>0.125</v>
      </c>
      <c r="J2526" s="2" t="n">
        <f aca="false">((H2526 / 800) / (IF(ISBLANK(S2526), 100, IF(ISNA(VLOOKUP(S2526, Lives!$A$2:$C$35, 2, 0)), S2526, VLOOKUP(S2526, Lives!$A$2:$C$35, 2, 0))) * 12) + (IF(ISBLANK(Q2526), 0, IF(ISNA(VLOOKUP(Q2526, Wages!$A$2:$C$17, 2, 0)), Q2526, VLOOKUP(Q2526, Wages!$A$2:$C$17, 2, 0))) * IF(ISBLANK(N2526), 0, IF(ISNA(VLOOKUP(N2526, Crews!$A$2:$C$28, 2, 0)), N2526, VLOOKUP(N2526, Crews!$A$2:$C$28, 2, 0))))) * 400</f>
        <v>5000</v>
      </c>
      <c r="K2526" s="1"/>
      <c r="L2526" s="1" t="s">
        <v>4909</v>
      </c>
      <c r="M2526" s="1" t="n">
        <v>0</v>
      </c>
      <c r="N2526" s="1"/>
      <c r="O2526" s="1"/>
      <c r="P2526" s="1"/>
      <c r="Q2526" s="1"/>
      <c r="R2526" s="1" t="s">
        <v>4419</v>
      </c>
      <c r="S2526" s="1" t="s">
        <v>4470</v>
      </c>
      <c r="T2526" s="1"/>
    </row>
    <row r="2527" customFormat="false" ht="15" hidden="false" customHeight="true" outlineLevel="0" collapsed="false">
      <c r="A2527" s="1" t="s">
        <v>4910</v>
      </c>
      <c r="B2527" s="1" t="n">
        <v>1987</v>
      </c>
      <c r="C2527" s="1" t="n">
        <v>7</v>
      </c>
      <c r="D2527" s="1" t="s">
        <v>38</v>
      </c>
      <c r="E2527" s="1" t="s">
        <v>1346</v>
      </c>
      <c r="F2527" s="1" t="n">
        <v>0</v>
      </c>
      <c r="G2527" s="1" t="n">
        <v>160</v>
      </c>
      <c r="H2527" s="2" t="n">
        <v>2400000</v>
      </c>
      <c r="I2527" s="2" t="n">
        <f aca="false">(((H2527 / 800) / IF(ISBLANK(R2527), 1000000, IF(ISNA(VLOOKUP(R2527, Mileages!$A$2:$C$34, 2, 0)), R2527, VLOOKUP(R2527, Mileages!$A$2:$C$34, 2, 0)))) + (F2527 * IF(ISBLANK(P2527), 1, P2527) * IF(ISBLANK(T2527), 0, IF(ISNA(VLOOKUP(T2527, 'Fuel Costs'!$A$2:$C$42, 2, 0)), T2527, VLOOKUP(T2527, 'Fuel Costs'!$A$2:$C$42, 2, 0))) / IF(ISBLANK(O2527), 1, O2527))) * 100</f>
        <v>0.125</v>
      </c>
      <c r="J2527" s="2" t="n">
        <f aca="false">((H2527 / 800) / (IF(ISBLANK(S2527), 100, IF(ISNA(VLOOKUP(S2527, Lives!$A$2:$C$35, 2, 0)), S2527, VLOOKUP(S2527, Lives!$A$2:$C$35, 2, 0))) * 12) + (IF(ISBLANK(Q2527), 0, IF(ISNA(VLOOKUP(Q2527, Wages!$A$2:$C$17, 2, 0)), Q2527, VLOOKUP(Q2527, Wages!$A$2:$C$17, 2, 0))) * IF(ISBLANK(N2527), 0, IF(ISNA(VLOOKUP(N2527, Crews!$A$2:$C$28, 2, 0)), N2527, VLOOKUP(N2527, Crews!$A$2:$C$28, 2, 0))))) * 400</f>
        <v>5000</v>
      </c>
      <c r="K2527" s="1"/>
      <c r="L2527" s="1" t="s">
        <v>4909</v>
      </c>
      <c r="M2527" s="1" t="n">
        <v>1</v>
      </c>
      <c r="N2527" s="1"/>
      <c r="O2527" s="1"/>
      <c r="P2527" s="1"/>
      <c r="Q2527" s="1"/>
      <c r="R2527" s="1" t="s">
        <v>4419</v>
      </c>
      <c r="S2527" s="1" t="s">
        <v>4470</v>
      </c>
      <c r="T2527" s="1"/>
    </row>
    <row r="2528" customFormat="false" ht="15" hidden="false" customHeight="true" outlineLevel="0" collapsed="false">
      <c r="A2528" s="1" t="s">
        <v>4911</v>
      </c>
      <c r="B2528" s="1" t="n">
        <v>1987</v>
      </c>
      <c r="C2528" s="1" t="n">
        <v>7</v>
      </c>
      <c r="D2528" s="1" t="s">
        <v>38</v>
      </c>
      <c r="E2528" s="1" t="s">
        <v>1346</v>
      </c>
      <c r="F2528" s="1" t="n">
        <v>0</v>
      </c>
      <c r="G2528" s="1" t="n">
        <v>160</v>
      </c>
      <c r="H2528" s="2" t="n">
        <v>2400000</v>
      </c>
      <c r="I2528" s="2" t="n">
        <f aca="false">(((H2528 / 800) / IF(ISBLANK(R2528), 1000000, IF(ISNA(VLOOKUP(R2528, Mileages!$A$2:$C$34, 2, 0)), R2528, VLOOKUP(R2528, Mileages!$A$2:$C$34, 2, 0)))) + (F2528 * IF(ISBLANK(P2528), 1, P2528) * IF(ISBLANK(T2528), 0, IF(ISNA(VLOOKUP(T2528, 'Fuel Costs'!$A$2:$C$42, 2, 0)), T2528, VLOOKUP(T2528, 'Fuel Costs'!$A$2:$C$42, 2, 0))) / IF(ISBLANK(O2528), 1, O2528))) * 100</f>
        <v>0.125</v>
      </c>
      <c r="J2528" s="2" t="n">
        <f aca="false">((H2528 / 800) / (IF(ISBLANK(S2528), 100, IF(ISNA(VLOOKUP(S2528, Lives!$A$2:$C$35, 2, 0)), S2528, VLOOKUP(S2528, Lives!$A$2:$C$35, 2, 0))) * 12) + (IF(ISBLANK(Q2528), 0, IF(ISNA(VLOOKUP(Q2528, Wages!$A$2:$C$17, 2, 0)), Q2528, VLOOKUP(Q2528, Wages!$A$2:$C$17, 2, 0))) * IF(ISBLANK(N2528), 0, IF(ISNA(VLOOKUP(N2528, Crews!$A$2:$C$28, 2, 0)), N2528, VLOOKUP(N2528, Crews!$A$2:$C$28, 2, 0))))) * 400</f>
        <v>5000</v>
      </c>
      <c r="K2528" s="1"/>
      <c r="L2528" s="1" t="s">
        <v>4909</v>
      </c>
      <c r="M2528" s="1" t="n">
        <v>2</v>
      </c>
      <c r="N2528" s="1"/>
      <c r="O2528" s="1"/>
      <c r="P2528" s="1"/>
      <c r="Q2528" s="1"/>
      <c r="R2528" s="1" t="s">
        <v>4419</v>
      </c>
      <c r="S2528" s="1" t="s">
        <v>4470</v>
      </c>
      <c r="T2528" s="1"/>
    </row>
    <row r="2529" customFormat="false" ht="15" hidden="false" customHeight="true" outlineLevel="0" collapsed="false">
      <c r="A2529" s="1" t="s">
        <v>4912</v>
      </c>
      <c r="B2529" s="1" t="n">
        <v>1987</v>
      </c>
      <c r="C2529" s="1" t="n">
        <v>7</v>
      </c>
      <c r="D2529" s="1" t="s">
        <v>38</v>
      </c>
      <c r="E2529" s="1" t="s">
        <v>1346</v>
      </c>
      <c r="F2529" s="1" t="n">
        <v>990</v>
      </c>
      <c r="G2529" s="1" t="n">
        <v>160</v>
      </c>
      <c r="H2529" s="2" t="n">
        <v>2500000</v>
      </c>
      <c r="I2529" s="2" t="n">
        <f aca="false">(((H2529 / 800) / IF(ISBLANK(R2529), 1000000, IF(ISNA(VLOOKUP(R2529, Mileages!$A$2:$C$34, 2, 0)), R2529, VLOOKUP(R2529, Mileages!$A$2:$C$34, 2, 0)))) + (F2529 * IF(ISBLANK(P2529), 1, P2529) * IF(ISBLANK(T2529), 0, IF(ISNA(VLOOKUP(T2529, 'Fuel Costs'!$A$2:$C$42, 2, 0)), T2529, VLOOKUP(T2529, 'Fuel Costs'!$A$2:$C$42, 2, 0))) / IF(ISBLANK(O2529), 1, O2529))) * 100</f>
        <v>99.15625</v>
      </c>
      <c r="J2529" s="2" t="n">
        <f aca="false">((H2529 / 800) / (IF(ISBLANK(S2529), 100, IF(ISNA(VLOOKUP(S2529, Lives!$A$2:$C$35, 2, 0)), S2529, VLOOKUP(S2529, Lives!$A$2:$C$35, 2, 0))) * 12) + (IF(ISBLANK(Q2529), 0, IF(ISNA(VLOOKUP(Q2529, Wages!$A$2:$C$17, 2, 0)), Q2529, VLOOKUP(Q2529, Wages!$A$2:$C$17, 2, 0))) * IF(ISBLANK(N2529), 0, IF(ISNA(VLOOKUP(N2529, Crews!$A$2:$C$28, 2, 0)), N2529, VLOOKUP(N2529, Crews!$A$2:$C$28, 2, 0))))) * 400</f>
        <v>11302.08333</v>
      </c>
      <c r="K2529" s="1"/>
      <c r="L2529" s="1" t="s">
        <v>4909</v>
      </c>
      <c r="M2529" s="1" t="n">
        <v>3</v>
      </c>
      <c r="N2529" s="1" t="s">
        <v>1488</v>
      </c>
      <c r="O2529" s="1" t="n">
        <v>1</v>
      </c>
      <c r="P2529" s="1"/>
      <c r="Q2529" s="1" t="str">
        <f aca="false">IF(ISBLANK('Pak128 Britain In'!$N2529),,'Pak128 Britain In'!$N2529)</f>
        <v>ElectricDriverRail</v>
      </c>
      <c r="R2529" s="1" t="s">
        <v>4696</v>
      </c>
      <c r="S2529" s="1" t="s">
        <v>4696</v>
      </c>
      <c r="T2529" s="1" t="s">
        <v>4697</v>
      </c>
    </row>
    <row r="2530" customFormat="false" ht="15" hidden="false" customHeight="true" outlineLevel="0" collapsed="false">
      <c r="A2530" s="1" t="s">
        <v>4913</v>
      </c>
      <c r="B2530" s="1" t="n">
        <v>1987</v>
      </c>
      <c r="C2530" s="1" t="n">
        <v>7</v>
      </c>
      <c r="D2530" s="1" t="s">
        <v>38</v>
      </c>
      <c r="E2530" s="1" t="s">
        <v>1346</v>
      </c>
      <c r="F2530" s="1" t="n">
        <v>0</v>
      </c>
      <c r="G2530" s="1" t="n">
        <v>160</v>
      </c>
      <c r="H2530" s="2" t="n">
        <v>2400000</v>
      </c>
      <c r="I2530" s="2" t="n">
        <f aca="false">(((H2530 / 800) / IF(ISBLANK(R2530), 1000000, IF(ISNA(VLOOKUP(R2530, Mileages!$A$2:$C$34, 2, 0)), R2530, VLOOKUP(R2530, Mileages!$A$2:$C$34, 2, 0)))) + (F2530 * IF(ISBLANK(P2530), 1, P2530) * IF(ISBLANK(T2530), 0, IF(ISNA(VLOOKUP(T2530, 'Fuel Costs'!$A$2:$C$42, 2, 0)), T2530, VLOOKUP(T2530, 'Fuel Costs'!$A$2:$C$42, 2, 0))) / IF(ISBLANK(O2530), 1, O2530))) * 100</f>
        <v>0.125</v>
      </c>
      <c r="J2530" s="2" t="n">
        <f aca="false">((H2530 / 800) / (IF(ISBLANK(S2530), 100, IF(ISNA(VLOOKUP(S2530, Lives!$A$2:$C$35, 2, 0)), S2530, VLOOKUP(S2530, Lives!$A$2:$C$35, 2, 0))) * 12) + (IF(ISBLANK(Q2530), 0, IF(ISNA(VLOOKUP(Q2530, Wages!$A$2:$C$17, 2, 0)), Q2530, VLOOKUP(Q2530, Wages!$A$2:$C$17, 2, 0))) * IF(ISBLANK(N2530), 0, IF(ISNA(VLOOKUP(N2530, Crews!$A$2:$C$28, 2, 0)), N2530, VLOOKUP(N2530, Crews!$A$2:$C$28, 2, 0))))) * 400</f>
        <v>5000</v>
      </c>
      <c r="K2530" s="1"/>
      <c r="L2530" s="1" t="s">
        <v>4909</v>
      </c>
      <c r="M2530" s="1" t="n">
        <v>4</v>
      </c>
      <c r="N2530" s="1"/>
      <c r="O2530" s="1"/>
      <c r="P2530" s="1"/>
      <c r="Q2530" s="1"/>
      <c r="R2530" s="1" t="s">
        <v>4419</v>
      </c>
      <c r="S2530" s="1" t="s">
        <v>4470</v>
      </c>
      <c r="T2530" s="1"/>
    </row>
    <row r="2531" customFormat="false" ht="15" hidden="false" customHeight="true" outlineLevel="0" collapsed="false">
      <c r="A2531" s="1" t="s">
        <v>4914</v>
      </c>
      <c r="B2531" s="1" t="n">
        <v>1987</v>
      </c>
      <c r="C2531" s="1" t="n">
        <v>10</v>
      </c>
      <c r="D2531" s="1" t="s">
        <v>2225</v>
      </c>
      <c r="E2531" s="1" t="s">
        <v>3660</v>
      </c>
      <c r="F2531" s="1" t="n">
        <v>3728</v>
      </c>
      <c r="G2531" s="1" t="n">
        <v>454</v>
      </c>
      <c r="H2531" s="2" t="n">
        <v>10400000</v>
      </c>
      <c r="I2531" s="2" t="n">
        <f aca="false">(((H2531 / 800) / IF(ISBLANK(R2531), 1000000, IF(ISNA(VLOOKUP(R2531, Mileages!$A$2:$C$34, 2, 0)), R2531, VLOOKUP(R2531, Mileages!$A$2:$C$34, 2, 0)))) + (F2531 * IF(ISBLANK(P2531), 1, P2531) * IF(ISBLANK(T2531), 0, IF(ISNA(VLOOKUP(T2531, 'Fuel Costs'!$A$2:$C$42, 2, 0)), T2531, VLOOKUP(T2531, 'Fuel Costs'!$A$2:$C$42, 2, 0))) / IF(ISBLANK(O2531), 1, O2531))) * 100</f>
        <v>14.95533333</v>
      </c>
      <c r="J2531" s="2" t="n">
        <f aca="false">((H2531 / 800) / (IF(ISBLANK(S2531), 100, IF(ISNA(VLOOKUP(S2531, Lives!$A$2:$C$35, 2, 0)), S2531, VLOOKUP(S2531, Lives!$A$2:$C$35, 2, 0))) * 12) + (IF(ISBLANK(Q2531), 0, IF(ISNA(VLOOKUP(Q2531, Wages!$A$2:$C$17, 2, 0)), Q2531, VLOOKUP(Q2531, Wages!$A$2:$C$17, 2, 0))) * IF(ISBLANK(N2531), 0, IF(ISNA(VLOOKUP(N2531, Crews!$A$2:$C$28, 2, 0)), N2531, VLOOKUP(N2531, Crews!$A$2:$C$28, 2, 0))))) * 400</f>
        <v>57222.22222</v>
      </c>
      <c r="K2531" s="3" t="s">
        <v>4915</v>
      </c>
      <c r="L2531" s="1" t="s">
        <v>4916</v>
      </c>
      <c r="M2531" s="1" t="n">
        <v>0</v>
      </c>
      <c r="N2531" s="1" t="s">
        <v>2342</v>
      </c>
      <c r="O2531" s="1"/>
      <c r="P2531" s="1" t="n">
        <v>0.02</v>
      </c>
      <c r="Q2531" s="1" t="s">
        <v>2229</v>
      </c>
      <c r="R2531" s="1" t="s">
        <v>4413</v>
      </c>
      <c r="S2531" s="1" t="s">
        <v>2229</v>
      </c>
      <c r="T2531" s="1" t="s">
        <v>4773</v>
      </c>
    </row>
    <row r="2532" customFormat="false" ht="15" hidden="false" customHeight="true" outlineLevel="0" collapsed="false">
      <c r="A2532" s="1" t="s">
        <v>4917</v>
      </c>
      <c r="B2532" s="1" t="n">
        <v>1987</v>
      </c>
      <c r="C2532" s="1" t="n">
        <v>10</v>
      </c>
      <c r="D2532" s="1" t="s">
        <v>2225</v>
      </c>
      <c r="E2532" s="1" t="s">
        <v>3660</v>
      </c>
      <c r="F2532" s="1" t="n">
        <v>3728</v>
      </c>
      <c r="G2532" s="1" t="n">
        <v>454</v>
      </c>
      <c r="H2532" s="2" t="n">
        <v>10400000</v>
      </c>
      <c r="I2532" s="2" t="n">
        <f aca="false">(((H2532 / 800) / IF(ISBLANK(R2532), 1000000, IF(ISNA(VLOOKUP(R2532, Mileages!$A$2:$C$34, 2, 0)), R2532, VLOOKUP(R2532, Mileages!$A$2:$C$34, 2, 0)))) + (F2532 * IF(ISBLANK(P2532), 1, P2532) * IF(ISBLANK(T2532), 0, IF(ISNA(VLOOKUP(T2532, 'Fuel Costs'!$A$2:$C$42, 2, 0)), T2532, VLOOKUP(T2532, 'Fuel Costs'!$A$2:$C$42, 2, 0))) / IF(ISBLANK(O2532), 1, O2532))) * 100</f>
        <v>14.95533333</v>
      </c>
      <c r="J2532" s="2" t="n">
        <f aca="false">((H2532 / 800) / (IF(ISBLANK(S2532), 100, IF(ISNA(VLOOKUP(S2532, Lives!$A$2:$C$35, 2, 0)), S2532, VLOOKUP(S2532, Lives!$A$2:$C$35, 2, 0))) * 12) + (IF(ISBLANK(Q2532), 0, IF(ISNA(VLOOKUP(Q2532, Wages!$A$2:$C$17, 2, 0)), Q2532, VLOOKUP(Q2532, Wages!$A$2:$C$17, 2, 0))) * IF(ISBLANK(N2532), 0, IF(ISNA(VLOOKUP(N2532, Crews!$A$2:$C$28, 2, 0)), N2532, VLOOKUP(N2532, Crews!$A$2:$C$28, 2, 0))))) * 400</f>
        <v>57222.22222</v>
      </c>
      <c r="K2532" s="3" t="s">
        <v>4918</v>
      </c>
      <c r="L2532" s="1" t="s">
        <v>4916</v>
      </c>
      <c r="M2532" s="1" t="n">
        <v>1</v>
      </c>
      <c r="N2532" s="1" t="s">
        <v>2342</v>
      </c>
      <c r="O2532" s="1"/>
      <c r="P2532" s="1" t="n">
        <v>0.02</v>
      </c>
      <c r="Q2532" s="1" t="s">
        <v>2229</v>
      </c>
      <c r="R2532" s="1" t="s">
        <v>4413</v>
      </c>
      <c r="S2532" s="1" t="s">
        <v>2229</v>
      </c>
      <c r="T2532" s="1" t="s">
        <v>4773</v>
      </c>
    </row>
    <row r="2533" customFormat="false" ht="15" hidden="false" customHeight="true" outlineLevel="0" collapsed="false">
      <c r="A2533" s="1" t="s">
        <v>4919</v>
      </c>
      <c r="B2533" s="1" t="n">
        <v>1987</v>
      </c>
      <c r="C2533" s="1" t="n">
        <v>11</v>
      </c>
      <c r="D2533" s="1" t="s">
        <v>21</v>
      </c>
      <c r="E2533" s="1" t="s">
        <v>2039</v>
      </c>
      <c r="F2533" s="1" t="n">
        <v>200</v>
      </c>
      <c r="G2533" s="1" t="n">
        <v>70</v>
      </c>
      <c r="H2533" s="2" t="n">
        <v>3875000</v>
      </c>
      <c r="I2533" s="2" t="n">
        <f aca="false">(((H2533 / 800) / IF(ISBLANK(R2533), 1000000, IF(ISNA(VLOOKUP(R2533, Mileages!$A$2:$C$34, 2, 0)), R2533, VLOOKUP(R2533, Mileages!$A$2:$C$34, 2, 0)))) + (F2533 * IF(ISBLANK(P2533), 1, P2533) * IF(ISBLANK(T2533), 0, IF(ISNA(VLOOKUP(T2533, 'Fuel Costs'!$A$2:$C$42, 2, 0)), T2533, VLOOKUP(T2533, 'Fuel Costs'!$A$2:$C$42, 2, 0))) / IF(ISBLANK(O2533), 1, O2533))) * 100</f>
        <v>60.2421875</v>
      </c>
      <c r="J2533" s="2" t="n">
        <f aca="false">((H2533 / 800) / (IF(ISBLANK(S2533), 100, IF(ISNA(VLOOKUP(S2533, Lives!$A$2:$C$35, 2, 0)), S2533, VLOOKUP(S2533, Lives!$A$2:$C$35, 2, 0))) * 12) + (IF(ISBLANK(Q2533), 0, IF(ISNA(VLOOKUP(Q2533, Wages!$A$2:$C$17, 2, 0)), Q2533, VLOOKUP(Q2533, Wages!$A$2:$C$17, 2, 0))) * IF(ISBLANK(N2533), 0, IF(ISNA(VLOOKUP(N2533, Crews!$A$2:$C$28, 2, 0)), N2533, VLOOKUP(N2533, Crews!$A$2:$C$28, 2, 0))))) * 400</f>
        <v>10018.22917</v>
      </c>
      <c r="K2533" s="3" t="s">
        <v>4920</v>
      </c>
      <c r="L2533" s="1" t="s">
        <v>4921</v>
      </c>
      <c r="M2533" s="1" t="n">
        <v>0</v>
      </c>
      <c r="N2533" s="1" t="s">
        <v>1815</v>
      </c>
      <c r="O2533" s="1" t="n">
        <v>1</v>
      </c>
      <c r="P2533" s="1"/>
      <c r="Q2533" s="1" t="s">
        <v>1815</v>
      </c>
      <c r="R2533" s="1" t="s">
        <v>4725</v>
      </c>
      <c r="S2533" s="1" t="s">
        <v>1843</v>
      </c>
      <c r="T2533" s="1" t="s">
        <v>4726</v>
      </c>
    </row>
    <row r="2534" customFormat="false" ht="15" hidden="false" customHeight="true" outlineLevel="0" collapsed="false">
      <c r="A2534" s="1" t="s">
        <v>4922</v>
      </c>
      <c r="B2534" s="1" t="n">
        <v>1987</v>
      </c>
      <c r="C2534" s="1" t="n">
        <v>11</v>
      </c>
      <c r="D2534" s="1" t="s">
        <v>21</v>
      </c>
      <c r="E2534" s="1" t="s">
        <v>2039</v>
      </c>
      <c r="F2534" s="1" t="n">
        <v>200</v>
      </c>
      <c r="G2534" s="1" t="n">
        <v>70</v>
      </c>
      <c r="H2534" s="2" t="n">
        <v>3800000</v>
      </c>
      <c r="I2534" s="2" t="n">
        <f aca="false">(((H2534 / 800) / IF(ISBLANK(R2534), 1000000, IF(ISNA(VLOOKUP(R2534, Mileages!$A$2:$C$34, 2, 0)), R2534, VLOOKUP(R2534, Mileages!$A$2:$C$34, 2, 0)))) + (F2534 * IF(ISBLANK(P2534), 1, P2534) * IF(ISBLANK(T2534), 0, IF(ISNA(VLOOKUP(T2534, 'Fuel Costs'!$A$2:$C$42, 2, 0)), T2534, VLOOKUP(T2534, 'Fuel Costs'!$A$2:$C$42, 2, 0))) / IF(ISBLANK(O2534), 1, O2534))) * 100</f>
        <v>60.31666667</v>
      </c>
      <c r="J2534" s="2" t="n">
        <f aca="false">((H2534 / 800) / (IF(ISBLANK(S2534), 100, IF(ISNA(VLOOKUP(S2534, Lives!$A$2:$C$35, 2, 0)), S2534, VLOOKUP(S2534, Lives!$A$2:$C$35, 2, 0))) * 12) + (IF(ISBLANK(Q2534), 0, IF(ISNA(VLOOKUP(Q2534, Wages!$A$2:$C$17, 2, 0)), Q2534, VLOOKUP(Q2534, Wages!$A$2:$C$17, 2, 0))) * IF(ISBLANK(N2534), 0, IF(ISNA(VLOOKUP(N2534, Crews!$A$2:$C$28, 2, 0)), N2534, VLOOKUP(N2534, Crews!$A$2:$C$28, 2, 0))))) * 400</f>
        <v>9958.333333</v>
      </c>
      <c r="K2534" s="1" t="s">
        <v>4923</v>
      </c>
      <c r="L2534" s="1" t="s">
        <v>4921</v>
      </c>
      <c r="M2534" s="1" t="n">
        <v>1</v>
      </c>
      <c r="N2534" s="1" t="s">
        <v>3064</v>
      </c>
      <c r="O2534" s="1" t="n">
        <v>1</v>
      </c>
      <c r="P2534" s="1"/>
      <c r="Q2534" s="1" t="s">
        <v>3064</v>
      </c>
      <c r="R2534" s="1" t="s">
        <v>4730</v>
      </c>
      <c r="S2534" s="1" t="s">
        <v>3064</v>
      </c>
      <c r="T2534" s="1" t="s">
        <v>4726</v>
      </c>
    </row>
    <row r="2535" customFormat="false" ht="15" hidden="false" customHeight="true" outlineLevel="0" collapsed="false">
      <c r="A2535" s="1" t="s">
        <v>4924</v>
      </c>
      <c r="B2535" s="1" t="n">
        <v>1987</v>
      </c>
      <c r="C2535" s="1" t="n">
        <v>12</v>
      </c>
      <c r="D2535" s="1" t="s">
        <v>2225</v>
      </c>
      <c r="E2535" s="1" t="s">
        <v>3660</v>
      </c>
      <c r="F2535" s="1" t="n">
        <v>3132</v>
      </c>
      <c r="G2535" s="1" t="n">
        <v>450</v>
      </c>
      <c r="H2535" s="2" t="n">
        <v>10000000</v>
      </c>
      <c r="I2535" s="2" t="n">
        <f aca="false">(((H2535 / 800) / IF(ISBLANK(R2535), 1000000, IF(ISNA(VLOOKUP(R2535, Mileages!$A$2:$C$34, 2, 0)), R2535, VLOOKUP(R2535, Mileages!$A$2:$C$34, 2, 0)))) + (F2535 * IF(ISBLANK(P2535), 1, P2535) * IF(ISBLANK(T2535), 0, IF(ISNA(VLOOKUP(T2535, 'Fuel Costs'!$A$2:$C$42, 2, 0)), T2535, VLOOKUP(T2535, 'Fuel Costs'!$A$2:$C$42, 2, 0))) / IF(ISBLANK(O2535), 1, O2535))) * 100</f>
        <v>12.56966667</v>
      </c>
      <c r="J2535" s="2" t="n">
        <f aca="false">((H2535 / 800) / (IF(ISBLANK(S2535), 100, IF(ISNA(VLOOKUP(S2535, Lives!$A$2:$C$35, 2, 0)), S2535, VLOOKUP(S2535, Lives!$A$2:$C$35, 2, 0))) * 12) + (IF(ISBLANK(Q2535), 0, IF(ISNA(VLOOKUP(Q2535, Wages!$A$2:$C$17, 2, 0)), Q2535, VLOOKUP(Q2535, Wages!$A$2:$C$17, 2, 0))) * IF(ISBLANK(N2535), 0, IF(ISNA(VLOOKUP(N2535, Crews!$A$2:$C$28, 2, 0)), N2535, VLOOKUP(N2535, Crews!$A$2:$C$28, 2, 0))))) * 400</f>
        <v>56944.44444</v>
      </c>
      <c r="K2535" s="3" t="s">
        <v>4925</v>
      </c>
      <c r="L2535" s="1" t="s">
        <v>4926</v>
      </c>
      <c r="M2535" s="1" t="n">
        <v>0</v>
      </c>
      <c r="N2535" s="1" t="s">
        <v>2342</v>
      </c>
      <c r="O2535" s="1"/>
      <c r="P2535" s="1" t="n">
        <v>0.02</v>
      </c>
      <c r="Q2535" s="1" t="s">
        <v>2229</v>
      </c>
      <c r="R2535" s="1" t="s">
        <v>4413</v>
      </c>
      <c r="S2535" s="1" t="s">
        <v>2229</v>
      </c>
      <c r="T2535" s="1" t="s">
        <v>4773</v>
      </c>
    </row>
    <row r="2536" customFormat="false" ht="15" hidden="false" customHeight="true" outlineLevel="0" collapsed="false">
      <c r="A2536" s="1" t="s">
        <v>4927</v>
      </c>
      <c r="B2536" s="1" t="n">
        <v>1988</v>
      </c>
      <c r="C2536" s="1" t="n">
        <v>1</v>
      </c>
      <c r="D2536" s="1" t="s">
        <v>38</v>
      </c>
      <c r="E2536" s="1" t="s">
        <v>1346</v>
      </c>
      <c r="F2536" s="1" t="n">
        <v>4700</v>
      </c>
      <c r="G2536" s="1" t="n">
        <v>225</v>
      </c>
      <c r="H2536" s="2" t="n">
        <v>14800000</v>
      </c>
      <c r="I2536" s="2" t="n">
        <f aca="false">(((H2536 / 800) / IF(ISBLANK(R2536), 1000000, IF(ISNA(VLOOKUP(R2536, Mileages!$A$2:$C$34, 2, 0)), R2536, VLOOKUP(R2536, Mileages!$A$2:$C$34, 2, 0)))) + (F2536 * IF(ISBLANK(P2536), 1, P2536) * IF(ISBLANK(T2536), 0, IF(ISNA(VLOOKUP(T2536, 'Fuel Costs'!$A$2:$C$42, 2, 0)), T2536, VLOOKUP(T2536, 'Fuel Costs'!$A$2:$C$42, 2, 0))) / IF(ISBLANK(O2536), 1, O2536))) * 100</f>
        <v>470.925</v>
      </c>
      <c r="J2536" s="2" t="n">
        <f aca="false">((H2536 / 800) / (IF(ISBLANK(S2536), 100, IF(ISNA(VLOOKUP(S2536, Lives!$A$2:$C$35, 2, 0)), S2536, VLOOKUP(S2536, Lives!$A$2:$C$35, 2, 0))) * 12) + (IF(ISBLANK(Q2536), 0, IF(ISNA(VLOOKUP(Q2536, Wages!$A$2:$C$17, 2, 0)), Q2536, VLOOKUP(Q2536, Wages!$A$2:$C$17, 2, 0))) * IF(ISBLANK(N2536), 0, IF(ISNA(VLOOKUP(N2536, Crews!$A$2:$C$28, 2, 0)), N2536, VLOOKUP(N2536, Crews!$A$2:$C$28, 2, 0))))) * 400</f>
        <v>18333.33333</v>
      </c>
      <c r="K2536" s="1"/>
      <c r="L2536" s="1" t="s">
        <v>4928</v>
      </c>
      <c r="M2536" s="1" t="n">
        <v>0</v>
      </c>
      <c r="N2536" s="1" t="s">
        <v>1512</v>
      </c>
      <c r="O2536" s="1" t="n">
        <v>1</v>
      </c>
      <c r="P2536" s="1"/>
      <c r="Q2536" s="1" t="str">
        <f aca="false">IF(ISBLANK('Pak128 Britain In'!$N2536),,'Pak128 Britain In'!$N2536)</f>
        <v>ElectricMultipleUnit</v>
      </c>
      <c r="R2536" s="1" t="s">
        <v>4696</v>
      </c>
      <c r="S2536" s="1" t="s">
        <v>1350</v>
      </c>
      <c r="T2536" s="1" t="s">
        <v>4697</v>
      </c>
    </row>
    <row r="2537" customFormat="false" ht="15" hidden="false" customHeight="true" outlineLevel="0" collapsed="false">
      <c r="A2537" s="1" t="s">
        <v>4929</v>
      </c>
      <c r="B2537" s="1" t="n">
        <v>1988</v>
      </c>
      <c r="C2537" s="1" t="n">
        <v>1</v>
      </c>
      <c r="D2537" s="1" t="s">
        <v>38</v>
      </c>
      <c r="E2537" s="1"/>
      <c r="F2537" s="1"/>
      <c r="G2537" s="1" t="n">
        <v>175</v>
      </c>
      <c r="H2537" s="2" t="n">
        <v>641000</v>
      </c>
      <c r="I2537" s="2" t="n">
        <f aca="false">(((H2537 / 800) / IF(ISBLANK(R2537), 1000000, IF(ISNA(VLOOKUP(R2537, Mileages!$A$2:$C$34, 2, 0)), R2537, VLOOKUP(R2537, Mileages!$A$2:$C$34, 2, 0)))) + (F2537 * IF(ISBLANK(P2537), 1, P2537) * IF(ISBLANK(T2537), 0, IF(ISNA(VLOOKUP(T2537, 'Fuel Costs'!$A$2:$C$42, 2, 0)), T2537, VLOOKUP(T2537, 'Fuel Costs'!$A$2:$C$42, 2, 0))) / IF(ISBLANK(O2537), 1, O2537))) * 100</f>
        <v>0.03338541667</v>
      </c>
      <c r="J2537" s="2" t="n">
        <f aca="false">((H2537 / 800) / (IF(ISBLANK(S2537), 100, IF(ISNA(VLOOKUP(S2537, Lives!$A$2:$C$35, 2, 0)), S2537, VLOOKUP(S2537, Lives!$A$2:$C$35, 2, 0))) * 12) + (IF(ISBLANK(Q2537), 0, IF(ISNA(VLOOKUP(Q2537, Wages!$A$2:$C$17, 2, 0)), Q2537, VLOOKUP(Q2537, Wages!$A$2:$C$17, 2, 0))) * IF(ISBLANK(N2537), 0, IF(ISNA(VLOOKUP(N2537, Crews!$A$2:$C$28, 2, 0)), N2537, VLOOKUP(N2537, Crews!$A$2:$C$28, 2, 0))))) * 400</f>
        <v>1335.416667</v>
      </c>
      <c r="K2537" s="1"/>
      <c r="L2537" s="1" t="s">
        <v>4523</v>
      </c>
      <c r="M2537" s="1" t="n">
        <v>4</v>
      </c>
      <c r="N2537" s="1"/>
      <c r="O2537" s="1"/>
      <c r="P2537" s="1"/>
      <c r="Q2537" s="1"/>
      <c r="R2537" s="1" t="s">
        <v>4419</v>
      </c>
      <c r="S2537" s="1" t="s">
        <v>4470</v>
      </c>
      <c r="T2537" s="1"/>
    </row>
    <row r="2538" customFormat="false" ht="15" hidden="false" customHeight="true" outlineLevel="0" collapsed="false">
      <c r="A2538" s="1" t="s">
        <v>4930</v>
      </c>
      <c r="B2538" s="1" t="n">
        <v>1988</v>
      </c>
      <c r="C2538" s="1" t="n">
        <v>1</v>
      </c>
      <c r="D2538" s="1" t="s">
        <v>38</v>
      </c>
      <c r="E2538" s="1"/>
      <c r="F2538" s="1"/>
      <c r="G2538" s="1" t="n">
        <v>225</v>
      </c>
      <c r="H2538" s="2" t="n">
        <v>1030000</v>
      </c>
      <c r="I2538" s="2" t="n">
        <f aca="false">(((H2538 / 800) / IF(ISBLANK(R2538), 1000000, IF(ISNA(VLOOKUP(R2538, Mileages!$A$2:$C$34, 2, 0)), R2538, VLOOKUP(R2538, Mileages!$A$2:$C$34, 2, 0)))) + (F2538 * IF(ISBLANK(P2538), 1, P2538) * IF(ISBLANK(T2538), 0, IF(ISNA(VLOOKUP(T2538, 'Fuel Costs'!$A$2:$C$42, 2, 0)), T2538, VLOOKUP(T2538, 'Fuel Costs'!$A$2:$C$42, 2, 0))) / IF(ISBLANK(O2538), 1, O2538))) * 100</f>
        <v>0.05364583333</v>
      </c>
      <c r="J2538" s="2" t="n">
        <f aca="false">((H2538 / 800) / (IF(ISBLANK(S2538), 100, IF(ISNA(VLOOKUP(S2538, Lives!$A$2:$C$35, 2, 0)), S2538, VLOOKUP(S2538, Lives!$A$2:$C$35, 2, 0))) * 12) + (IF(ISBLANK(Q2538), 0, IF(ISNA(VLOOKUP(Q2538, Wages!$A$2:$C$17, 2, 0)), Q2538, VLOOKUP(Q2538, Wages!$A$2:$C$17, 2, 0))) * IF(ISBLANK(N2538), 0, IF(ISNA(VLOOKUP(N2538, Crews!$A$2:$C$28, 2, 0)), N2538, VLOOKUP(N2538, Crews!$A$2:$C$28, 2, 0))))) * 400</f>
        <v>2145.833333</v>
      </c>
      <c r="K2538" s="1"/>
      <c r="L2538" s="1" t="s">
        <v>4931</v>
      </c>
      <c r="M2538" s="1" t="n">
        <v>0</v>
      </c>
      <c r="N2538" s="1"/>
      <c r="O2538" s="1"/>
      <c r="P2538" s="1"/>
      <c r="Q2538" s="1"/>
      <c r="R2538" s="1" t="s">
        <v>4419</v>
      </c>
      <c r="S2538" s="1" t="s">
        <v>4470</v>
      </c>
      <c r="T2538" s="1"/>
    </row>
    <row r="2539" customFormat="false" ht="15" hidden="false" customHeight="true" outlineLevel="0" collapsed="false">
      <c r="A2539" s="1" t="s">
        <v>4932</v>
      </c>
      <c r="B2539" s="1" t="n">
        <v>1988</v>
      </c>
      <c r="C2539" s="1" t="n">
        <v>1</v>
      </c>
      <c r="D2539" s="1" t="s">
        <v>38</v>
      </c>
      <c r="E2539" s="1"/>
      <c r="F2539" s="1"/>
      <c r="G2539" s="1" t="n">
        <v>225</v>
      </c>
      <c r="H2539" s="2" t="n">
        <v>1030000</v>
      </c>
      <c r="I2539" s="2" t="n">
        <f aca="false">(((H2539 / 800) / IF(ISBLANK(R2539), 1000000, IF(ISNA(VLOOKUP(R2539, Mileages!$A$2:$C$34, 2, 0)), R2539, VLOOKUP(R2539, Mileages!$A$2:$C$34, 2, 0)))) + (F2539 * IF(ISBLANK(P2539), 1, P2539) * IF(ISBLANK(T2539), 0, IF(ISNA(VLOOKUP(T2539, 'Fuel Costs'!$A$2:$C$42, 2, 0)), T2539, VLOOKUP(T2539, 'Fuel Costs'!$A$2:$C$42, 2, 0))) / IF(ISBLANK(O2539), 1, O2539))) * 100</f>
        <v>0.05364583333</v>
      </c>
      <c r="J2539" s="2" t="n">
        <f aca="false">((H2539 / 800) / (IF(ISBLANK(S2539), 100, IF(ISNA(VLOOKUP(S2539, Lives!$A$2:$C$35, 2, 0)), S2539, VLOOKUP(S2539, Lives!$A$2:$C$35, 2, 0))) * 12) + (IF(ISBLANK(Q2539), 0, IF(ISNA(VLOOKUP(Q2539, Wages!$A$2:$C$17, 2, 0)), Q2539, VLOOKUP(Q2539, Wages!$A$2:$C$17, 2, 0))) * IF(ISBLANK(N2539), 0, IF(ISNA(VLOOKUP(N2539, Crews!$A$2:$C$28, 2, 0)), N2539, VLOOKUP(N2539, Crews!$A$2:$C$28, 2, 0))))) * 400</f>
        <v>2145.833333</v>
      </c>
      <c r="K2539" s="1"/>
      <c r="L2539" s="1" t="s">
        <v>4933</v>
      </c>
      <c r="M2539" s="1" t="n">
        <v>0</v>
      </c>
      <c r="N2539" s="1"/>
      <c r="O2539" s="1"/>
      <c r="P2539" s="1"/>
      <c r="Q2539" s="1"/>
      <c r="R2539" s="1" t="s">
        <v>4419</v>
      </c>
      <c r="S2539" s="1" t="s">
        <v>4470</v>
      </c>
      <c r="T2539" s="1"/>
    </row>
    <row r="2540" customFormat="false" ht="15" hidden="false" customHeight="true" outlineLevel="0" collapsed="false">
      <c r="A2540" s="1" t="s">
        <v>4934</v>
      </c>
      <c r="B2540" s="1" t="n">
        <v>1988</v>
      </c>
      <c r="C2540" s="1" t="n">
        <v>1</v>
      </c>
      <c r="D2540" s="1" t="s">
        <v>38</v>
      </c>
      <c r="E2540" s="1" t="s">
        <v>1346</v>
      </c>
      <c r="F2540" s="1" t="n">
        <v>4700</v>
      </c>
      <c r="G2540" s="1" t="n">
        <v>225</v>
      </c>
      <c r="H2540" s="2" t="n">
        <v>14800000</v>
      </c>
      <c r="I2540" s="2" t="n">
        <f aca="false">(((H2540 / 800) / IF(ISBLANK(R2540), 1000000, IF(ISNA(VLOOKUP(R2540, Mileages!$A$2:$C$34, 2, 0)), R2540, VLOOKUP(R2540, Mileages!$A$2:$C$34, 2, 0)))) + (F2540 * IF(ISBLANK(P2540), 1, P2540) * IF(ISBLANK(T2540), 0, IF(ISNA(VLOOKUP(T2540, 'Fuel Costs'!$A$2:$C$42, 2, 0)), T2540, VLOOKUP(T2540, 'Fuel Costs'!$A$2:$C$42, 2, 0))) / IF(ISBLANK(O2540), 1, O2540))) * 100</f>
        <v>470.925</v>
      </c>
      <c r="J2540" s="2" t="n">
        <f aca="false">((H2540 / 800) / (IF(ISBLANK(S2540), 100, IF(ISNA(VLOOKUP(S2540, Lives!$A$2:$C$35, 2, 0)), S2540, VLOOKUP(S2540, Lives!$A$2:$C$35, 2, 0))) * 12) + (IF(ISBLANK(Q2540), 0, IF(ISNA(VLOOKUP(Q2540, Wages!$A$2:$C$17, 2, 0)), Q2540, VLOOKUP(Q2540, Wages!$A$2:$C$17, 2, 0))) * IF(ISBLANK(N2540), 0, IF(ISNA(VLOOKUP(N2540, Crews!$A$2:$C$28, 2, 0)), N2540, VLOOKUP(N2540, Crews!$A$2:$C$28, 2, 0))))) * 400</f>
        <v>18333.33333</v>
      </c>
      <c r="K2540" s="1"/>
      <c r="L2540" s="1" t="s">
        <v>4935</v>
      </c>
      <c r="M2540" s="1" t="n">
        <v>0</v>
      </c>
      <c r="N2540" s="1" t="s">
        <v>1512</v>
      </c>
      <c r="O2540" s="1" t="n">
        <v>1</v>
      </c>
      <c r="P2540" s="1"/>
      <c r="Q2540" s="1" t="str">
        <f aca="false">IF(ISBLANK('Pak128 Britain In'!$N2540),,'Pak128 Britain In'!$N2540)</f>
        <v>ElectricMultipleUnit</v>
      </c>
      <c r="R2540" s="1" t="s">
        <v>4696</v>
      </c>
      <c r="S2540" s="1" t="s">
        <v>1350</v>
      </c>
      <c r="T2540" s="1" t="s">
        <v>4697</v>
      </c>
    </row>
    <row r="2541" customFormat="false" ht="15" hidden="false" customHeight="true" outlineLevel="0" collapsed="false">
      <c r="A2541" s="1" t="s">
        <v>4936</v>
      </c>
      <c r="B2541" s="1" t="n">
        <v>1988</v>
      </c>
      <c r="C2541" s="1" t="n">
        <v>1</v>
      </c>
      <c r="D2541" s="1" t="s">
        <v>38</v>
      </c>
      <c r="E2541" s="1"/>
      <c r="F2541" s="1"/>
      <c r="G2541" s="1" t="n">
        <v>175</v>
      </c>
      <c r="H2541" s="2" t="n">
        <v>641000</v>
      </c>
      <c r="I2541" s="2" t="n">
        <f aca="false">(((H2541 / 800) / IF(ISBLANK(R2541), 1000000, IF(ISNA(VLOOKUP(R2541, Mileages!$A$2:$C$34, 2, 0)), R2541, VLOOKUP(R2541, Mileages!$A$2:$C$34, 2, 0)))) + (F2541 * IF(ISBLANK(P2541), 1, P2541) * IF(ISBLANK(T2541), 0, IF(ISNA(VLOOKUP(T2541, 'Fuel Costs'!$A$2:$C$42, 2, 0)), T2541, VLOOKUP(T2541, 'Fuel Costs'!$A$2:$C$42, 2, 0))) / IF(ISBLANK(O2541), 1, O2541))) * 100</f>
        <v>0.03338541667</v>
      </c>
      <c r="J2541" s="2" t="n">
        <f aca="false">((H2541 / 800) / (IF(ISBLANK(S2541), 100, IF(ISNA(VLOOKUP(S2541, Lives!$A$2:$C$35, 2, 0)), S2541, VLOOKUP(S2541, Lives!$A$2:$C$35, 2, 0))) * 12) + (IF(ISBLANK(Q2541), 0, IF(ISNA(VLOOKUP(Q2541, Wages!$A$2:$C$17, 2, 0)), Q2541, VLOOKUP(Q2541, Wages!$A$2:$C$17, 2, 0))) * IF(ISBLANK(N2541), 0, IF(ISNA(VLOOKUP(N2541, Crews!$A$2:$C$28, 2, 0)), N2541, VLOOKUP(N2541, Crews!$A$2:$C$28, 2, 0))))) * 400</f>
        <v>1335.416667</v>
      </c>
      <c r="K2541" s="1"/>
      <c r="L2541" s="1" t="s">
        <v>4542</v>
      </c>
      <c r="M2541" s="1" t="n">
        <v>4</v>
      </c>
      <c r="N2541" s="1"/>
      <c r="O2541" s="1"/>
      <c r="P2541" s="1"/>
      <c r="Q2541" s="1"/>
      <c r="R2541" s="1" t="s">
        <v>4419</v>
      </c>
      <c r="S2541" s="1" t="s">
        <v>4470</v>
      </c>
      <c r="T2541" s="1"/>
    </row>
    <row r="2542" customFormat="false" ht="15" hidden="false" customHeight="true" outlineLevel="0" collapsed="false">
      <c r="A2542" s="1" t="s">
        <v>4937</v>
      </c>
      <c r="B2542" s="1" t="n">
        <v>1988</v>
      </c>
      <c r="C2542" s="1" t="n">
        <v>1</v>
      </c>
      <c r="D2542" s="1" t="s">
        <v>38</v>
      </c>
      <c r="E2542" s="1" t="s">
        <v>1346</v>
      </c>
      <c r="F2542" s="1" t="n">
        <v>0</v>
      </c>
      <c r="G2542" s="1" t="n">
        <v>160</v>
      </c>
      <c r="H2542" s="2" t="n">
        <v>1921000</v>
      </c>
      <c r="I2542" s="2" t="n">
        <f aca="false">(((H2542 / 800) / IF(ISBLANK(R2542), 1000000, IF(ISNA(VLOOKUP(R2542, Mileages!$A$2:$C$34, 2, 0)), R2542, VLOOKUP(R2542, Mileages!$A$2:$C$34, 2, 0)))) + (F2542 * IF(ISBLANK(P2542), 1, P2542) * IF(ISBLANK(T2542), 0, IF(ISNA(VLOOKUP(T2542, 'Fuel Costs'!$A$2:$C$42, 2, 0)), T2542, VLOOKUP(T2542, 'Fuel Costs'!$A$2:$C$42, 2, 0))) / IF(ISBLANK(O2542), 1, O2542))) * 100</f>
        <v>0.1000520833</v>
      </c>
      <c r="J2542" s="2" t="n">
        <f aca="false">((H2542 / 800) / (IF(ISBLANK(S2542), 100, IF(ISNA(VLOOKUP(S2542, Lives!$A$2:$C$35, 2, 0)), S2542, VLOOKUP(S2542, Lives!$A$2:$C$35, 2, 0))) * 12) + (IF(ISBLANK(Q2542), 0, IF(ISNA(VLOOKUP(Q2542, Wages!$A$2:$C$17, 2, 0)), Q2542, VLOOKUP(Q2542, Wages!$A$2:$C$17, 2, 0))) * IF(ISBLANK(N2542), 0, IF(ISNA(VLOOKUP(N2542, Crews!$A$2:$C$28, 2, 0)), N2542, VLOOKUP(N2542, Crews!$A$2:$C$28, 2, 0))))) * 400</f>
        <v>4002.083333</v>
      </c>
      <c r="K2542" s="1"/>
      <c r="L2542" s="1" t="s">
        <v>4938</v>
      </c>
      <c r="M2542" s="1" t="n">
        <v>0</v>
      </c>
      <c r="N2542" s="1"/>
      <c r="O2542" s="1"/>
      <c r="P2542" s="1"/>
      <c r="Q2542" s="1"/>
      <c r="R2542" s="1" t="s">
        <v>4419</v>
      </c>
      <c r="S2542" s="1" t="s">
        <v>4470</v>
      </c>
      <c r="T2542" s="1"/>
    </row>
    <row r="2543" customFormat="false" ht="15" hidden="false" customHeight="true" outlineLevel="0" collapsed="false">
      <c r="A2543" s="1" t="s">
        <v>4939</v>
      </c>
      <c r="B2543" s="1" t="n">
        <v>1988</v>
      </c>
      <c r="C2543" s="1" t="n">
        <v>1</v>
      </c>
      <c r="D2543" s="1" t="s">
        <v>38</v>
      </c>
      <c r="E2543" s="1" t="s">
        <v>1346</v>
      </c>
      <c r="F2543" s="1" t="n">
        <v>0</v>
      </c>
      <c r="G2543" s="1" t="n">
        <v>160</v>
      </c>
      <c r="H2543" s="2" t="n">
        <v>1921000</v>
      </c>
      <c r="I2543" s="2" t="n">
        <f aca="false">(((H2543 / 800) / IF(ISBLANK(R2543), 1000000, IF(ISNA(VLOOKUP(R2543, Mileages!$A$2:$C$34, 2, 0)), R2543, VLOOKUP(R2543, Mileages!$A$2:$C$34, 2, 0)))) + (F2543 * IF(ISBLANK(P2543), 1, P2543) * IF(ISBLANK(T2543), 0, IF(ISNA(VLOOKUP(T2543, 'Fuel Costs'!$A$2:$C$42, 2, 0)), T2543, VLOOKUP(T2543, 'Fuel Costs'!$A$2:$C$42, 2, 0))) / IF(ISBLANK(O2543), 1, O2543))) * 100</f>
        <v>0.1000520833</v>
      </c>
      <c r="J2543" s="2" t="n">
        <f aca="false">((H2543 / 800) / (IF(ISBLANK(S2543), 100, IF(ISNA(VLOOKUP(S2543, Lives!$A$2:$C$35, 2, 0)), S2543, VLOOKUP(S2543, Lives!$A$2:$C$35, 2, 0))) * 12) + (IF(ISBLANK(Q2543), 0, IF(ISNA(VLOOKUP(Q2543, Wages!$A$2:$C$17, 2, 0)), Q2543, VLOOKUP(Q2543, Wages!$A$2:$C$17, 2, 0))) * IF(ISBLANK(N2543), 0, IF(ISNA(VLOOKUP(N2543, Crews!$A$2:$C$28, 2, 0)), N2543, VLOOKUP(N2543, Crews!$A$2:$C$28, 2, 0))))) * 400</f>
        <v>4002.083333</v>
      </c>
      <c r="K2543" s="1"/>
      <c r="L2543" s="1" t="s">
        <v>4938</v>
      </c>
      <c r="M2543" s="1" t="n">
        <v>1</v>
      </c>
      <c r="N2543" s="1"/>
      <c r="O2543" s="1"/>
      <c r="P2543" s="1"/>
      <c r="Q2543" s="1"/>
      <c r="R2543" s="1" t="s">
        <v>4419</v>
      </c>
      <c r="S2543" s="1" t="s">
        <v>4470</v>
      </c>
      <c r="T2543" s="1"/>
    </row>
    <row r="2544" customFormat="false" ht="15" hidden="false" customHeight="true" outlineLevel="0" collapsed="false">
      <c r="A2544" s="1" t="s">
        <v>4940</v>
      </c>
      <c r="B2544" s="1" t="n">
        <v>1988</v>
      </c>
      <c r="C2544" s="1" t="n">
        <v>1</v>
      </c>
      <c r="D2544" s="1" t="s">
        <v>38</v>
      </c>
      <c r="E2544" s="1" t="s">
        <v>1346</v>
      </c>
      <c r="F2544" s="1" t="n">
        <v>0</v>
      </c>
      <c r="G2544" s="1" t="n">
        <v>160</v>
      </c>
      <c r="H2544" s="2" t="n">
        <v>1921000</v>
      </c>
      <c r="I2544" s="2" t="n">
        <f aca="false">(((H2544 / 800) / IF(ISBLANK(R2544), 1000000, IF(ISNA(VLOOKUP(R2544, Mileages!$A$2:$C$34, 2, 0)), R2544, VLOOKUP(R2544, Mileages!$A$2:$C$34, 2, 0)))) + (F2544 * IF(ISBLANK(P2544), 1, P2544) * IF(ISBLANK(T2544), 0, IF(ISNA(VLOOKUP(T2544, 'Fuel Costs'!$A$2:$C$42, 2, 0)), T2544, VLOOKUP(T2544, 'Fuel Costs'!$A$2:$C$42, 2, 0))) / IF(ISBLANK(O2544), 1, O2544))) * 100</f>
        <v>0.1000520833</v>
      </c>
      <c r="J2544" s="2" t="n">
        <f aca="false">((H2544 / 800) / (IF(ISBLANK(S2544), 100, IF(ISNA(VLOOKUP(S2544, Lives!$A$2:$C$35, 2, 0)), S2544, VLOOKUP(S2544, Lives!$A$2:$C$35, 2, 0))) * 12) + (IF(ISBLANK(Q2544), 0, IF(ISNA(VLOOKUP(Q2544, Wages!$A$2:$C$17, 2, 0)), Q2544, VLOOKUP(Q2544, Wages!$A$2:$C$17, 2, 0))) * IF(ISBLANK(N2544), 0, IF(ISNA(VLOOKUP(N2544, Crews!$A$2:$C$28, 2, 0)), N2544, VLOOKUP(N2544, Crews!$A$2:$C$28, 2, 0))))) * 400</f>
        <v>4002.083333</v>
      </c>
      <c r="K2544" s="1"/>
      <c r="L2544" s="1" t="s">
        <v>4938</v>
      </c>
      <c r="M2544" s="1" t="n">
        <v>2</v>
      </c>
      <c r="N2544" s="1"/>
      <c r="O2544" s="1"/>
      <c r="P2544" s="1"/>
      <c r="Q2544" s="1"/>
      <c r="R2544" s="1" t="s">
        <v>4419</v>
      </c>
      <c r="S2544" s="1" t="s">
        <v>4470</v>
      </c>
      <c r="T2544" s="1"/>
    </row>
    <row r="2545" customFormat="false" ht="15" hidden="false" customHeight="true" outlineLevel="0" collapsed="false">
      <c r="A2545" s="1" t="s">
        <v>4941</v>
      </c>
      <c r="B2545" s="1" t="n">
        <v>1988</v>
      </c>
      <c r="C2545" s="1" t="n">
        <v>1</v>
      </c>
      <c r="D2545" s="1" t="s">
        <v>38</v>
      </c>
      <c r="E2545" s="1" t="s">
        <v>1346</v>
      </c>
      <c r="F2545" s="1" t="n">
        <v>996</v>
      </c>
      <c r="G2545" s="1" t="n">
        <v>160</v>
      </c>
      <c r="H2545" s="2" t="n">
        <v>2021000</v>
      </c>
      <c r="I2545" s="2" t="n">
        <f aca="false">(((H2545 / 800) / IF(ISBLANK(R2545), 1000000, IF(ISNA(VLOOKUP(R2545, Mileages!$A$2:$C$34, 2, 0)), R2545, VLOOKUP(R2545, Mileages!$A$2:$C$34, 2, 0)))) + (F2545 * IF(ISBLANK(P2545), 1, P2545) * IF(ISBLANK(T2545), 0, IF(ISNA(VLOOKUP(T2545, 'Fuel Costs'!$A$2:$C$42, 2, 0)), T2545, VLOOKUP(T2545, 'Fuel Costs'!$A$2:$C$42, 2, 0))) / IF(ISBLANK(O2545), 1, O2545))) * 100</f>
        <v>99.7263125</v>
      </c>
      <c r="J2545" s="2" t="n">
        <f aca="false">((H2545 / 800) / (IF(ISBLANK(S2545), 100, IF(ISNA(VLOOKUP(S2545, Lives!$A$2:$C$35, 2, 0)), S2545, VLOOKUP(S2545, Lives!$A$2:$C$35, 2, 0))) * 12) + (IF(ISBLANK(Q2545), 0, IF(ISNA(VLOOKUP(Q2545, Wages!$A$2:$C$17, 2, 0)), Q2545, VLOOKUP(Q2545, Wages!$A$2:$C$17, 2, 0))) * IF(ISBLANK(N2545), 0, IF(ISNA(VLOOKUP(N2545, Crews!$A$2:$C$28, 2, 0)), N2545, VLOOKUP(N2545, Crews!$A$2:$C$28, 2, 0))))) * 400</f>
        <v>11052.60417</v>
      </c>
      <c r="K2545" s="1"/>
      <c r="L2545" s="1" t="s">
        <v>4938</v>
      </c>
      <c r="M2545" s="1" t="n">
        <v>3</v>
      </c>
      <c r="N2545" s="1" t="s">
        <v>1488</v>
      </c>
      <c r="O2545" s="1" t="n">
        <v>1</v>
      </c>
      <c r="P2545" s="1"/>
      <c r="Q2545" s="1" t="str">
        <f aca="false">IF(ISBLANK('Pak128 Britain In'!$N2545),,'Pak128 Britain In'!$N2545)</f>
        <v>ElectricDriverRail</v>
      </c>
      <c r="R2545" s="1" t="s">
        <v>4696</v>
      </c>
      <c r="S2545" s="1" t="s">
        <v>4696</v>
      </c>
      <c r="T2545" s="1" t="s">
        <v>4697</v>
      </c>
    </row>
    <row r="2546" customFormat="false" ht="15" hidden="false" customHeight="true" outlineLevel="0" collapsed="false">
      <c r="A2546" s="1" t="s">
        <v>4942</v>
      </c>
      <c r="B2546" s="1" t="n">
        <v>1988</v>
      </c>
      <c r="C2546" s="1" t="n">
        <v>1</v>
      </c>
      <c r="D2546" s="1" t="s">
        <v>38</v>
      </c>
      <c r="E2546" s="1" t="s">
        <v>1346</v>
      </c>
      <c r="F2546" s="1" t="n">
        <v>0</v>
      </c>
      <c r="G2546" s="1" t="n">
        <v>160</v>
      </c>
      <c r="H2546" s="2" t="n">
        <v>1921000</v>
      </c>
      <c r="I2546" s="2" t="n">
        <f aca="false">(((H2546 / 800) / IF(ISBLANK(R2546), 1000000, IF(ISNA(VLOOKUP(R2546, Mileages!$A$2:$C$34, 2, 0)), R2546, VLOOKUP(R2546, Mileages!$A$2:$C$34, 2, 0)))) + (F2546 * IF(ISBLANK(P2546), 1, P2546) * IF(ISBLANK(T2546), 0, IF(ISNA(VLOOKUP(T2546, 'Fuel Costs'!$A$2:$C$42, 2, 0)), T2546, VLOOKUP(T2546, 'Fuel Costs'!$A$2:$C$42, 2, 0))) / IF(ISBLANK(O2546), 1, O2546))) * 100</f>
        <v>0.1000520833</v>
      </c>
      <c r="J2546" s="2" t="n">
        <f aca="false">((H2546 / 800) / (IF(ISBLANK(S2546), 100, IF(ISNA(VLOOKUP(S2546, Lives!$A$2:$C$35, 2, 0)), S2546, VLOOKUP(S2546, Lives!$A$2:$C$35, 2, 0))) * 12) + (IF(ISBLANK(Q2546), 0, IF(ISNA(VLOOKUP(Q2546, Wages!$A$2:$C$17, 2, 0)), Q2546, VLOOKUP(Q2546, Wages!$A$2:$C$17, 2, 0))) * IF(ISBLANK(N2546), 0, IF(ISNA(VLOOKUP(N2546, Crews!$A$2:$C$28, 2, 0)), N2546, VLOOKUP(N2546, Crews!$A$2:$C$28, 2, 0))))) * 400</f>
        <v>4002.083333</v>
      </c>
      <c r="K2546" s="1"/>
      <c r="L2546" s="1" t="s">
        <v>4938</v>
      </c>
      <c r="M2546" s="1" t="n">
        <v>4</v>
      </c>
      <c r="N2546" s="1"/>
      <c r="O2546" s="1"/>
      <c r="P2546" s="1"/>
      <c r="Q2546" s="1"/>
      <c r="R2546" s="1" t="s">
        <v>4419</v>
      </c>
      <c r="S2546" s="1" t="s">
        <v>4470</v>
      </c>
      <c r="T2546" s="1"/>
    </row>
    <row r="2547" customFormat="false" ht="15" hidden="false" customHeight="true" outlineLevel="0" collapsed="false">
      <c r="A2547" s="1" t="s">
        <v>4943</v>
      </c>
      <c r="B2547" s="1" t="n">
        <v>1988</v>
      </c>
      <c r="C2547" s="1" t="n">
        <v>1</v>
      </c>
      <c r="D2547" s="1" t="s">
        <v>38</v>
      </c>
      <c r="E2547" s="1" t="s">
        <v>1346</v>
      </c>
      <c r="F2547" s="1" t="n">
        <v>4700</v>
      </c>
      <c r="G2547" s="1" t="n">
        <v>225</v>
      </c>
      <c r="H2547" s="2" t="n">
        <v>14800000</v>
      </c>
      <c r="I2547" s="2" t="n">
        <f aca="false">(((H2547 / 800) / IF(ISBLANK(R2547), 1000000, IF(ISNA(VLOOKUP(R2547, Mileages!$A$2:$C$34, 2, 0)), R2547, VLOOKUP(R2547, Mileages!$A$2:$C$34, 2, 0)))) + (F2547 * IF(ISBLANK(P2547), 1, P2547) * IF(ISBLANK(T2547), 0, IF(ISNA(VLOOKUP(T2547, 'Fuel Costs'!$A$2:$C$42, 2, 0)), T2547, VLOOKUP(T2547, 'Fuel Costs'!$A$2:$C$42, 2, 0))) / IF(ISBLANK(O2547), 1, O2547))) * 100</f>
        <v>470.925</v>
      </c>
      <c r="J2547" s="2" t="n">
        <f aca="false">((H2547 / 800) / (IF(ISBLANK(S2547), 100, IF(ISNA(VLOOKUP(S2547, Lives!$A$2:$C$35, 2, 0)), S2547, VLOOKUP(S2547, Lives!$A$2:$C$35, 2, 0))) * 12) + (IF(ISBLANK(Q2547), 0, IF(ISNA(VLOOKUP(Q2547, Wages!$A$2:$C$17, 2, 0)), Q2547, VLOOKUP(Q2547, Wages!$A$2:$C$17, 2, 0))) * IF(ISBLANK(N2547), 0, IF(ISNA(VLOOKUP(N2547, Crews!$A$2:$C$28, 2, 0)), N2547, VLOOKUP(N2547, Crews!$A$2:$C$28, 2, 0))))) * 400</f>
        <v>18333.33333</v>
      </c>
      <c r="K2547" s="3" t="s">
        <v>4268</v>
      </c>
      <c r="L2547" s="1" t="s">
        <v>4944</v>
      </c>
      <c r="M2547" s="1" t="n">
        <v>0</v>
      </c>
      <c r="N2547" s="1" t="s">
        <v>1512</v>
      </c>
      <c r="O2547" s="1" t="n">
        <v>1</v>
      </c>
      <c r="P2547" s="1"/>
      <c r="Q2547" s="1" t="str">
        <f aca="false">IF(ISBLANK('Pak128 Britain In'!$N2547),,'Pak128 Britain In'!$N2547)</f>
        <v>ElectricMultipleUnit</v>
      </c>
      <c r="R2547" s="1" t="s">
        <v>4696</v>
      </c>
      <c r="S2547" s="1" t="s">
        <v>1350</v>
      </c>
      <c r="T2547" s="1" t="s">
        <v>4697</v>
      </c>
    </row>
    <row r="2548" customFormat="false" ht="15" hidden="false" customHeight="true" outlineLevel="0" collapsed="false">
      <c r="A2548" s="1" t="s">
        <v>4945</v>
      </c>
      <c r="B2548" s="1" t="n">
        <v>1988</v>
      </c>
      <c r="C2548" s="1" t="n">
        <v>1</v>
      </c>
      <c r="D2548" s="1" t="s">
        <v>38</v>
      </c>
      <c r="E2548" s="1"/>
      <c r="F2548" s="1"/>
      <c r="G2548" s="1" t="n">
        <v>225</v>
      </c>
      <c r="H2548" s="2" t="n">
        <v>1030000</v>
      </c>
      <c r="I2548" s="2" t="n">
        <f aca="false">(((H2548 / 800) / IF(ISBLANK(R2548), 1000000, IF(ISNA(VLOOKUP(R2548, Mileages!$A$2:$C$34, 2, 0)), R2548, VLOOKUP(R2548, Mileages!$A$2:$C$34, 2, 0)))) + (F2548 * IF(ISBLANK(P2548), 1, P2548) * IF(ISBLANK(T2548), 0, IF(ISNA(VLOOKUP(T2548, 'Fuel Costs'!$A$2:$C$42, 2, 0)), T2548, VLOOKUP(T2548, 'Fuel Costs'!$A$2:$C$42, 2, 0))) / IF(ISBLANK(O2548), 1, O2548))) * 100</f>
        <v>0.05364583333</v>
      </c>
      <c r="J2548" s="2" t="n">
        <f aca="false">((H2548 / 800) / (IF(ISBLANK(S2548), 100, IF(ISNA(VLOOKUP(S2548, Lives!$A$2:$C$35, 2, 0)), S2548, VLOOKUP(S2548, Lives!$A$2:$C$35, 2, 0))) * 12) + (IF(ISBLANK(Q2548), 0, IF(ISNA(VLOOKUP(Q2548, Wages!$A$2:$C$17, 2, 0)), Q2548, VLOOKUP(Q2548, Wages!$A$2:$C$17, 2, 0))) * IF(ISBLANK(N2548), 0, IF(ISNA(VLOOKUP(N2548, Crews!$A$2:$C$28, 2, 0)), N2548, VLOOKUP(N2548, Crews!$A$2:$C$28, 2, 0))))) * 400</f>
        <v>2145.833333</v>
      </c>
      <c r="K2548" s="1"/>
      <c r="L2548" s="1" t="s">
        <v>4946</v>
      </c>
      <c r="M2548" s="1" t="n">
        <v>0</v>
      </c>
      <c r="N2548" s="1"/>
      <c r="O2548" s="1"/>
      <c r="P2548" s="1"/>
      <c r="Q2548" s="1"/>
      <c r="R2548" s="1" t="s">
        <v>4419</v>
      </c>
      <c r="S2548" s="1" t="s">
        <v>4470</v>
      </c>
      <c r="T2548" s="1"/>
    </row>
    <row r="2549" customFormat="false" ht="15" hidden="false" customHeight="true" outlineLevel="0" collapsed="false">
      <c r="A2549" s="1" t="s">
        <v>4947</v>
      </c>
      <c r="B2549" s="1" t="n">
        <v>1988</v>
      </c>
      <c r="C2549" s="1" t="n">
        <v>1</v>
      </c>
      <c r="D2549" s="1" t="s">
        <v>38</v>
      </c>
      <c r="E2549" s="1"/>
      <c r="F2549" s="1"/>
      <c r="G2549" s="1" t="n">
        <v>175</v>
      </c>
      <c r="H2549" s="2" t="n">
        <v>641000</v>
      </c>
      <c r="I2549" s="2" t="n">
        <f aca="false">(((H2549 / 800) / IF(ISBLANK(R2549), 1000000, IF(ISNA(VLOOKUP(R2549, Mileages!$A$2:$C$34, 2, 0)), R2549, VLOOKUP(R2549, Mileages!$A$2:$C$34, 2, 0)))) + (F2549 * IF(ISBLANK(P2549), 1, P2549) * IF(ISBLANK(T2549), 0, IF(ISNA(VLOOKUP(T2549, 'Fuel Costs'!$A$2:$C$42, 2, 0)), T2549, VLOOKUP(T2549, 'Fuel Costs'!$A$2:$C$42, 2, 0))) / IF(ISBLANK(O2549), 1, O2549))) * 100</f>
        <v>0.03338541667</v>
      </c>
      <c r="J2549" s="2" t="n">
        <f aca="false">((H2549 / 800) / (IF(ISBLANK(S2549), 100, IF(ISNA(VLOOKUP(S2549, Lives!$A$2:$C$35, 2, 0)), S2549, VLOOKUP(S2549, Lives!$A$2:$C$35, 2, 0))) * 12) + (IF(ISBLANK(Q2549), 0, IF(ISNA(VLOOKUP(Q2549, Wages!$A$2:$C$17, 2, 0)), Q2549, VLOOKUP(Q2549, Wages!$A$2:$C$17, 2, 0))) * IF(ISBLANK(N2549), 0, IF(ISNA(VLOOKUP(N2549, Crews!$A$2:$C$28, 2, 0)), N2549, VLOOKUP(N2549, Crews!$A$2:$C$28, 2, 0))))) * 400</f>
        <v>1335.416667</v>
      </c>
      <c r="K2549" s="1"/>
      <c r="L2549" s="1" t="s">
        <v>4550</v>
      </c>
      <c r="M2549" s="1" t="n">
        <v>4</v>
      </c>
      <c r="N2549" s="1"/>
      <c r="O2549" s="1"/>
      <c r="P2549" s="1"/>
      <c r="Q2549" s="1"/>
      <c r="R2549" s="1" t="s">
        <v>4419</v>
      </c>
      <c r="S2549" s="1" t="s">
        <v>4470</v>
      </c>
      <c r="T2549" s="1"/>
    </row>
    <row r="2550" customFormat="false" ht="15" hidden="false" customHeight="true" outlineLevel="0" collapsed="false">
      <c r="A2550" s="1" t="s">
        <v>4948</v>
      </c>
      <c r="B2550" s="1" t="n">
        <v>1988</v>
      </c>
      <c r="C2550" s="1" t="n">
        <v>1</v>
      </c>
      <c r="D2550" s="1" t="s">
        <v>38</v>
      </c>
      <c r="E2550" s="1" t="s">
        <v>1346</v>
      </c>
      <c r="F2550" s="1" t="n">
        <v>4700</v>
      </c>
      <c r="G2550" s="1" t="n">
        <v>225</v>
      </c>
      <c r="H2550" s="2" t="n">
        <v>14800000</v>
      </c>
      <c r="I2550" s="2" t="n">
        <f aca="false">(((H2550 / 800) / IF(ISBLANK(R2550), 1000000, IF(ISNA(VLOOKUP(R2550, Mileages!$A$2:$C$34, 2, 0)), R2550, VLOOKUP(R2550, Mileages!$A$2:$C$34, 2, 0)))) + (F2550 * IF(ISBLANK(P2550), 1, P2550) * IF(ISBLANK(T2550), 0, IF(ISNA(VLOOKUP(T2550, 'Fuel Costs'!$A$2:$C$42, 2, 0)), T2550, VLOOKUP(T2550, 'Fuel Costs'!$A$2:$C$42, 2, 0))) / IF(ISBLANK(O2550), 1, O2550))) * 100</f>
        <v>470.925</v>
      </c>
      <c r="J2550" s="2" t="n">
        <f aca="false">((H2550 / 800) / (IF(ISBLANK(S2550), 100, IF(ISNA(VLOOKUP(S2550, Lives!$A$2:$C$35, 2, 0)), S2550, VLOOKUP(S2550, Lives!$A$2:$C$35, 2, 0))) * 12) + (IF(ISBLANK(Q2550), 0, IF(ISNA(VLOOKUP(Q2550, Wages!$A$2:$C$17, 2, 0)), Q2550, VLOOKUP(Q2550, Wages!$A$2:$C$17, 2, 0))) * IF(ISBLANK(N2550), 0, IF(ISNA(VLOOKUP(N2550, Crews!$A$2:$C$28, 2, 0)), N2550, VLOOKUP(N2550, Crews!$A$2:$C$28, 2, 0))))) * 400</f>
        <v>18333.33333</v>
      </c>
      <c r="K2550" s="1"/>
      <c r="L2550" s="1" t="s">
        <v>4949</v>
      </c>
      <c r="M2550" s="1" t="n">
        <v>0</v>
      </c>
      <c r="N2550" s="1" t="s">
        <v>1512</v>
      </c>
      <c r="O2550" s="1" t="n">
        <v>1</v>
      </c>
      <c r="P2550" s="1"/>
      <c r="Q2550" s="1" t="str">
        <f aca="false">IF(ISBLANK('Pak128 Britain In'!$N2550),,'Pak128 Britain In'!$N2550)</f>
        <v>ElectricMultipleUnit</v>
      </c>
      <c r="R2550" s="1" t="s">
        <v>4696</v>
      </c>
      <c r="S2550" s="1" t="s">
        <v>1350</v>
      </c>
      <c r="T2550" s="1" t="s">
        <v>4697</v>
      </c>
    </row>
    <row r="2551" customFormat="false" ht="15" hidden="false" customHeight="true" outlineLevel="0" collapsed="false">
      <c r="A2551" s="1" t="s">
        <v>4950</v>
      </c>
      <c r="B2551" s="1" t="n">
        <v>1988</v>
      </c>
      <c r="C2551" s="1" t="n">
        <v>2</v>
      </c>
      <c r="D2551" s="1" t="s">
        <v>38</v>
      </c>
      <c r="E2551" s="1" t="s">
        <v>1346</v>
      </c>
      <c r="F2551" s="1"/>
      <c r="G2551" s="1" t="n">
        <v>160</v>
      </c>
      <c r="H2551" s="2" t="n">
        <v>590000</v>
      </c>
      <c r="I2551" s="2" t="n">
        <f aca="false">(((H2551 / 800) / IF(ISBLANK(R2551), 1000000, IF(ISNA(VLOOKUP(R2551, Mileages!$A$2:$C$34, 2, 0)), R2551, VLOOKUP(R2551, Mileages!$A$2:$C$34, 2, 0)))) + (F2551 * IF(ISBLANK(P2551), 1, P2551) * IF(ISBLANK(T2551), 0, IF(ISNA(VLOOKUP(T2551, 'Fuel Costs'!$A$2:$C$42, 2, 0)), T2551, VLOOKUP(T2551, 'Fuel Costs'!$A$2:$C$42, 2, 0))) / IF(ISBLANK(O2551), 1, O2551))) * 100</f>
        <v>0.03072916667</v>
      </c>
      <c r="J2551" s="2" t="n">
        <f aca="false">((H2551 / 800) / (IF(ISBLANK(S2551), 100, IF(ISNA(VLOOKUP(S2551, Lives!$A$2:$C$35, 2, 0)), S2551, VLOOKUP(S2551, Lives!$A$2:$C$35, 2, 0))) * 12) + (IF(ISBLANK(Q2551), 0, IF(ISNA(VLOOKUP(Q2551, Wages!$A$2:$C$17, 2, 0)), Q2551, VLOOKUP(Q2551, Wages!$A$2:$C$17, 2, 0))) * IF(ISBLANK(N2551), 0, IF(ISNA(VLOOKUP(N2551, Crews!$A$2:$C$28, 2, 0)), N2551, VLOOKUP(N2551, Crews!$A$2:$C$28, 2, 0))))) * 400</f>
        <v>1229.166667</v>
      </c>
      <c r="K2551" s="1" t="s">
        <v>4951</v>
      </c>
      <c r="L2551" s="1" t="s">
        <v>4952</v>
      </c>
      <c r="M2551" s="1" t="n">
        <v>0</v>
      </c>
      <c r="N2551" s="1"/>
      <c r="O2551" s="1"/>
      <c r="P2551" s="1"/>
      <c r="Q2551" s="1"/>
      <c r="R2551" s="1" t="s">
        <v>4419</v>
      </c>
      <c r="S2551" s="1" t="s">
        <v>4470</v>
      </c>
      <c r="T2551" s="1"/>
    </row>
    <row r="2552" customFormat="false" ht="15" hidden="false" customHeight="true" outlineLevel="0" collapsed="false">
      <c r="A2552" s="1" t="s">
        <v>4953</v>
      </c>
      <c r="B2552" s="1" t="n">
        <v>1988</v>
      </c>
      <c r="C2552" s="1" t="n">
        <v>2</v>
      </c>
      <c r="D2552" s="1" t="s">
        <v>38</v>
      </c>
      <c r="E2552" s="1"/>
      <c r="F2552" s="1"/>
      <c r="G2552" s="1" t="n">
        <v>160</v>
      </c>
      <c r="H2552" s="2" t="n">
        <v>590000</v>
      </c>
      <c r="I2552" s="2" t="n">
        <f aca="false">(((H2552 / 800) / IF(ISBLANK(R2552), 1000000, IF(ISNA(VLOOKUP(R2552, Mileages!$A$2:$C$34, 2, 0)), R2552, VLOOKUP(R2552, Mileages!$A$2:$C$34, 2, 0)))) + (F2552 * IF(ISBLANK(P2552), 1, P2552) * IF(ISBLANK(T2552), 0, IF(ISNA(VLOOKUP(T2552, 'Fuel Costs'!$A$2:$C$42, 2, 0)), T2552, VLOOKUP(T2552, 'Fuel Costs'!$A$2:$C$42, 2, 0))) / IF(ISBLANK(O2552), 1, O2552))) * 100</f>
        <v>0.03072916667</v>
      </c>
      <c r="J2552" s="2" t="n">
        <f aca="false">((H2552 / 800) / (IF(ISBLANK(S2552), 100, IF(ISNA(VLOOKUP(S2552, Lives!$A$2:$C$35, 2, 0)), S2552, VLOOKUP(S2552, Lives!$A$2:$C$35, 2, 0))) * 12) + (IF(ISBLANK(Q2552), 0, IF(ISNA(VLOOKUP(Q2552, Wages!$A$2:$C$17, 2, 0)), Q2552, VLOOKUP(Q2552, Wages!$A$2:$C$17, 2, 0))) * IF(ISBLANK(N2552), 0, IF(ISNA(VLOOKUP(N2552, Crews!$A$2:$C$28, 2, 0)), N2552, VLOOKUP(N2552, Crews!$A$2:$C$28, 2, 0))))) * 400</f>
        <v>1229.166667</v>
      </c>
      <c r="K2552" s="1"/>
      <c r="L2552" s="1" t="s">
        <v>4952</v>
      </c>
      <c r="M2552" s="1" t="n">
        <v>1</v>
      </c>
      <c r="N2552" s="1"/>
      <c r="O2552" s="1"/>
      <c r="P2552" s="1"/>
      <c r="Q2552" s="1"/>
      <c r="R2552" s="1" t="s">
        <v>4419</v>
      </c>
      <c r="S2552" s="1" t="s">
        <v>4470</v>
      </c>
      <c r="T2552" s="1"/>
    </row>
    <row r="2553" customFormat="false" ht="15" hidden="false" customHeight="true" outlineLevel="0" collapsed="false">
      <c r="A2553" s="1" t="s">
        <v>4954</v>
      </c>
      <c r="B2553" s="1" t="n">
        <v>1988</v>
      </c>
      <c r="C2553" s="1" t="n">
        <v>2</v>
      </c>
      <c r="D2553" s="1" t="s">
        <v>38</v>
      </c>
      <c r="E2553" s="1"/>
      <c r="F2553" s="1" t="n">
        <v>1200</v>
      </c>
      <c r="G2553" s="1" t="n">
        <v>160</v>
      </c>
      <c r="H2553" s="2" t="n">
        <v>590000</v>
      </c>
      <c r="I2553" s="2" t="n">
        <f aca="false">(((H2553 / 800) / IF(ISBLANK(R2553), 1000000, IF(ISNA(VLOOKUP(R2553, Mileages!$A$2:$C$34, 2, 0)), R2553, VLOOKUP(R2553, Mileages!$A$2:$C$34, 2, 0)))) + (F2553 * IF(ISBLANK(P2553), 1, P2553) * IF(ISBLANK(T2553), 0, IF(ISNA(VLOOKUP(T2553, 'Fuel Costs'!$A$2:$C$42, 2, 0)), T2553, VLOOKUP(T2553, 'Fuel Costs'!$A$2:$C$42, 2, 0))) / IF(ISBLANK(O2553), 1, O2553))) * 100</f>
        <v>0.07375</v>
      </c>
      <c r="J2553" s="2" t="n">
        <f aca="false">((H2553 / 800) / (IF(ISBLANK(S2553), 100, IF(ISNA(VLOOKUP(S2553, Lives!$A$2:$C$35, 2, 0)), S2553, VLOOKUP(S2553, Lives!$A$2:$C$35, 2, 0))) * 12) + (IF(ISBLANK(Q2553), 0, IF(ISNA(VLOOKUP(Q2553, Wages!$A$2:$C$17, 2, 0)), Q2553, VLOOKUP(Q2553, Wages!$A$2:$C$17, 2, 0))) * IF(ISBLANK(N2553), 0, IF(ISNA(VLOOKUP(N2553, Crews!$A$2:$C$28, 2, 0)), N2553, VLOOKUP(N2553, Crews!$A$2:$C$28, 2, 0))))) * 400</f>
        <v>245.8333333</v>
      </c>
      <c r="K2553" s="1"/>
      <c r="L2553" s="1" t="s">
        <v>4952</v>
      </c>
      <c r="M2553" s="1" t="n">
        <v>2</v>
      </c>
      <c r="N2553" s="1"/>
      <c r="O2553" s="1"/>
      <c r="P2553" s="1"/>
      <c r="Q2553" s="1"/>
      <c r="R2553" s="1"/>
      <c r="S2553" s="1"/>
      <c r="T2553" s="1"/>
    </row>
    <row r="2554" customFormat="false" ht="15" hidden="false" customHeight="true" outlineLevel="0" collapsed="false">
      <c r="A2554" s="1" t="s">
        <v>4955</v>
      </c>
      <c r="B2554" s="1" t="n">
        <v>1988</v>
      </c>
      <c r="C2554" s="1" t="n">
        <v>2</v>
      </c>
      <c r="D2554" s="1" t="s">
        <v>38</v>
      </c>
      <c r="E2554" s="1"/>
      <c r="F2554" s="1"/>
      <c r="G2554" s="1" t="n">
        <v>160</v>
      </c>
      <c r="H2554" s="2" t="n">
        <v>590000</v>
      </c>
      <c r="I2554" s="2" t="n">
        <f aca="false">(((H2554 / 800) / IF(ISBLANK(R2554), 1000000, IF(ISNA(VLOOKUP(R2554, Mileages!$A$2:$C$34, 2, 0)), R2554, VLOOKUP(R2554, Mileages!$A$2:$C$34, 2, 0)))) + (F2554 * IF(ISBLANK(P2554), 1, P2554) * IF(ISBLANK(T2554), 0, IF(ISNA(VLOOKUP(T2554, 'Fuel Costs'!$A$2:$C$42, 2, 0)), T2554, VLOOKUP(T2554, 'Fuel Costs'!$A$2:$C$42, 2, 0))) / IF(ISBLANK(O2554), 1, O2554))) * 100</f>
        <v>0.03072916667</v>
      </c>
      <c r="J2554" s="2" t="n">
        <f aca="false">((H2554 / 800) / (IF(ISBLANK(S2554), 100, IF(ISNA(VLOOKUP(S2554, Lives!$A$2:$C$35, 2, 0)), S2554, VLOOKUP(S2554, Lives!$A$2:$C$35, 2, 0))) * 12) + (IF(ISBLANK(Q2554), 0, IF(ISNA(VLOOKUP(Q2554, Wages!$A$2:$C$17, 2, 0)), Q2554, VLOOKUP(Q2554, Wages!$A$2:$C$17, 2, 0))) * IF(ISBLANK(N2554), 0, IF(ISNA(VLOOKUP(N2554, Crews!$A$2:$C$28, 2, 0)), N2554, VLOOKUP(N2554, Crews!$A$2:$C$28, 2, 0))))) * 400</f>
        <v>1229.166667</v>
      </c>
      <c r="K2554" s="1"/>
      <c r="L2554" s="1" t="s">
        <v>4952</v>
      </c>
      <c r="M2554" s="1" t="n">
        <v>3</v>
      </c>
      <c r="N2554" s="1"/>
      <c r="O2554" s="1"/>
      <c r="P2554" s="1"/>
      <c r="Q2554" s="1"/>
      <c r="R2554" s="1" t="s">
        <v>4419</v>
      </c>
      <c r="S2554" s="1" t="s">
        <v>4470</v>
      </c>
      <c r="T2554" s="1"/>
    </row>
    <row r="2555" customFormat="false" ht="15" hidden="false" customHeight="true" outlineLevel="0" collapsed="false">
      <c r="A2555" s="1" t="s">
        <v>4956</v>
      </c>
      <c r="B2555" s="1" t="n">
        <v>1988</v>
      </c>
      <c r="C2555" s="1" t="n">
        <v>2</v>
      </c>
      <c r="D2555" s="1" t="s">
        <v>38</v>
      </c>
      <c r="E2555" s="1" t="s">
        <v>1346</v>
      </c>
      <c r="F2555" s="1"/>
      <c r="G2555" s="1" t="n">
        <v>160</v>
      </c>
      <c r="H2555" s="2" t="n">
        <v>590000</v>
      </c>
      <c r="I2555" s="2" t="n">
        <f aca="false">(((H2555 / 800) / IF(ISBLANK(R2555), 1000000, IF(ISNA(VLOOKUP(R2555, Mileages!$A$2:$C$34, 2, 0)), R2555, VLOOKUP(R2555, Mileages!$A$2:$C$34, 2, 0)))) + (F2555 * IF(ISBLANK(P2555), 1, P2555) * IF(ISBLANK(T2555), 0, IF(ISNA(VLOOKUP(T2555, 'Fuel Costs'!$A$2:$C$42, 2, 0)), T2555, VLOOKUP(T2555, 'Fuel Costs'!$A$2:$C$42, 2, 0))) / IF(ISBLANK(O2555), 1, O2555))) * 100</f>
        <v>0.03072916667</v>
      </c>
      <c r="J2555" s="2" t="n">
        <f aca="false">((H2555 / 800) / (IF(ISBLANK(S2555), 100, IF(ISNA(VLOOKUP(S2555, Lives!$A$2:$C$35, 2, 0)), S2555, VLOOKUP(S2555, Lives!$A$2:$C$35, 2, 0))) * 12) + (IF(ISBLANK(Q2555), 0, IF(ISNA(VLOOKUP(Q2555, Wages!$A$2:$C$17, 2, 0)), Q2555, VLOOKUP(Q2555, Wages!$A$2:$C$17, 2, 0))) * IF(ISBLANK(N2555), 0, IF(ISNA(VLOOKUP(N2555, Crews!$A$2:$C$28, 2, 0)), N2555, VLOOKUP(N2555, Crews!$A$2:$C$28, 2, 0))))) * 400</f>
        <v>1229.166667</v>
      </c>
      <c r="K2555" s="1"/>
      <c r="L2555" s="1" t="s">
        <v>4952</v>
      </c>
      <c r="M2555" s="1" t="n">
        <v>4</v>
      </c>
      <c r="N2555" s="1"/>
      <c r="O2555" s="1"/>
      <c r="P2555" s="1"/>
      <c r="Q2555" s="1"/>
      <c r="R2555" s="1" t="s">
        <v>4419</v>
      </c>
      <c r="S2555" s="1" t="s">
        <v>4470</v>
      </c>
      <c r="T2555" s="1"/>
    </row>
    <row r="2556" customFormat="false" ht="15" hidden="false" customHeight="true" outlineLevel="0" collapsed="false">
      <c r="A2556" s="1" t="s">
        <v>4957</v>
      </c>
      <c r="B2556" s="1" t="n">
        <v>1988</v>
      </c>
      <c r="C2556" s="1" t="n">
        <v>3</v>
      </c>
      <c r="D2556" s="1" t="s">
        <v>2225</v>
      </c>
      <c r="E2556" s="1" t="s">
        <v>3660</v>
      </c>
      <c r="F2556" s="1" t="n">
        <v>43200</v>
      </c>
      <c r="G2556" s="1" t="n">
        <v>828</v>
      </c>
      <c r="H2556" s="2" t="n">
        <v>50000000</v>
      </c>
      <c r="I2556" s="2" t="n">
        <f aca="false">(((H2556 / 800) / IF(ISBLANK(R2556), 1000000, IF(ISNA(VLOOKUP(R2556, Mileages!$A$2:$C$34, 2, 0)), R2556, VLOOKUP(R2556, Mileages!$A$2:$C$34, 2, 0)))) + (F2556 * IF(ISBLANK(P2556), 1, P2556) * IF(ISBLANK(T2556), 0, IF(ISNA(VLOOKUP(T2556, 'Fuel Costs'!$A$2:$C$42, 2, 0)), T2556, VLOOKUP(T2556, 'Fuel Costs'!$A$2:$C$42, 2, 0))) / IF(ISBLANK(O2556), 1, O2556))) * 100</f>
        <v>173.0083333</v>
      </c>
      <c r="J2556" s="2" t="n">
        <f aca="false">((H2556 / 800) / (IF(ISBLANK(S2556), 100, IF(ISNA(VLOOKUP(S2556, Lives!$A$2:$C$35, 2, 0)), S2556, VLOOKUP(S2556, Lives!$A$2:$C$35, 2, 0))) * 12) + (IF(ISBLANK(Q2556), 0, IF(ISNA(VLOOKUP(Q2556, Wages!$A$2:$C$17, 2, 0)), Q2556, VLOOKUP(Q2556, Wages!$A$2:$C$17, 2, 0))) * IF(ISBLANK(N2556), 0, IF(ISNA(VLOOKUP(N2556, Crews!$A$2:$C$28, 2, 0)), N2556, VLOOKUP(N2556, Crews!$A$2:$C$28, 2, 0))))) * 400</f>
        <v>84722.22222</v>
      </c>
      <c r="K2556" s="3" t="s">
        <v>4958</v>
      </c>
      <c r="L2556" s="1" t="s">
        <v>4959</v>
      </c>
      <c r="M2556" s="1" t="n">
        <v>0</v>
      </c>
      <c r="N2556" s="1" t="s">
        <v>2342</v>
      </c>
      <c r="O2556" s="1"/>
      <c r="P2556" s="1" t="n">
        <v>0.02</v>
      </c>
      <c r="Q2556" s="1" t="s">
        <v>2229</v>
      </c>
      <c r="R2556" s="1" t="s">
        <v>4413</v>
      </c>
      <c r="S2556" s="1" t="s">
        <v>2229</v>
      </c>
      <c r="T2556" s="1" t="s">
        <v>4773</v>
      </c>
    </row>
    <row r="2557" customFormat="false" ht="15" hidden="false" customHeight="true" outlineLevel="0" collapsed="false">
      <c r="A2557" s="1" t="s">
        <v>4960</v>
      </c>
      <c r="B2557" s="1" t="n">
        <v>1988</v>
      </c>
      <c r="C2557" s="1" t="n">
        <v>3</v>
      </c>
      <c r="D2557" s="1" t="s">
        <v>2225</v>
      </c>
      <c r="E2557" s="1" t="s">
        <v>3660</v>
      </c>
      <c r="F2557" s="1" t="n">
        <v>43200</v>
      </c>
      <c r="G2557" s="1" t="n">
        <v>828</v>
      </c>
      <c r="H2557" s="2" t="n">
        <v>50000000</v>
      </c>
      <c r="I2557" s="2" t="n">
        <f aca="false">(((H2557 / 800) / IF(ISBLANK(R2557), 1000000, IF(ISNA(VLOOKUP(R2557, Mileages!$A$2:$C$34, 2, 0)), R2557, VLOOKUP(R2557, Mileages!$A$2:$C$34, 2, 0)))) + (F2557 * IF(ISBLANK(P2557), 1, P2557) * IF(ISBLANK(T2557), 0, IF(ISNA(VLOOKUP(T2557, 'Fuel Costs'!$A$2:$C$42, 2, 0)), T2557, VLOOKUP(T2557, 'Fuel Costs'!$A$2:$C$42, 2, 0))) / IF(ISBLANK(O2557), 1, O2557))) * 100</f>
        <v>173.0083333</v>
      </c>
      <c r="J2557" s="2" t="n">
        <f aca="false">((H2557 / 800) / (IF(ISBLANK(S2557), 100, IF(ISNA(VLOOKUP(S2557, Lives!$A$2:$C$35, 2, 0)), S2557, VLOOKUP(S2557, Lives!$A$2:$C$35, 2, 0))) * 12) + (IF(ISBLANK(Q2557), 0, IF(ISNA(VLOOKUP(Q2557, Wages!$A$2:$C$17, 2, 0)), Q2557, VLOOKUP(Q2557, Wages!$A$2:$C$17, 2, 0))) * IF(ISBLANK(N2557), 0, IF(ISNA(VLOOKUP(N2557, Crews!$A$2:$C$28, 2, 0)), N2557, VLOOKUP(N2557, Crews!$A$2:$C$28, 2, 0))))) * 400</f>
        <v>84722.22222</v>
      </c>
      <c r="K2557" s="3" t="s">
        <v>4958</v>
      </c>
      <c r="L2557" s="1" t="s">
        <v>4959</v>
      </c>
      <c r="M2557" s="1" t="n">
        <v>1</v>
      </c>
      <c r="N2557" s="1" t="s">
        <v>2342</v>
      </c>
      <c r="O2557" s="1"/>
      <c r="P2557" s="1" t="n">
        <v>0.02</v>
      </c>
      <c r="Q2557" s="1" t="s">
        <v>2229</v>
      </c>
      <c r="R2557" s="1" t="s">
        <v>4413</v>
      </c>
      <c r="S2557" s="1" t="s">
        <v>2229</v>
      </c>
      <c r="T2557" s="1" t="s">
        <v>4773</v>
      </c>
    </row>
    <row r="2558" customFormat="false" ht="15" hidden="false" customHeight="true" outlineLevel="0" collapsed="false">
      <c r="A2558" s="1" t="s">
        <v>4961</v>
      </c>
      <c r="B2558" s="1" t="n">
        <v>1988</v>
      </c>
      <c r="C2558" s="1" t="n">
        <v>4</v>
      </c>
      <c r="D2558" s="1" t="s">
        <v>21</v>
      </c>
      <c r="E2558" s="1" t="s">
        <v>2039</v>
      </c>
      <c r="F2558" s="1" t="n">
        <v>279</v>
      </c>
      <c r="G2558" s="1" t="n">
        <v>88</v>
      </c>
      <c r="H2558" s="2" t="n">
        <v>125000</v>
      </c>
      <c r="I2558" s="2" t="n">
        <f aca="false">(((H2558 / 800) / IF(ISBLANK(R2558), 1000000, IF(ISNA(VLOOKUP(R2558, Mileages!$A$2:$C$34, 2, 0)), R2558, VLOOKUP(R2558, Mileages!$A$2:$C$34, 2, 0)))) + (F2558 * IF(ISBLANK(P2558), 1, P2558) * IF(ISBLANK(T2558), 0, IF(ISNA(VLOOKUP(T2558, 'Fuel Costs'!$A$2:$C$42, 2, 0)), T2558, VLOOKUP(T2558, 'Fuel Costs'!$A$2:$C$42, 2, 0))) / IF(ISBLANK(O2558), 1, O2558))) * 100</f>
        <v>83.7078125</v>
      </c>
      <c r="J2558" s="2" t="n">
        <f aca="false">((H2558 / 800) / (IF(ISBLANK(S2558), 100, IF(ISNA(VLOOKUP(S2558, Lives!$A$2:$C$35, 2, 0)), S2558, VLOOKUP(S2558, Lives!$A$2:$C$35, 2, 0))) * 12) + (IF(ISBLANK(Q2558), 0, IF(ISNA(VLOOKUP(Q2558, Wages!$A$2:$C$17, 2, 0)), Q2558, VLOOKUP(Q2558, Wages!$A$2:$C$17, 2, 0))) * IF(ISBLANK(N2558), 0, IF(ISNA(VLOOKUP(N2558, Crews!$A$2:$C$28, 2, 0)), N2558, VLOOKUP(N2558, Crews!$A$2:$C$28, 2, 0))))) * 400</f>
        <v>8065.104167</v>
      </c>
      <c r="K2558" s="1"/>
      <c r="L2558" s="1" t="s">
        <v>4652</v>
      </c>
      <c r="M2558" s="1" t="n">
        <v>2</v>
      </c>
      <c r="N2558" s="1" t="s">
        <v>1815</v>
      </c>
      <c r="O2558" s="1" t="n">
        <v>1</v>
      </c>
      <c r="P2558" s="1"/>
      <c r="Q2558" s="1" t="s">
        <v>1815</v>
      </c>
      <c r="R2558" s="1" t="s">
        <v>4725</v>
      </c>
      <c r="S2558" s="1" t="s">
        <v>1843</v>
      </c>
      <c r="T2558" s="1" t="s">
        <v>4726</v>
      </c>
    </row>
    <row r="2559" customFormat="false" ht="15" hidden="false" customHeight="true" outlineLevel="0" collapsed="false">
      <c r="A2559" s="1" t="s">
        <v>4962</v>
      </c>
      <c r="B2559" s="1" t="n">
        <v>1988</v>
      </c>
      <c r="C2559" s="1" t="n">
        <v>4</v>
      </c>
      <c r="D2559" s="1" t="s">
        <v>21</v>
      </c>
      <c r="E2559" s="1" t="s">
        <v>2039</v>
      </c>
      <c r="F2559" s="1" t="n">
        <v>279</v>
      </c>
      <c r="G2559" s="1" t="n">
        <v>88</v>
      </c>
      <c r="H2559" s="2" t="n">
        <v>125000</v>
      </c>
      <c r="I2559" s="2" t="n">
        <f aca="false">(((H2559 / 800) / IF(ISBLANK(R2559), 1000000, IF(ISNA(VLOOKUP(R2559, Mileages!$A$2:$C$34, 2, 0)), R2559, VLOOKUP(R2559, Mileages!$A$2:$C$34, 2, 0)))) + (F2559 * IF(ISBLANK(P2559), 1, P2559) * IF(ISBLANK(T2559), 0, IF(ISNA(VLOOKUP(T2559, 'Fuel Costs'!$A$2:$C$42, 2, 0)), T2559, VLOOKUP(T2559, 'Fuel Costs'!$A$2:$C$42, 2, 0))) / IF(ISBLANK(O2559), 1, O2559))) * 100</f>
        <v>83.7078125</v>
      </c>
      <c r="J2559" s="2" t="n">
        <f aca="false">((H2559 / 800) / (IF(ISBLANK(S2559), 100, IF(ISNA(VLOOKUP(S2559, Lives!$A$2:$C$35, 2, 0)), S2559, VLOOKUP(S2559, Lives!$A$2:$C$35, 2, 0))) * 12) + (IF(ISBLANK(Q2559), 0, IF(ISNA(VLOOKUP(Q2559, Wages!$A$2:$C$17, 2, 0)), Q2559, VLOOKUP(Q2559, Wages!$A$2:$C$17, 2, 0))) * IF(ISBLANK(N2559), 0, IF(ISNA(VLOOKUP(N2559, Crews!$A$2:$C$28, 2, 0)), N2559, VLOOKUP(N2559, Crews!$A$2:$C$28, 2, 0))))) * 400</f>
        <v>8065.104167</v>
      </c>
      <c r="K2559" s="1"/>
      <c r="L2559" s="1" t="s">
        <v>4652</v>
      </c>
      <c r="M2559" s="1" t="n">
        <v>3</v>
      </c>
      <c r="N2559" s="1" t="s">
        <v>1815</v>
      </c>
      <c r="O2559" s="1" t="n">
        <v>1</v>
      </c>
      <c r="P2559" s="1"/>
      <c r="Q2559" s="1" t="s">
        <v>1815</v>
      </c>
      <c r="R2559" s="1" t="s">
        <v>4725</v>
      </c>
      <c r="S2559" s="1" t="s">
        <v>1843</v>
      </c>
      <c r="T2559" s="1" t="s">
        <v>4726</v>
      </c>
    </row>
    <row r="2560" customFormat="false" ht="15" hidden="false" customHeight="true" outlineLevel="0" collapsed="false">
      <c r="A2560" s="1" t="s">
        <v>4963</v>
      </c>
      <c r="B2560" s="1" t="n">
        <v>1988</v>
      </c>
      <c r="C2560" s="1" t="n">
        <v>4</v>
      </c>
      <c r="D2560" s="1" t="s">
        <v>21</v>
      </c>
      <c r="E2560" s="1" t="s">
        <v>2039</v>
      </c>
      <c r="F2560" s="1" t="n">
        <v>184</v>
      </c>
      <c r="G2560" s="1" t="n">
        <v>88</v>
      </c>
      <c r="H2560" s="2" t="n">
        <v>125000</v>
      </c>
      <c r="I2560" s="2" t="n">
        <f aca="false">(((H2560 / 800) / IF(ISBLANK(R2560), 1000000, IF(ISNA(VLOOKUP(R2560, Mileages!$A$2:$C$34, 2, 0)), R2560, VLOOKUP(R2560, Mileages!$A$2:$C$34, 2, 0)))) + (F2560 * IF(ISBLANK(P2560), 1, P2560) * IF(ISBLANK(T2560), 0, IF(ISNA(VLOOKUP(T2560, 'Fuel Costs'!$A$2:$C$42, 2, 0)), T2560, VLOOKUP(T2560, 'Fuel Costs'!$A$2:$C$42, 2, 0))) / IF(ISBLANK(O2560), 1, O2560))) * 100</f>
        <v>55.2078125</v>
      </c>
      <c r="J2560" s="2" t="n">
        <f aca="false">((H2560 / 800) / (IF(ISBLANK(S2560), 100, IF(ISNA(VLOOKUP(S2560, Lives!$A$2:$C$35, 2, 0)), S2560, VLOOKUP(S2560, Lives!$A$2:$C$35, 2, 0))) * 12) + (IF(ISBLANK(Q2560), 0, IF(ISNA(VLOOKUP(Q2560, Wages!$A$2:$C$17, 2, 0)), Q2560, VLOOKUP(Q2560, Wages!$A$2:$C$17, 2, 0))) * IF(ISBLANK(N2560), 0, IF(ISNA(VLOOKUP(N2560, Crews!$A$2:$C$28, 2, 0)), N2560, VLOOKUP(N2560, Crews!$A$2:$C$28, 2, 0))))) * 400</f>
        <v>8065.104167</v>
      </c>
      <c r="K2560" s="1"/>
      <c r="L2560" s="1" t="s">
        <v>4964</v>
      </c>
      <c r="M2560" s="1" t="n">
        <v>0</v>
      </c>
      <c r="N2560" s="1" t="s">
        <v>1815</v>
      </c>
      <c r="O2560" s="1" t="n">
        <v>1</v>
      </c>
      <c r="P2560" s="1"/>
      <c r="Q2560" s="1" t="s">
        <v>1815</v>
      </c>
      <c r="R2560" s="1" t="s">
        <v>4725</v>
      </c>
      <c r="S2560" s="1" t="s">
        <v>1843</v>
      </c>
      <c r="T2560" s="1" t="s">
        <v>4726</v>
      </c>
    </row>
    <row r="2561" customFormat="false" ht="15" hidden="false" customHeight="true" outlineLevel="0" collapsed="false">
      <c r="A2561" s="1" t="s">
        <v>4965</v>
      </c>
      <c r="B2561" s="1" t="n">
        <v>1988</v>
      </c>
      <c r="C2561" s="1" t="n">
        <v>4</v>
      </c>
      <c r="D2561" s="1" t="s">
        <v>21</v>
      </c>
      <c r="E2561" s="1" t="s">
        <v>2039</v>
      </c>
      <c r="F2561" s="1" t="n">
        <v>184</v>
      </c>
      <c r="G2561" s="1" t="n">
        <v>88</v>
      </c>
      <c r="H2561" s="2" t="n">
        <v>125000</v>
      </c>
      <c r="I2561" s="2" t="n">
        <f aca="false">(((H2561 / 800) / IF(ISBLANK(R2561), 1000000, IF(ISNA(VLOOKUP(R2561, Mileages!$A$2:$C$34, 2, 0)), R2561, VLOOKUP(R2561, Mileages!$A$2:$C$34, 2, 0)))) + (F2561 * IF(ISBLANK(P2561), 1, P2561) * IF(ISBLANK(T2561), 0, IF(ISNA(VLOOKUP(T2561, 'Fuel Costs'!$A$2:$C$42, 2, 0)), T2561, VLOOKUP(T2561, 'Fuel Costs'!$A$2:$C$42, 2, 0))) / IF(ISBLANK(O2561), 1, O2561))) * 100</f>
        <v>55.2078125</v>
      </c>
      <c r="J2561" s="2" t="n">
        <f aca="false">((H2561 / 800) / (IF(ISBLANK(S2561), 100, IF(ISNA(VLOOKUP(S2561, Lives!$A$2:$C$35, 2, 0)), S2561, VLOOKUP(S2561, Lives!$A$2:$C$35, 2, 0))) * 12) + (IF(ISBLANK(Q2561), 0, IF(ISNA(VLOOKUP(Q2561, Wages!$A$2:$C$17, 2, 0)), Q2561, VLOOKUP(Q2561, Wages!$A$2:$C$17, 2, 0))) * IF(ISBLANK(N2561), 0, IF(ISNA(VLOOKUP(N2561, Crews!$A$2:$C$28, 2, 0)), N2561, VLOOKUP(N2561, Crews!$A$2:$C$28, 2, 0))))) * 400</f>
        <v>8065.104167</v>
      </c>
      <c r="K2561" s="1"/>
      <c r="L2561" s="1" t="s">
        <v>4964</v>
      </c>
      <c r="M2561" s="1" t="n">
        <v>1</v>
      </c>
      <c r="N2561" s="1" t="s">
        <v>1815</v>
      </c>
      <c r="O2561" s="1" t="n">
        <v>1</v>
      </c>
      <c r="P2561" s="1"/>
      <c r="Q2561" s="1" t="s">
        <v>1815</v>
      </c>
      <c r="R2561" s="1" t="s">
        <v>4725</v>
      </c>
      <c r="S2561" s="1" t="s">
        <v>1843</v>
      </c>
      <c r="T2561" s="1" t="s">
        <v>4726</v>
      </c>
    </row>
    <row r="2562" customFormat="false" ht="15" hidden="false" customHeight="true" outlineLevel="0" collapsed="false">
      <c r="A2562" s="1" t="s">
        <v>4966</v>
      </c>
      <c r="B2562" s="1" t="n">
        <v>1988</v>
      </c>
      <c r="C2562" s="1" t="n">
        <v>4</v>
      </c>
      <c r="D2562" s="1" t="s">
        <v>21</v>
      </c>
      <c r="E2562" s="1" t="s">
        <v>2039</v>
      </c>
      <c r="F2562" s="1" t="n">
        <v>184</v>
      </c>
      <c r="G2562" s="1" t="n">
        <v>88</v>
      </c>
      <c r="H2562" s="2" t="n">
        <v>125000</v>
      </c>
      <c r="I2562" s="2" t="n">
        <f aca="false">(((H2562 / 800) / IF(ISBLANK(R2562), 1000000, IF(ISNA(VLOOKUP(R2562, Mileages!$A$2:$C$34, 2, 0)), R2562, VLOOKUP(R2562, Mileages!$A$2:$C$34, 2, 0)))) + (F2562 * IF(ISBLANK(P2562), 1, P2562) * IF(ISBLANK(T2562), 0, IF(ISNA(VLOOKUP(T2562, 'Fuel Costs'!$A$2:$C$42, 2, 0)), T2562, VLOOKUP(T2562, 'Fuel Costs'!$A$2:$C$42, 2, 0))) / IF(ISBLANK(O2562), 1, O2562))) * 100</f>
        <v>55.2078125</v>
      </c>
      <c r="J2562" s="2" t="n">
        <f aca="false">((H2562 / 800) / (IF(ISBLANK(S2562), 100, IF(ISNA(VLOOKUP(S2562, Lives!$A$2:$C$35, 2, 0)), S2562, VLOOKUP(S2562, Lives!$A$2:$C$35, 2, 0))) * 12) + (IF(ISBLANK(Q2562), 0, IF(ISNA(VLOOKUP(Q2562, Wages!$A$2:$C$17, 2, 0)), Q2562, VLOOKUP(Q2562, Wages!$A$2:$C$17, 2, 0))) * IF(ISBLANK(N2562), 0, IF(ISNA(VLOOKUP(N2562, Crews!$A$2:$C$28, 2, 0)), N2562, VLOOKUP(N2562, Crews!$A$2:$C$28, 2, 0))))) * 400</f>
        <v>8065.104167</v>
      </c>
      <c r="K2562" s="1"/>
      <c r="L2562" s="1" t="s">
        <v>4964</v>
      </c>
      <c r="M2562" s="1" t="n">
        <v>2</v>
      </c>
      <c r="N2562" s="1" t="s">
        <v>1815</v>
      </c>
      <c r="O2562" s="1" t="n">
        <v>1</v>
      </c>
      <c r="P2562" s="1"/>
      <c r="Q2562" s="1" t="s">
        <v>1815</v>
      </c>
      <c r="R2562" s="1" t="s">
        <v>4725</v>
      </c>
      <c r="S2562" s="1" t="s">
        <v>1843</v>
      </c>
      <c r="T2562" s="1" t="s">
        <v>4726</v>
      </c>
    </row>
    <row r="2563" customFormat="false" ht="15" hidden="false" customHeight="true" outlineLevel="0" collapsed="false">
      <c r="A2563" s="1" t="s">
        <v>4967</v>
      </c>
      <c r="B2563" s="1" t="n">
        <v>1988</v>
      </c>
      <c r="C2563" s="1" t="n">
        <v>4</v>
      </c>
      <c r="D2563" s="1" t="s">
        <v>29</v>
      </c>
      <c r="E2563" s="1" t="s">
        <v>2039</v>
      </c>
      <c r="F2563" s="1" t="n">
        <v>300</v>
      </c>
      <c r="G2563" s="1" t="n">
        <v>45</v>
      </c>
      <c r="H2563" s="2" t="n">
        <v>40000000</v>
      </c>
      <c r="I2563" s="2" t="n">
        <f aca="false">(((H2563 / 800) / IF(ISBLANK(R2563), 1000000, IF(ISNA(VLOOKUP(R2563, Mileages!$A$2:$C$34, 2, 0)), R2563, VLOOKUP(R2563, Mileages!$A$2:$C$34, 2, 0)))) + (F2563 * IF(ISBLANK(P2563), 1, P2563) * IF(ISBLANK(T2563), 0, IF(ISNA(VLOOKUP(T2563, 'Fuel Costs'!$A$2:$C$42, 2, 0)), T2563, VLOOKUP(T2563, 'Fuel Costs'!$A$2:$C$42, 2, 0))) / IF(ISBLANK(O2563), 1, O2563))) * 100</f>
        <v>18.83333333</v>
      </c>
      <c r="J2563" s="2" t="n">
        <f aca="false">((H2563 / 800) / (IF(ISBLANK(S2563), 100, IF(ISNA(VLOOKUP(S2563, Lives!$A$2:$C$35, 2, 0)), S2563, VLOOKUP(S2563, Lives!$A$2:$C$35, 2, 0))) * 12) + (IF(ISBLANK(Q2563), 0, IF(ISNA(VLOOKUP(Q2563, Wages!$A$2:$C$17, 2, 0)), Q2563, VLOOKUP(Q2563, Wages!$A$2:$C$17, 2, 0))) * IF(ISBLANK(N2563), 0, IF(ISNA(VLOOKUP(N2563, Crews!$A$2:$C$28, 2, 0)), N2563, VLOOKUP(N2563, Crews!$A$2:$C$28, 2, 0))))) * 400</f>
        <v>216666.6667</v>
      </c>
      <c r="K2563" s="1"/>
      <c r="L2563" s="1" t="s">
        <v>4968</v>
      </c>
      <c r="M2563" s="1" t="n">
        <v>0</v>
      </c>
      <c r="N2563" s="1" t="s">
        <v>323</v>
      </c>
      <c r="O2563" s="1" t="n">
        <v>1</v>
      </c>
      <c r="P2563" s="1" t="n">
        <v>0.2</v>
      </c>
      <c r="Q2563" s="1" t="s">
        <v>34</v>
      </c>
      <c r="R2563" s="1" t="s">
        <v>3933</v>
      </c>
      <c r="S2563" s="1" t="s">
        <v>574</v>
      </c>
      <c r="T2563" s="1" t="s">
        <v>4726</v>
      </c>
    </row>
    <row r="2564" customFormat="false" ht="15" hidden="false" customHeight="true" outlineLevel="0" collapsed="false">
      <c r="A2564" s="1" t="s">
        <v>4969</v>
      </c>
      <c r="B2564" s="1" t="n">
        <v>1988</v>
      </c>
      <c r="C2564" s="1" t="n">
        <v>5</v>
      </c>
      <c r="D2564" s="1" t="s">
        <v>2225</v>
      </c>
      <c r="E2564" s="1" t="s">
        <v>3660</v>
      </c>
      <c r="F2564" s="1" t="n">
        <v>3956</v>
      </c>
      <c r="G2564" s="1" t="n">
        <v>437</v>
      </c>
      <c r="H2564" s="2" t="n">
        <v>9900000</v>
      </c>
      <c r="I2564" s="2" t="n">
        <f aca="false">(((H2564 / 800) / IF(ISBLANK(R2564), 1000000, IF(ISNA(VLOOKUP(R2564, Mileages!$A$2:$C$34, 2, 0)), R2564, VLOOKUP(R2564, Mileages!$A$2:$C$34, 2, 0)))) + (F2564 * IF(ISBLANK(P2564), 1, P2564) * IF(ISBLANK(T2564), 0, IF(ISNA(VLOOKUP(T2564, 'Fuel Costs'!$A$2:$C$42, 2, 0)), T2564, VLOOKUP(T2564, 'Fuel Costs'!$A$2:$C$42, 2, 0))) / IF(ISBLANK(O2564), 1, O2564))) * 100</f>
        <v>15.86525</v>
      </c>
      <c r="J2564" s="2" t="n">
        <f aca="false">((H2564 / 800) / (IF(ISBLANK(S2564), 100, IF(ISNA(VLOOKUP(S2564, Lives!$A$2:$C$35, 2, 0)), S2564, VLOOKUP(S2564, Lives!$A$2:$C$35, 2, 0))) * 12) + (IF(ISBLANK(Q2564), 0, IF(ISNA(VLOOKUP(Q2564, Wages!$A$2:$C$17, 2, 0)), Q2564, VLOOKUP(Q2564, Wages!$A$2:$C$17, 2, 0))) * IF(ISBLANK(N2564), 0, IF(ISNA(VLOOKUP(N2564, Crews!$A$2:$C$28, 2, 0)), N2564, VLOOKUP(N2564, Crews!$A$2:$C$28, 2, 0))))) * 400</f>
        <v>56875</v>
      </c>
      <c r="K2564" s="3" t="s">
        <v>4970</v>
      </c>
      <c r="L2564" s="1" t="s">
        <v>4971</v>
      </c>
      <c r="M2564" s="1" t="n">
        <v>0</v>
      </c>
      <c r="N2564" s="1" t="s">
        <v>2342</v>
      </c>
      <c r="O2564" s="1"/>
      <c r="P2564" s="1" t="n">
        <v>0.02</v>
      </c>
      <c r="Q2564" s="1" t="s">
        <v>2229</v>
      </c>
      <c r="R2564" s="1" t="s">
        <v>4413</v>
      </c>
      <c r="S2564" s="1" t="s">
        <v>2229</v>
      </c>
      <c r="T2564" s="1" t="s">
        <v>4773</v>
      </c>
    </row>
    <row r="2565" customFormat="false" ht="15" hidden="false" customHeight="true" outlineLevel="0" collapsed="false">
      <c r="A2565" s="1" t="s">
        <v>4972</v>
      </c>
      <c r="B2565" s="1" t="n">
        <v>1988</v>
      </c>
      <c r="C2565" s="1" t="n">
        <v>5</v>
      </c>
      <c r="D2565" s="1" t="s">
        <v>2225</v>
      </c>
      <c r="E2565" s="1" t="s">
        <v>3660</v>
      </c>
      <c r="F2565" s="1" t="n">
        <v>3956</v>
      </c>
      <c r="G2565" s="1" t="n">
        <v>437</v>
      </c>
      <c r="H2565" s="2" t="n">
        <v>9900000</v>
      </c>
      <c r="I2565" s="2" t="n">
        <f aca="false">(((H2565 / 800) / IF(ISBLANK(R2565), 1000000, IF(ISNA(VLOOKUP(R2565, Mileages!$A$2:$C$34, 2, 0)), R2565, VLOOKUP(R2565, Mileages!$A$2:$C$34, 2, 0)))) + (F2565 * IF(ISBLANK(P2565), 1, P2565) * IF(ISBLANK(T2565), 0, IF(ISNA(VLOOKUP(T2565, 'Fuel Costs'!$A$2:$C$42, 2, 0)), T2565, VLOOKUP(T2565, 'Fuel Costs'!$A$2:$C$42, 2, 0))) / IF(ISBLANK(O2565), 1, O2565))) * 100</f>
        <v>15.86525</v>
      </c>
      <c r="J2565" s="2" t="n">
        <f aca="false">((H2565 / 800) / (IF(ISBLANK(S2565), 100, IF(ISNA(VLOOKUP(S2565, Lives!$A$2:$C$35, 2, 0)), S2565, VLOOKUP(S2565, Lives!$A$2:$C$35, 2, 0))) * 12) + (IF(ISBLANK(Q2565), 0, IF(ISNA(VLOOKUP(Q2565, Wages!$A$2:$C$17, 2, 0)), Q2565, VLOOKUP(Q2565, Wages!$A$2:$C$17, 2, 0))) * IF(ISBLANK(N2565), 0, IF(ISNA(VLOOKUP(N2565, Crews!$A$2:$C$28, 2, 0)), N2565, VLOOKUP(N2565, Crews!$A$2:$C$28, 2, 0))))) * 400</f>
        <v>56875</v>
      </c>
      <c r="K2565" s="3" t="s">
        <v>4973</v>
      </c>
      <c r="L2565" s="1" t="s">
        <v>4971</v>
      </c>
      <c r="M2565" s="1" t="n">
        <v>1</v>
      </c>
      <c r="N2565" s="1" t="s">
        <v>2342</v>
      </c>
      <c r="O2565" s="1"/>
      <c r="P2565" s="1" t="n">
        <v>0.02</v>
      </c>
      <c r="Q2565" s="1" t="s">
        <v>2229</v>
      </c>
      <c r="R2565" s="1" t="s">
        <v>4413</v>
      </c>
      <c r="S2565" s="1" t="s">
        <v>2229</v>
      </c>
      <c r="T2565" s="1" t="s">
        <v>4773</v>
      </c>
    </row>
    <row r="2566" customFormat="false" ht="15" hidden="false" customHeight="true" outlineLevel="0" collapsed="false">
      <c r="A2566" s="1" t="s">
        <v>4974</v>
      </c>
      <c r="B2566" s="1" t="n">
        <v>1988</v>
      </c>
      <c r="C2566" s="1" t="n">
        <v>5</v>
      </c>
      <c r="D2566" s="1" t="s">
        <v>21</v>
      </c>
      <c r="E2566" s="1" t="s">
        <v>2039</v>
      </c>
      <c r="F2566" s="1" t="n">
        <v>185</v>
      </c>
      <c r="G2566" s="1" t="n">
        <v>64</v>
      </c>
      <c r="H2566" s="2" t="n">
        <v>2590000</v>
      </c>
      <c r="I2566" s="2" t="n">
        <f aca="false">(((H2566 / 800) / IF(ISBLANK(R2566), 1000000, IF(ISNA(VLOOKUP(R2566, Mileages!$A$2:$C$34, 2, 0)), R2566, VLOOKUP(R2566, Mileages!$A$2:$C$34, 2, 0)))) + (F2566 * IF(ISBLANK(P2566), 1, P2566) * IF(ISBLANK(T2566), 0, IF(ISNA(VLOOKUP(T2566, 'Fuel Costs'!$A$2:$C$42, 2, 0)), T2566, VLOOKUP(T2566, 'Fuel Costs'!$A$2:$C$42, 2, 0))) / IF(ISBLANK(O2566), 1, O2566))) * 100</f>
        <v>55.661875</v>
      </c>
      <c r="J2566" s="2" t="n">
        <f aca="false">((H2566 / 800) / (IF(ISBLANK(S2566), 100, IF(ISNA(VLOOKUP(S2566, Lives!$A$2:$C$35, 2, 0)), S2566, VLOOKUP(S2566, Lives!$A$2:$C$35, 2, 0))) * 12) + (IF(ISBLANK(Q2566), 0, IF(ISNA(VLOOKUP(Q2566, Wages!$A$2:$C$17, 2, 0)), Q2566, VLOOKUP(Q2566, Wages!$A$2:$C$17, 2, 0))) * IF(ISBLANK(N2566), 0, IF(ISNA(VLOOKUP(N2566, Crews!$A$2:$C$28, 2, 0)), N2566, VLOOKUP(N2566, Crews!$A$2:$C$28, 2, 0))))) * 400</f>
        <v>9348.958333</v>
      </c>
      <c r="K2566" s="3" t="s">
        <v>4975</v>
      </c>
      <c r="L2566" s="1" t="s">
        <v>4976</v>
      </c>
      <c r="M2566" s="1" t="n">
        <v>0</v>
      </c>
      <c r="N2566" s="1" t="s">
        <v>1815</v>
      </c>
      <c r="O2566" s="1" t="n">
        <v>1</v>
      </c>
      <c r="P2566" s="1"/>
      <c r="Q2566" s="1" t="s">
        <v>1815</v>
      </c>
      <c r="R2566" s="1" t="s">
        <v>4725</v>
      </c>
      <c r="S2566" s="1" t="s">
        <v>1843</v>
      </c>
      <c r="T2566" s="1" t="s">
        <v>4726</v>
      </c>
    </row>
    <row r="2567" customFormat="false" ht="15" hidden="false" customHeight="true" outlineLevel="0" collapsed="false">
      <c r="A2567" s="1" t="s">
        <v>4977</v>
      </c>
      <c r="B2567" s="1" t="n">
        <v>1988</v>
      </c>
      <c r="C2567" s="1" t="n">
        <v>9</v>
      </c>
      <c r="D2567" s="1" t="s">
        <v>2225</v>
      </c>
      <c r="E2567" s="1" t="s">
        <v>3660</v>
      </c>
      <c r="F2567" s="1" t="n">
        <v>35280</v>
      </c>
      <c r="G2567" s="1" t="n">
        <v>813</v>
      </c>
      <c r="H2567" s="2" t="n">
        <v>46750000</v>
      </c>
      <c r="I2567" s="2" t="n">
        <f aca="false">(((H2567 / 800) / IF(ISBLANK(R2567), 1000000, IF(ISNA(VLOOKUP(R2567, Mileages!$A$2:$C$34, 2, 0)), R2567, VLOOKUP(R2567, Mileages!$A$2:$C$34, 2, 0)))) + (F2567 * IF(ISBLANK(P2567), 1, P2567) * IF(ISBLANK(T2567), 0, IF(ISNA(VLOOKUP(T2567, 'Fuel Costs'!$A$2:$C$42, 2, 0)), T2567, VLOOKUP(T2567, 'Fuel Costs'!$A$2:$C$42, 2, 0))) / IF(ISBLANK(O2567), 1, O2567))) * 100</f>
        <v>141.3147917</v>
      </c>
      <c r="J2567" s="2" t="n">
        <f aca="false">((H2567 / 800) / (IF(ISBLANK(S2567), 100, IF(ISNA(VLOOKUP(S2567, Lives!$A$2:$C$35, 2, 0)), S2567, VLOOKUP(S2567, Lives!$A$2:$C$35, 2, 0))) * 12) + (IF(ISBLANK(Q2567), 0, IF(ISNA(VLOOKUP(Q2567, Wages!$A$2:$C$17, 2, 0)), Q2567, VLOOKUP(Q2567, Wages!$A$2:$C$17, 2, 0))) * IF(ISBLANK(N2567), 0, IF(ISNA(VLOOKUP(N2567, Crews!$A$2:$C$28, 2, 0)), N2567, VLOOKUP(N2567, Crews!$A$2:$C$28, 2, 0))))) * 400</f>
        <v>82465.27778</v>
      </c>
      <c r="K2567" s="3" t="s">
        <v>4978</v>
      </c>
      <c r="L2567" s="1" t="s">
        <v>4979</v>
      </c>
      <c r="M2567" s="1" t="n">
        <v>0</v>
      </c>
      <c r="N2567" s="1" t="s">
        <v>2342</v>
      </c>
      <c r="O2567" s="1"/>
      <c r="P2567" s="1" t="n">
        <v>0.02</v>
      </c>
      <c r="Q2567" s="1" t="s">
        <v>2229</v>
      </c>
      <c r="R2567" s="1" t="s">
        <v>4413</v>
      </c>
      <c r="S2567" s="1" t="s">
        <v>2229</v>
      </c>
      <c r="T2567" s="1" t="s">
        <v>4773</v>
      </c>
    </row>
    <row r="2568" customFormat="false" ht="15" hidden="false" customHeight="true" outlineLevel="0" collapsed="false">
      <c r="A2568" s="1" t="s">
        <v>4980</v>
      </c>
      <c r="B2568" s="1" t="n">
        <v>1988</v>
      </c>
      <c r="C2568" s="1" t="n">
        <v>9</v>
      </c>
      <c r="D2568" s="1" t="s">
        <v>2225</v>
      </c>
      <c r="E2568" s="1" t="s">
        <v>3660</v>
      </c>
      <c r="F2568" s="1" t="n">
        <v>35280</v>
      </c>
      <c r="G2568" s="1" t="n">
        <v>813</v>
      </c>
      <c r="H2568" s="2" t="n">
        <v>46750000</v>
      </c>
      <c r="I2568" s="2" t="n">
        <f aca="false">(((H2568 / 800) / IF(ISBLANK(R2568), 1000000, IF(ISNA(VLOOKUP(R2568, Mileages!$A$2:$C$34, 2, 0)), R2568, VLOOKUP(R2568, Mileages!$A$2:$C$34, 2, 0)))) + (F2568 * IF(ISBLANK(P2568), 1, P2568) * IF(ISBLANK(T2568), 0, IF(ISNA(VLOOKUP(T2568, 'Fuel Costs'!$A$2:$C$42, 2, 0)), T2568, VLOOKUP(T2568, 'Fuel Costs'!$A$2:$C$42, 2, 0))) / IF(ISBLANK(O2568), 1, O2568))) * 100</f>
        <v>141.3147917</v>
      </c>
      <c r="J2568" s="2" t="n">
        <f aca="false">((H2568 / 800) / (IF(ISBLANK(S2568), 100, IF(ISNA(VLOOKUP(S2568, Lives!$A$2:$C$35, 2, 0)), S2568, VLOOKUP(S2568, Lives!$A$2:$C$35, 2, 0))) * 12) + (IF(ISBLANK(Q2568), 0, IF(ISNA(VLOOKUP(Q2568, Wages!$A$2:$C$17, 2, 0)), Q2568, VLOOKUP(Q2568, Wages!$A$2:$C$17, 2, 0))) * IF(ISBLANK(N2568), 0, IF(ISNA(VLOOKUP(N2568, Crews!$A$2:$C$28, 2, 0)), N2568, VLOOKUP(N2568, Crews!$A$2:$C$28, 2, 0))))) * 400</f>
        <v>82465.27778</v>
      </c>
      <c r="K2568" s="3" t="s">
        <v>4981</v>
      </c>
      <c r="L2568" s="1" t="s">
        <v>4979</v>
      </c>
      <c r="M2568" s="1" t="n">
        <v>1</v>
      </c>
      <c r="N2568" s="1" t="s">
        <v>2342</v>
      </c>
      <c r="O2568" s="1"/>
      <c r="P2568" s="1" t="n">
        <v>0.02</v>
      </c>
      <c r="Q2568" s="1" t="s">
        <v>2229</v>
      </c>
      <c r="R2568" s="1" t="s">
        <v>4413</v>
      </c>
      <c r="S2568" s="1" t="s">
        <v>2229</v>
      </c>
      <c r="T2568" s="1" t="s">
        <v>4773</v>
      </c>
    </row>
    <row r="2569" customFormat="false" ht="15" hidden="false" customHeight="true" outlineLevel="0" collapsed="false">
      <c r="A2569" s="1" t="s">
        <v>4982</v>
      </c>
      <c r="B2569" s="1" t="n">
        <v>1988</v>
      </c>
      <c r="C2569" s="1" t="n">
        <v>12</v>
      </c>
      <c r="D2569" s="1" t="s">
        <v>2225</v>
      </c>
      <c r="E2569" s="1" t="s">
        <v>3660</v>
      </c>
      <c r="F2569" s="1" t="n">
        <v>22500</v>
      </c>
      <c r="G2569" s="1" t="n">
        <v>775</v>
      </c>
      <c r="H2569" s="2" t="n">
        <v>16000000</v>
      </c>
      <c r="I2569" s="2" t="n">
        <f aca="false">(((H2569 / 800) / IF(ISBLANK(R2569), 1000000, IF(ISNA(VLOOKUP(R2569, Mileages!$A$2:$C$34, 2, 0)), R2569, VLOOKUP(R2569, Mileages!$A$2:$C$34, 2, 0)))) + (F2569 * IF(ISBLANK(P2569), 1, P2569) * IF(ISBLANK(T2569), 0, IF(ISNA(VLOOKUP(T2569, 'Fuel Costs'!$A$2:$C$42, 2, 0)), T2569, VLOOKUP(T2569, 'Fuel Costs'!$A$2:$C$42, 2, 0))) / IF(ISBLANK(O2569), 1, O2569))) * 100</f>
        <v>90.06666667</v>
      </c>
      <c r="J2569" s="2" t="n">
        <f aca="false">((H2569 / 800) / (IF(ISBLANK(S2569), 100, IF(ISNA(VLOOKUP(S2569, Lives!$A$2:$C$35, 2, 0)), S2569, VLOOKUP(S2569, Lives!$A$2:$C$35, 2, 0))) * 12) + (IF(ISBLANK(Q2569), 0, IF(ISNA(VLOOKUP(Q2569, Wages!$A$2:$C$17, 2, 0)), Q2569, VLOOKUP(Q2569, Wages!$A$2:$C$17, 2, 0))) * IF(ISBLANK(N2569), 0, IF(ISNA(VLOOKUP(N2569, Crews!$A$2:$C$28, 2, 0)), N2569, VLOOKUP(N2569, Crews!$A$2:$C$28, 2, 0))))) * 400</f>
        <v>31111.11111</v>
      </c>
      <c r="K2569" s="3" t="s">
        <v>4983</v>
      </c>
      <c r="L2569" s="1" t="s">
        <v>4984</v>
      </c>
      <c r="M2569" s="1" t="n">
        <v>0</v>
      </c>
      <c r="N2569" s="1" t="s">
        <v>3570</v>
      </c>
      <c r="O2569" s="1"/>
      <c r="P2569" s="1" t="n">
        <v>0.02</v>
      </c>
      <c r="Q2569" s="1" t="s">
        <v>2229</v>
      </c>
      <c r="R2569" s="1" t="s">
        <v>4413</v>
      </c>
      <c r="S2569" s="1" t="s">
        <v>2229</v>
      </c>
      <c r="T2569" s="1" t="s">
        <v>4773</v>
      </c>
    </row>
    <row r="2570" customFormat="false" ht="15" hidden="false" customHeight="true" outlineLevel="0" collapsed="false">
      <c r="A2570" s="1" t="s">
        <v>4985</v>
      </c>
      <c r="B2570" s="1" t="n">
        <v>1988</v>
      </c>
      <c r="C2570" s="1" t="n">
        <v>12</v>
      </c>
      <c r="D2570" s="1" t="s">
        <v>2225</v>
      </c>
      <c r="E2570" s="1" t="s">
        <v>3660</v>
      </c>
      <c r="F2570" s="1" t="n">
        <v>22500</v>
      </c>
      <c r="G2570" s="1" t="n">
        <v>775</v>
      </c>
      <c r="H2570" s="2" t="n">
        <v>16000000</v>
      </c>
      <c r="I2570" s="2" t="n">
        <f aca="false">(((H2570 / 800) / IF(ISBLANK(R2570), 1000000, IF(ISNA(VLOOKUP(R2570, Mileages!$A$2:$C$34, 2, 0)), R2570, VLOOKUP(R2570, Mileages!$A$2:$C$34, 2, 0)))) + (F2570 * IF(ISBLANK(P2570), 1, P2570) * IF(ISBLANK(T2570), 0, IF(ISNA(VLOOKUP(T2570, 'Fuel Costs'!$A$2:$C$42, 2, 0)), T2570, VLOOKUP(T2570, 'Fuel Costs'!$A$2:$C$42, 2, 0))) / IF(ISBLANK(O2570), 1, O2570))) * 100</f>
        <v>90.06666667</v>
      </c>
      <c r="J2570" s="2" t="n">
        <f aca="false">((H2570 / 800) / (IF(ISBLANK(S2570), 100, IF(ISNA(VLOOKUP(S2570, Lives!$A$2:$C$35, 2, 0)), S2570, VLOOKUP(S2570, Lives!$A$2:$C$35, 2, 0))) * 12) + (IF(ISBLANK(Q2570), 0, IF(ISNA(VLOOKUP(Q2570, Wages!$A$2:$C$17, 2, 0)), Q2570, VLOOKUP(Q2570, Wages!$A$2:$C$17, 2, 0))) * IF(ISBLANK(N2570), 0, IF(ISNA(VLOOKUP(N2570, Crews!$A$2:$C$28, 2, 0)), N2570, VLOOKUP(N2570, Crews!$A$2:$C$28, 2, 0))))) * 400</f>
        <v>31111.11111</v>
      </c>
      <c r="K2570" s="3" t="s">
        <v>4983</v>
      </c>
      <c r="L2570" s="1" t="s">
        <v>4984</v>
      </c>
      <c r="M2570" s="1" t="n">
        <v>1</v>
      </c>
      <c r="N2570" s="1" t="s">
        <v>3570</v>
      </c>
      <c r="O2570" s="1"/>
      <c r="P2570" s="1" t="n">
        <v>0.02</v>
      </c>
      <c r="Q2570" s="1" t="s">
        <v>2229</v>
      </c>
      <c r="R2570" s="1" t="s">
        <v>4413</v>
      </c>
      <c r="S2570" s="1" t="s">
        <v>2229</v>
      </c>
      <c r="T2570" s="1" t="s">
        <v>4773</v>
      </c>
    </row>
    <row r="2571" customFormat="false" ht="15" hidden="false" customHeight="true" outlineLevel="0" collapsed="false">
      <c r="A2571" s="1" t="s">
        <v>4986</v>
      </c>
      <c r="B2571" s="1" t="n">
        <v>1988</v>
      </c>
      <c r="C2571" s="1" t="n">
        <v>12</v>
      </c>
      <c r="D2571" s="1" t="s">
        <v>2225</v>
      </c>
      <c r="E2571" s="1" t="s">
        <v>3660</v>
      </c>
      <c r="F2571" s="1" t="n">
        <v>22500</v>
      </c>
      <c r="G2571" s="1" t="n">
        <v>775</v>
      </c>
      <c r="H2571" s="2" t="n">
        <v>16000000</v>
      </c>
      <c r="I2571" s="2" t="n">
        <f aca="false">(((H2571 / 800) / IF(ISBLANK(R2571), 1000000, IF(ISNA(VLOOKUP(R2571, Mileages!$A$2:$C$34, 2, 0)), R2571, VLOOKUP(R2571, Mileages!$A$2:$C$34, 2, 0)))) + (F2571 * IF(ISBLANK(P2571), 1, P2571) * IF(ISBLANK(T2571), 0, IF(ISNA(VLOOKUP(T2571, 'Fuel Costs'!$A$2:$C$42, 2, 0)), T2571, VLOOKUP(T2571, 'Fuel Costs'!$A$2:$C$42, 2, 0))) / IF(ISBLANK(O2571), 1, O2571))) * 100</f>
        <v>90.06666667</v>
      </c>
      <c r="J2571" s="2" t="n">
        <f aca="false">((H2571 / 800) / (IF(ISBLANK(S2571), 100, IF(ISNA(VLOOKUP(S2571, Lives!$A$2:$C$35, 2, 0)), S2571, VLOOKUP(S2571, Lives!$A$2:$C$35, 2, 0))) * 12) + (IF(ISBLANK(Q2571), 0, IF(ISNA(VLOOKUP(Q2571, Wages!$A$2:$C$17, 2, 0)), Q2571, VLOOKUP(Q2571, Wages!$A$2:$C$17, 2, 0))) * IF(ISBLANK(N2571), 0, IF(ISNA(VLOOKUP(N2571, Crews!$A$2:$C$28, 2, 0)), N2571, VLOOKUP(N2571, Crews!$A$2:$C$28, 2, 0))))) * 400</f>
        <v>31111.11111</v>
      </c>
      <c r="K2571" s="3" t="s">
        <v>4983</v>
      </c>
      <c r="L2571" s="1" t="s">
        <v>4984</v>
      </c>
      <c r="M2571" s="1" t="n">
        <v>2</v>
      </c>
      <c r="N2571" s="1" t="s">
        <v>3570</v>
      </c>
      <c r="O2571" s="1"/>
      <c r="P2571" s="1" t="n">
        <v>0.02</v>
      </c>
      <c r="Q2571" s="1" t="s">
        <v>2229</v>
      </c>
      <c r="R2571" s="1" t="s">
        <v>4413</v>
      </c>
      <c r="S2571" s="1" t="s">
        <v>2229</v>
      </c>
      <c r="T2571" s="1" t="s">
        <v>4773</v>
      </c>
    </row>
    <row r="2572" customFormat="false" ht="15" hidden="false" customHeight="true" outlineLevel="0" collapsed="false">
      <c r="A2572" s="1" t="s">
        <v>4987</v>
      </c>
      <c r="B2572" s="1" t="n">
        <v>1988</v>
      </c>
      <c r="C2572" s="1" t="n">
        <v>12</v>
      </c>
      <c r="D2572" s="1" t="s">
        <v>2225</v>
      </c>
      <c r="E2572" s="1" t="s">
        <v>3660</v>
      </c>
      <c r="F2572" s="1" t="n">
        <v>22500</v>
      </c>
      <c r="G2572" s="1" t="n">
        <v>775</v>
      </c>
      <c r="H2572" s="2" t="n">
        <v>18000000</v>
      </c>
      <c r="I2572" s="2" t="n">
        <f aca="false">(((H2572 / 800) / IF(ISBLANK(R2572), 1000000, IF(ISNA(VLOOKUP(R2572, Mileages!$A$2:$C$34, 2, 0)), R2572, VLOOKUP(R2572, Mileages!$A$2:$C$34, 2, 0)))) + (F2572 * IF(ISBLANK(P2572), 1, P2572) * IF(ISBLANK(T2572), 0, IF(ISNA(VLOOKUP(T2572, 'Fuel Costs'!$A$2:$C$42, 2, 0)), T2572, VLOOKUP(T2572, 'Fuel Costs'!$A$2:$C$42, 2, 0))) / IF(ISBLANK(O2572), 1, O2572))) * 100</f>
        <v>90.075</v>
      </c>
      <c r="J2572" s="2" t="n">
        <f aca="false">((H2572 / 800) / (IF(ISBLANK(S2572), 100, IF(ISNA(VLOOKUP(S2572, Lives!$A$2:$C$35, 2, 0)), S2572, VLOOKUP(S2572, Lives!$A$2:$C$35, 2, 0))) * 12) + (IF(ISBLANK(Q2572), 0, IF(ISNA(VLOOKUP(Q2572, Wages!$A$2:$C$17, 2, 0)), Q2572, VLOOKUP(Q2572, Wages!$A$2:$C$17, 2, 0))) * IF(ISBLANK(N2572), 0, IF(ISNA(VLOOKUP(N2572, Crews!$A$2:$C$28, 2, 0)), N2572, VLOOKUP(N2572, Crews!$A$2:$C$28, 2, 0))))) * 400</f>
        <v>62500</v>
      </c>
      <c r="K2572" s="3" t="s">
        <v>4988</v>
      </c>
      <c r="L2572" s="1" t="s">
        <v>4989</v>
      </c>
      <c r="M2572" s="1" t="n">
        <v>0</v>
      </c>
      <c r="N2572" s="1" t="s">
        <v>2342</v>
      </c>
      <c r="O2572" s="1"/>
      <c r="P2572" s="1" t="n">
        <v>0.02</v>
      </c>
      <c r="Q2572" s="1" t="s">
        <v>2229</v>
      </c>
      <c r="R2572" s="1" t="s">
        <v>4413</v>
      </c>
      <c r="S2572" s="1" t="s">
        <v>2229</v>
      </c>
      <c r="T2572" s="1" t="s">
        <v>4773</v>
      </c>
    </row>
    <row r="2573" customFormat="false" ht="15" hidden="false" customHeight="true" outlineLevel="0" collapsed="false">
      <c r="A2573" s="1" t="s">
        <v>4990</v>
      </c>
      <c r="B2573" s="1" t="n">
        <v>1989</v>
      </c>
      <c r="C2573" s="1" t="n">
        <v>1</v>
      </c>
      <c r="D2573" s="1" t="s">
        <v>21</v>
      </c>
      <c r="E2573" s="1" t="s">
        <v>2039</v>
      </c>
      <c r="F2573" s="1" t="n">
        <v>123</v>
      </c>
      <c r="G2573" s="1" t="n">
        <v>64</v>
      </c>
      <c r="H2573" s="2" t="n">
        <v>3500000</v>
      </c>
      <c r="I2573" s="2" t="n">
        <f aca="false">(((H2573 / 800) / IF(ISBLANK(R2573), 1000000, IF(ISNA(VLOOKUP(R2573, Mileages!$A$2:$C$34, 2, 0)), R2573, VLOOKUP(R2573, Mileages!$A$2:$C$34, 2, 0)))) + (F2573 * IF(ISBLANK(P2573), 1, P2573) * IF(ISBLANK(T2573), 0, IF(ISNA(VLOOKUP(T2573, 'Fuel Costs'!$A$2:$C$42, 2, 0)), T2573, VLOOKUP(T2573, 'Fuel Costs'!$A$2:$C$42, 2, 0))) / IF(ISBLANK(O2573), 1, O2573))) * 100</f>
        <v>37.11875</v>
      </c>
      <c r="J2573" s="2" t="n">
        <f aca="false">((H2573 / 800) / (IF(ISBLANK(S2573), 100, IF(ISNA(VLOOKUP(S2573, Lives!$A$2:$C$35, 2, 0)), S2573, VLOOKUP(S2573, Lives!$A$2:$C$35, 2, 0))) * 12) + (IF(ISBLANK(Q2573), 0, IF(ISNA(VLOOKUP(Q2573, Wages!$A$2:$C$17, 2, 0)), Q2573, VLOOKUP(Q2573, Wages!$A$2:$C$17, 2, 0))) * IF(ISBLANK(N2573), 0, IF(ISNA(VLOOKUP(N2573, Crews!$A$2:$C$28, 2, 0)), N2573, VLOOKUP(N2573, Crews!$A$2:$C$28, 2, 0))))) * 400</f>
        <v>9822.916667</v>
      </c>
      <c r="K2573" s="3" t="s">
        <v>4991</v>
      </c>
      <c r="L2573" s="1" t="s">
        <v>4992</v>
      </c>
      <c r="M2573" s="1" t="n">
        <v>0</v>
      </c>
      <c r="N2573" s="1" t="s">
        <v>1815</v>
      </c>
      <c r="O2573" s="1" t="n">
        <v>1</v>
      </c>
      <c r="P2573" s="1"/>
      <c r="Q2573" s="1" t="s">
        <v>1815</v>
      </c>
      <c r="R2573" s="1" t="s">
        <v>4725</v>
      </c>
      <c r="S2573" s="1" t="s">
        <v>1843</v>
      </c>
      <c r="T2573" s="1" t="s">
        <v>4726</v>
      </c>
    </row>
    <row r="2574" customFormat="false" ht="15" hidden="false" customHeight="true" outlineLevel="0" collapsed="false">
      <c r="A2574" s="1" t="s">
        <v>4993</v>
      </c>
      <c r="B2574" s="1" t="n">
        <v>1989</v>
      </c>
      <c r="C2574" s="1" t="n">
        <v>1</v>
      </c>
      <c r="D2574" s="1" t="s">
        <v>38</v>
      </c>
      <c r="E2574" s="1"/>
      <c r="F2574" s="1"/>
      <c r="G2574" s="1" t="n">
        <v>225</v>
      </c>
      <c r="H2574" s="2" t="n">
        <v>592000</v>
      </c>
      <c r="I2574" s="2" t="n">
        <f aca="false">(((H2574 / 800) / IF(ISBLANK(R2574), 1000000, IF(ISNA(VLOOKUP(R2574, Mileages!$A$2:$C$34, 2, 0)), R2574, VLOOKUP(R2574, Mileages!$A$2:$C$34, 2, 0)))) + (F2574 * IF(ISBLANK(P2574), 1, P2574) * IF(ISBLANK(T2574), 0, IF(ISNA(VLOOKUP(T2574, 'Fuel Costs'!$A$2:$C$42, 2, 0)), T2574, VLOOKUP(T2574, 'Fuel Costs'!$A$2:$C$42, 2, 0))) / IF(ISBLANK(O2574), 1, O2574))) * 100</f>
        <v>0.03083333333</v>
      </c>
      <c r="J2574" s="2" t="n">
        <f aca="false">((H2574 / 800) / (IF(ISBLANK(S2574), 100, IF(ISNA(VLOOKUP(S2574, Lives!$A$2:$C$35, 2, 0)), S2574, VLOOKUP(S2574, Lives!$A$2:$C$35, 2, 0))) * 12) + (IF(ISBLANK(Q2574), 0, IF(ISNA(VLOOKUP(Q2574, Wages!$A$2:$C$17, 2, 0)), Q2574, VLOOKUP(Q2574, Wages!$A$2:$C$17, 2, 0))) * IF(ISBLANK(N2574), 0, IF(ISNA(VLOOKUP(N2574, Crews!$A$2:$C$28, 2, 0)), N2574, VLOOKUP(N2574, Crews!$A$2:$C$28, 2, 0))))) * 400</f>
        <v>1233.333333</v>
      </c>
      <c r="K2574" s="1"/>
      <c r="L2574" s="1" t="s">
        <v>4931</v>
      </c>
      <c r="M2574" s="1" t="n">
        <v>1</v>
      </c>
      <c r="N2574" s="1"/>
      <c r="O2574" s="1"/>
      <c r="P2574" s="1"/>
      <c r="Q2574" s="1"/>
      <c r="R2574" s="1" t="s">
        <v>4419</v>
      </c>
      <c r="S2574" s="1" t="s">
        <v>4470</v>
      </c>
      <c r="T2574" s="1"/>
    </row>
    <row r="2575" customFormat="false" ht="15" hidden="false" customHeight="true" outlineLevel="0" collapsed="false">
      <c r="A2575" s="1" t="s">
        <v>4994</v>
      </c>
      <c r="B2575" s="1" t="n">
        <v>1989</v>
      </c>
      <c r="C2575" s="1" t="n">
        <v>1</v>
      </c>
      <c r="D2575" s="1" t="s">
        <v>38</v>
      </c>
      <c r="E2575" s="1"/>
      <c r="F2575" s="1"/>
      <c r="G2575" s="1" t="n">
        <v>225</v>
      </c>
      <c r="H2575" s="2" t="n">
        <v>592000</v>
      </c>
      <c r="I2575" s="2" t="n">
        <f aca="false">(((H2575 / 800) / IF(ISBLANK(R2575), 1000000, IF(ISNA(VLOOKUP(R2575, Mileages!$A$2:$C$34, 2, 0)), R2575, VLOOKUP(R2575, Mileages!$A$2:$C$34, 2, 0)))) + (F2575 * IF(ISBLANK(P2575), 1, P2575) * IF(ISBLANK(T2575), 0, IF(ISNA(VLOOKUP(T2575, 'Fuel Costs'!$A$2:$C$42, 2, 0)), T2575, VLOOKUP(T2575, 'Fuel Costs'!$A$2:$C$42, 2, 0))) / IF(ISBLANK(O2575), 1, O2575))) * 100</f>
        <v>0.03083333333</v>
      </c>
      <c r="J2575" s="2" t="n">
        <f aca="false">((H2575 / 800) / (IF(ISBLANK(S2575), 100, IF(ISNA(VLOOKUP(S2575, Lives!$A$2:$C$35, 2, 0)), S2575, VLOOKUP(S2575, Lives!$A$2:$C$35, 2, 0))) * 12) + (IF(ISBLANK(Q2575), 0, IF(ISNA(VLOOKUP(Q2575, Wages!$A$2:$C$17, 2, 0)), Q2575, VLOOKUP(Q2575, Wages!$A$2:$C$17, 2, 0))) * IF(ISBLANK(N2575), 0, IF(ISNA(VLOOKUP(N2575, Crews!$A$2:$C$28, 2, 0)), N2575, VLOOKUP(N2575, Crews!$A$2:$C$28, 2, 0))))) * 400</f>
        <v>1233.333333</v>
      </c>
      <c r="K2575" s="1"/>
      <c r="L2575" s="1" t="s">
        <v>4931</v>
      </c>
      <c r="M2575" s="1" t="n">
        <v>2</v>
      </c>
      <c r="N2575" s="1"/>
      <c r="O2575" s="1"/>
      <c r="P2575" s="1"/>
      <c r="Q2575" s="1"/>
      <c r="R2575" s="1" t="s">
        <v>4419</v>
      </c>
      <c r="S2575" s="1" t="s">
        <v>4470</v>
      </c>
      <c r="T2575" s="1"/>
    </row>
    <row r="2576" customFormat="false" ht="15" hidden="false" customHeight="true" outlineLevel="0" collapsed="false">
      <c r="A2576" s="1" t="s">
        <v>4995</v>
      </c>
      <c r="B2576" s="1" t="n">
        <v>1989</v>
      </c>
      <c r="C2576" s="1" t="n">
        <v>1</v>
      </c>
      <c r="D2576" s="1" t="s">
        <v>38</v>
      </c>
      <c r="E2576" s="1"/>
      <c r="F2576" s="1"/>
      <c r="G2576" s="1" t="n">
        <v>225</v>
      </c>
      <c r="H2576" s="2" t="n">
        <v>592000</v>
      </c>
      <c r="I2576" s="2" t="n">
        <f aca="false">(((H2576 / 800) / IF(ISBLANK(R2576), 1000000, IF(ISNA(VLOOKUP(R2576, Mileages!$A$2:$C$34, 2, 0)), R2576, VLOOKUP(R2576, Mileages!$A$2:$C$34, 2, 0)))) + (F2576 * IF(ISBLANK(P2576), 1, P2576) * IF(ISBLANK(T2576), 0, IF(ISNA(VLOOKUP(T2576, 'Fuel Costs'!$A$2:$C$42, 2, 0)), T2576, VLOOKUP(T2576, 'Fuel Costs'!$A$2:$C$42, 2, 0))) / IF(ISBLANK(O2576), 1, O2576))) * 100</f>
        <v>0.03083333333</v>
      </c>
      <c r="J2576" s="2" t="n">
        <f aca="false">((H2576 / 800) / (IF(ISBLANK(S2576), 100, IF(ISNA(VLOOKUP(S2576, Lives!$A$2:$C$35, 2, 0)), S2576, VLOOKUP(S2576, Lives!$A$2:$C$35, 2, 0))) * 12) + (IF(ISBLANK(Q2576), 0, IF(ISNA(VLOOKUP(Q2576, Wages!$A$2:$C$17, 2, 0)), Q2576, VLOOKUP(Q2576, Wages!$A$2:$C$17, 2, 0))) * IF(ISBLANK(N2576), 0, IF(ISNA(VLOOKUP(N2576, Crews!$A$2:$C$28, 2, 0)), N2576, VLOOKUP(N2576, Crews!$A$2:$C$28, 2, 0))))) * 400</f>
        <v>1233.333333</v>
      </c>
      <c r="K2576" s="1"/>
      <c r="L2576" s="1" t="s">
        <v>4933</v>
      </c>
      <c r="M2576" s="1" t="n">
        <v>1</v>
      </c>
      <c r="N2576" s="1"/>
      <c r="O2576" s="1"/>
      <c r="P2576" s="1"/>
      <c r="Q2576" s="1"/>
      <c r="R2576" s="1" t="s">
        <v>4419</v>
      </c>
      <c r="S2576" s="1" t="s">
        <v>4470</v>
      </c>
      <c r="T2576" s="1"/>
    </row>
    <row r="2577" customFormat="false" ht="15" hidden="false" customHeight="true" outlineLevel="0" collapsed="false">
      <c r="A2577" s="1" t="s">
        <v>4996</v>
      </c>
      <c r="B2577" s="1" t="n">
        <v>1989</v>
      </c>
      <c r="C2577" s="1" t="n">
        <v>1</v>
      </c>
      <c r="D2577" s="1" t="s">
        <v>38</v>
      </c>
      <c r="E2577" s="1"/>
      <c r="F2577" s="1"/>
      <c r="G2577" s="1" t="n">
        <v>225</v>
      </c>
      <c r="H2577" s="2" t="n">
        <v>592000</v>
      </c>
      <c r="I2577" s="2" t="n">
        <f aca="false">(((H2577 / 800) / IF(ISBLANK(R2577), 1000000, IF(ISNA(VLOOKUP(R2577, Mileages!$A$2:$C$34, 2, 0)), R2577, VLOOKUP(R2577, Mileages!$A$2:$C$34, 2, 0)))) + (F2577 * IF(ISBLANK(P2577), 1, P2577) * IF(ISBLANK(T2577), 0, IF(ISNA(VLOOKUP(T2577, 'Fuel Costs'!$A$2:$C$42, 2, 0)), T2577, VLOOKUP(T2577, 'Fuel Costs'!$A$2:$C$42, 2, 0))) / IF(ISBLANK(O2577), 1, O2577))) * 100</f>
        <v>0.03083333333</v>
      </c>
      <c r="J2577" s="2" t="n">
        <f aca="false">((H2577 / 800) / (IF(ISBLANK(S2577), 100, IF(ISNA(VLOOKUP(S2577, Lives!$A$2:$C$35, 2, 0)), S2577, VLOOKUP(S2577, Lives!$A$2:$C$35, 2, 0))) * 12) + (IF(ISBLANK(Q2577), 0, IF(ISNA(VLOOKUP(Q2577, Wages!$A$2:$C$17, 2, 0)), Q2577, VLOOKUP(Q2577, Wages!$A$2:$C$17, 2, 0))) * IF(ISBLANK(N2577), 0, IF(ISNA(VLOOKUP(N2577, Crews!$A$2:$C$28, 2, 0)), N2577, VLOOKUP(N2577, Crews!$A$2:$C$28, 2, 0))))) * 400</f>
        <v>1233.333333</v>
      </c>
      <c r="K2577" s="1"/>
      <c r="L2577" s="1" t="s">
        <v>4933</v>
      </c>
      <c r="M2577" s="1" t="n">
        <v>2</v>
      </c>
      <c r="N2577" s="1"/>
      <c r="O2577" s="1"/>
      <c r="P2577" s="1"/>
      <c r="Q2577" s="1"/>
      <c r="R2577" s="1" t="s">
        <v>4419</v>
      </c>
      <c r="S2577" s="1" t="s">
        <v>4470</v>
      </c>
      <c r="T2577" s="1"/>
    </row>
    <row r="2578" customFormat="false" ht="15" hidden="false" customHeight="true" outlineLevel="0" collapsed="false">
      <c r="A2578" s="1" t="s">
        <v>4997</v>
      </c>
      <c r="B2578" s="1" t="n">
        <v>1989</v>
      </c>
      <c r="C2578" s="1" t="n">
        <v>1</v>
      </c>
      <c r="D2578" s="1" t="s">
        <v>21</v>
      </c>
      <c r="E2578" s="1" t="s">
        <v>2039</v>
      </c>
      <c r="F2578" s="1" t="n">
        <v>123</v>
      </c>
      <c r="G2578" s="1" t="n">
        <v>64</v>
      </c>
      <c r="H2578" s="2" t="n">
        <v>2800000</v>
      </c>
      <c r="I2578" s="2" t="n">
        <f aca="false">(((H2578 / 800) / IF(ISBLANK(R2578), 1000000, IF(ISNA(VLOOKUP(R2578, Mileages!$A$2:$C$34, 2, 0)), R2578, VLOOKUP(R2578, Mileages!$A$2:$C$34, 2, 0)))) + (F2578 * IF(ISBLANK(P2578), 1, P2578) * IF(ISBLANK(T2578), 0, IF(ISNA(VLOOKUP(T2578, 'Fuel Costs'!$A$2:$C$42, 2, 0)), T2578, VLOOKUP(T2578, 'Fuel Costs'!$A$2:$C$42, 2, 0))) / IF(ISBLANK(O2578), 1, O2578))) * 100</f>
        <v>37.075</v>
      </c>
      <c r="J2578" s="2" t="n">
        <f aca="false">((H2578 / 800) / (IF(ISBLANK(S2578), 100, IF(ISNA(VLOOKUP(S2578, Lives!$A$2:$C$35, 2, 0)), S2578, VLOOKUP(S2578, Lives!$A$2:$C$35, 2, 0))) * 12) + (IF(ISBLANK(Q2578), 0, IF(ISNA(VLOOKUP(Q2578, Wages!$A$2:$C$17, 2, 0)), Q2578, VLOOKUP(Q2578, Wages!$A$2:$C$17, 2, 0))) * IF(ISBLANK(N2578), 0, IF(ISNA(VLOOKUP(N2578, Crews!$A$2:$C$28, 2, 0)), N2578, VLOOKUP(N2578, Crews!$A$2:$C$28, 2, 0))))) * 400</f>
        <v>9458.333333</v>
      </c>
      <c r="K2578" s="3" t="s">
        <v>4991</v>
      </c>
      <c r="L2578" s="1" t="s">
        <v>4998</v>
      </c>
      <c r="M2578" s="1" t="n">
        <v>0</v>
      </c>
      <c r="N2578" s="1" t="s">
        <v>1815</v>
      </c>
      <c r="O2578" s="1" t="n">
        <v>1</v>
      </c>
      <c r="P2578" s="1"/>
      <c r="Q2578" s="1" t="s">
        <v>1815</v>
      </c>
      <c r="R2578" s="1" t="s">
        <v>4725</v>
      </c>
      <c r="S2578" s="1" t="s">
        <v>1843</v>
      </c>
      <c r="T2578" s="1" t="s">
        <v>4726</v>
      </c>
    </row>
    <row r="2579" customFormat="false" ht="15" hidden="false" customHeight="true" outlineLevel="0" collapsed="false">
      <c r="A2579" s="1" t="s">
        <v>4999</v>
      </c>
      <c r="B2579" s="1" t="n">
        <v>1989</v>
      </c>
      <c r="C2579" s="1" t="n">
        <v>1</v>
      </c>
      <c r="D2579" s="1" t="s">
        <v>38</v>
      </c>
      <c r="E2579" s="1"/>
      <c r="F2579" s="1"/>
      <c r="G2579" s="1" t="n">
        <v>225</v>
      </c>
      <c r="H2579" s="2" t="n">
        <v>592000</v>
      </c>
      <c r="I2579" s="2" t="n">
        <f aca="false">(((H2579 / 800) / IF(ISBLANK(R2579), 1000000, IF(ISNA(VLOOKUP(R2579, Mileages!$A$2:$C$34, 2, 0)), R2579, VLOOKUP(R2579, Mileages!$A$2:$C$34, 2, 0)))) + (F2579 * IF(ISBLANK(P2579), 1, P2579) * IF(ISBLANK(T2579), 0, IF(ISNA(VLOOKUP(T2579, 'Fuel Costs'!$A$2:$C$42, 2, 0)), T2579, VLOOKUP(T2579, 'Fuel Costs'!$A$2:$C$42, 2, 0))) / IF(ISBLANK(O2579), 1, O2579))) * 100</f>
        <v>0.03083333333</v>
      </c>
      <c r="J2579" s="2" t="n">
        <f aca="false">((H2579 / 800) / (IF(ISBLANK(S2579), 100, IF(ISNA(VLOOKUP(S2579, Lives!$A$2:$C$35, 2, 0)), S2579, VLOOKUP(S2579, Lives!$A$2:$C$35, 2, 0))) * 12) + (IF(ISBLANK(Q2579), 0, IF(ISNA(VLOOKUP(Q2579, Wages!$A$2:$C$17, 2, 0)), Q2579, VLOOKUP(Q2579, Wages!$A$2:$C$17, 2, 0))) * IF(ISBLANK(N2579), 0, IF(ISNA(VLOOKUP(N2579, Crews!$A$2:$C$28, 2, 0)), N2579, VLOOKUP(N2579, Crews!$A$2:$C$28, 2, 0))))) * 400</f>
        <v>1233.333333</v>
      </c>
      <c r="K2579" s="1"/>
      <c r="L2579" s="1" t="s">
        <v>4946</v>
      </c>
      <c r="M2579" s="1" t="n">
        <v>1</v>
      </c>
      <c r="N2579" s="1"/>
      <c r="O2579" s="1"/>
      <c r="P2579" s="1"/>
      <c r="Q2579" s="1"/>
      <c r="R2579" s="1" t="s">
        <v>4419</v>
      </c>
      <c r="S2579" s="1" t="s">
        <v>4470</v>
      </c>
      <c r="T2579" s="1"/>
    </row>
    <row r="2580" customFormat="false" ht="15" hidden="false" customHeight="true" outlineLevel="0" collapsed="false">
      <c r="A2580" s="1" t="s">
        <v>5000</v>
      </c>
      <c r="B2580" s="1" t="n">
        <v>1989</v>
      </c>
      <c r="C2580" s="1" t="n">
        <v>1</v>
      </c>
      <c r="D2580" s="1" t="s">
        <v>38</v>
      </c>
      <c r="E2580" s="1"/>
      <c r="F2580" s="1"/>
      <c r="G2580" s="1" t="n">
        <v>225</v>
      </c>
      <c r="H2580" s="2" t="n">
        <v>592000</v>
      </c>
      <c r="I2580" s="2" t="n">
        <f aca="false">(((H2580 / 800) / IF(ISBLANK(R2580), 1000000, IF(ISNA(VLOOKUP(R2580, Mileages!$A$2:$C$34, 2, 0)), R2580, VLOOKUP(R2580, Mileages!$A$2:$C$34, 2, 0)))) + (F2580 * IF(ISBLANK(P2580), 1, P2580) * IF(ISBLANK(T2580), 0, IF(ISNA(VLOOKUP(T2580, 'Fuel Costs'!$A$2:$C$42, 2, 0)), T2580, VLOOKUP(T2580, 'Fuel Costs'!$A$2:$C$42, 2, 0))) / IF(ISBLANK(O2580), 1, O2580))) * 100</f>
        <v>0.03083333333</v>
      </c>
      <c r="J2580" s="2" t="n">
        <f aca="false">((H2580 / 800) / (IF(ISBLANK(S2580), 100, IF(ISNA(VLOOKUP(S2580, Lives!$A$2:$C$35, 2, 0)), S2580, VLOOKUP(S2580, Lives!$A$2:$C$35, 2, 0))) * 12) + (IF(ISBLANK(Q2580), 0, IF(ISNA(VLOOKUP(Q2580, Wages!$A$2:$C$17, 2, 0)), Q2580, VLOOKUP(Q2580, Wages!$A$2:$C$17, 2, 0))) * IF(ISBLANK(N2580), 0, IF(ISNA(VLOOKUP(N2580, Crews!$A$2:$C$28, 2, 0)), N2580, VLOOKUP(N2580, Crews!$A$2:$C$28, 2, 0))))) * 400</f>
        <v>1233.333333</v>
      </c>
      <c r="K2580" s="1"/>
      <c r="L2580" s="1" t="s">
        <v>4946</v>
      </c>
      <c r="M2580" s="1" t="n">
        <v>2</v>
      </c>
      <c r="N2580" s="1"/>
      <c r="O2580" s="1"/>
      <c r="P2580" s="1"/>
      <c r="Q2580" s="1"/>
      <c r="R2580" s="1" t="s">
        <v>4419</v>
      </c>
      <c r="S2580" s="1" t="s">
        <v>4470</v>
      </c>
      <c r="T2580" s="1"/>
    </row>
    <row r="2581" customFormat="false" ht="15" hidden="false" customHeight="true" outlineLevel="0" collapsed="false">
      <c r="A2581" s="1" t="s">
        <v>5001</v>
      </c>
      <c r="B2581" s="1" t="n">
        <v>1989</v>
      </c>
      <c r="C2581" s="1" t="n">
        <v>1</v>
      </c>
      <c r="D2581" s="1" t="s">
        <v>38</v>
      </c>
      <c r="E2581" s="1" t="s">
        <v>1346</v>
      </c>
      <c r="F2581" s="1" t="n">
        <v>250</v>
      </c>
      <c r="G2581" s="1" t="n">
        <v>72</v>
      </c>
      <c r="H2581" s="2" t="n">
        <v>800000</v>
      </c>
      <c r="I2581" s="2" t="n">
        <f aca="false">(((H2581 / 800) / IF(ISBLANK(R2581), 1000000, IF(ISNA(VLOOKUP(R2581, Mileages!$A$2:$C$34, 2, 0)), R2581, VLOOKUP(R2581, Mileages!$A$2:$C$34, 2, 0)))) + (F2581 * IF(ISBLANK(P2581), 1, P2581) * IF(ISBLANK(T2581), 0, IF(ISNA(VLOOKUP(T2581, 'Fuel Costs'!$A$2:$C$42, 2, 0)), T2581, VLOOKUP(T2581, 'Fuel Costs'!$A$2:$C$42, 2, 0))) / IF(ISBLANK(O2581), 1, O2581))) * 100</f>
        <v>25.05</v>
      </c>
      <c r="J2581" s="2" t="n">
        <f aca="false">((H2581 / 800) / (IF(ISBLANK(S2581), 100, IF(ISNA(VLOOKUP(S2581, Lives!$A$2:$C$35, 2, 0)), S2581, VLOOKUP(S2581, Lives!$A$2:$C$35, 2, 0))) * 12) + (IF(ISBLANK(Q2581), 0, IF(ISNA(VLOOKUP(Q2581, Wages!$A$2:$C$17, 2, 0)), Q2581, VLOOKUP(Q2581, Wages!$A$2:$C$17, 2, 0))) * IF(ISBLANK(N2581), 0, IF(ISNA(VLOOKUP(N2581, Crews!$A$2:$C$28, 2, 0)), N2581, VLOOKUP(N2581, Crews!$A$2:$C$28, 2, 0))))) * 400</f>
        <v>6666.666667</v>
      </c>
      <c r="K2581" s="1" t="s">
        <v>5002</v>
      </c>
      <c r="L2581" s="1" t="s">
        <v>5003</v>
      </c>
      <c r="M2581" s="1" t="n">
        <v>0</v>
      </c>
      <c r="N2581" s="1" t="s">
        <v>1512</v>
      </c>
      <c r="O2581" s="1" t="n">
        <v>1</v>
      </c>
      <c r="P2581" s="1"/>
      <c r="Q2581" s="1" t="str">
        <f aca="false">IF(ISBLANK('Pak128 Britain In'!$N2581),,'Pak128 Britain In'!$N2581)</f>
        <v>ElectricMultipleUnit</v>
      </c>
      <c r="R2581" s="1" t="s">
        <v>4696</v>
      </c>
      <c r="S2581" s="1" t="s">
        <v>1350</v>
      </c>
      <c r="T2581" s="1" t="s">
        <v>4697</v>
      </c>
    </row>
    <row r="2582" customFormat="false" ht="15" hidden="false" customHeight="true" outlineLevel="0" collapsed="false">
      <c r="A2582" s="1" t="s">
        <v>5004</v>
      </c>
      <c r="B2582" s="1" t="n">
        <v>1989</v>
      </c>
      <c r="C2582" s="1" t="n">
        <v>1</v>
      </c>
      <c r="D2582" s="1" t="s">
        <v>38</v>
      </c>
      <c r="E2582" s="1" t="s">
        <v>1346</v>
      </c>
      <c r="F2582" s="1" t="n">
        <v>250</v>
      </c>
      <c r="G2582" s="1" t="n">
        <v>72</v>
      </c>
      <c r="H2582" s="2" t="n">
        <v>800000</v>
      </c>
      <c r="I2582" s="2" t="n">
        <f aca="false">(((H2582 / 800) / IF(ISBLANK(R2582), 1000000, IF(ISNA(VLOOKUP(R2582, Mileages!$A$2:$C$34, 2, 0)), R2582, VLOOKUP(R2582, Mileages!$A$2:$C$34, 2, 0)))) + (F2582 * IF(ISBLANK(P2582), 1, P2582) * IF(ISBLANK(T2582), 0, IF(ISNA(VLOOKUP(T2582, 'Fuel Costs'!$A$2:$C$42, 2, 0)), T2582, VLOOKUP(T2582, 'Fuel Costs'!$A$2:$C$42, 2, 0))) / IF(ISBLANK(O2582), 1, O2582))) * 100</f>
        <v>25.05</v>
      </c>
      <c r="J2582" s="2" t="n">
        <f aca="false">((H2582 / 800) / (IF(ISBLANK(S2582), 100, IF(ISNA(VLOOKUP(S2582, Lives!$A$2:$C$35, 2, 0)), S2582, VLOOKUP(S2582, Lives!$A$2:$C$35, 2, 0))) * 12) + (IF(ISBLANK(Q2582), 0, IF(ISNA(VLOOKUP(Q2582, Wages!$A$2:$C$17, 2, 0)), Q2582, VLOOKUP(Q2582, Wages!$A$2:$C$17, 2, 0))) * IF(ISBLANK(N2582), 0, IF(ISNA(VLOOKUP(N2582, Crews!$A$2:$C$28, 2, 0)), N2582, VLOOKUP(N2582, Crews!$A$2:$C$28, 2, 0))))) * 400</f>
        <v>6666.666667</v>
      </c>
      <c r="K2582" s="1"/>
      <c r="L2582" s="1" t="s">
        <v>5003</v>
      </c>
      <c r="M2582" s="1" t="n">
        <v>1</v>
      </c>
      <c r="N2582" s="1" t="s">
        <v>1512</v>
      </c>
      <c r="O2582" s="1" t="n">
        <v>1</v>
      </c>
      <c r="P2582" s="1"/>
      <c r="Q2582" s="1" t="str">
        <f aca="false">IF(ISBLANK('Pak128 Britain In'!$N2582),,'Pak128 Britain In'!$N2582)</f>
        <v>ElectricMultipleUnit</v>
      </c>
      <c r="R2582" s="1" t="s">
        <v>4696</v>
      </c>
      <c r="S2582" s="1" t="s">
        <v>1350</v>
      </c>
      <c r="T2582" s="1" t="s">
        <v>4697</v>
      </c>
    </row>
    <row r="2583" customFormat="false" ht="15" hidden="false" customHeight="true" outlineLevel="0" collapsed="false">
      <c r="A2583" s="1" t="s">
        <v>5005</v>
      </c>
      <c r="B2583" s="1" t="n">
        <v>1989</v>
      </c>
      <c r="C2583" s="1" t="n">
        <v>1</v>
      </c>
      <c r="D2583" s="1" t="s">
        <v>38</v>
      </c>
      <c r="E2583" s="1" t="s">
        <v>1346</v>
      </c>
      <c r="F2583" s="1"/>
      <c r="G2583" s="1" t="n">
        <v>72</v>
      </c>
      <c r="H2583" s="2" t="n">
        <v>800000</v>
      </c>
      <c r="I2583" s="2" t="n">
        <f aca="false">(((H2583 / 800) / IF(ISBLANK(R2583), 1000000, IF(ISNA(VLOOKUP(R2583, Mileages!$A$2:$C$34, 2, 0)), R2583, VLOOKUP(R2583, Mileages!$A$2:$C$34, 2, 0)))) + (F2583 * IF(ISBLANK(P2583), 1, P2583) * IF(ISBLANK(T2583), 0, IF(ISNA(VLOOKUP(T2583, 'Fuel Costs'!$A$2:$C$42, 2, 0)), T2583, VLOOKUP(T2583, 'Fuel Costs'!$A$2:$C$42, 2, 0))) / IF(ISBLANK(O2583), 1, O2583))) * 100</f>
        <v>0.04166666667</v>
      </c>
      <c r="J2583" s="2" t="n">
        <f aca="false">((H2583 / 800) / (IF(ISBLANK(S2583), 100, IF(ISNA(VLOOKUP(S2583, Lives!$A$2:$C$35, 2, 0)), S2583, VLOOKUP(S2583, Lives!$A$2:$C$35, 2, 0))) * 12) + (IF(ISBLANK(Q2583), 0, IF(ISNA(VLOOKUP(Q2583, Wages!$A$2:$C$17, 2, 0)), Q2583, VLOOKUP(Q2583, Wages!$A$2:$C$17, 2, 0))) * IF(ISBLANK(N2583), 0, IF(ISNA(VLOOKUP(N2583, Crews!$A$2:$C$28, 2, 0)), N2583, VLOOKUP(N2583, Crews!$A$2:$C$28, 2, 0))))) * 400</f>
        <v>1666.666667</v>
      </c>
      <c r="K2583" s="1"/>
      <c r="L2583" s="1" t="s">
        <v>5003</v>
      </c>
      <c r="M2583" s="1" t="n">
        <v>2</v>
      </c>
      <c r="N2583" s="1"/>
      <c r="O2583" s="1"/>
      <c r="P2583" s="1"/>
      <c r="Q2583" s="1"/>
      <c r="R2583" s="1" t="s">
        <v>4419</v>
      </c>
      <c r="S2583" s="1" t="s">
        <v>4470</v>
      </c>
      <c r="T2583" s="1"/>
    </row>
    <row r="2584" customFormat="false" ht="15" hidden="false" customHeight="true" outlineLevel="0" collapsed="false">
      <c r="A2584" s="1" t="s">
        <v>5006</v>
      </c>
      <c r="B2584" s="1" t="n">
        <v>1989</v>
      </c>
      <c r="C2584" s="1" t="n">
        <v>1</v>
      </c>
      <c r="D2584" s="1" t="s">
        <v>38</v>
      </c>
      <c r="E2584" s="1" t="s">
        <v>1346</v>
      </c>
      <c r="F2584" s="1" t="n">
        <v>250</v>
      </c>
      <c r="G2584" s="1" t="n">
        <v>72</v>
      </c>
      <c r="H2584" s="2" t="n">
        <v>800000</v>
      </c>
      <c r="I2584" s="2" t="n">
        <f aca="false">(((H2584 / 800) / IF(ISBLANK(R2584), 1000000, IF(ISNA(VLOOKUP(R2584, Mileages!$A$2:$C$34, 2, 0)), R2584, VLOOKUP(R2584, Mileages!$A$2:$C$34, 2, 0)))) + (F2584 * IF(ISBLANK(P2584), 1, P2584) * IF(ISBLANK(T2584), 0, IF(ISNA(VLOOKUP(T2584, 'Fuel Costs'!$A$2:$C$42, 2, 0)), T2584, VLOOKUP(T2584, 'Fuel Costs'!$A$2:$C$42, 2, 0))) / IF(ISBLANK(O2584), 1, O2584))) * 100</f>
        <v>25.05</v>
      </c>
      <c r="J2584" s="2" t="n">
        <f aca="false">((H2584 / 800) / (IF(ISBLANK(S2584), 100, IF(ISNA(VLOOKUP(S2584, Lives!$A$2:$C$35, 2, 0)), S2584, VLOOKUP(S2584, Lives!$A$2:$C$35, 2, 0))) * 12) + (IF(ISBLANK(Q2584), 0, IF(ISNA(VLOOKUP(Q2584, Wages!$A$2:$C$17, 2, 0)), Q2584, VLOOKUP(Q2584, Wages!$A$2:$C$17, 2, 0))) * IF(ISBLANK(N2584), 0, IF(ISNA(VLOOKUP(N2584, Crews!$A$2:$C$28, 2, 0)), N2584, VLOOKUP(N2584, Crews!$A$2:$C$28, 2, 0))))) * 400</f>
        <v>6666.666667</v>
      </c>
      <c r="K2584" s="1"/>
      <c r="L2584" s="1" t="s">
        <v>5003</v>
      </c>
      <c r="M2584" s="1" t="n">
        <v>3</v>
      </c>
      <c r="N2584" s="1" t="s">
        <v>1512</v>
      </c>
      <c r="O2584" s="1" t="n">
        <v>1</v>
      </c>
      <c r="P2584" s="1"/>
      <c r="Q2584" s="1" t="str">
        <f aca="false">IF(ISBLANK('Pak128 Britain In'!$N2584),,'Pak128 Britain In'!$N2584)</f>
        <v>ElectricMultipleUnit</v>
      </c>
      <c r="R2584" s="1" t="s">
        <v>4696</v>
      </c>
      <c r="S2584" s="1" t="s">
        <v>1350</v>
      </c>
      <c r="T2584" s="1" t="s">
        <v>4697</v>
      </c>
    </row>
    <row r="2585" customFormat="false" ht="15" hidden="false" customHeight="true" outlineLevel="0" collapsed="false">
      <c r="A2585" s="1" t="s">
        <v>5007</v>
      </c>
      <c r="B2585" s="1" t="n">
        <v>1989</v>
      </c>
      <c r="C2585" s="1" t="n">
        <v>2</v>
      </c>
      <c r="D2585" s="1" t="s">
        <v>2225</v>
      </c>
      <c r="E2585" s="1" t="s">
        <v>3660</v>
      </c>
      <c r="F2585" s="1" t="n">
        <v>185580</v>
      </c>
      <c r="G2585" s="1" t="n">
        <v>907</v>
      </c>
      <c r="H2585" s="2" t="n">
        <v>120000000</v>
      </c>
      <c r="I2585" s="2" t="n">
        <f aca="false">(((H2585 / 800) / IF(ISBLANK(R2585), 1000000, IF(ISNA(VLOOKUP(R2585, Mileages!$A$2:$C$34, 2, 0)), R2585, VLOOKUP(R2585, Mileages!$A$2:$C$34, 2, 0)))) + (F2585 * IF(ISBLANK(P2585), 1, P2585) * IF(ISBLANK(T2585), 0, IF(ISNA(VLOOKUP(T2585, 'Fuel Costs'!$A$2:$C$42, 2, 0)), T2585, VLOOKUP(T2585, 'Fuel Costs'!$A$2:$C$42, 2, 0))) / IF(ISBLANK(O2585), 1, O2585))) * 100</f>
        <v>742.82</v>
      </c>
      <c r="J2585" s="2" t="n">
        <f aca="false">((H2585 / 800) / (IF(ISBLANK(S2585), 100, IF(ISNA(VLOOKUP(S2585, Lives!$A$2:$C$35, 2, 0)), S2585, VLOOKUP(S2585, Lives!$A$2:$C$35, 2, 0))) * 12) + (IF(ISBLANK(Q2585), 0, IF(ISNA(VLOOKUP(Q2585, Wages!$A$2:$C$17, 2, 0)), Q2585, VLOOKUP(Q2585, Wages!$A$2:$C$17, 2, 0))) * IF(ISBLANK(N2585), 0, IF(ISNA(VLOOKUP(N2585, Crews!$A$2:$C$28, 2, 0)), N2585, VLOOKUP(N2585, Crews!$A$2:$C$28, 2, 0))))) * 400</f>
        <v>153333.3333</v>
      </c>
      <c r="K2585" s="3" t="s">
        <v>5008</v>
      </c>
      <c r="L2585" s="1" t="s">
        <v>5009</v>
      </c>
      <c r="M2585" s="1" t="n">
        <v>0</v>
      </c>
      <c r="N2585" s="1" t="s">
        <v>4412</v>
      </c>
      <c r="O2585" s="1"/>
      <c r="P2585" s="1" t="n">
        <v>0.02</v>
      </c>
      <c r="Q2585" s="1" t="s">
        <v>2229</v>
      </c>
      <c r="R2585" s="1" t="s">
        <v>4413</v>
      </c>
      <c r="S2585" s="1" t="s">
        <v>2229</v>
      </c>
      <c r="T2585" s="1" t="s">
        <v>4773</v>
      </c>
    </row>
    <row r="2586" customFormat="false" ht="15" hidden="false" customHeight="true" outlineLevel="0" collapsed="false">
      <c r="A2586" s="1" t="s">
        <v>5010</v>
      </c>
      <c r="B2586" s="1" t="n">
        <v>1989</v>
      </c>
      <c r="C2586" s="1" t="n">
        <v>2</v>
      </c>
      <c r="D2586" s="1" t="s">
        <v>2225</v>
      </c>
      <c r="E2586" s="1" t="s">
        <v>3660</v>
      </c>
      <c r="F2586" s="1" t="n">
        <v>185580</v>
      </c>
      <c r="G2586" s="1" t="n">
        <v>907</v>
      </c>
      <c r="H2586" s="2" t="n">
        <v>120000000</v>
      </c>
      <c r="I2586" s="2" t="n">
        <f aca="false">(((H2586 / 800) / IF(ISBLANK(R2586), 1000000, IF(ISNA(VLOOKUP(R2586, Mileages!$A$2:$C$34, 2, 0)), R2586, VLOOKUP(R2586, Mileages!$A$2:$C$34, 2, 0)))) + (F2586 * IF(ISBLANK(P2586), 1, P2586) * IF(ISBLANK(T2586), 0, IF(ISNA(VLOOKUP(T2586, 'Fuel Costs'!$A$2:$C$42, 2, 0)), T2586, VLOOKUP(T2586, 'Fuel Costs'!$A$2:$C$42, 2, 0))) / IF(ISBLANK(O2586), 1, O2586))) * 100</f>
        <v>742.82</v>
      </c>
      <c r="J2586" s="2" t="n">
        <f aca="false">((H2586 / 800) / (IF(ISBLANK(S2586), 100, IF(ISNA(VLOOKUP(S2586, Lives!$A$2:$C$35, 2, 0)), S2586, VLOOKUP(S2586, Lives!$A$2:$C$35, 2, 0))) * 12) + (IF(ISBLANK(Q2586), 0, IF(ISNA(VLOOKUP(Q2586, Wages!$A$2:$C$17, 2, 0)), Q2586, VLOOKUP(Q2586, Wages!$A$2:$C$17, 2, 0))) * IF(ISBLANK(N2586), 0, IF(ISNA(VLOOKUP(N2586, Crews!$A$2:$C$28, 2, 0)), N2586, VLOOKUP(N2586, Crews!$A$2:$C$28, 2, 0))))) * 400</f>
        <v>153333.3333</v>
      </c>
      <c r="K2586" s="3" t="s">
        <v>5011</v>
      </c>
      <c r="L2586" s="1" t="s">
        <v>5009</v>
      </c>
      <c r="M2586" s="1" t="n">
        <v>1</v>
      </c>
      <c r="N2586" s="1" t="s">
        <v>4412</v>
      </c>
      <c r="O2586" s="1"/>
      <c r="P2586" s="1" t="n">
        <v>0.02</v>
      </c>
      <c r="Q2586" s="1" t="s">
        <v>2229</v>
      </c>
      <c r="R2586" s="1" t="s">
        <v>4413</v>
      </c>
      <c r="S2586" s="1" t="s">
        <v>2229</v>
      </c>
      <c r="T2586" s="1" t="s">
        <v>4773</v>
      </c>
    </row>
    <row r="2587" customFormat="false" ht="15" hidden="false" customHeight="true" outlineLevel="0" collapsed="false">
      <c r="A2587" s="1" t="s">
        <v>5012</v>
      </c>
      <c r="B2587" s="1" t="n">
        <v>1989</v>
      </c>
      <c r="C2587" s="1" t="n">
        <v>9</v>
      </c>
      <c r="D2587" s="1" t="s">
        <v>38</v>
      </c>
      <c r="E2587" s="1" t="s">
        <v>2039</v>
      </c>
      <c r="F2587" s="1" t="n">
        <v>2300</v>
      </c>
      <c r="G2587" s="1" t="n">
        <v>97</v>
      </c>
      <c r="H2587" s="2" t="n">
        <v>8206000</v>
      </c>
      <c r="I2587" s="2" t="n">
        <f aca="false">(((H2587 / 800) / IF(ISBLANK(R2587), 1000000, IF(ISNA(VLOOKUP(R2587, Mileages!$A$2:$C$34, 2, 0)), R2587, VLOOKUP(R2587, Mileages!$A$2:$C$34, 2, 0)))) + (F2587 * IF(ISBLANK(P2587), 1, P2587) * IF(ISBLANK(T2587), 0, IF(ISNA(VLOOKUP(T2587, 'Fuel Costs'!$A$2:$C$42, 2, 0)), T2587, VLOOKUP(T2587, 'Fuel Costs'!$A$2:$C$42, 2, 0))) / IF(ISBLANK(O2587), 1, O2587))) * 100</f>
        <v>690.512875</v>
      </c>
      <c r="J2587" s="2" t="n">
        <f aca="false">((H2587 / 800) / (IF(ISBLANK(S2587), 100, IF(ISNA(VLOOKUP(S2587, Lives!$A$2:$C$35, 2, 0)), S2587, VLOOKUP(S2587, Lives!$A$2:$C$35, 2, 0))) * 12) + (IF(ISBLANK(Q2587), 0, IF(ISNA(VLOOKUP(Q2587, Wages!$A$2:$C$17, 2, 0)), Q2587, VLOOKUP(Q2587, Wages!$A$2:$C$17, 2, 0))) * IF(ISBLANK(N2587), 0, IF(ISNA(VLOOKUP(N2587, Crews!$A$2:$C$28, 2, 0)), N2587, VLOOKUP(N2587, Crews!$A$2:$C$28, 2, 0))))) * 400</f>
        <v>14273.95833</v>
      </c>
      <c r="K2587" s="1" t="s">
        <v>3483</v>
      </c>
      <c r="L2587" s="1" t="s">
        <v>5013</v>
      </c>
      <c r="M2587" s="1" t="n">
        <v>0</v>
      </c>
      <c r="N2587" s="1" t="s">
        <v>1488</v>
      </c>
      <c r="O2587" s="1" t="n">
        <v>1</v>
      </c>
      <c r="P2587" s="1"/>
      <c r="Q2587" s="1" t="s">
        <v>1488</v>
      </c>
      <c r="R2587" s="1" t="s">
        <v>4747</v>
      </c>
      <c r="S2587" s="1" t="s">
        <v>4747</v>
      </c>
      <c r="T2587" s="1" t="s">
        <v>4726</v>
      </c>
    </row>
    <row r="2588" customFormat="false" ht="15" hidden="false" customHeight="true" outlineLevel="0" collapsed="false">
      <c r="A2588" s="1" t="s">
        <v>5014</v>
      </c>
      <c r="B2588" s="1" t="n">
        <v>1989</v>
      </c>
      <c r="C2588" s="1" t="n">
        <v>10</v>
      </c>
      <c r="D2588" s="1" t="s">
        <v>2225</v>
      </c>
      <c r="E2588" s="1" t="s">
        <v>3660</v>
      </c>
      <c r="F2588" s="1" t="n">
        <v>3220</v>
      </c>
      <c r="G2588" s="1" t="n">
        <v>450</v>
      </c>
      <c r="H2588" s="2" t="n">
        <v>15000000</v>
      </c>
      <c r="I2588" s="2" t="n">
        <f aca="false">(((H2588 / 800) / IF(ISBLANK(R2588), 1000000, IF(ISNA(VLOOKUP(R2588, Mileages!$A$2:$C$34, 2, 0)), R2588, VLOOKUP(R2588, Mileages!$A$2:$C$34, 2, 0)))) + (F2588 * IF(ISBLANK(P2588), 1, P2588) * IF(ISBLANK(T2588), 0, IF(ISNA(VLOOKUP(T2588, 'Fuel Costs'!$A$2:$C$42, 2, 0)), T2588, VLOOKUP(T2588, 'Fuel Costs'!$A$2:$C$42, 2, 0))) / IF(ISBLANK(O2588), 1, O2588))) * 100</f>
        <v>12.9425</v>
      </c>
      <c r="J2588" s="2" t="n">
        <f aca="false">((H2588 / 800) / (IF(ISBLANK(S2588), 100, IF(ISNA(VLOOKUP(S2588, Lives!$A$2:$C$35, 2, 0)), S2588, VLOOKUP(S2588, Lives!$A$2:$C$35, 2, 0))) * 12) + (IF(ISBLANK(Q2588), 0, IF(ISNA(VLOOKUP(Q2588, Wages!$A$2:$C$17, 2, 0)), Q2588, VLOOKUP(Q2588, Wages!$A$2:$C$17, 2, 0))) * IF(ISBLANK(N2588), 0, IF(ISNA(VLOOKUP(N2588, Crews!$A$2:$C$28, 2, 0)), N2588, VLOOKUP(N2588, Crews!$A$2:$C$28, 2, 0))))) * 400</f>
        <v>60416.66667</v>
      </c>
      <c r="K2588" s="3" t="s">
        <v>5015</v>
      </c>
      <c r="L2588" s="1" t="s">
        <v>5016</v>
      </c>
      <c r="M2588" s="1" t="n">
        <v>0</v>
      </c>
      <c r="N2588" s="1" t="s">
        <v>2342</v>
      </c>
      <c r="O2588" s="1"/>
      <c r="P2588" s="1" t="n">
        <v>0.02</v>
      </c>
      <c r="Q2588" s="1" t="s">
        <v>2229</v>
      </c>
      <c r="R2588" s="1" t="s">
        <v>4413</v>
      </c>
      <c r="S2588" s="1" t="s">
        <v>2229</v>
      </c>
      <c r="T2588" s="1" t="s">
        <v>4773</v>
      </c>
    </row>
    <row r="2589" customFormat="false" ht="15" hidden="false" customHeight="true" outlineLevel="0" collapsed="false">
      <c r="A2589" s="1" t="s">
        <v>5017</v>
      </c>
      <c r="B2589" s="1" t="n">
        <v>1989</v>
      </c>
      <c r="C2589" s="1" t="n">
        <v>10</v>
      </c>
      <c r="D2589" s="1" t="s">
        <v>2225</v>
      </c>
      <c r="E2589" s="1" t="s">
        <v>3660</v>
      </c>
      <c r="F2589" s="1" t="n">
        <v>3220</v>
      </c>
      <c r="G2589" s="1" t="n">
        <v>450</v>
      </c>
      <c r="H2589" s="2" t="n">
        <v>14000000</v>
      </c>
      <c r="I2589" s="2" t="n">
        <f aca="false">(((H2589 / 800) / IF(ISBLANK(R2589), 1000000, IF(ISNA(VLOOKUP(R2589, Mileages!$A$2:$C$34, 2, 0)), R2589, VLOOKUP(R2589, Mileages!$A$2:$C$34, 2, 0)))) + (F2589 * IF(ISBLANK(P2589), 1, P2589) * IF(ISBLANK(T2589), 0, IF(ISNA(VLOOKUP(T2589, 'Fuel Costs'!$A$2:$C$42, 2, 0)), T2589, VLOOKUP(T2589, 'Fuel Costs'!$A$2:$C$42, 2, 0))) / IF(ISBLANK(O2589), 1, O2589))) * 100</f>
        <v>12.93833333</v>
      </c>
      <c r="J2589" s="2" t="n">
        <f aca="false">((H2589 / 800) / (IF(ISBLANK(S2589), 100, IF(ISNA(VLOOKUP(S2589, Lives!$A$2:$C$35, 2, 0)), S2589, VLOOKUP(S2589, Lives!$A$2:$C$35, 2, 0))) * 12) + (IF(ISBLANK(Q2589), 0, IF(ISNA(VLOOKUP(Q2589, Wages!$A$2:$C$17, 2, 0)), Q2589, VLOOKUP(Q2589, Wages!$A$2:$C$17, 2, 0))) * IF(ISBLANK(N2589), 0, IF(ISNA(VLOOKUP(N2589, Crews!$A$2:$C$28, 2, 0)), N2589, VLOOKUP(N2589, Crews!$A$2:$C$28, 2, 0))))) * 400</f>
        <v>19722.22222</v>
      </c>
      <c r="K2589" s="3" t="s">
        <v>5018</v>
      </c>
      <c r="L2589" s="1" t="s">
        <v>5019</v>
      </c>
      <c r="M2589" s="1" t="n">
        <v>0</v>
      </c>
      <c r="N2589" s="1" t="s">
        <v>25</v>
      </c>
      <c r="O2589" s="1"/>
      <c r="P2589" s="1" t="n">
        <v>0.02</v>
      </c>
      <c r="Q2589" s="1" t="s">
        <v>2229</v>
      </c>
      <c r="R2589" s="1" t="s">
        <v>4413</v>
      </c>
      <c r="S2589" s="1" t="s">
        <v>2229</v>
      </c>
      <c r="T2589" s="1" t="s">
        <v>4773</v>
      </c>
    </row>
    <row r="2590" customFormat="false" ht="15" hidden="false" customHeight="true" outlineLevel="0" collapsed="false">
      <c r="A2590" s="1" t="s">
        <v>5020</v>
      </c>
      <c r="B2590" s="1" t="n">
        <v>1989</v>
      </c>
      <c r="C2590" s="1" t="n">
        <v>10</v>
      </c>
      <c r="D2590" s="1" t="s">
        <v>2225</v>
      </c>
      <c r="E2590" s="1" t="s">
        <v>3660</v>
      </c>
      <c r="F2590" s="1" t="n">
        <v>3220</v>
      </c>
      <c r="G2590" s="1" t="n">
        <v>450</v>
      </c>
      <c r="H2590" s="2" t="n">
        <v>14000000</v>
      </c>
      <c r="I2590" s="2" t="n">
        <f aca="false">(((H2590 / 800) / IF(ISBLANK(R2590), 1000000, IF(ISNA(VLOOKUP(R2590, Mileages!$A$2:$C$34, 2, 0)), R2590, VLOOKUP(R2590, Mileages!$A$2:$C$34, 2, 0)))) + (F2590 * IF(ISBLANK(P2590), 1, P2590) * IF(ISBLANK(T2590), 0, IF(ISNA(VLOOKUP(T2590, 'Fuel Costs'!$A$2:$C$42, 2, 0)), T2590, VLOOKUP(T2590, 'Fuel Costs'!$A$2:$C$42, 2, 0))) / IF(ISBLANK(O2590), 1, O2590))) * 100</f>
        <v>12.93833333</v>
      </c>
      <c r="J2590" s="2" t="n">
        <f aca="false">((H2590 / 800) / (IF(ISBLANK(S2590), 100, IF(ISNA(VLOOKUP(S2590, Lives!$A$2:$C$35, 2, 0)), S2590, VLOOKUP(S2590, Lives!$A$2:$C$35, 2, 0))) * 12) + (IF(ISBLANK(Q2590), 0, IF(ISNA(VLOOKUP(Q2590, Wages!$A$2:$C$17, 2, 0)), Q2590, VLOOKUP(Q2590, Wages!$A$2:$C$17, 2, 0))) * IF(ISBLANK(N2590), 0, IF(ISNA(VLOOKUP(N2590, Crews!$A$2:$C$28, 2, 0)), N2590, VLOOKUP(N2590, Crews!$A$2:$C$28, 2, 0))))) * 400</f>
        <v>19722.22222</v>
      </c>
      <c r="K2590" s="3" t="s">
        <v>5018</v>
      </c>
      <c r="L2590" s="1" t="s">
        <v>5019</v>
      </c>
      <c r="M2590" s="1" t="n">
        <v>1</v>
      </c>
      <c r="N2590" s="1" t="s">
        <v>25</v>
      </c>
      <c r="O2590" s="1"/>
      <c r="P2590" s="1" t="n">
        <v>0.02</v>
      </c>
      <c r="Q2590" s="1" t="s">
        <v>2229</v>
      </c>
      <c r="R2590" s="1" t="s">
        <v>4413</v>
      </c>
      <c r="S2590" s="1" t="s">
        <v>2229</v>
      </c>
      <c r="T2590" s="1" t="s">
        <v>4773</v>
      </c>
    </row>
    <row r="2591" customFormat="false" ht="15" hidden="false" customHeight="true" outlineLevel="0" collapsed="false">
      <c r="A2591" s="1" t="s">
        <v>5021</v>
      </c>
      <c r="B2591" s="1" t="n">
        <v>1989</v>
      </c>
      <c r="C2591" s="1" t="n">
        <v>10</v>
      </c>
      <c r="D2591" s="1" t="s">
        <v>2225</v>
      </c>
      <c r="E2591" s="1" t="s">
        <v>3660</v>
      </c>
      <c r="F2591" s="1" t="n">
        <v>3220</v>
      </c>
      <c r="G2591" s="1" t="n">
        <v>450</v>
      </c>
      <c r="H2591" s="2" t="n">
        <v>14000000</v>
      </c>
      <c r="I2591" s="2" t="n">
        <f aca="false">(((H2591 / 800) / IF(ISBLANK(R2591), 1000000, IF(ISNA(VLOOKUP(R2591, Mileages!$A$2:$C$34, 2, 0)), R2591, VLOOKUP(R2591, Mileages!$A$2:$C$34, 2, 0)))) + (F2591 * IF(ISBLANK(P2591), 1, P2591) * IF(ISBLANK(T2591), 0, IF(ISNA(VLOOKUP(T2591, 'Fuel Costs'!$A$2:$C$42, 2, 0)), T2591, VLOOKUP(T2591, 'Fuel Costs'!$A$2:$C$42, 2, 0))) / IF(ISBLANK(O2591), 1, O2591))) * 100</f>
        <v>12.93833333</v>
      </c>
      <c r="J2591" s="2" t="n">
        <f aca="false">((H2591 / 800) / (IF(ISBLANK(S2591), 100, IF(ISNA(VLOOKUP(S2591, Lives!$A$2:$C$35, 2, 0)), S2591, VLOOKUP(S2591, Lives!$A$2:$C$35, 2, 0))) * 12) + (IF(ISBLANK(Q2591), 0, IF(ISNA(VLOOKUP(Q2591, Wages!$A$2:$C$17, 2, 0)), Q2591, VLOOKUP(Q2591, Wages!$A$2:$C$17, 2, 0))) * IF(ISBLANK(N2591), 0, IF(ISNA(VLOOKUP(N2591, Crews!$A$2:$C$28, 2, 0)), N2591, VLOOKUP(N2591, Crews!$A$2:$C$28, 2, 0))))) * 400</f>
        <v>19722.22222</v>
      </c>
      <c r="K2591" s="3" t="s">
        <v>5018</v>
      </c>
      <c r="L2591" s="1" t="s">
        <v>5019</v>
      </c>
      <c r="M2591" s="1" t="n">
        <v>2</v>
      </c>
      <c r="N2591" s="1" t="s">
        <v>25</v>
      </c>
      <c r="O2591" s="1"/>
      <c r="P2591" s="1" t="n">
        <v>0.02</v>
      </c>
      <c r="Q2591" s="1" t="s">
        <v>2229</v>
      </c>
      <c r="R2591" s="1" t="s">
        <v>4413</v>
      </c>
      <c r="S2591" s="1" t="s">
        <v>2229</v>
      </c>
      <c r="T2591" s="1" t="s">
        <v>4773</v>
      </c>
    </row>
    <row r="2592" customFormat="false" ht="15" hidden="false" customHeight="true" outlineLevel="0" collapsed="false">
      <c r="A2592" s="1" t="s">
        <v>5022</v>
      </c>
      <c r="B2592" s="1" t="n">
        <v>1989</v>
      </c>
      <c r="C2592" s="1" t="n">
        <v>11</v>
      </c>
      <c r="D2592" s="1" t="s">
        <v>38</v>
      </c>
      <c r="E2592" s="1"/>
      <c r="F2592" s="1"/>
      <c r="G2592" s="1" t="n">
        <v>225</v>
      </c>
      <c r="H2592" s="2" t="n">
        <v>599000</v>
      </c>
      <c r="I2592" s="2" t="n">
        <f aca="false">(((H2592 / 800) / IF(ISBLANK(R2592), 1000000, IF(ISNA(VLOOKUP(R2592, Mileages!$A$2:$C$34, 2, 0)), R2592, VLOOKUP(R2592, Mileages!$A$2:$C$34, 2, 0)))) + (F2592 * IF(ISBLANK(P2592), 1, P2592) * IF(ISBLANK(T2592), 0, IF(ISNA(VLOOKUP(T2592, 'Fuel Costs'!$A$2:$C$42, 2, 0)), T2592, VLOOKUP(T2592, 'Fuel Costs'!$A$2:$C$42, 2, 0))) / IF(ISBLANK(O2592), 1, O2592))) * 100</f>
        <v>0.03119791667</v>
      </c>
      <c r="J2592" s="2" t="n">
        <f aca="false">((H2592 / 800) / (IF(ISBLANK(S2592), 100, IF(ISNA(VLOOKUP(S2592, Lives!$A$2:$C$35, 2, 0)), S2592, VLOOKUP(S2592, Lives!$A$2:$C$35, 2, 0))) * 12) + (IF(ISBLANK(Q2592), 0, IF(ISNA(VLOOKUP(Q2592, Wages!$A$2:$C$17, 2, 0)), Q2592, VLOOKUP(Q2592, Wages!$A$2:$C$17, 2, 0))) * IF(ISBLANK(N2592), 0, IF(ISNA(VLOOKUP(N2592, Crews!$A$2:$C$28, 2, 0)), N2592, VLOOKUP(N2592, Crews!$A$2:$C$28, 2, 0))))) * 400</f>
        <v>1247.916667</v>
      </c>
      <c r="K2592" s="3" t="s">
        <v>5023</v>
      </c>
      <c r="L2592" s="1" t="s">
        <v>5024</v>
      </c>
      <c r="M2592" s="1" t="n">
        <v>0</v>
      </c>
      <c r="N2592" s="1"/>
      <c r="O2592" s="1"/>
      <c r="P2592" s="1"/>
      <c r="Q2592" s="1"/>
      <c r="R2592" s="1" t="s">
        <v>4419</v>
      </c>
      <c r="S2592" s="1" t="s">
        <v>4470</v>
      </c>
      <c r="T2592" s="1"/>
    </row>
    <row r="2593" customFormat="false" ht="15" hidden="false" customHeight="true" outlineLevel="0" collapsed="false">
      <c r="A2593" s="1" t="s">
        <v>5025</v>
      </c>
      <c r="B2593" s="1" t="n">
        <v>1989</v>
      </c>
      <c r="C2593" s="1" t="n">
        <v>11</v>
      </c>
      <c r="D2593" s="1" t="s">
        <v>21</v>
      </c>
      <c r="E2593" s="1" t="s">
        <v>2039</v>
      </c>
      <c r="F2593" s="1" t="n">
        <v>123</v>
      </c>
      <c r="G2593" s="1" t="n">
        <v>75</v>
      </c>
      <c r="H2593" s="2" t="n">
        <v>2950000</v>
      </c>
      <c r="I2593" s="2" t="n">
        <f aca="false">(((H2593 / 800) / IF(ISBLANK(R2593), 1000000, IF(ISNA(VLOOKUP(R2593, Mileages!$A$2:$C$34, 2, 0)), R2593, VLOOKUP(R2593, Mileages!$A$2:$C$34, 2, 0)))) + (F2593 * IF(ISBLANK(P2593), 1, P2593) * IF(ISBLANK(T2593), 0, IF(ISNA(VLOOKUP(T2593, 'Fuel Costs'!$A$2:$C$42, 2, 0)), T2593, VLOOKUP(T2593, 'Fuel Costs'!$A$2:$C$42, 2, 0))) / IF(ISBLANK(O2593), 1, O2593))) * 100</f>
        <v>37.14583333</v>
      </c>
      <c r="J2593" s="2" t="n">
        <f aca="false">((H2593 / 800) / (IF(ISBLANK(S2593), 100, IF(ISNA(VLOOKUP(S2593, Lives!$A$2:$C$35, 2, 0)), S2593, VLOOKUP(S2593, Lives!$A$2:$C$35, 2, 0))) * 12) + (IF(ISBLANK(Q2593), 0, IF(ISNA(VLOOKUP(Q2593, Wages!$A$2:$C$17, 2, 0)), Q2593, VLOOKUP(Q2593, Wages!$A$2:$C$17, 2, 0))) * IF(ISBLANK(N2593), 0, IF(ISNA(VLOOKUP(N2593, Crews!$A$2:$C$28, 2, 0)), N2593, VLOOKUP(N2593, Crews!$A$2:$C$28, 2, 0))))) * 400</f>
        <v>9072.916667</v>
      </c>
      <c r="K2593" s="3" t="s">
        <v>5026</v>
      </c>
      <c r="L2593" s="1" t="s">
        <v>5027</v>
      </c>
      <c r="M2593" s="1" t="n">
        <v>0</v>
      </c>
      <c r="N2593" s="1" t="s">
        <v>3064</v>
      </c>
      <c r="O2593" s="1" t="n">
        <v>1</v>
      </c>
      <c r="P2593" s="1"/>
      <c r="Q2593" s="1" t="s">
        <v>3064</v>
      </c>
      <c r="R2593" s="1" t="s">
        <v>4730</v>
      </c>
      <c r="S2593" s="1" t="s">
        <v>3064</v>
      </c>
      <c r="T2593" s="1" t="s">
        <v>4726</v>
      </c>
    </row>
    <row r="2594" customFormat="false" ht="15" hidden="false" customHeight="true" outlineLevel="0" collapsed="false">
      <c r="A2594" s="1" t="s">
        <v>5028</v>
      </c>
      <c r="B2594" s="1" t="n">
        <v>1989</v>
      </c>
      <c r="C2594" s="1" t="n">
        <v>11</v>
      </c>
      <c r="D2594" s="1" t="s">
        <v>21</v>
      </c>
      <c r="E2594" s="1" t="s">
        <v>2039</v>
      </c>
      <c r="F2594" s="1" t="n">
        <v>123</v>
      </c>
      <c r="G2594" s="1" t="n">
        <v>75</v>
      </c>
      <c r="H2594" s="2" t="n">
        <v>2980000</v>
      </c>
      <c r="I2594" s="2" t="n">
        <f aca="false">(((H2594 / 800) / IF(ISBLANK(R2594), 1000000, IF(ISNA(VLOOKUP(R2594, Mileages!$A$2:$C$34, 2, 0)), R2594, VLOOKUP(R2594, Mileages!$A$2:$C$34, 2, 0)))) + (F2594 * IF(ISBLANK(P2594), 1, P2594) * IF(ISBLANK(T2594), 0, IF(ISNA(VLOOKUP(T2594, 'Fuel Costs'!$A$2:$C$42, 2, 0)), T2594, VLOOKUP(T2594, 'Fuel Costs'!$A$2:$C$42, 2, 0))) / IF(ISBLANK(O2594), 1, O2594))) * 100</f>
        <v>37.14833333</v>
      </c>
      <c r="J2594" s="2" t="n">
        <f aca="false">((H2594 / 800) / (IF(ISBLANK(S2594), 100, IF(ISNA(VLOOKUP(S2594, Lives!$A$2:$C$35, 2, 0)), S2594, VLOOKUP(S2594, Lives!$A$2:$C$35, 2, 0))) * 12) + (IF(ISBLANK(Q2594), 0, IF(ISNA(VLOOKUP(Q2594, Wages!$A$2:$C$17, 2, 0)), Q2594, VLOOKUP(Q2594, Wages!$A$2:$C$17, 2, 0))) * IF(ISBLANK(N2594), 0, IF(ISNA(VLOOKUP(N2594, Crews!$A$2:$C$28, 2, 0)), N2594, VLOOKUP(N2594, Crews!$A$2:$C$28, 2, 0))))) * 400</f>
        <v>9104.166667</v>
      </c>
      <c r="K2594" s="3" t="s">
        <v>5029</v>
      </c>
      <c r="L2594" s="1" t="s">
        <v>5027</v>
      </c>
      <c r="M2594" s="1" t="n">
        <v>1</v>
      </c>
      <c r="N2594" s="1" t="s">
        <v>3064</v>
      </c>
      <c r="O2594" s="1" t="n">
        <v>1</v>
      </c>
      <c r="P2594" s="1"/>
      <c r="Q2594" s="1" t="s">
        <v>3064</v>
      </c>
      <c r="R2594" s="1" t="s">
        <v>4730</v>
      </c>
      <c r="S2594" s="1" t="s">
        <v>3064</v>
      </c>
      <c r="T2594" s="1" t="s">
        <v>4726</v>
      </c>
    </row>
    <row r="2595" customFormat="false" ht="15" hidden="false" customHeight="true" outlineLevel="0" collapsed="false">
      <c r="A2595" s="1" t="s">
        <v>5030</v>
      </c>
      <c r="B2595" s="1" t="n">
        <v>1989</v>
      </c>
      <c r="C2595" s="1" t="n">
        <v>11</v>
      </c>
      <c r="D2595" s="1" t="s">
        <v>38</v>
      </c>
      <c r="E2595" s="1"/>
      <c r="F2595" s="1"/>
      <c r="G2595" s="1" t="n">
        <v>225</v>
      </c>
      <c r="H2595" s="2" t="n">
        <v>1030000</v>
      </c>
      <c r="I2595" s="2" t="n">
        <f aca="false">(((H2595 / 800) / IF(ISBLANK(R2595), 1000000, IF(ISNA(VLOOKUP(R2595, Mileages!$A$2:$C$34, 2, 0)), R2595, VLOOKUP(R2595, Mileages!$A$2:$C$34, 2, 0)))) + (F2595 * IF(ISBLANK(P2595), 1, P2595) * IF(ISBLANK(T2595), 0, IF(ISNA(VLOOKUP(T2595, 'Fuel Costs'!$A$2:$C$42, 2, 0)), T2595, VLOOKUP(T2595, 'Fuel Costs'!$A$2:$C$42, 2, 0))) / IF(ISBLANK(O2595), 1, O2595))) * 100</f>
        <v>0.05364583333</v>
      </c>
      <c r="J2595" s="2" t="n">
        <f aca="false">((H2595 / 800) / (IF(ISBLANK(S2595), 100, IF(ISNA(VLOOKUP(S2595, Lives!$A$2:$C$35, 2, 0)), S2595, VLOOKUP(S2595, Lives!$A$2:$C$35, 2, 0))) * 12) + (IF(ISBLANK(Q2595), 0, IF(ISNA(VLOOKUP(Q2595, Wages!$A$2:$C$17, 2, 0)), Q2595, VLOOKUP(Q2595, Wages!$A$2:$C$17, 2, 0))) * IF(ISBLANK(N2595), 0, IF(ISNA(VLOOKUP(N2595, Crews!$A$2:$C$28, 2, 0)), N2595, VLOOKUP(N2595, Crews!$A$2:$C$28, 2, 0))))) * 400</f>
        <v>2145.833333</v>
      </c>
      <c r="K2595" s="1"/>
      <c r="L2595" s="1" t="s">
        <v>5031</v>
      </c>
      <c r="M2595" s="1" t="n">
        <v>0</v>
      </c>
      <c r="N2595" s="1"/>
      <c r="O2595" s="1"/>
      <c r="P2595" s="1"/>
      <c r="Q2595" s="1"/>
      <c r="R2595" s="1" t="s">
        <v>4419</v>
      </c>
      <c r="S2595" s="1" t="s">
        <v>4470</v>
      </c>
      <c r="T2595" s="1"/>
    </row>
    <row r="2596" customFormat="false" ht="15" hidden="false" customHeight="true" outlineLevel="0" collapsed="false">
      <c r="A2596" s="1" t="s">
        <v>5032</v>
      </c>
      <c r="B2596" s="1" t="n">
        <v>1989</v>
      </c>
      <c r="C2596" s="1" t="n">
        <v>11</v>
      </c>
      <c r="D2596" s="1" t="s">
        <v>38</v>
      </c>
      <c r="E2596" s="1"/>
      <c r="F2596" s="1"/>
      <c r="G2596" s="1" t="n">
        <v>225</v>
      </c>
      <c r="H2596" s="2" t="n">
        <v>592000</v>
      </c>
      <c r="I2596" s="2" t="n">
        <f aca="false">(((H2596 / 800) / IF(ISBLANK(R2596), 1000000, IF(ISNA(VLOOKUP(R2596, Mileages!$A$2:$C$34, 2, 0)), R2596, VLOOKUP(R2596, Mileages!$A$2:$C$34, 2, 0)))) + (F2596 * IF(ISBLANK(P2596), 1, P2596) * IF(ISBLANK(T2596), 0, IF(ISNA(VLOOKUP(T2596, 'Fuel Costs'!$A$2:$C$42, 2, 0)), T2596, VLOOKUP(T2596, 'Fuel Costs'!$A$2:$C$42, 2, 0))) / IF(ISBLANK(O2596), 1, O2596))) * 100</f>
        <v>0.03083333333</v>
      </c>
      <c r="J2596" s="2" t="n">
        <f aca="false">((H2596 / 800) / (IF(ISBLANK(S2596), 100, IF(ISNA(VLOOKUP(S2596, Lives!$A$2:$C$35, 2, 0)), S2596, VLOOKUP(S2596, Lives!$A$2:$C$35, 2, 0))) * 12) + (IF(ISBLANK(Q2596), 0, IF(ISNA(VLOOKUP(Q2596, Wages!$A$2:$C$17, 2, 0)), Q2596, VLOOKUP(Q2596, Wages!$A$2:$C$17, 2, 0))) * IF(ISBLANK(N2596), 0, IF(ISNA(VLOOKUP(N2596, Crews!$A$2:$C$28, 2, 0)), N2596, VLOOKUP(N2596, Crews!$A$2:$C$28, 2, 0))))) * 400</f>
        <v>1233.333333</v>
      </c>
      <c r="K2596" s="1"/>
      <c r="L2596" s="1" t="s">
        <v>5033</v>
      </c>
      <c r="M2596" s="1" t="n">
        <v>0</v>
      </c>
      <c r="N2596" s="1"/>
      <c r="O2596" s="1"/>
      <c r="P2596" s="1"/>
      <c r="Q2596" s="1"/>
      <c r="R2596" s="1" t="s">
        <v>4419</v>
      </c>
      <c r="S2596" s="1" t="s">
        <v>4470</v>
      </c>
      <c r="T2596" s="1"/>
    </row>
    <row r="2597" customFormat="false" ht="15" hidden="false" customHeight="true" outlineLevel="0" collapsed="false">
      <c r="A2597" s="1" t="s">
        <v>5034</v>
      </c>
      <c r="B2597" s="1" t="n">
        <v>1989</v>
      </c>
      <c r="C2597" s="1" t="n">
        <v>11</v>
      </c>
      <c r="D2597" s="1" t="s">
        <v>38</v>
      </c>
      <c r="E2597" s="1"/>
      <c r="F2597" s="1"/>
      <c r="G2597" s="1" t="n">
        <v>225</v>
      </c>
      <c r="H2597" s="2" t="n">
        <v>592000</v>
      </c>
      <c r="I2597" s="2" t="n">
        <f aca="false">(((H2597 / 800) / IF(ISBLANK(R2597), 1000000, IF(ISNA(VLOOKUP(R2597, Mileages!$A$2:$C$34, 2, 0)), R2597, VLOOKUP(R2597, Mileages!$A$2:$C$34, 2, 0)))) + (F2597 * IF(ISBLANK(P2597), 1, P2597) * IF(ISBLANK(T2597), 0, IF(ISNA(VLOOKUP(T2597, 'Fuel Costs'!$A$2:$C$42, 2, 0)), T2597, VLOOKUP(T2597, 'Fuel Costs'!$A$2:$C$42, 2, 0))) / IF(ISBLANK(O2597), 1, O2597))) * 100</f>
        <v>0.03083333333</v>
      </c>
      <c r="J2597" s="2" t="n">
        <f aca="false">((H2597 / 800) / (IF(ISBLANK(S2597), 100, IF(ISNA(VLOOKUP(S2597, Lives!$A$2:$C$35, 2, 0)), S2597, VLOOKUP(S2597, Lives!$A$2:$C$35, 2, 0))) * 12) + (IF(ISBLANK(Q2597), 0, IF(ISNA(VLOOKUP(Q2597, Wages!$A$2:$C$17, 2, 0)), Q2597, VLOOKUP(Q2597, Wages!$A$2:$C$17, 2, 0))) * IF(ISBLANK(N2597), 0, IF(ISNA(VLOOKUP(N2597, Crews!$A$2:$C$28, 2, 0)), N2597, VLOOKUP(N2597, Crews!$A$2:$C$28, 2, 0))))) * 400</f>
        <v>1233.333333</v>
      </c>
      <c r="K2597" s="1"/>
      <c r="L2597" s="1" t="s">
        <v>5035</v>
      </c>
      <c r="M2597" s="1" t="n">
        <v>0</v>
      </c>
      <c r="N2597" s="1"/>
      <c r="O2597" s="1"/>
      <c r="P2597" s="1"/>
      <c r="Q2597" s="1"/>
      <c r="R2597" s="1" t="s">
        <v>4419</v>
      </c>
      <c r="S2597" s="1" t="s">
        <v>4470</v>
      </c>
      <c r="T2597" s="1"/>
    </row>
    <row r="2598" customFormat="false" ht="15" hidden="false" customHeight="true" outlineLevel="0" collapsed="false">
      <c r="A2598" s="1" t="s">
        <v>5036</v>
      </c>
      <c r="B2598" s="1" t="n">
        <v>1989</v>
      </c>
      <c r="C2598" s="1" t="n">
        <v>11</v>
      </c>
      <c r="D2598" s="1" t="s">
        <v>21</v>
      </c>
      <c r="E2598" s="1" t="s">
        <v>2039</v>
      </c>
      <c r="F2598" s="1" t="n">
        <v>123</v>
      </c>
      <c r="G2598" s="1" t="n">
        <v>75</v>
      </c>
      <c r="H2598" s="2" t="n">
        <v>2800000</v>
      </c>
      <c r="I2598" s="2" t="n">
        <f aca="false">(((H2598 / 800) / IF(ISBLANK(R2598), 1000000, IF(ISNA(VLOOKUP(R2598, Mileages!$A$2:$C$34, 2, 0)), R2598, VLOOKUP(R2598, Mileages!$A$2:$C$34, 2, 0)))) + (F2598 * IF(ISBLANK(P2598), 1, P2598) * IF(ISBLANK(T2598), 0, IF(ISNA(VLOOKUP(T2598, 'Fuel Costs'!$A$2:$C$42, 2, 0)), T2598, VLOOKUP(T2598, 'Fuel Costs'!$A$2:$C$42, 2, 0))) / IF(ISBLANK(O2598), 1, O2598))) * 100</f>
        <v>37.075</v>
      </c>
      <c r="J2598" s="2" t="n">
        <f aca="false">((H2598 / 800) / (IF(ISBLANK(S2598), 100, IF(ISNA(VLOOKUP(S2598, Lives!$A$2:$C$35, 2, 0)), S2598, VLOOKUP(S2598, Lives!$A$2:$C$35, 2, 0))) * 12) + (IF(ISBLANK(Q2598), 0, IF(ISNA(VLOOKUP(Q2598, Wages!$A$2:$C$17, 2, 0)), Q2598, VLOOKUP(Q2598, Wages!$A$2:$C$17, 2, 0))) * IF(ISBLANK(N2598), 0, IF(ISNA(VLOOKUP(N2598, Crews!$A$2:$C$28, 2, 0)), N2598, VLOOKUP(N2598, Crews!$A$2:$C$28, 2, 0))))) * 400</f>
        <v>9458.333333</v>
      </c>
      <c r="K2598" s="3" t="s">
        <v>5037</v>
      </c>
      <c r="L2598" s="1" t="s">
        <v>5038</v>
      </c>
      <c r="M2598" s="1" t="n">
        <v>0</v>
      </c>
      <c r="N2598" s="1" t="s">
        <v>1815</v>
      </c>
      <c r="O2598" s="1" t="n">
        <v>1</v>
      </c>
      <c r="P2598" s="1"/>
      <c r="Q2598" s="1" t="s">
        <v>1815</v>
      </c>
      <c r="R2598" s="1" t="s">
        <v>4725</v>
      </c>
      <c r="S2598" s="1" t="s">
        <v>1843</v>
      </c>
      <c r="T2598" s="1" t="s">
        <v>4726</v>
      </c>
    </row>
    <row r="2599" customFormat="false" ht="15" hidden="false" customHeight="true" outlineLevel="0" collapsed="false">
      <c r="A2599" s="1" t="s">
        <v>5039</v>
      </c>
      <c r="B2599" s="1" t="n">
        <v>1989</v>
      </c>
      <c r="C2599" s="1" t="n">
        <v>12</v>
      </c>
      <c r="D2599" s="1" t="s">
        <v>21</v>
      </c>
      <c r="E2599" s="1" t="s">
        <v>2039</v>
      </c>
      <c r="F2599" s="1" t="n">
        <v>45</v>
      </c>
      <c r="G2599" s="1" t="n">
        <v>96</v>
      </c>
      <c r="H2599" s="2" t="n">
        <v>97500</v>
      </c>
      <c r="I2599" s="2" t="n">
        <f aca="false">(((H2599 / 800) / IF(ISBLANK(R2599), 1000000, IF(ISNA(VLOOKUP(R2599, Mileages!$A$2:$C$34, 2, 0)), R2599, VLOOKUP(R2599, Mileages!$A$2:$C$34, 2, 0)))) + (F2599 * IF(ISBLANK(P2599), 1, P2599) * IF(ISBLANK(T2599), 0, IF(ISNA(VLOOKUP(T2599, 'Fuel Costs'!$A$2:$C$42, 2, 0)), T2599, VLOOKUP(T2599, 'Fuel Costs'!$A$2:$C$42, 2, 0))) / IF(ISBLANK(O2599), 1, O2599))) * 100</f>
        <v>13.50609375</v>
      </c>
      <c r="J2599" s="2" t="n">
        <f aca="false">((H2599 / 800) / (IF(ISBLANK(S2599), 100, IF(ISNA(VLOOKUP(S2599, Lives!$A$2:$C$35, 2, 0)), S2599, VLOOKUP(S2599, Lives!$A$2:$C$35, 2, 0))) * 12) + (IF(ISBLANK(Q2599), 0, IF(ISNA(VLOOKUP(Q2599, Wages!$A$2:$C$17, 2, 0)), Q2599, VLOOKUP(Q2599, Wages!$A$2:$C$17, 2, 0))) * IF(ISBLANK(N2599), 0, IF(ISNA(VLOOKUP(N2599, Crews!$A$2:$C$28, 2, 0)), N2599, VLOOKUP(N2599, Crews!$A$2:$C$28, 2, 0))))) * 400</f>
        <v>8050.78125</v>
      </c>
      <c r="K2599" s="3" t="s">
        <v>5040</v>
      </c>
      <c r="L2599" s="1" t="s">
        <v>5041</v>
      </c>
      <c r="M2599" s="1" t="n">
        <v>0</v>
      </c>
      <c r="N2599" s="1" t="s">
        <v>1815</v>
      </c>
      <c r="O2599" s="1" t="n">
        <v>1</v>
      </c>
      <c r="P2599" s="1"/>
      <c r="Q2599" s="1" t="s">
        <v>1815</v>
      </c>
      <c r="R2599" s="1" t="s">
        <v>4725</v>
      </c>
      <c r="S2599" s="1" t="s">
        <v>1843</v>
      </c>
      <c r="T2599" s="1" t="s">
        <v>4726</v>
      </c>
    </row>
    <row r="2600" customFormat="false" ht="15" hidden="false" customHeight="true" outlineLevel="0" collapsed="false">
      <c r="A2600" s="1" t="s">
        <v>5042</v>
      </c>
      <c r="B2600" s="1" t="n">
        <v>1989</v>
      </c>
      <c r="C2600" s="1" t="n">
        <v>12</v>
      </c>
      <c r="D2600" s="1" t="s">
        <v>21</v>
      </c>
      <c r="E2600" s="1" t="s">
        <v>2039</v>
      </c>
      <c r="F2600" s="1" t="n">
        <v>45</v>
      </c>
      <c r="G2600" s="1" t="n">
        <v>96</v>
      </c>
      <c r="H2600" s="2" t="n">
        <v>97500</v>
      </c>
      <c r="I2600" s="2" t="n">
        <f aca="false">(((H2600 / 800) / IF(ISBLANK(R2600), 1000000, IF(ISNA(VLOOKUP(R2600, Mileages!$A$2:$C$34, 2, 0)), R2600, VLOOKUP(R2600, Mileages!$A$2:$C$34, 2, 0)))) + (F2600 * IF(ISBLANK(P2600), 1, P2600) * IF(ISBLANK(T2600), 0, IF(ISNA(VLOOKUP(T2600, 'Fuel Costs'!$A$2:$C$42, 2, 0)), T2600, VLOOKUP(T2600, 'Fuel Costs'!$A$2:$C$42, 2, 0))) / IF(ISBLANK(O2600), 1, O2600))) * 100</f>
        <v>13.50609375</v>
      </c>
      <c r="J2600" s="2" t="n">
        <f aca="false">((H2600 / 800) / (IF(ISBLANK(S2600), 100, IF(ISNA(VLOOKUP(S2600, Lives!$A$2:$C$35, 2, 0)), S2600, VLOOKUP(S2600, Lives!$A$2:$C$35, 2, 0))) * 12) + (IF(ISBLANK(Q2600), 0, IF(ISNA(VLOOKUP(Q2600, Wages!$A$2:$C$17, 2, 0)), Q2600, VLOOKUP(Q2600, Wages!$A$2:$C$17, 2, 0))) * IF(ISBLANK(N2600), 0, IF(ISNA(VLOOKUP(N2600, Crews!$A$2:$C$28, 2, 0)), N2600, VLOOKUP(N2600, Crews!$A$2:$C$28, 2, 0))))) * 400</f>
        <v>8050.78125</v>
      </c>
      <c r="K2600" s="1"/>
      <c r="L2600" s="1" t="s">
        <v>5041</v>
      </c>
      <c r="M2600" s="1" t="n">
        <v>1</v>
      </c>
      <c r="N2600" s="1" t="s">
        <v>1815</v>
      </c>
      <c r="O2600" s="1" t="n">
        <v>1</v>
      </c>
      <c r="P2600" s="1"/>
      <c r="Q2600" s="1" t="s">
        <v>1815</v>
      </c>
      <c r="R2600" s="1" t="s">
        <v>4725</v>
      </c>
      <c r="S2600" s="1" t="s">
        <v>1843</v>
      </c>
      <c r="T2600" s="1" t="s">
        <v>4726</v>
      </c>
    </row>
    <row r="2601" customFormat="false" ht="15" hidden="false" customHeight="true" outlineLevel="0" collapsed="false">
      <c r="A2601" s="1" t="s">
        <v>5043</v>
      </c>
      <c r="B2601" s="1" t="n">
        <v>1989</v>
      </c>
      <c r="C2601" s="1" t="n">
        <v>12</v>
      </c>
      <c r="D2601" s="1" t="s">
        <v>21</v>
      </c>
      <c r="E2601" s="1" t="s">
        <v>2039</v>
      </c>
      <c r="F2601" s="1" t="n">
        <v>45</v>
      </c>
      <c r="G2601" s="1" t="n">
        <v>96</v>
      </c>
      <c r="H2601" s="2" t="n">
        <v>97500</v>
      </c>
      <c r="I2601" s="2" t="n">
        <f aca="false">(((H2601 / 800) / IF(ISBLANK(R2601), 1000000, IF(ISNA(VLOOKUP(R2601, Mileages!$A$2:$C$34, 2, 0)), R2601, VLOOKUP(R2601, Mileages!$A$2:$C$34, 2, 0)))) + (F2601 * IF(ISBLANK(P2601), 1, P2601) * IF(ISBLANK(T2601), 0, IF(ISNA(VLOOKUP(T2601, 'Fuel Costs'!$A$2:$C$42, 2, 0)), T2601, VLOOKUP(T2601, 'Fuel Costs'!$A$2:$C$42, 2, 0))) / IF(ISBLANK(O2601), 1, O2601))) * 100</f>
        <v>13.50609375</v>
      </c>
      <c r="J2601" s="2" t="n">
        <f aca="false">((H2601 / 800) / (IF(ISBLANK(S2601), 100, IF(ISNA(VLOOKUP(S2601, Lives!$A$2:$C$35, 2, 0)), S2601, VLOOKUP(S2601, Lives!$A$2:$C$35, 2, 0))) * 12) + (IF(ISBLANK(Q2601), 0, IF(ISNA(VLOOKUP(Q2601, Wages!$A$2:$C$17, 2, 0)), Q2601, VLOOKUP(Q2601, Wages!$A$2:$C$17, 2, 0))) * IF(ISBLANK(N2601), 0, IF(ISNA(VLOOKUP(N2601, Crews!$A$2:$C$28, 2, 0)), N2601, VLOOKUP(N2601, Crews!$A$2:$C$28, 2, 0))))) * 400</f>
        <v>8050.78125</v>
      </c>
      <c r="K2601" s="1"/>
      <c r="L2601" s="1" t="s">
        <v>5041</v>
      </c>
      <c r="M2601" s="1" t="n">
        <v>2</v>
      </c>
      <c r="N2601" s="1" t="s">
        <v>1815</v>
      </c>
      <c r="O2601" s="1" t="n">
        <v>1</v>
      </c>
      <c r="P2601" s="1"/>
      <c r="Q2601" s="1" t="s">
        <v>1815</v>
      </c>
      <c r="R2601" s="1" t="s">
        <v>4725</v>
      </c>
      <c r="S2601" s="1" t="s">
        <v>1843</v>
      </c>
      <c r="T2601" s="1" t="s">
        <v>4726</v>
      </c>
    </row>
    <row r="2602" customFormat="false" ht="15" hidden="false" customHeight="true" outlineLevel="0" collapsed="false">
      <c r="A2602" s="1" t="s">
        <v>5044</v>
      </c>
      <c r="B2602" s="1" t="n">
        <v>1990</v>
      </c>
      <c r="C2602" s="1" t="n">
        <v>4</v>
      </c>
      <c r="D2602" s="1" t="s">
        <v>29</v>
      </c>
      <c r="E2602" s="1" t="s">
        <v>2039</v>
      </c>
      <c r="F2602" s="1" t="n">
        <v>14400</v>
      </c>
      <c r="G2602" s="1" t="n">
        <v>70</v>
      </c>
      <c r="H2602" s="2" t="n">
        <v>125000000</v>
      </c>
      <c r="I2602" s="2" t="n">
        <f aca="false">(((H2602 / 800) / IF(ISBLANK(R2602), 1000000, IF(ISNA(VLOOKUP(R2602, Mileages!$A$2:$C$34, 2, 0)), R2602, VLOOKUP(R2602, Mileages!$A$2:$C$34, 2, 0)))) + (F2602 * IF(ISBLANK(P2602), 1, P2602) * IF(ISBLANK(T2602), 0, IF(ISNA(VLOOKUP(T2602, 'Fuel Costs'!$A$2:$C$42, 2, 0)), T2602, VLOOKUP(T2602, 'Fuel Costs'!$A$2:$C$42, 2, 0))) / IF(ISBLANK(O2602), 1, O2602))) * 100</f>
        <v>45.80416667</v>
      </c>
      <c r="J2602" s="2" t="n">
        <f aca="false">((H2602 / 800) / (IF(ISBLANK(S2602), 100, IF(ISNA(VLOOKUP(S2602, Lives!$A$2:$C$35, 2, 0)), S2602, VLOOKUP(S2602, Lives!$A$2:$C$35, 2, 0))) * 12) + (IF(ISBLANK(Q2602), 0, IF(ISNA(VLOOKUP(Q2602, Wages!$A$2:$C$17, 2, 0)), Q2602, VLOOKUP(Q2602, Wages!$A$2:$C$17, 2, 0))) * IF(ISBLANK(N2602), 0, IF(ISNA(VLOOKUP(N2602, Crews!$A$2:$C$28, 2, 0)), N2602, VLOOKUP(N2602, Crews!$A$2:$C$28, 2, 0))))) * 400</f>
        <v>252083.3333</v>
      </c>
      <c r="K2602" s="3" t="s">
        <v>5045</v>
      </c>
      <c r="L2602" s="1" t="s">
        <v>5046</v>
      </c>
      <c r="M2602" s="1" t="n">
        <v>0</v>
      </c>
      <c r="N2602" s="1" t="s">
        <v>323</v>
      </c>
      <c r="O2602" s="1" t="n">
        <v>1</v>
      </c>
      <c r="P2602" s="1" t="n">
        <v>0.01</v>
      </c>
      <c r="Q2602" s="1" t="s">
        <v>34</v>
      </c>
      <c r="R2602" s="1" t="s">
        <v>3933</v>
      </c>
      <c r="S2602" s="1" t="s">
        <v>574</v>
      </c>
      <c r="T2602" s="1" t="s">
        <v>4726</v>
      </c>
    </row>
    <row r="2603" customFormat="false" ht="15" hidden="false" customHeight="true" outlineLevel="0" collapsed="false">
      <c r="A2603" s="1" t="s">
        <v>5047</v>
      </c>
      <c r="B2603" s="1" t="n">
        <v>1990</v>
      </c>
      <c r="C2603" s="1" t="n">
        <v>4</v>
      </c>
      <c r="D2603" s="1" t="s">
        <v>29</v>
      </c>
      <c r="E2603" s="1"/>
      <c r="F2603" s="1"/>
      <c r="G2603" s="1" t="n">
        <v>70</v>
      </c>
      <c r="H2603" s="2"/>
      <c r="I2603" s="2"/>
      <c r="J2603" s="2"/>
      <c r="K2603" s="1"/>
      <c r="L2603" s="1" t="s">
        <v>5046</v>
      </c>
      <c r="M2603" s="1" t="n">
        <v>1</v>
      </c>
      <c r="N2603" s="1"/>
      <c r="O2603" s="1"/>
      <c r="P2603" s="1"/>
      <c r="Q2603" s="1"/>
      <c r="R2603" s="1"/>
      <c r="S2603" s="1"/>
      <c r="T2603" s="1"/>
    </row>
    <row r="2604" customFormat="false" ht="15" hidden="false" customHeight="true" outlineLevel="0" collapsed="false">
      <c r="A2604" s="1" t="s">
        <v>5048</v>
      </c>
      <c r="B2604" s="1" t="n">
        <v>1990</v>
      </c>
      <c r="C2604" s="1" t="n">
        <v>4</v>
      </c>
      <c r="D2604" s="1" t="s">
        <v>38</v>
      </c>
      <c r="E2604" s="1" t="s">
        <v>2039</v>
      </c>
      <c r="F2604" s="1" t="n">
        <v>260</v>
      </c>
      <c r="G2604" s="1" t="n">
        <v>145</v>
      </c>
      <c r="H2604" s="2" t="n">
        <v>2100000</v>
      </c>
      <c r="I2604" s="2" t="n">
        <f aca="false">(((H2604 / 800) / IF(ISBLANK(R2604), 1000000, IF(ISNA(VLOOKUP(R2604, Mileages!$A$2:$C$34, 2, 0)), R2604, VLOOKUP(R2604, Mileages!$A$2:$C$34, 2, 0)))) + (F2604 * IF(ISBLANK(P2604), 1, P2604) * IF(ISBLANK(T2604), 0, IF(ISNA(VLOOKUP(T2604, 'Fuel Costs'!$A$2:$C$42, 2, 0)), T2604, VLOOKUP(T2604, 'Fuel Costs'!$A$2:$C$42, 2, 0))) / IF(ISBLANK(O2604), 1, O2604))) * 100</f>
        <v>78.13125</v>
      </c>
      <c r="J2604" s="2" t="n">
        <f aca="false">((H2604 / 800) / (IF(ISBLANK(S2604), 100, IF(ISNA(VLOOKUP(S2604, Lives!$A$2:$C$35, 2, 0)), S2604, VLOOKUP(S2604, Lives!$A$2:$C$35, 2, 0))) * 12) + (IF(ISBLANK(Q2604), 0, IF(ISNA(VLOOKUP(Q2604, Wages!$A$2:$C$17, 2, 0)), Q2604, VLOOKUP(Q2604, Wages!$A$2:$C$17, 2, 0))) * IF(ISBLANK(N2604), 0, IF(ISNA(VLOOKUP(N2604, Crews!$A$2:$C$28, 2, 0)), N2604, VLOOKUP(N2604, Crews!$A$2:$C$28, 2, 0))))) * 400</f>
        <v>7093.75</v>
      </c>
      <c r="K2604" s="3" t="s">
        <v>5049</v>
      </c>
      <c r="L2604" s="1" t="s">
        <v>5050</v>
      </c>
      <c r="M2604" s="1" t="n">
        <v>0</v>
      </c>
      <c r="N2604" s="1" t="s">
        <v>1512</v>
      </c>
      <c r="O2604" s="1" t="n">
        <v>1</v>
      </c>
      <c r="P2604" s="1"/>
      <c r="Q2604" s="1" t="s">
        <v>1512</v>
      </c>
      <c r="R2604" s="1" t="s">
        <v>4747</v>
      </c>
      <c r="S2604" s="1" t="s">
        <v>4747</v>
      </c>
      <c r="T2604" s="1" t="s">
        <v>4726</v>
      </c>
    </row>
    <row r="2605" customFormat="false" ht="15" hidden="false" customHeight="true" outlineLevel="0" collapsed="false">
      <c r="A2605" s="1" t="s">
        <v>5051</v>
      </c>
      <c r="B2605" s="1" t="n">
        <v>1990</v>
      </c>
      <c r="C2605" s="1" t="n">
        <v>4</v>
      </c>
      <c r="D2605" s="1" t="s">
        <v>38</v>
      </c>
      <c r="E2605" s="1" t="s">
        <v>2039</v>
      </c>
      <c r="F2605" s="1" t="n">
        <v>260</v>
      </c>
      <c r="G2605" s="1" t="n">
        <v>145</v>
      </c>
      <c r="H2605" s="2" t="n">
        <v>2100000</v>
      </c>
      <c r="I2605" s="2" t="n">
        <f aca="false">(((H2605 / 800) / IF(ISBLANK(R2605), 1000000, IF(ISNA(VLOOKUP(R2605, Mileages!$A$2:$C$34, 2, 0)), R2605, VLOOKUP(R2605, Mileages!$A$2:$C$34, 2, 0)))) + (F2605 * IF(ISBLANK(P2605), 1, P2605) * IF(ISBLANK(T2605), 0, IF(ISNA(VLOOKUP(T2605, 'Fuel Costs'!$A$2:$C$42, 2, 0)), T2605, VLOOKUP(T2605, 'Fuel Costs'!$A$2:$C$42, 2, 0))) / IF(ISBLANK(O2605), 1, O2605))) * 100</f>
        <v>78.13125</v>
      </c>
      <c r="J2605" s="2" t="n">
        <f aca="false">((H2605 / 800) / (IF(ISBLANK(S2605), 100, IF(ISNA(VLOOKUP(S2605, Lives!$A$2:$C$35, 2, 0)), S2605, VLOOKUP(S2605, Lives!$A$2:$C$35, 2, 0))) * 12) + (IF(ISBLANK(Q2605), 0, IF(ISNA(VLOOKUP(Q2605, Wages!$A$2:$C$17, 2, 0)), Q2605, VLOOKUP(Q2605, Wages!$A$2:$C$17, 2, 0))) * IF(ISBLANK(N2605), 0, IF(ISNA(VLOOKUP(N2605, Crews!$A$2:$C$28, 2, 0)), N2605, VLOOKUP(N2605, Crews!$A$2:$C$28, 2, 0))))) * 400</f>
        <v>1093.75</v>
      </c>
      <c r="K2605" s="1"/>
      <c r="L2605" s="1" t="s">
        <v>5050</v>
      </c>
      <c r="M2605" s="1" t="n">
        <v>1</v>
      </c>
      <c r="N2605" s="1"/>
      <c r="O2605" s="1" t="n">
        <v>1</v>
      </c>
      <c r="P2605" s="1"/>
      <c r="Q2605" s="1"/>
      <c r="R2605" s="1" t="s">
        <v>4747</v>
      </c>
      <c r="S2605" s="1" t="s">
        <v>4747</v>
      </c>
      <c r="T2605" s="1" t="s">
        <v>4726</v>
      </c>
    </row>
    <row r="2606" customFormat="false" ht="15" hidden="false" customHeight="true" outlineLevel="0" collapsed="false">
      <c r="A2606" s="1" t="s">
        <v>5052</v>
      </c>
      <c r="B2606" s="1" t="n">
        <v>1990</v>
      </c>
      <c r="C2606" s="1" t="n">
        <v>4</v>
      </c>
      <c r="D2606" s="1" t="s">
        <v>38</v>
      </c>
      <c r="E2606" s="1" t="s">
        <v>2039</v>
      </c>
      <c r="F2606" s="1" t="n">
        <v>260</v>
      </c>
      <c r="G2606" s="1" t="n">
        <v>145</v>
      </c>
      <c r="H2606" s="2" t="n">
        <v>2100000</v>
      </c>
      <c r="I2606" s="2" t="n">
        <f aca="false">(((H2606 / 800) / IF(ISBLANK(R2606), 1000000, IF(ISNA(VLOOKUP(R2606, Mileages!$A$2:$C$34, 2, 0)), R2606, VLOOKUP(R2606, Mileages!$A$2:$C$34, 2, 0)))) + (F2606 * IF(ISBLANK(P2606), 1, P2606) * IF(ISBLANK(T2606), 0, IF(ISNA(VLOOKUP(T2606, 'Fuel Costs'!$A$2:$C$42, 2, 0)), T2606, VLOOKUP(T2606, 'Fuel Costs'!$A$2:$C$42, 2, 0))) / IF(ISBLANK(O2606), 1, O2606))) * 100</f>
        <v>78.13125</v>
      </c>
      <c r="J2606" s="2" t="n">
        <f aca="false">((H2606 / 800) / (IF(ISBLANK(S2606), 100, IF(ISNA(VLOOKUP(S2606, Lives!$A$2:$C$35, 2, 0)), S2606, VLOOKUP(S2606, Lives!$A$2:$C$35, 2, 0))) * 12) + (IF(ISBLANK(Q2606), 0, IF(ISNA(VLOOKUP(Q2606, Wages!$A$2:$C$17, 2, 0)), Q2606, VLOOKUP(Q2606, Wages!$A$2:$C$17, 2, 0))) * IF(ISBLANK(N2606), 0, IF(ISNA(VLOOKUP(N2606, Crews!$A$2:$C$28, 2, 0)), N2606, VLOOKUP(N2606, Crews!$A$2:$C$28, 2, 0))))) * 400</f>
        <v>7093.75</v>
      </c>
      <c r="K2606" s="1" t="s">
        <v>4823</v>
      </c>
      <c r="L2606" s="1" t="s">
        <v>5050</v>
      </c>
      <c r="M2606" s="1" t="n">
        <v>2</v>
      </c>
      <c r="N2606" s="1" t="s">
        <v>1512</v>
      </c>
      <c r="O2606" s="1" t="n">
        <v>1</v>
      </c>
      <c r="P2606" s="1"/>
      <c r="Q2606" s="1" t="s">
        <v>1512</v>
      </c>
      <c r="R2606" s="1" t="s">
        <v>4747</v>
      </c>
      <c r="S2606" s="1" t="s">
        <v>4747</v>
      </c>
      <c r="T2606" s="1" t="s">
        <v>4726</v>
      </c>
    </row>
    <row r="2607" customFormat="false" ht="15" hidden="false" customHeight="true" outlineLevel="0" collapsed="false">
      <c r="A2607" s="1" t="s">
        <v>5053</v>
      </c>
      <c r="B2607" s="1" t="n">
        <v>1990</v>
      </c>
      <c r="C2607" s="1" t="n">
        <v>7</v>
      </c>
      <c r="D2607" s="1" t="s">
        <v>38</v>
      </c>
      <c r="E2607" s="1" t="s">
        <v>1346</v>
      </c>
      <c r="F2607" s="1" t="n">
        <v>373</v>
      </c>
      <c r="G2607" s="1" t="n">
        <v>121</v>
      </c>
      <c r="H2607" s="2" t="n">
        <v>1921000</v>
      </c>
      <c r="I2607" s="2" t="n">
        <f aca="false">(((H2607 / 800) / IF(ISBLANK(R2607), 1000000, IF(ISNA(VLOOKUP(R2607, Mileages!$A$2:$C$34, 2, 0)), R2607, VLOOKUP(R2607, Mileages!$A$2:$C$34, 2, 0)))) + (F2607 * IF(ISBLANK(P2607), 1, P2607) * IF(ISBLANK(T2607), 0, IF(ISNA(VLOOKUP(T2607, 'Fuel Costs'!$A$2:$C$42, 2, 0)), T2607, VLOOKUP(T2607, 'Fuel Costs'!$A$2:$C$42, 2, 0))) / IF(ISBLANK(O2607), 1, O2607))) * 100</f>
        <v>37.4200625</v>
      </c>
      <c r="J2607" s="2" t="n">
        <f aca="false">((H2607 / 800) / (IF(ISBLANK(S2607), 100, IF(ISNA(VLOOKUP(S2607, Lives!$A$2:$C$35, 2, 0)), S2607, VLOOKUP(S2607, Lives!$A$2:$C$35, 2, 0))) * 12) + (IF(ISBLANK(Q2607), 0, IF(ISNA(VLOOKUP(Q2607, Wages!$A$2:$C$17, 2, 0)), Q2607, VLOOKUP(Q2607, Wages!$A$2:$C$17, 2, 0))) * IF(ISBLANK(N2607), 0, IF(ISNA(VLOOKUP(N2607, Crews!$A$2:$C$28, 2, 0)), N2607, VLOOKUP(N2607, Crews!$A$2:$C$28, 2, 0))))) * 400</f>
        <v>11000.52083</v>
      </c>
      <c r="K2607" s="1"/>
      <c r="L2607" s="1" t="s">
        <v>5054</v>
      </c>
      <c r="M2607" s="1" t="n">
        <v>0</v>
      </c>
      <c r="N2607" s="1" t="s">
        <v>1488</v>
      </c>
      <c r="O2607" s="1" t="n">
        <v>1</v>
      </c>
      <c r="P2607" s="1"/>
      <c r="Q2607" s="1" t="str">
        <f aca="false">IF(ISBLANK('Pak128 Britain In'!$N2607),,'Pak128 Britain In'!$N2607)</f>
        <v>ElectricDriverRail</v>
      </c>
      <c r="R2607" s="1" t="s">
        <v>4696</v>
      </c>
      <c r="S2607" s="1" t="s">
        <v>4696</v>
      </c>
      <c r="T2607" s="1" t="s">
        <v>4697</v>
      </c>
    </row>
    <row r="2608" customFormat="false" ht="15" hidden="false" customHeight="true" outlineLevel="0" collapsed="false">
      <c r="A2608" s="1" t="s">
        <v>5055</v>
      </c>
      <c r="B2608" s="1" t="n">
        <v>1990</v>
      </c>
      <c r="C2608" s="1" t="n">
        <v>7</v>
      </c>
      <c r="D2608" s="1" t="s">
        <v>38</v>
      </c>
      <c r="E2608" s="1" t="s">
        <v>1346</v>
      </c>
      <c r="F2608" s="1" t="n">
        <v>0</v>
      </c>
      <c r="G2608" s="1" t="n">
        <v>121</v>
      </c>
      <c r="H2608" s="2" t="n">
        <v>1921000</v>
      </c>
      <c r="I2608" s="2" t="n">
        <f aca="false">(((H2608 / 800) / IF(ISBLANK(R2608), 1000000, IF(ISNA(VLOOKUP(R2608, Mileages!$A$2:$C$34, 2, 0)), R2608, VLOOKUP(R2608, Mileages!$A$2:$C$34, 2, 0)))) + (F2608 * IF(ISBLANK(P2608), 1, P2608) * IF(ISBLANK(T2608), 0, IF(ISNA(VLOOKUP(T2608, 'Fuel Costs'!$A$2:$C$42, 2, 0)), T2608, VLOOKUP(T2608, 'Fuel Costs'!$A$2:$C$42, 2, 0))) / IF(ISBLANK(O2608), 1, O2608))) * 100</f>
        <v>0.1000520833</v>
      </c>
      <c r="J2608" s="2" t="n">
        <f aca="false">((H2608 / 800) / (IF(ISBLANK(S2608), 100, IF(ISNA(VLOOKUP(S2608, Lives!$A$2:$C$35, 2, 0)), S2608, VLOOKUP(S2608, Lives!$A$2:$C$35, 2, 0))) * 12) + (IF(ISBLANK(Q2608), 0, IF(ISNA(VLOOKUP(Q2608, Wages!$A$2:$C$17, 2, 0)), Q2608, VLOOKUP(Q2608, Wages!$A$2:$C$17, 2, 0))) * IF(ISBLANK(N2608), 0, IF(ISNA(VLOOKUP(N2608, Crews!$A$2:$C$28, 2, 0)), N2608, VLOOKUP(N2608, Crews!$A$2:$C$28, 2, 0))))) * 400</f>
        <v>4002.083333</v>
      </c>
      <c r="K2608" s="1"/>
      <c r="L2608" s="1" t="s">
        <v>5054</v>
      </c>
      <c r="M2608" s="1" t="n">
        <v>1</v>
      </c>
      <c r="N2608" s="1"/>
      <c r="O2608" s="1"/>
      <c r="P2608" s="1"/>
      <c r="Q2608" s="1"/>
      <c r="R2608" s="1" t="s">
        <v>4419</v>
      </c>
      <c r="S2608" s="1" t="s">
        <v>4470</v>
      </c>
      <c r="T2608" s="1"/>
    </row>
    <row r="2609" customFormat="false" ht="15" hidden="false" customHeight="true" outlineLevel="0" collapsed="false">
      <c r="A2609" s="1" t="s">
        <v>5056</v>
      </c>
      <c r="B2609" s="1" t="n">
        <v>1991</v>
      </c>
      <c r="C2609" s="1" t="n">
        <v>3</v>
      </c>
      <c r="D2609" s="1" t="s">
        <v>38</v>
      </c>
      <c r="E2609" s="1" t="s">
        <v>2039</v>
      </c>
      <c r="F2609" s="1" t="n">
        <v>212</v>
      </c>
      <c r="G2609" s="1" t="n">
        <v>120</v>
      </c>
      <c r="H2609" s="2" t="n">
        <v>1296000</v>
      </c>
      <c r="I2609" s="2" t="n">
        <f aca="false">(((H2609 / 800) / IF(ISBLANK(R2609), 1000000, IF(ISNA(VLOOKUP(R2609, Mileages!$A$2:$C$34, 2, 0)), R2609, VLOOKUP(R2609, Mileages!$A$2:$C$34, 2, 0)))) + (F2609 * IF(ISBLANK(P2609), 1, P2609) * IF(ISBLANK(T2609), 0, IF(ISNA(VLOOKUP(T2609, 'Fuel Costs'!$A$2:$C$42, 2, 0)), T2609, VLOOKUP(T2609, 'Fuel Costs'!$A$2:$C$42, 2, 0))) / IF(ISBLANK(O2609), 1, O2609))) * 100</f>
        <v>63.681</v>
      </c>
      <c r="J2609" s="2" t="n">
        <f aca="false">((H2609 / 800) / (IF(ISBLANK(S2609), 100, IF(ISNA(VLOOKUP(S2609, Lives!$A$2:$C$35, 2, 0)), S2609, VLOOKUP(S2609, Lives!$A$2:$C$35, 2, 0))) * 12) + (IF(ISBLANK(Q2609), 0, IF(ISNA(VLOOKUP(Q2609, Wages!$A$2:$C$17, 2, 0)), Q2609, VLOOKUP(Q2609, Wages!$A$2:$C$17, 2, 0))) * IF(ISBLANK(N2609), 0, IF(ISNA(VLOOKUP(N2609, Crews!$A$2:$C$28, 2, 0)), N2609, VLOOKUP(N2609, Crews!$A$2:$C$28, 2, 0))))) * 400</f>
        <v>6675</v>
      </c>
      <c r="K2609" s="1" t="s">
        <v>4819</v>
      </c>
      <c r="L2609" s="1" t="s">
        <v>5057</v>
      </c>
      <c r="M2609" s="1" t="n">
        <v>0</v>
      </c>
      <c r="N2609" s="1" t="s">
        <v>1512</v>
      </c>
      <c r="O2609" s="1" t="n">
        <v>1</v>
      </c>
      <c r="P2609" s="1"/>
      <c r="Q2609" s="1" t="s">
        <v>1512</v>
      </c>
      <c r="R2609" s="1" t="s">
        <v>4747</v>
      </c>
      <c r="S2609" s="1" t="s">
        <v>4747</v>
      </c>
      <c r="T2609" s="1" t="s">
        <v>4726</v>
      </c>
    </row>
    <row r="2610" customFormat="false" ht="15" hidden="false" customHeight="true" outlineLevel="0" collapsed="false">
      <c r="A2610" s="1" t="s">
        <v>5058</v>
      </c>
      <c r="B2610" s="1" t="n">
        <v>1991</v>
      </c>
      <c r="C2610" s="1" t="n">
        <v>3</v>
      </c>
      <c r="D2610" s="1" t="s">
        <v>38</v>
      </c>
      <c r="E2610" s="1" t="s">
        <v>2039</v>
      </c>
      <c r="F2610" s="1" t="n">
        <v>212</v>
      </c>
      <c r="G2610" s="1" t="n">
        <v>120</v>
      </c>
      <c r="H2610" s="2" t="n">
        <v>1299000</v>
      </c>
      <c r="I2610" s="2" t="n">
        <f aca="false">(((H2610 / 800) / IF(ISBLANK(R2610), 1000000, IF(ISNA(VLOOKUP(R2610, Mileages!$A$2:$C$34, 2, 0)), R2610, VLOOKUP(R2610, Mileages!$A$2:$C$34, 2, 0)))) + (F2610 * IF(ISBLANK(P2610), 1, P2610) * IF(ISBLANK(T2610), 0, IF(ISNA(VLOOKUP(T2610, 'Fuel Costs'!$A$2:$C$42, 2, 0)), T2610, VLOOKUP(T2610, 'Fuel Costs'!$A$2:$C$42, 2, 0))) / IF(ISBLANK(O2610), 1, O2610))) * 100</f>
        <v>63.6811875</v>
      </c>
      <c r="J2610" s="2" t="n">
        <f aca="false">((H2610 / 800) / (IF(ISBLANK(S2610), 100, IF(ISNA(VLOOKUP(S2610, Lives!$A$2:$C$35, 2, 0)), S2610, VLOOKUP(S2610, Lives!$A$2:$C$35, 2, 0))) * 12) + (IF(ISBLANK(Q2610), 0, IF(ISNA(VLOOKUP(Q2610, Wages!$A$2:$C$17, 2, 0)), Q2610, VLOOKUP(Q2610, Wages!$A$2:$C$17, 2, 0))) * IF(ISBLANK(N2610), 0, IF(ISNA(VLOOKUP(N2610, Crews!$A$2:$C$28, 2, 0)), N2610, VLOOKUP(N2610, Crews!$A$2:$C$28, 2, 0))))) * 400</f>
        <v>18676.5625</v>
      </c>
      <c r="K2610" s="1"/>
      <c r="L2610" s="1" t="s">
        <v>5057</v>
      </c>
      <c r="M2610" s="1" t="n">
        <v>1</v>
      </c>
      <c r="N2610" s="1" t="s">
        <v>1481</v>
      </c>
      <c r="O2610" s="1" t="n">
        <v>1</v>
      </c>
      <c r="P2610" s="1"/>
      <c r="Q2610" s="1" t="s">
        <v>1481</v>
      </c>
      <c r="R2610" s="1" t="s">
        <v>4747</v>
      </c>
      <c r="S2610" s="1" t="s">
        <v>4747</v>
      </c>
      <c r="T2610" s="1" t="s">
        <v>4726</v>
      </c>
    </row>
    <row r="2611" customFormat="false" ht="15" hidden="false" customHeight="true" outlineLevel="0" collapsed="false">
      <c r="A2611" s="1" t="s">
        <v>5059</v>
      </c>
      <c r="B2611" s="1" t="n">
        <v>1991</v>
      </c>
      <c r="C2611" s="1" t="n">
        <v>4</v>
      </c>
      <c r="D2611" s="1" t="s">
        <v>29</v>
      </c>
      <c r="E2611" s="1" t="s">
        <v>2039</v>
      </c>
      <c r="F2611" s="1" t="n">
        <v>450</v>
      </c>
      <c r="G2611" s="1" t="n">
        <v>45</v>
      </c>
      <c r="H2611" s="2" t="n">
        <v>46000000</v>
      </c>
      <c r="I2611" s="2" t="n">
        <f aca="false">(((H2611 / 800) / IF(ISBLANK(R2611), 1000000, IF(ISNA(VLOOKUP(R2611, Mileages!$A$2:$C$34, 2, 0)), R2611, VLOOKUP(R2611, Mileages!$A$2:$C$34, 2, 0)))) + (F2611 * IF(ISBLANK(P2611), 1, P2611) * IF(ISBLANK(T2611), 0, IF(ISNA(VLOOKUP(T2611, 'Fuel Costs'!$A$2:$C$42, 2, 0)), T2611, VLOOKUP(T2611, 'Fuel Costs'!$A$2:$C$42, 2, 0))) / IF(ISBLANK(O2611), 1, O2611))) * 100</f>
        <v>27.95833333</v>
      </c>
      <c r="J2611" s="2" t="n">
        <f aca="false">((H2611 / 800) / (IF(ISBLANK(S2611), 100, IF(ISNA(VLOOKUP(S2611, Lives!$A$2:$C$35, 2, 0)), S2611, VLOOKUP(S2611, Lives!$A$2:$C$35, 2, 0))) * 12) + (IF(ISBLANK(Q2611), 0, IF(ISNA(VLOOKUP(Q2611, Wages!$A$2:$C$17, 2, 0)), Q2611, VLOOKUP(Q2611, Wages!$A$2:$C$17, 2, 0))) * IF(ISBLANK(N2611), 0, IF(ISNA(VLOOKUP(N2611, Crews!$A$2:$C$28, 2, 0)), N2611, VLOOKUP(N2611, Crews!$A$2:$C$28, 2, 0))))) * 400</f>
        <v>219166.6667</v>
      </c>
      <c r="K2611" s="1"/>
      <c r="L2611" s="1" t="s">
        <v>5060</v>
      </c>
      <c r="M2611" s="1" t="n">
        <v>0</v>
      </c>
      <c r="N2611" s="1" t="s">
        <v>323</v>
      </c>
      <c r="O2611" s="1" t="n">
        <v>1</v>
      </c>
      <c r="P2611" s="1" t="n">
        <v>0.2</v>
      </c>
      <c r="Q2611" s="1" t="s">
        <v>34</v>
      </c>
      <c r="R2611" s="1" t="s">
        <v>3933</v>
      </c>
      <c r="S2611" s="1" t="s">
        <v>574</v>
      </c>
      <c r="T2611" s="1" t="s">
        <v>4726</v>
      </c>
    </row>
    <row r="2612" customFormat="false" ht="15" hidden="false" customHeight="true" outlineLevel="0" collapsed="false">
      <c r="A2612" s="1" t="s">
        <v>5061</v>
      </c>
      <c r="B2612" s="1" t="n">
        <v>1991</v>
      </c>
      <c r="C2612" s="1" t="n">
        <v>5</v>
      </c>
      <c r="D2612" s="1" t="s">
        <v>2225</v>
      </c>
      <c r="E2612" s="1" t="s">
        <v>3660</v>
      </c>
      <c r="F2612" s="1" t="n">
        <v>1908</v>
      </c>
      <c r="G2612" s="1" t="n">
        <v>533</v>
      </c>
      <c r="H2612" s="2" t="n">
        <v>3500000</v>
      </c>
      <c r="I2612" s="2" t="n">
        <f aca="false">(((H2612 / 800) / IF(ISBLANK(R2612), 1000000, IF(ISNA(VLOOKUP(R2612, Mileages!$A$2:$C$34, 2, 0)), R2612, VLOOKUP(R2612, Mileages!$A$2:$C$34, 2, 0)))) + (F2612 * IF(ISBLANK(P2612), 1, P2612) * IF(ISBLANK(T2612), 0, IF(ISNA(VLOOKUP(T2612, 'Fuel Costs'!$A$2:$C$42, 2, 0)), T2612, VLOOKUP(T2612, 'Fuel Costs'!$A$2:$C$42, 2, 0))) / IF(ISBLANK(O2612), 1, O2612))) * 100</f>
        <v>7.646583333</v>
      </c>
      <c r="J2612" s="2" t="n">
        <f aca="false">((H2612 / 800) / (IF(ISBLANK(S2612), 100, IF(ISNA(VLOOKUP(S2612, Lives!$A$2:$C$35, 2, 0)), S2612, VLOOKUP(S2612, Lives!$A$2:$C$35, 2, 0))) * 12) + (IF(ISBLANK(Q2612), 0, IF(ISNA(VLOOKUP(Q2612, Wages!$A$2:$C$17, 2, 0)), Q2612, VLOOKUP(Q2612, Wages!$A$2:$C$17, 2, 0))) * IF(ISBLANK(N2612), 0, IF(ISNA(VLOOKUP(N2612, Crews!$A$2:$C$28, 2, 0)), N2612, VLOOKUP(N2612, Crews!$A$2:$C$28, 2, 0))))) * 400</f>
        <v>52430.55556</v>
      </c>
      <c r="K2612" s="3" t="s">
        <v>5062</v>
      </c>
      <c r="L2612" s="1" t="s">
        <v>5063</v>
      </c>
      <c r="M2612" s="1" t="n">
        <v>0</v>
      </c>
      <c r="N2612" s="1" t="s">
        <v>2342</v>
      </c>
      <c r="O2612" s="1"/>
      <c r="P2612" s="1" t="n">
        <v>0.02</v>
      </c>
      <c r="Q2612" s="1" t="s">
        <v>2229</v>
      </c>
      <c r="R2612" s="1" t="s">
        <v>4413</v>
      </c>
      <c r="S2612" s="1" t="s">
        <v>2229</v>
      </c>
      <c r="T2612" s="1" t="s">
        <v>4773</v>
      </c>
    </row>
    <row r="2613" customFormat="false" ht="15" hidden="false" customHeight="true" outlineLevel="0" collapsed="false">
      <c r="A2613" s="1" t="s">
        <v>5064</v>
      </c>
      <c r="B2613" s="1" t="n">
        <v>1991</v>
      </c>
      <c r="C2613" s="1" t="n">
        <v>5</v>
      </c>
      <c r="D2613" s="1" t="s">
        <v>2225</v>
      </c>
      <c r="E2613" s="1" t="s">
        <v>3660</v>
      </c>
      <c r="F2613" s="1" t="n">
        <v>1908</v>
      </c>
      <c r="G2613" s="1" t="n">
        <v>533</v>
      </c>
      <c r="H2613" s="2" t="n">
        <v>3500000</v>
      </c>
      <c r="I2613" s="2" t="n">
        <f aca="false">(((H2613 / 800) / IF(ISBLANK(R2613), 1000000, IF(ISNA(VLOOKUP(R2613, Mileages!$A$2:$C$34, 2, 0)), R2613, VLOOKUP(R2613, Mileages!$A$2:$C$34, 2, 0)))) + (F2613 * IF(ISBLANK(P2613), 1, P2613) * IF(ISBLANK(T2613), 0, IF(ISNA(VLOOKUP(T2613, 'Fuel Costs'!$A$2:$C$42, 2, 0)), T2613, VLOOKUP(T2613, 'Fuel Costs'!$A$2:$C$42, 2, 0))) / IF(ISBLANK(O2613), 1, O2613))) * 100</f>
        <v>7.646583333</v>
      </c>
      <c r="J2613" s="2" t="n">
        <f aca="false">((H2613 / 800) / (IF(ISBLANK(S2613), 100, IF(ISNA(VLOOKUP(S2613, Lives!$A$2:$C$35, 2, 0)), S2613, VLOOKUP(S2613, Lives!$A$2:$C$35, 2, 0))) * 12) + (IF(ISBLANK(Q2613), 0, IF(ISNA(VLOOKUP(Q2613, Wages!$A$2:$C$17, 2, 0)), Q2613, VLOOKUP(Q2613, Wages!$A$2:$C$17, 2, 0))) * IF(ISBLANK(N2613), 0, IF(ISNA(VLOOKUP(N2613, Crews!$A$2:$C$28, 2, 0)), N2613, VLOOKUP(N2613, Crews!$A$2:$C$28, 2, 0))))) * 400</f>
        <v>12430.55556</v>
      </c>
      <c r="K2613" s="3" t="s">
        <v>4810</v>
      </c>
      <c r="L2613" s="1" t="s">
        <v>5063</v>
      </c>
      <c r="M2613" s="1" t="n">
        <v>1</v>
      </c>
      <c r="N2613" s="1" t="s">
        <v>25</v>
      </c>
      <c r="O2613" s="1"/>
      <c r="P2613" s="1" t="n">
        <v>0.02</v>
      </c>
      <c r="Q2613" s="1" t="s">
        <v>2229</v>
      </c>
      <c r="R2613" s="1" t="s">
        <v>4413</v>
      </c>
      <c r="S2613" s="1" t="s">
        <v>2229</v>
      </c>
      <c r="T2613" s="1" t="s">
        <v>4773</v>
      </c>
    </row>
    <row r="2614" customFormat="false" ht="15" hidden="false" customHeight="true" outlineLevel="0" collapsed="false">
      <c r="A2614" s="1" t="s">
        <v>5065</v>
      </c>
      <c r="B2614" s="1" t="n">
        <v>1991</v>
      </c>
      <c r="C2614" s="1" t="n">
        <v>6</v>
      </c>
      <c r="D2614" s="1" t="s">
        <v>21</v>
      </c>
      <c r="E2614" s="1" t="s">
        <v>2039</v>
      </c>
      <c r="F2614" s="1" t="n">
        <v>203</v>
      </c>
      <c r="G2614" s="1" t="n">
        <v>96</v>
      </c>
      <c r="H2614" s="2" t="n">
        <v>5500000</v>
      </c>
      <c r="I2614" s="2" t="n">
        <f aca="false">(((H2614 / 800) / IF(ISBLANK(R2614), 1000000, IF(ISNA(VLOOKUP(R2614, Mileages!$A$2:$C$34, 2, 0)), R2614, VLOOKUP(R2614, Mileages!$A$2:$C$34, 2, 0)))) + (F2614 * IF(ISBLANK(P2614), 1, P2614) * IF(ISBLANK(T2614), 0, IF(ISNA(VLOOKUP(T2614, 'Fuel Costs'!$A$2:$C$42, 2, 0)), T2614, VLOOKUP(T2614, 'Fuel Costs'!$A$2:$C$42, 2, 0))) / IF(ISBLANK(O2614), 1, O2614))) * 100</f>
        <v>61.24375</v>
      </c>
      <c r="J2614" s="2" t="n">
        <f aca="false">((H2614 / 800) / (IF(ISBLANK(S2614), 100, IF(ISNA(VLOOKUP(S2614, Lives!$A$2:$C$35, 2, 0)), S2614, VLOOKUP(S2614, Lives!$A$2:$C$35, 2, 0))) * 12) + (IF(ISBLANK(Q2614), 0, IF(ISNA(VLOOKUP(Q2614, Wages!$A$2:$C$17, 2, 0)), Q2614, VLOOKUP(Q2614, Wages!$A$2:$C$17, 2, 0))) * IF(ISBLANK(N2614), 0, IF(ISNA(VLOOKUP(N2614, Crews!$A$2:$C$28, 2, 0)), N2614, VLOOKUP(N2614, Crews!$A$2:$C$28, 2, 0))))) * 400</f>
        <v>10864.58333</v>
      </c>
      <c r="K2614" s="3" t="s">
        <v>5066</v>
      </c>
      <c r="L2614" s="1" t="s">
        <v>5067</v>
      </c>
      <c r="M2614" s="1" t="n">
        <v>0</v>
      </c>
      <c r="N2614" s="1" t="s">
        <v>1815</v>
      </c>
      <c r="O2614" s="1" t="n">
        <v>1</v>
      </c>
      <c r="P2614" s="1"/>
      <c r="Q2614" s="1" t="s">
        <v>1815</v>
      </c>
      <c r="R2614" s="1" t="s">
        <v>4725</v>
      </c>
      <c r="S2614" s="1" t="s">
        <v>1843</v>
      </c>
      <c r="T2614" s="1" t="s">
        <v>4726</v>
      </c>
    </row>
    <row r="2615" customFormat="false" ht="15" hidden="false" customHeight="true" outlineLevel="0" collapsed="false">
      <c r="A2615" s="1" t="s">
        <v>5068</v>
      </c>
      <c r="B2615" s="1" t="n">
        <v>1991</v>
      </c>
      <c r="C2615" s="1" t="n">
        <v>8</v>
      </c>
      <c r="D2615" s="1" t="s">
        <v>38</v>
      </c>
      <c r="E2615" s="1" t="s">
        <v>2039</v>
      </c>
      <c r="F2615" s="1" t="n">
        <v>260</v>
      </c>
      <c r="G2615" s="1" t="n">
        <v>120</v>
      </c>
      <c r="H2615" s="2" t="n">
        <v>1752000</v>
      </c>
      <c r="I2615" s="2" t="n">
        <f aca="false">(((H2615 / 800) / IF(ISBLANK(R2615), 1000000, IF(ISNA(VLOOKUP(R2615, Mileages!$A$2:$C$34, 2, 0)), R2615, VLOOKUP(R2615, Mileages!$A$2:$C$34, 2, 0)))) + (F2615 * IF(ISBLANK(P2615), 1, P2615) * IF(ISBLANK(T2615), 0, IF(ISNA(VLOOKUP(T2615, 'Fuel Costs'!$A$2:$C$42, 2, 0)), T2615, VLOOKUP(T2615, 'Fuel Costs'!$A$2:$C$42, 2, 0))) / IF(ISBLANK(O2615), 1, O2615))) * 100</f>
        <v>78.1095</v>
      </c>
      <c r="J2615" s="2" t="n">
        <f aca="false">((H2615 / 800) / (IF(ISBLANK(S2615), 100, IF(ISNA(VLOOKUP(S2615, Lives!$A$2:$C$35, 2, 0)), S2615, VLOOKUP(S2615, Lives!$A$2:$C$35, 2, 0))) * 12) + (IF(ISBLANK(Q2615), 0, IF(ISNA(VLOOKUP(Q2615, Wages!$A$2:$C$17, 2, 0)), Q2615, VLOOKUP(Q2615, Wages!$A$2:$C$17, 2, 0))) * IF(ISBLANK(N2615), 0, IF(ISNA(VLOOKUP(N2615, Crews!$A$2:$C$28, 2, 0)), N2615, VLOOKUP(N2615, Crews!$A$2:$C$28, 2, 0))))) * 400</f>
        <v>6912.5</v>
      </c>
      <c r="K2615" s="1" t="s">
        <v>5069</v>
      </c>
      <c r="L2615" s="1" t="s">
        <v>5070</v>
      </c>
      <c r="M2615" s="1" t="n">
        <v>0</v>
      </c>
      <c r="N2615" s="1" t="s">
        <v>1512</v>
      </c>
      <c r="O2615" s="1" t="n">
        <v>1</v>
      </c>
      <c r="P2615" s="1"/>
      <c r="Q2615" s="1" t="s">
        <v>1512</v>
      </c>
      <c r="R2615" s="1" t="s">
        <v>4747</v>
      </c>
      <c r="S2615" s="1" t="s">
        <v>4747</v>
      </c>
      <c r="T2615" s="1" t="s">
        <v>4726</v>
      </c>
    </row>
    <row r="2616" customFormat="false" ht="15" hidden="false" customHeight="true" outlineLevel="0" collapsed="false">
      <c r="A2616" s="1" t="s">
        <v>5071</v>
      </c>
      <c r="B2616" s="1" t="n">
        <v>1991</v>
      </c>
      <c r="C2616" s="1" t="n">
        <v>8</v>
      </c>
      <c r="D2616" s="1" t="s">
        <v>38</v>
      </c>
      <c r="E2616" s="1" t="s">
        <v>2039</v>
      </c>
      <c r="F2616" s="1" t="n">
        <v>260</v>
      </c>
      <c r="G2616" s="1" t="n">
        <v>120</v>
      </c>
      <c r="H2616" s="2" t="n">
        <v>1752000</v>
      </c>
      <c r="I2616" s="2" t="n">
        <f aca="false">(((H2616 / 800) / IF(ISBLANK(R2616), 1000000, IF(ISNA(VLOOKUP(R2616, Mileages!$A$2:$C$34, 2, 0)), R2616, VLOOKUP(R2616, Mileages!$A$2:$C$34, 2, 0)))) + (F2616 * IF(ISBLANK(P2616), 1, P2616) * IF(ISBLANK(T2616), 0, IF(ISNA(VLOOKUP(T2616, 'Fuel Costs'!$A$2:$C$42, 2, 0)), T2616, VLOOKUP(T2616, 'Fuel Costs'!$A$2:$C$42, 2, 0))) / IF(ISBLANK(O2616), 1, O2616))) * 100</f>
        <v>78.1095</v>
      </c>
      <c r="J2616" s="2" t="n">
        <f aca="false">((H2616 / 800) / (IF(ISBLANK(S2616), 100, IF(ISNA(VLOOKUP(S2616, Lives!$A$2:$C$35, 2, 0)), S2616, VLOOKUP(S2616, Lives!$A$2:$C$35, 2, 0))) * 12) + (IF(ISBLANK(Q2616), 0, IF(ISNA(VLOOKUP(Q2616, Wages!$A$2:$C$17, 2, 0)), Q2616, VLOOKUP(Q2616, Wages!$A$2:$C$17, 2, 0))) * IF(ISBLANK(N2616), 0, IF(ISNA(VLOOKUP(N2616, Crews!$A$2:$C$28, 2, 0)), N2616, VLOOKUP(N2616, Crews!$A$2:$C$28, 2, 0))))) * 400</f>
        <v>912.5</v>
      </c>
      <c r="K2616" s="1"/>
      <c r="L2616" s="1" t="s">
        <v>5070</v>
      </c>
      <c r="M2616" s="1" t="n">
        <v>1</v>
      </c>
      <c r="N2616" s="1"/>
      <c r="O2616" s="1" t="n">
        <v>1</v>
      </c>
      <c r="P2616" s="1"/>
      <c r="Q2616" s="1"/>
      <c r="R2616" s="1" t="s">
        <v>4747</v>
      </c>
      <c r="S2616" s="1" t="s">
        <v>4747</v>
      </c>
      <c r="T2616" s="1" t="s">
        <v>4726</v>
      </c>
    </row>
    <row r="2617" customFormat="false" ht="15" hidden="false" customHeight="true" outlineLevel="0" collapsed="false">
      <c r="A2617" s="1" t="s">
        <v>5072</v>
      </c>
      <c r="B2617" s="1" t="n">
        <v>1991</v>
      </c>
      <c r="C2617" s="1" t="n">
        <v>8</v>
      </c>
      <c r="D2617" s="1" t="s">
        <v>38</v>
      </c>
      <c r="E2617" s="1" t="s">
        <v>2039</v>
      </c>
      <c r="F2617" s="1" t="n">
        <v>260</v>
      </c>
      <c r="G2617" s="1" t="n">
        <v>120</v>
      </c>
      <c r="H2617" s="2" t="n">
        <v>1752000</v>
      </c>
      <c r="I2617" s="2" t="n">
        <f aca="false">(((H2617 / 800) / IF(ISBLANK(R2617), 1000000, IF(ISNA(VLOOKUP(R2617, Mileages!$A$2:$C$34, 2, 0)), R2617, VLOOKUP(R2617, Mileages!$A$2:$C$34, 2, 0)))) + (F2617 * IF(ISBLANK(P2617), 1, P2617) * IF(ISBLANK(T2617), 0, IF(ISNA(VLOOKUP(T2617, 'Fuel Costs'!$A$2:$C$42, 2, 0)), T2617, VLOOKUP(T2617, 'Fuel Costs'!$A$2:$C$42, 2, 0))) / IF(ISBLANK(O2617), 1, O2617))) * 100</f>
        <v>78.1095</v>
      </c>
      <c r="J2617" s="2" t="n">
        <f aca="false">((H2617 / 800) / (IF(ISBLANK(S2617), 100, IF(ISNA(VLOOKUP(S2617, Lives!$A$2:$C$35, 2, 0)), S2617, VLOOKUP(S2617, Lives!$A$2:$C$35, 2, 0))) * 12) + (IF(ISBLANK(Q2617), 0, IF(ISNA(VLOOKUP(Q2617, Wages!$A$2:$C$17, 2, 0)), Q2617, VLOOKUP(Q2617, Wages!$A$2:$C$17, 2, 0))) * IF(ISBLANK(N2617), 0, IF(ISNA(VLOOKUP(N2617, Crews!$A$2:$C$28, 2, 0)), N2617, VLOOKUP(N2617, Crews!$A$2:$C$28, 2, 0))))) * 400</f>
        <v>6912.5</v>
      </c>
      <c r="K2617" s="1"/>
      <c r="L2617" s="1" t="s">
        <v>5070</v>
      </c>
      <c r="M2617" s="1" t="n">
        <v>2</v>
      </c>
      <c r="N2617" s="1" t="s">
        <v>1512</v>
      </c>
      <c r="O2617" s="1" t="n">
        <v>1</v>
      </c>
      <c r="P2617" s="1"/>
      <c r="Q2617" s="1" t="s">
        <v>1512</v>
      </c>
      <c r="R2617" s="1" t="s">
        <v>4747</v>
      </c>
      <c r="S2617" s="1" t="s">
        <v>4747</v>
      </c>
      <c r="T2617" s="1" t="s">
        <v>4726</v>
      </c>
    </row>
    <row r="2618" customFormat="false" ht="15" hidden="false" customHeight="true" outlineLevel="0" collapsed="false">
      <c r="A2618" s="1" t="s">
        <v>5073</v>
      </c>
      <c r="B2618" s="1" t="n">
        <v>1991</v>
      </c>
      <c r="C2618" s="1" t="n">
        <v>9</v>
      </c>
      <c r="D2618" s="1" t="s">
        <v>29</v>
      </c>
      <c r="E2618" s="1"/>
      <c r="F2618" s="1"/>
      <c r="G2618" s="1" t="n">
        <v>40</v>
      </c>
      <c r="H2618" s="2"/>
      <c r="I2618" s="2"/>
      <c r="J2618" s="2"/>
      <c r="K2618" s="1"/>
      <c r="L2618" s="1" t="s">
        <v>5074</v>
      </c>
      <c r="M2618" s="1" t="n">
        <v>0</v>
      </c>
      <c r="N2618" s="1"/>
      <c r="O2618" s="1"/>
      <c r="P2618" s="1"/>
      <c r="Q2618" s="1"/>
      <c r="R2618" s="1"/>
      <c r="S2618" s="1"/>
      <c r="T2618" s="1"/>
    </row>
    <row r="2619" customFormat="false" ht="15" hidden="false" customHeight="true" outlineLevel="0" collapsed="false">
      <c r="A2619" s="1" t="s">
        <v>5075</v>
      </c>
      <c r="B2619" s="1" t="n">
        <v>1991</v>
      </c>
      <c r="C2619" s="1" t="n">
        <v>9</v>
      </c>
      <c r="D2619" s="1" t="s">
        <v>29</v>
      </c>
      <c r="E2619" s="1"/>
      <c r="F2619" s="1"/>
      <c r="G2619" s="1" t="n">
        <v>40</v>
      </c>
      <c r="H2619" s="2"/>
      <c r="I2619" s="2"/>
      <c r="J2619" s="2"/>
      <c r="K2619" s="1"/>
      <c r="L2619" s="1" t="s">
        <v>5074</v>
      </c>
      <c r="M2619" s="1" t="n">
        <v>1</v>
      </c>
      <c r="N2619" s="1"/>
      <c r="O2619" s="1"/>
      <c r="P2619" s="1"/>
      <c r="Q2619" s="1"/>
      <c r="R2619" s="1"/>
      <c r="S2619" s="1"/>
      <c r="T2619" s="1"/>
    </row>
    <row r="2620" customFormat="false" ht="15" hidden="false" customHeight="true" outlineLevel="0" collapsed="false">
      <c r="A2620" s="1" t="s">
        <v>5076</v>
      </c>
      <c r="B2620" s="1" t="n">
        <v>1991</v>
      </c>
      <c r="C2620" s="1" t="n">
        <v>9</v>
      </c>
      <c r="D2620" s="1" t="s">
        <v>29</v>
      </c>
      <c r="E2620" s="1"/>
      <c r="F2620" s="1"/>
      <c r="G2620" s="1" t="n">
        <v>40</v>
      </c>
      <c r="H2620" s="2"/>
      <c r="I2620" s="2"/>
      <c r="J2620" s="2"/>
      <c r="K2620" s="1"/>
      <c r="L2620" s="1" t="s">
        <v>5074</v>
      </c>
      <c r="M2620" s="1" t="n">
        <v>2</v>
      </c>
      <c r="N2620" s="1"/>
      <c r="O2620" s="1"/>
      <c r="P2620" s="1"/>
      <c r="Q2620" s="1"/>
      <c r="R2620" s="1"/>
      <c r="S2620" s="1"/>
      <c r="T2620" s="1"/>
    </row>
    <row r="2621" customFormat="false" ht="15" hidden="false" customHeight="true" outlineLevel="0" collapsed="false">
      <c r="A2621" s="1" t="s">
        <v>5077</v>
      </c>
      <c r="B2621" s="1" t="n">
        <v>1991</v>
      </c>
      <c r="C2621" s="1" t="n">
        <v>9</v>
      </c>
      <c r="D2621" s="1" t="s">
        <v>29</v>
      </c>
      <c r="E2621" s="1" t="s">
        <v>2039</v>
      </c>
      <c r="F2621" s="1" t="n">
        <v>27000</v>
      </c>
      <c r="G2621" s="1" t="n">
        <v>40</v>
      </c>
      <c r="H2621" s="2" t="n">
        <v>91000000</v>
      </c>
      <c r="I2621" s="2" t="n">
        <f aca="false">(((H2621 / 800) / IF(ISBLANK(R2621), 1000000, IF(ISNA(VLOOKUP(R2621, Mileages!$A$2:$C$34, 2, 0)), R2621, VLOOKUP(R2621, Mileages!$A$2:$C$34, 2, 0)))) + (F2621 * IF(ISBLANK(P2621), 1, P2621) * IF(ISBLANK(T2621), 0, IF(ISNA(VLOOKUP(T2621, 'Fuel Costs'!$A$2:$C$42, 2, 0)), T2621, VLOOKUP(T2621, 'Fuel Costs'!$A$2:$C$42, 2, 0))) / IF(ISBLANK(O2621), 1, O2621))) * 100</f>
        <v>811.8958333</v>
      </c>
      <c r="J2621" s="2" t="n">
        <f aca="false">((H2621 / 800) / (IF(ISBLANK(S2621), 100, IF(ISNA(VLOOKUP(S2621, Lives!$A$2:$C$35, 2, 0)), S2621, VLOOKUP(S2621, Lives!$A$2:$C$35, 2, 0))) * 12) + (IF(ISBLANK(Q2621), 0, IF(ISNA(VLOOKUP(Q2621, Wages!$A$2:$C$17, 2, 0)), Q2621, VLOOKUP(Q2621, Wages!$A$2:$C$17, 2, 0))) * IF(ISBLANK(N2621), 0, IF(ISNA(VLOOKUP(N2621, Crews!$A$2:$C$28, 2, 0)), N2621, VLOOKUP(N2621, Crews!$A$2:$C$28, 2, 0))))) * 400</f>
        <v>237916.6667</v>
      </c>
      <c r="K2621" s="1" t="s">
        <v>321</v>
      </c>
      <c r="L2621" s="1" t="s">
        <v>5078</v>
      </c>
      <c r="M2621" s="1" t="n">
        <v>0</v>
      </c>
      <c r="N2621" s="1" t="s">
        <v>323</v>
      </c>
      <c r="O2621" s="1" t="n">
        <v>1</v>
      </c>
      <c r="P2621" s="1" t="n">
        <v>0.1</v>
      </c>
      <c r="Q2621" s="1" t="s">
        <v>34</v>
      </c>
      <c r="R2621" s="1" t="s">
        <v>3933</v>
      </c>
      <c r="S2621" s="1" t="s">
        <v>574</v>
      </c>
      <c r="T2621" s="1" t="s">
        <v>4726</v>
      </c>
    </row>
    <row r="2622" customFormat="false" ht="15" hidden="false" customHeight="true" outlineLevel="0" collapsed="false">
      <c r="A2622" s="1" t="s">
        <v>5079</v>
      </c>
      <c r="B2622" s="1" t="n">
        <v>1991</v>
      </c>
      <c r="C2622" s="1" t="n">
        <v>9</v>
      </c>
      <c r="D2622" s="1" t="s">
        <v>38</v>
      </c>
      <c r="E2622" s="1" t="s">
        <v>1346</v>
      </c>
      <c r="F2622" s="1" t="n">
        <v>600</v>
      </c>
      <c r="G2622" s="1" t="n">
        <v>120</v>
      </c>
      <c r="H2622" s="2" t="n">
        <v>1238000</v>
      </c>
      <c r="I2622" s="2" t="n">
        <f aca="false">(((H2622 / 800) / IF(ISBLANK(R2622), 1000000, IF(ISNA(VLOOKUP(R2622, Mileages!$A$2:$C$34, 2, 0)), R2622, VLOOKUP(R2622, Mileages!$A$2:$C$34, 2, 0)))) + (F2622 * IF(ISBLANK(P2622), 1, P2622) * IF(ISBLANK(T2622), 0, IF(ISNA(VLOOKUP(T2622, 'Fuel Costs'!$A$2:$C$42, 2, 0)), T2622, VLOOKUP(T2622, 'Fuel Costs'!$A$2:$C$42, 2, 0))) / IF(ISBLANK(O2622), 1, O2622))) * 100</f>
        <v>60.077375</v>
      </c>
      <c r="J2622" s="2" t="n">
        <f aca="false">((H2622 / 800) / (IF(ISBLANK(S2622), 100, IF(ISNA(VLOOKUP(S2622, Lives!$A$2:$C$35, 2, 0)), S2622, VLOOKUP(S2622, Lives!$A$2:$C$35, 2, 0))) * 12) + (IF(ISBLANK(Q2622), 0, IF(ISNA(VLOOKUP(Q2622, Wages!$A$2:$C$17, 2, 0)), Q2622, VLOOKUP(Q2622, Wages!$A$2:$C$17, 2, 0))) * IF(ISBLANK(N2622), 0, IF(ISNA(VLOOKUP(N2622, Crews!$A$2:$C$28, 2, 0)), N2622, VLOOKUP(N2622, Crews!$A$2:$C$28, 2, 0))))) * 400</f>
        <v>7031.666667</v>
      </c>
      <c r="K2622" s="3" t="s">
        <v>5080</v>
      </c>
      <c r="L2622" s="1" t="s">
        <v>5081</v>
      </c>
      <c r="M2622" s="1" t="n">
        <v>0</v>
      </c>
      <c r="N2622" s="1" t="s">
        <v>1512</v>
      </c>
      <c r="O2622" s="1" t="n">
        <v>1</v>
      </c>
      <c r="P2622" s="1"/>
      <c r="Q2622" s="1" t="str">
        <f aca="false">IF(ISBLANK('Pak128 Britain In'!$N2622),,'Pak128 Britain In'!$N2622)</f>
        <v>ElectricMultipleUnit</v>
      </c>
      <c r="R2622" s="1" t="s">
        <v>4696</v>
      </c>
      <c r="S2622" s="1" t="s">
        <v>1350</v>
      </c>
      <c r="T2622" s="1" t="s">
        <v>4697</v>
      </c>
    </row>
    <row r="2623" customFormat="false" ht="15" hidden="false" customHeight="true" outlineLevel="0" collapsed="false">
      <c r="A2623" s="1" t="s">
        <v>5082</v>
      </c>
      <c r="B2623" s="1" t="n">
        <v>1991</v>
      </c>
      <c r="C2623" s="1" t="n">
        <v>9</v>
      </c>
      <c r="D2623" s="1" t="s">
        <v>38</v>
      </c>
      <c r="E2623" s="1" t="s">
        <v>1346</v>
      </c>
      <c r="F2623" s="1" t="n">
        <v>0</v>
      </c>
      <c r="G2623" s="1" t="n">
        <v>120</v>
      </c>
      <c r="H2623" s="2" t="n">
        <v>826000</v>
      </c>
      <c r="I2623" s="2" t="n">
        <f aca="false">(((H2623 / 800) / IF(ISBLANK(R2623), 1000000, IF(ISNA(VLOOKUP(R2623, Mileages!$A$2:$C$34, 2, 0)), R2623, VLOOKUP(R2623, Mileages!$A$2:$C$34, 2, 0)))) + (F2623 * IF(ISBLANK(P2623), 1, P2623) * IF(ISBLANK(T2623), 0, IF(ISNA(VLOOKUP(T2623, 'Fuel Costs'!$A$2:$C$42, 2, 0)), T2623, VLOOKUP(T2623, 'Fuel Costs'!$A$2:$C$42, 2, 0))) / IF(ISBLANK(O2623), 1, O2623))) * 100</f>
        <v>0.04302083333</v>
      </c>
      <c r="J2623" s="2" t="n">
        <f aca="false">((H2623 / 800) / (IF(ISBLANK(S2623), 100, IF(ISNA(VLOOKUP(S2623, Lives!$A$2:$C$35, 2, 0)), S2623, VLOOKUP(S2623, Lives!$A$2:$C$35, 2, 0))) * 12) + (IF(ISBLANK(Q2623), 0, IF(ISNA(VLOOKUP(Q2623, Wages!$A$2:$C$17, 2, 0)), Q2623, VLOOKUP(Q2623, Wages!$A$2:$C$17, 2, 0))) * IF(ISBLANK(N2623), 0, IF(ISNA(VLOOKUP(N2623, Crews!$A$2:$C$28, 2, 0)), N2623, VLOOKUP(N2623, Crews!$A$2:$C$28, 2, 0))))) * 400</f>
        <v>1720.833333</v>
      </c>
      <c r="K2623" s="3" t="s">
        <v>5083</v>
      </c>
      <c r="L2623" s="1" t="s">
        <v>5081</v>
      </c>
      <c r="M2623" s="1" t="n">
        <v>1</v>
      </c>
      <c r="N2623" s="1"/>
      <c r="O2623" s="1"/>
      <c r="P2623" s="1"/>
      <c r="Q2623" s="1"/>
      <c r="R2623" s="1" t="s">
        <v>4419</v>
      </c>
      <c r="S2623" s="1" t="s">
        <v>4470</v>
      </c>
      <c r="T2623" s="1"/>
    </row>
    <row r="2624" customFormat="false" ht="15" hidden="false" customHeight="true" outlineLevel="0" collapsed="false">
      <c r="A2624" s="1" t="s">
        <v>5084</v>
      </c>
      <c r="B2624" s="1" t="n">
        <v>1991</v>
      </c>
      <c r="C2624" s="1" t="n">
        <v>9</v>
      </c>
      <c r="D2624" s="1" t="s">
        <v>38</v>
      </c>
      <c r="E2624" s="1" t="s">
        <v>1346</v>
      </c>
      <c r="F2624" s="1" t="n">
        <v>600</v>
      </c>
      <c r="G2624" s="1" t="n">
        <v>120</v>
      </c>
      <c r="H2624" s="2" t="n">
        <v>1238000</v>
      </c>
      <c r="I2624" s="2" t="n">
        <f aca="false">(((H2624 / 800) / IF(ISBLANK(R2624), 1000000, IF(ISNA(VLOOKUP(R2624, Mileages!$A$2:$C$34, 2, 0)), R2624, VLOOKUP(R2624, Mileages!$A$2:$C$34, 2, 0)))) + (F2624 * IF(ISBLANK(P2624), 1, P2624) * IF(ISBLANK(T2624), 0, IF(ISNA(VLOOKUP(T2624, 'Fuel Costs'!$A$2:$C$42, 2, 0)), T2624, VLOOKUP(T2624, 'Fuel Costs'!$A$2:$C$42, 2, 0))) / IF(ISBLANK(O2624), 1, O2624))) * 100</f>
        <v>60.077375</v>
      </c>
      <c r="J2624" s="2" t="n">
        <f aca="false">((H2624 / 800) / (IF(ISBLANK(S2624), 100, IF(ISNA(VLOOKUP(S2624, Lives!$A$2:$C$35, 2, 0)), S2624, VLOOKUP(S2624, Lives!$A$2:$C$35, 2, 0))) * 12) + (IF(ISBLANK(Q2624), 0, IF(ISNA(VLOOKUP(Q2624, Wages!$A$2:$C$17, 2, 0)), Q2624, VLOOKUP(Q2624, Wages!$A$2:$C$17, 2, 0))) * IF(ISBLANK(N2624), 0, IF(ISNA(VLOOKUP(N2624, Crews!$A$2:$C$28, 2, 0)), N2624, VLOOKUP(N2624, Crews!$A$2:$C$28, 2, 0))))) * 400</f>
        <v>7031.666667</v>
      </c>
      <c r="K2624" s="1"/>
      <c r="L2624" s="1" t="s">
        <v>5081</v>
      </c>
      <c r="M2624" s="1" t="n">
        <v>2</v>
      </c>
      <c r="N2624" s="1" t="s">
        <v>1512</v>
      </c>
      <c r="O2624" s="1" t="n">
        <v>1</v>
      </c>
      <c r="P2624" s="1"/>
      <c r="Q2624" s="1" t="str">
        <f aca="false">IF(ISBLANK('Pak128 Britain In'!$N2624),,'Pak128 Britain In'!$N2624)</f>
        <v>ElectricMultipleUnit</v>
      </c>
      <c r="R2624" s="1" t="s">
        <v>4696</v>
      </c>
      <c r="S2624" s="1" t="s">
        <v>1350</v>
      </c>
      <c r="T2624" s="1" t="s">
        <v>4697</v>
      </c>
    </row>
    <row r="2625" customFormat="false" ht="15" hidden="false" customHeight="true" outlineLevel="0" collapsed="false">
      <c r="A2625" s="1" t="s">
        <v>5085</v>
      </c>
      <c r="B2625" s="1" t="n">
        <v>1991</v>
      </c>
      <c r="C2625" s="1" t="n">
        <v>11</v>
      </c>
      <c r="D2625" s="1" t="s">
        <v>2225</v>
      </c>
      <c r="E2625" s="1" t="s">
        <v>3660</v>
      </c>
      <c r="F2625" s="1" t="n">
        <v>185580</v>
      </c>
      <c r="G2625" s="1" t="n">
        <v>907</v>
      </c>
      <c r="H2625" s="2" t="n">
        <v>100000000</v>
      </c>
      <c r="I2625" s="2" t="n">
        <f aca="false">(((H2625 / 800) / IF(ISBLANK(R2625), 1000000, IF(ISNA(VLOOKUP(R2625, Mileages!$A$2:$C$34, 2, 0)), R2625, VLOOKUP(R2625, Mileages!$A$2:$C$34, 2, 0)))) + (F2625 * IF(ISBLANK(P2625), 1, P2625) * IF(ISBLANK(T2625), 0, IF(ISNA(VLOOKUP(T2625, 'Fuel Costs'!$A$2:$C$42, 2, 0)), T2625, VLOOKUP(T2625, 'Fuel Costs'!$A$2:$C$42, 2, 0))) / IF(ISBLANK(O2625), 1, O2625))) * 100</f>
        <v>742.7366667</v>
      </c>
      <c r="J2625" s="2" t="n">
        <f aca="false">((H2625 / 800) / (IF(ISBLANK(S2625), 100, IF(ISNA(VLOOKUP(S2625, Lives!$A$2:$C$35, 2, 0)), S2625, VLOOKUP(S2625, Lives!$A$2:$C$35, 2, 0))) * 12) + (IF(ISBLANK(Q2625), 0, IF(ISNA(VLOOKUP(Q2625, Wages!$A$2:$C$17, 2, 0)), Q2625, VLOOKUP(Q2625, Wages!$A$2:$C$17, 2, 0))) * IF(ISBLANK(N2625), 0, IF(ISNA(VLOOKUP(N2625, Crews!$A$2:$C$28, 2, 0)), N2625, VLOOKUP(N2625, Crews!$A$2:$C$28, 2, 0))))) * 400</f>
        <v>89444.44444</v>
      </c>
      <c r="K2625" s="3" t="s">
        <v>5086</v>
      </c>
      <c r="L2625" s="1" t="s">
        <v>5087</v>
      </c>
      <c r="M2625" s="1" t="n">
        <v>0</v>
      </c>
      <c r="N2625" s="1" t="s">
        <v>3570</v>
      </c>
      <c r="O2625" s="1"/>
      <c r="P2625" s="1" t="n">
        <v>0.02</v>
      </c>
      <c r="Q2625" s="1" t="s">
        <v>2229</v>
      </c>
      <c r="R2625" s="1" t="s">
        <v>4413</v>
      </c>
      <c r="S2625" s="1" t="s">
        <v>2229</v>
      </c>
      <c r="T2625" s="1" t="s">
        <v>4773</v>
      </c>
    </row>
    <row r="2626" customFormat="false" ht="15" hidden="false" customHeight="true" outlineLevel="0" collapsed="false">
      <c r="A2626" s="1" t="s">
        <v>5088</v>
      </c>
      <c r="B2626" s="1" t="n">
        <v>1991</v>
      </c>
      <c r="C2626" s="1" t="n">
        <v>11</v>
      </c>
      <c r="D2626" s="1" t="s">
        <v>2225</v>
      </c>
      <c r="E2626" s="1" t="s">
        <v>3660</v>
      </c>
      <c r="F2626" s="1" t="n">
        <v>185580</v>
      </c>
      <c r="G2626" s="1" t="n">
        <v>907</v>
      </c>
      <c r="H2626" s="2" t="n">
        <v>100000000</v>
      </c>
      <c r="I2626" s="2" t="n">
        <f aca="false">(((H2626 / 800) / IF(ISBLANK(R2626), 1000000, IF(ISNA(VLOOKUP(R2626, Mileages!$A$2:$C$34, 2, 0)), R2626, VLOOKUP(R2626, Mileages!$A$2:$C$34, 2, 0)))) + (F2626 * IF(ISBLANK(P2626), 1, P2626) * IF(ISBLANK(T2626), 0, IF(ISNA(VLOOKUP(T2626, 'Fuel Costs'!$A$2:$C$42, 2, 0)), T2626, VLOOKUP(T2626, 'Fuel Costs'!$A$2:$C$42, 2, 0))) / IF(ISBLANK(O2626), 1, O2626))) * 100</f>
        <v>742.7366667</v>
      </c>
      <c r="J2626" s="2" t="n">
        <f aca="false">((H2626 / 800) / (IF(ISBLANK(S2626), 100, IF(ISNA(VLOOKUP(S2626, Lives!$A$2:$C$35, 2, 0)), S2626, VLOOKUP(S2626, Lives!$A$2:$C$35, 2, 0))) * 12) + (IF(ISBLANK(Q2626), 0, IF(ISNA(VLOOKUP(Q2626, Wages!$A$2:$C$17, 2, 0)), Q2626, VLOOKUP(Q2626, Wages!$A$2:$C$17, 2, 0))) * IF(ISBLANK(N2626), 0, IF(ISNA(VLOOKUP(N2626, Crews!$A$2:$C$28, 2, 0)), N2626, VLOOKUP(N2626, Crews!$A$2:$C$28, 2, 0))))) * 400</f>
        <v>89444.44444</v>
      </c>
      <c r="K2626" s="3" t="s">
        <v>5089</v>
      </c>
      <c r="L2626" s="1" t="s">
        <v>5087</v>
      </c>
      <c r="M2626" s="1" t="n">
        <v>1</v>
      </c>
      <c r="N2626" s="1" t="s">
        <v>3570</v>
      </c>
      <c r="O2626" s="1"/>
      <c r="P2626" s="1" t="n">
        <v>0.02</v>
      </c>
      <c r="Q2626" s="1" t="s">
        <v>2229</v>
      </c>
      <c r="R2626" s="1" t="s">
        <v>4413</v>
      </c>
      <c r="S2626" s="1" t="s">
        <v>2229</v>
      </c>
      <c r="T2626" s="1" t="s">
        <v>4773</v>
      </c>
    </row>
    <row r="2627" customFormat="false" ht="15" hidden="false" customHeight="true" outlineLevel="0" collapsed="false">
      <c r="A2627" s="1" t="s">
        <v>5090</v>
      </c>
      <c r="B2627" s="1" t="n">
        <v>1991</v>
      </c>
      <c r="C2627" s="1" t="n">
        <v>11</v>
      </c>
      <c r="D2627" s="1" t="s">
        <v>2225</v>
      </c>
      <c r="E2627" s="1" t="s">
        <v>3660</v>
      </c>
      <c r="F2627" s="1" t="n">
        <v>185580</v>
      </c>
      <c r="G2627" s="1" t="n">
        <v>907</v>
      </c>
      <c r="H2627" s="2" t="n">
        <v>100000000</v>
      </c>
      <c r="I2627" s="2" t="n">
        <f aca="false">(((H2627 / 800) / IF(ISBLANK(R2627), 1000000, IF(ISNA(VLOOKUP(R2627, Mileages!$A$2:$C$34, 2, 0)), R2627, VLOOKUP(R2627, Mileages!$A$2:$C$34, 2, 0)))) + (F2627 * IF(ISBLANK(P2627), 1, P2627) * IF(ISBLANK(T2627), 0, IF(ISNA(VLOOKUP(T2627, 'Fuel Costs'!$A$2:$C$42, 2, 0)), T2627, VLOOKUP(T2627, 'Fuel Costs'!$A$2:$C$42, 2, 0))) / IF(ISBLANK(O2627), 1, O2627))) * 100</f>
        <v>742.7366667</v>
      </c>
      <c r="J2627" s="2" t="n">
        <f aca="false">((H2627 / 800) / (IF(ISBLANK(S2627), 100, IF(ISNA(VLOOKUP(S2627, Lives!$A$2:$C$35, 2, 0)), S2627, VLOOKUP(S2627, Lives!$A$2:$C$35, 2, 0))) * 12) + (IF(ISBLANK(Q2627), 0, IF(ISNA(VLOOKUP(Q2627, Wages!$A$2:$C$17, 2, 0)), Q2627, VLOOKUP(Q2627, Wages!$A$2:$C$17, 2, 0))) * IF(ISBLANK(N2627), 0, IF(ISNA(VLOOKUP(N2627, Crews!$A$2:$C$28, 2, 0)), N2627, VLOOKUP(N2627, Crews!$A$2:$C$28, 2, 0))))) * 400</f>
        <v>89444.44444</v>
      </c>
      <c r="K2627" s="3" t="s">
        <v>5089</v>
      </c>
      <c r="L2627" s="1" t="s">
        <v>5087</v>
      </c>
      <c r="M2627" s="1" t="n">
        <v>2</v>
      </c>
      <c r="N2627" s="1" t="s">
        <v>3570</v>
      </c>
      <c r="O2627" s="1"/>
      <c r="P2627" s="1" t="n">
        <v>0.02</v>
      </c>
      <c r="Q2627" s="1" t="s">
        <v>2229</v>
      </c>
      <c r="R2627" s="1" t="s">
        <v>4413</v>
      </c>
      <c r="S2627" s="1" t="s">
        <v>2229</v>
      </c>
      <c r="T2627" s="1" t="s">
        <v>4773</v>
      </c>
    </row>
    <row r="2628" customFormat="false" ht="15" hidden="false" customHeight="true" outlineLevel="0" collapsed="false">
      <c r="A2628" s="1" t="s">
        <v>5091</v>
      </c>
      <c r="B2628" s="1" t="n">
        <v>1992</v>
      </c>
      <c r="C2628" s="1" t="n">
        <v>1</v>
      </c>
      <c r="D2628" s="1" t="s">
        <v>876</v>
      </c>
      <c r="E2628" s="1" t="s">
        <v>1346</v>
      </c>
      <c r="F2628" s="1" t="n">
        <v>210</v>
      </c>
      <c r="G2628" s="1" t="n">
        <v>80</v>
      </c>
      <c r="H2628" s="2" t="n">
        <v>800000</v>
      </c>
      <c r="I2628" s="2" t="n">
        <f aca="false">(((H2628 / 800) / IF(ISBLANK(R2628), 1000000, IF(ISNA(VLOOKUP(R2628, Mileages!$A$2:$C$34, 2, 0)), R2628, VLOOKUP(R2628, Mileages!$A$2:$C$34, 2, 0)))) + (F2628 * IF(ISBLANK(P2628), 1, P2628) * IF(ISBLANK(T2628), 0, IF(ISNA(VLOOKUP(T2628, 'Fuel Costs'!$A$2:$C$42, 2, 0)), T2628, VLOOKUP(T2628, 'Fuel Costs'!$A$2:$C$42, 2, 0))) / IF(ISBLANK(O2628), 1, O2628))) * 100</f>
        <v>21.05</v>
      </c>
      <c r="J2628" s="2" t="n">
        <f aca="false">((H2628 / 800) / (IF(ISBLANK(S2628), 100, IF(ISNA(VLOOKUP(S2628, Lives!$A$2:$C$35, 2, 0)), S2628, VLOOKUP(S2628, Lives!$A$2:$C$35, 2, 0))) * 12) + (IF(ISBLANK(Q2628), 0, IF(ISNA(VLOOKUP(Q2628, Wages!$A$2:$C$17, 2, 0)), Q2628, VLOOKUP(Q2628, Wages!$A$2:$C$17, 2, 0))) * IF(ISBLANK(N2628), 0, IF(ISNA(VLOOKUP(N2628, Crews!$A$2:$C$28, 2, 0)), N2628, VLOOKUP(N2628, Crews!$A$2:$C$28, 2, 0))))) * 400</f>
        <v>6666.666667</v>
      </c>
      <c r="K2628" s="3" t="s">
        <v>5092</v>
      </c>
      <c r="L2628" s="1" t="s">
        <v>5093</v>
      </c>
      <c r="M2628" s="1" t="n">
        <v>0</v>
      </c>
      <c r="N2628" s="1" t="s">
        <v>1512</v>
      </c>
      <c r="O2628" s="1"/>
      <c r="P2628" s="1"/>
      <c r="Q2628" s="1" t="s">
        <v>1512</v>
      </c>
      <c r="R2628" s="1" t="s">
        <v>4696</v>
      </c>
      <c r="S2628" s="1" t="s">
        <v>1350</v>
      </c>
      <c r="T2628" s="1" t="s">
        <v>4697</v>
      </c>
    </row>
    <row r="2629" customFormat="false" ht="15" hidden="false" customHeight="true" outlineLevel="0" collapsed="false">
      <c r="A2629" s="1" t="s">
        <v>5094</v>
      </c>
      <c r="B2629" s="1" t="n">
        <v>1992</v>
      </c>
      <c r="C2629" s="1" t="n">
        <v>1</v>
      </c>
      <c r="D2629" s="1" t="s">
        <v>876</v>
      </c>
      <c r="E2629" s="1" t="s">
        <v>1346</v>
      </c>
      <c r="F2629" s="1" t="n">
        <v>210</v>
      </c>
      <c r="G2629" s="1" t="n">
        <v>80</v>
      </c>
      <c r="H2629" s="2" t="n">
        <v>0</v>
      </c>
      <c r="I2629" s="2" t="n">
        <f aca="false">(((H2629 / 800) / IF(ISBLANK(R2629), 1000000, IF(ISNA(VLOOKUP(R2629, Mileages!$A$2:$C$34, 2, 0)), R2629, VLOOKUP(R2629, Mileages!$A$2:$C$34, 2, 0)))) + (F2629 * IF(ISBLANK(P2629), 1, P2629) * IF(ISBLANK(T2629), 0, IF(ISNA(VLOOKUP(T2629, 'Fuel Costs'!$A$2:$C$42, 2, 0)), T2629, VLOOKUP(T2629, 'Fuel Costs'!$A$2:$C$42, 2, 0))) / IF(ISBLANK(O2629), 1, O2629))) * 100</f>
        <v>21</v>
      </c>
      <c r="J2629" s="2" t="n">
        <f aca="false">((H2629 / 800) / (IF(ISBLANK(S2629), 100, IF(ISNA(VLOOKUP(S2629, Lives!$A$2:$C$35, 2, 0)), S2629, VLOOKUP(S2629, Lives!$A$2:$C$35, 2, 0))) * 12) + (IF(ISBLANK(Q2629), 0, IF(ISNA(VLOOKUP(Q2629, Wages!$A$2:$C$17, 2, 0)), Q2629, VLOOKUP(Q2629, Wages!$A$2:$C$17, 2, 0))) * IF(ISBLANK(N2629), 0, IF(ISNA(VLOOKUP(N2629, Crews!$A$2:$C$28, 2, 0)), N2629, VLOOKUP(N2629, Crews!$A$2:$C$28, 2, 0))))) * 400</f>
        <v>6000</v>
      </c>
      <c r="K2629" s="3" t="s">
        <v>5092</v>
      </c>
      <c r="L2629" s="1" t="s">
        <v>5095</v>
      </c>
      <c r="M2629" s="1" t="n">
        <v>0</v>
      </c>
      <c r="N2629" s="1" t="s">
        <v>1512</v>
      </c>
      <c r="O2629" s="1"/>
      <c r="P2629" s="1"/>
      <c r="Q2629" s="1" t="s">
        <v>1512</v>
      </c>
      <c r="R2629" s="1" t="s">
        <v>4696</v>
      </c>
      <c r="S2629" s="1" t="s">
        <v>1350</v>
      </c>
      <c r="T2629" s="1" t="s">
        <v>4697</v>
      </c>
    </row>
    <row r="2630" customFormat="false" ht="15" hidden="false" customHeight="true" outlineLevel="0" collapsed="false">
      <c r="A2630" s="1" t="s">
        <v>5096</v>
      </c>
      <c r="B2630" s="1" t="n">
        <v>1992</v>
      </c>
      <c r="C2630" s="1" t="n">
        <v>2</v>
      </c>
      <c r="D2630" s="1" t="s">
        <v>38</v>
      </c>
      <c r="E2630" s="1" t="s">
        <v>1346</v>
      </c>
      <c r="F2630" s="1" t="n">
        <v>140</v>
      </c>
      <c r="G2630" s="1" t="n">
        <v>80</v>
      </c>
      <c r="H2630" s="2" t="n">
        <v>500000</v>
      </c>
      <c r="I2630" s="2" t="n">
        <f aca="false">(((H2630 / 800) / IF(ISBLANK(R2630), 1000000, IF(ISNA(VLOOKUP(R2630, Mileages!$A$2:$C$34, 2, 0)), R2630, VLOOKUP(R2630, Mileages!$A$2:$C$34, 2, 0)))) + (F2630 * IF(ISBLANK(P2630), 1, P2630) * IF(ISBLANK(T2630), 0, IF(ISNA(VLOOKUP(T2630, 'Fuel Costs'!$A$2:$C$42, 2, 0)), T2630, VLOOKUP(T2630, 'Fuel Costs'!$A$2:$C$42, 2, 0))) / IF(ISBLANK(O2630), 1, O2630))) * 100</f>
        <v>14.03125</v>
      </c>
      <c r="J2630" s="2" t="n">
        <f aca="false">((H2630 / 800) / (IF(ISBLANK(S2630), 100, IF(ISNA(VLOOKUP(S2630, Lives!$A$2:$C$35, 2, 0)), S2630, VLOOKUP(S2630, Lives!$A$2:$C$35, 2, 0))) * 12) + (IF(ISBLANK(Q2630), 0, IF(ISNA(VLOOKUP(Q2630, Wages!$A$2:$C$17, 2, 0)), Q2630, VLOOKUP(Q2630, Wages!$A$2:$C$17, 2, 0))) * IF(ISBLANK(N2630), 0, IF(ISNA(VLOOKUP(N2630, Crews!$A$2:$C$28, 2, 0)), N2630, VLOOKUP(N2630, Crews!$A$2:$C$28, 2, 0))))) * 400</f>
        <v>6416.666667</v>
      </c>
      <c r="K2630" s="1"/>
      <c r="L2630" s="1" t="s">
        <v>5097</v>
      </c>
      <c r="M2630" s="1" t="n">
        <v>0</v>
      </c>
      <c r="N2630" s="1" t="s">
        <v>1512</v>
      </c>
      <c r="O2630" s="1" t="n">
        <v>1</v>
      </c>
      <c r="P2630" s="1"/>
      <c r="Q2630" s="1" t="str">
        <f aca="false">IF(ISBLANK('Pak128 Britain In'!$N2630),,'Pak128 Britain In'!$N2630)</f>
        <v>ElectricMultipleUnit</v>
      </c>
      <c r="R2630" s="1" t="s">
        <v>4696</v>
      </c>
      <c r="S2630" s="1" t="s">
        <v>1350</v>
      </c>
      <c r="T2630" s="1" t="s">
        <v>4697</v>
      </c>
    </row>
    <row r="2631" customFormat="false" ht="15" hidden="false" customHeight="true" outlineLevel="0" collapsed="false">
      <c r="A2631" s="1" t="s">
        <v>5098</v>
      </c>
      <c r="B2631" s="1" t="n">
        <v>1992</v>
      </c>
      <c r="C2631" s="1" t="n">
        <v>2</v>
      </c>
      <c r="D2631" s="1" t="s">
        <v>38</v>
      </c>
      <c r="E2631" s="1" t="s">
        <v>1346</v>
      </c>
      <c r="F2631" s="1" t="n">
        <v>140</v>
      </c>
      <c r="G2631" s="1" t="n">
        <v>80</v>
      </c>
      <c r="H2631" s="2" t="n">
        <v>500000</v>
      </c>
      <c r="I2631" s="2" t="n">
        <f aca="false">(((H2631 / 800) / IF(ISBLANK(R2631), 1000000, IF(ISNA(VLOOKUP(R2631, Mileages!$A$2:$C$34, 2, 0)), R2631, VLOOKUP(R2631, Mileages!$A$2:$C$34, 2, 0)))) + (F2631 * IF(ISBLANK(P2631), 1, P2631) * IF(ISBLANK(T2631), 0, IF(ISNA(VLOOKUP(T2631, 'Fuel Costs'!$A$2:$C$42, 2, 0)), T2631, VLOOKUP(T2631, 'Fuel Costs'!$A$2:$C$42, 2, 0))) / IF(ISBLANK(O2631), 1, O2631))) * 100</f>
        <v>14.03125</v>
      </c>
      <c r="J2631" s="2" t="n">
        <f aca="false">((H2631 / 800) / (IF(ISBLANK(S2631), 100, IF(ISNA(VLOOKUP(S2631, Lives!$A$2:$C$35, 2, 0)), S2631, VLOOKUP(S2631, Lives!$A$2:$C$35, 2, 0))) * 12) + (IF(ISBLANK(Q2631), 0, IF(ISNA(VLOOKUP(Q2631, Wages!$A$2:$C$17, 2, 0)), Q2631, VLOOKUP(Q2631, Wages!$A$2:$C$17, 2, 0))) * IF(ISBLANK(N2631), 0, IF(ISNA(VLOOKUP(N2631, Crews!$A$2:$C$28, 2, 0)), N2631, VLOOKUP(N2631, Crews!$A$2:$C$28, 2, 0))))) * 400</f>
        <v>6416.666667</v>
      </c>
      <c r="K2631" s="1"/>
      <c r="L2631" s="1" t="s">
        <v>5097</v>
      </c>
      <c r="M2631" s="1" t="n">
        <v>1</v>
      </c>
      <c r="N2631" s="1" t="s">
        <v>1512</v>
      </c>
      <c r="O2631" s="1" t="n">
        <v>1</v>
      </c>
      <c r="P2631" s="1"/>
      <c r="Q2631" s="1" t="str">
        <f aca="false">IF(ISBLANK('Pak128 Britain In'!$N2631),,'Pak128 Britain In'!$N2631)</f>
        <v>ElectricMultipleUnit</v>
      </c>
      <c r="R2631" s="1" t="s">
        <v>4696</v>
      </c>
      <c r="S2631" s="1" t="s">
        <v>1350</v>
      </c>
      <c r="T2631" s="1" t="s">
        <v>4697</v>
      </c>
    </row>
    <row r="2632" customFormat="false" ht="15" hidden="false" customHeight="true" outlineLevel="0" collapsed="false">
      <c r="A2632" s="1" t="s">
        <v>5099</v>
      </c>
      <c r="B2632" s="1" t="n">
        <v>1992</v>
      </c>
      <c r="C2632" s="1" t="n">
        <v>3</v>
      </c>
      <c r="D2632" s="1" t="s">
        <v>38</v>
      </c>
      <c r="E2632" s="1" t="s">
        <v>1346</v>
      </c>
      <c r="F2632" s="1" t="n">
        <v>390</v>
      </c>
      <c r="G2632" s="1" t="n">
        <v>145</v>
      </c>
      <c r="H2632" s="2" t="n">
        <v>1930000</v>
      </c>
      <c r="I2632" s="2" t="n">
        <f aca="false">(((H2632 / 800) / IF(ISBLANK(R2632), 1000000, IF(ISNA(VLOOKUP(R2632, Mileages!$A$2:$C$34, 2, 0)), R2632, VLOOKUP(R2632, Mileages!$A$2:$C$34, 2, 0)))) + (F2632 * IF(ISBLANK(P2632), 1, P2632) * IF(ISBLANK(T2632), 0, IF(ISNA(VLOOKUP(T2632, 'Fuel Costs'!$A$2:$C$42, 2, 0)), T2632, VLOOKUP(T2632, 'Fuel Costs'!$A$2:$C$42, 2, 0))) / IF(ISBLANK(O2632), 1, O2632))) * 100</f>
        <v>39.120625</v>
      </c>
      <c r="J2632" s="2" t="n">
        <f aca="false">((H2632 / 800) / (IF(ISBLANK(S2632), 100, IF(ISNA(VLOOKUP(S2632, Lives!$A$2:$C$35, 2, 0)), S2632, VLOOKUP(S2632, Lives!$A$2:$C$35, 2, 0))) * 12) + (IF(ISBLANK(Q2632), 0, IF(ISNA(VLOOKUP(Q2632, Wages!$A$2:$C$17, 2, 0)), Q2632, VLOOKUP(Q2632, Wages!$A$2:$C$17, 2, 0))) * IF(ISBLANK(N2632), 0, IF(ISNA(VLOOKUP(N2632, Crews!$A$2:$C$28, 2, 0)), N2632, VLOOKUP(N2632, Crews!$A$2:$C$28, 2, 0))))) * 400</f>
        <v>7608.333333</v>
      </c>
      <c r="K2632" s="1"/>
      <c r="L2632" s="1" t="s">
        <v>5100</v>
      </c>
      <c r="M2632" s="1" t="n">
        <v>0</v>
      </c>
      <c r="N2632" s="1" t="s">
        <v>1512</v>
      </c>
      <c r="O2632" s="1" t="n">
        <v>1</v>
      </c>
      <c r="P2632" s="1"/>
      <c r="Q2632" s="1" t="str">
        <f aca="false">IF(ISBLANK('Pak128 Britain In'!$N2632),,'Pak128 Britain In'!$N2632)</f>
        <v>ElectricMultipleUnit</v>
      </c>
      <c r="R2632" s="1" t="s">
        <v>4696</v>
      </c>
      <c r="S2632" s="1" t="s">
        <v>1350</v>
      </c>
      <c r="T2632" s="1" t="s">
        <v>4697</v>
      </c>
    </row>
    <row r="2633" customFormat="false" ht="15" hidden="false" customHeight="true" outlineLevel="0" collapsed="false">
      <c r="A2633" s="1" t="s">
        <v>5101</v>
      </c>
      <c r="B2633" s="1" t="n">
        <v>1992</v>
      </c>
      <c r="C2633" s="1" t="n">
        <v>3</v>
      </c>
      <c r="D2633" s="1" t="s">
        <v>38</v>
      </c>
      <c r="E2633" s="1" t="s">
        <v>1346</v>
      </c>
      <c r="F2633" s="1" t="n">
        <v>390</v>
      </c>
      <c r="G2633" s="1" t="n">
        <v>145</v>
      </c>
      <c r="H2633" s="2" t="n">
        <v>1930000</v>
      </c>
      <c r="I2633" s="2" t="n">
        <f aca="false">(((H2633 / 800) / IF(ISBLANK(R2633), 1000000, IF(ISNA(VLOOKUP(R2633, Mileages!$A$2:$C$34, 2, 0)), R2633, VLOOKUP(R2633, Mileages!$A$2:$C$34, 2, 0)))) + (F2633 * IF(ISBLANK(P2633), 1, P2633) * IF(ISBLANK(T2633), 0, IF(ISNA(VLOOKUP(T2633, 'Fuel Costs'!$A$2:$C$42, 2, 0)), T2633, VLOOKUP(T2633, 'Fuel Costs'!$A$2:$C$42, 2, 0))) / IF(ISBLANK(O2633), 1, O2633))) * 100</f>
        <v>39.120625</v>
      </c>
      <c r="J2633" s="2" t="n">
        <f aca="false">((H2633 / 800) / (IF(ISBLANK(S2633), 100, IF(ISNA(VLOOKUP(S2633, Lives!$A$2:$C$35, 2, 0)), S2633, VLOOKUP(S2633, Lives!$A$2:$C$35, 2, 0))) * 12) + (IF(ISBLANK(Q2633), 0, IF(ISNA(VLOOKUP(Q2633, Wages!$A$2:$C$17, 2, 0)), Q2633, VLOOKUP(Q2633, Wages!$A$2:$C$17, 2, 0))) * IF(ISBLANK(N2633), 0, IF(ISNA(VLOOKUP(N2633, Crews!$A$2:$C$28, 2, 0)), N2633, VLOOKUP(N2633, Crews!$A$2:$C$28, 2, 0))))) * 400</f>
        <v>7608.333333</v>
      </c>
      <c r="K2633" s="1"/>
      <c r="L2633" s="1" t="s">
        <v>5100</v>
      </c>
      <c r="M2633" s="1" t="n">
        <v>1</v>
      </c>
      <c r="N2633" s="1" t="s">
        <v>1512</v>
      </c>
      <c r="O2633" s="1" t="n">
        <v>1</v>
      </c>
      <c r="P2633" s="1"/>
      <c r="Q2633" s="1" t="str">
        <f aca="false">IF(ISBLANK('Pak128 Britain In'!$N2633),,'Pak128 Britain In'!$N2633)</f>
        <v>ElectricMultipleUnit</v>
      </c>
      <c r="R2633" s="1" t="s">
        <v>4696</v>
      </c>
      <c r="S2633" s="1" t="s">
        <v>1350</v>
      </c>
      <c r="T2633" s="1" t="s">
        <v>4697</v>
      </c>
    </row>
    <row r="2634" customFormat="false" ht="15" hidden="false" customHeight="true" outlineLevel="0" collapsed="false">
      <c r="A2634" s="1" t="s">
        <v>5102</v>
      </c>
      <c r="B2634" s="1" t="n">
        <v>1992</v>
      </c>
      <c r="C2634" s="1" t="n">
        <v>3</v>
      </c>
      <c r="D2634" s="1" t="s">
        <v>38</v>
      </c>
      <c r="E2634" s="1" t="s">
        <v>1346</v>
      </c>
      <c r="F2634" s="1" t="n">
        <v>390</v>
      </c>
      <c r="G2634" s="1" t="n">
        <v>145</v>
      </c>
      <c r="H2634" s="2" t="n">
        <v>1930000</v>
      </c>
      <c r="I2634" s="2" t="n">
        <f aca="false">(((H2634 / 800) / IF(ISBLANK(R2634), 1000000, IF(ISNA(VLOOKUP(R2634, Mileages!$A$2:$C$34, 2, 0)), R2634, VLOOKUP(R2634, Mileages!$A$2:$C$34, 2, 0)))) + (F2634 * IF(ISBLANK(P2634), 1, P2634) * IF(ISBLANK(T2634), 0, IF(ISNA(VLOOKUP(T2634, 'Fuel Costs'!$A$2:$C$42, 2, 0)), T2634, VLOOKUP(T2634, 'Fuel Costs'!$A$2:$C$42, 2, 0))) / IF(ISBLANK(O2634), 1, O2634))) * 100</f>
        <v>39.120625</v>
      </c>
      <c r="J2634" s="2" t="n">
        <f aca="false">((H2634 / 800) / (IF(ISBLANK(S2634), 100, IF(ISNA(VLOOKUP(S2634, Lives!$A$2:$C$35, 2, 0)), S2634, VLOOKUP(S2634, Lives!$A$2:$C$35, 2, 0))) * 12) + (IF(ISBLANK(Q2634), 0, IF(ISNA(VLOOKUP(Q2634, Wages!$A$2:$C$17, 2, 0)), Q2634, VLOOKUP(Q2634, Wages!$A$2:$C$17, 2, 0))) * IF(ISBLANK(N2634), 0, IF(ISNA(VLOOKUP(N2634, Crews!$A$2:$C$28, 2, 0)), N2634, VLOOKUP(N2634, Crews!$A$2:$C$28, 2, 0))))) * 400</f>
        <v>1608.333333</v>
      </c>
      <c r="K2634" s="1"/>
      <c r="L2634" s="1" t="s">
        <v>5100</v>
      </c>
      <c r="M2634" s="1" t="n">
        <v>2</v>
      </c>
      <c r="N2634" s="1"/>
      <c r="O2634" s="1" t="n">
        <v>1</v>
      </c>
      <c r="P2634" s="1"/>
      <c r="Q2634" s="1"/>
      <c r="R2634" s="1" t="s">
        <v>4696</v>
      </c>
      <c r="S2634" s="1" t="s">
        <v>1350</v>
      </c>
      <c r="T2634" s="1" t="s">
        <v>4697</v>
      </c>
    </row>
    <row r="2635" customFormat="false" ht="15" hidden="false" customHeight="true" outlineLevel="0" collapsed="false">
      <c r="A2635" s="1" t="s">
        <v>5103</v>
      </c>
      <c r="B2635" s="1" t="n">
        <v>1992</v>
      </c>
      <c r="C2635" s="1" t="n">
        <v>9</v>
      </c>
      <c r="D2635" s="1" t="s">
        <v>38</v>
      </c>
      <c r="E2635" s="1" t="s">
        <v>1346</v>
      </c>
      <c r="F2635" s="1" t="n">
        <v>275</v>
      </c>
      <c r="G2635" s="1" t="n">
        <v>100</v>
      </c>
      <c r="H2635" s="2" t="n">
        <v>1450000</v>
      </c>
      <c r="I2635" s="2" t="n">
        <f aca="false">(((H2635 / 800) / IF(ISBLANK(R2635), 1000000, IF(ISNA(VLOOKUP(R2635, Mileages!$A$2:$C$34, 2, 0)), R2635, VLOOKUP(R2635, Mileages!$A$2:$C$34, 2, 0)))) + (F2635 * IF(ISBLANK(P2635), 1, P2635) * IF(ISBLANK(T2635), 0, IF(ISNA(VLOOKUP(T2635, 'Fuel Costs'!$A$2:$C$42, 2, 0)), T2635, VLOOKUP(T2635, 'Fuel Costs'!$A$2:$C$42, 2, 0))) / IF(ISBLANK(O2635), 1, O2635))) * 100</f>
        <v>27.590625</v>
      </c>
      <c r="J2635" s="2" t="n">
        <f aca="false">((H2635 / 800) / (IF(ISBLANK(S2635), 100, IF(ISNA(VLOOKUP(S2635, Lives!$A$2:$C$35, 2, 0)), S2635, VLOOKUP(S2635, Lives!$A$2:$C$35, 2, 0))) * 12) + (IF(ISBLANK(Q2635), 0, IF(ISNA(VLOOKUP(Q2635, Wages!$A$2:$C$17, 2, 0)), Q2635, VLOOKUP(Q2635, Wages!$A$2:$C$17, 2, 0))) * IF(ISBLANK(N2635), 0, IF(ISNA(VLOOKUP(N2635, Crews!$A$2:$C$28, 2, 0)), N2635, VLOOKUP(N2635, Crews!$A$2:$C$28, 2, 0))))) * 400</f>
        <v>7208.333333</v>
      </c>
      <c r="K2635" s="1"/>
      <c r="L2635" s="1" t="s">
        <v>5104</v>
      </c>
      <c r="M2635" s="1" t="n">
        <v>0</v>
      </c>
      <c r="N2635" s="1" t="s">
        <v>1512</v>
      </c>
      <c r="O2635" s="1" t="n">
        <v>1</v>
      </c>
      <c r="P2635" s="1"/>
      <c r="Q2635" s="1" t="str">
        <f aca="false">IF(ISBLANK('Pak128 Britain In'!$N2635),,'Pak128 Britain In'!$N2635)</f>
        <v>ElectricMultipleUnit</v>
      </c>
      <c r="R2635" s="1" t="s">
        <v>4696</v>
      </c>
      <c r="S2635" s="1" t="s">
        <v>1350</v>
      </c>
      <c r="T2635" s="1" t="s">
        <v>4697</v>
      </c>
    </row>
    <row r="2636" customFormat="false" ht="15" hidden="false" customHeight="true" outlineLevel="0" collapsed="false">
      <c r="A2636" s="1" t="s">
        <v>5105</v>
      </c>
      <c r="B2636" s="1" t="n">
        <v>1992</v>
      </c>
      <c r="C2636" s="1" t="n">
        <v>9</v>
      </c>
      <c r="D2636" s="1" t="s">
        <v>38</v>
      </c>
      <c r="E2636" s="1" t="s">
        <v>1346</v>
      </c>
      <c r="F2636" s="1" t="n">
        <v>275</v>
      </c>
      <c r="G2636" s="1" t="n">
        <v>100</v>
      </c>
      <c r="H2636" s="2" t="n">
        <v>950000</v>
      </c>
      <c r="I2636" s="2" t="n">
        <f aca="false">(((H2636 / 800) / IF(ISBLANK(R2636), 1000000, IF(ISNA(VLOOKUP(R2636, Mileages!$A$2:$C$34, 2, 0)), R2636, VLOOKUP(R2636, Mileages!$A$2:$C$34, 2, 0)))) + (F2636 * IF(ISBLANK(P2636), 1, P2636) * IF(ISBLANK(T2636), 0, IF(ISNA(VLOOKUP(T2636, 'Fuel Costs'!$A$2:$C$42, 2, 0)), T2636, VLOOKUP(T2636, 'Fuel Costs'!$A$2:$C$42, 2, 0))) / IF(ISBLANK(O2636), 1, O2636))) * 100</f>
        <v>27.559375</v>
      </c>
      <c r="J2636" s="2" t="n">
        <f aca="false">((H2636 / 800) / (IF(ISBLANK(S2636), 100, IF(ISNA(VLOOKUP(S2636, Lives!$A$2:$C$35, 2, 0)), S2636, VLOOKUP(S2636, Lives!$A$2:$C$35, 2, 0))) * 12) + (IF(ISBLANK(Q2636), 0, IF(ISNA(VLOOKUP(Q2636, Wages!$A$2:$C$17, 2, 0)), Q2636, VLOOKUP(Q2636, Wages!$A$2:$C$17, 2, 0))) * IF(ISBLANK(N2636), 0, IF(ISNA(VLOOKUP(N2636, Crews!$A$2:$C$28, 2, 0)), N2636, VLOOKUP(N2636, Crews!$A$2:$C$28, 2, 0))))) * 400</f>
        <v>791.6666667</v>
      </c>
      <c r="K2636" s="1"/>
      <c r="L2636" s="1" t="s">
        <v>5104</v>
      </c>
      <c r="M2636" s="1" t="n">
        <v>1</v>
      </c>
      <c r="N2636" s="1"/>
      <c r="O2636" s="1" t="n">
        <v>1</v>
      </c>
      <c r="P2636" s="1"/>
      <c r="Q2636" s="1"/>
      <c r="R2636" s="1" t="s">
        <v>4696</v>
      </c>
      <c r="S2636" s="1" t="s">
        <v>1350</v>
      </c>
      <c r="T2636" s="1" t="s">
        <v>4697</v>
      </c>
    </row>
    <row r="2637" customFormat="false" ht="15" hidden="false" customHeight="true" outlineLevel="0" collapsed="false">
      <c r="A2637" s="1" t="s">
        <v>5106</v>
      </c>
      <c r="B2637" s="1" t="n">
        <v>1992</v>
      </c>
      <c r="C2637" s="1" t="n">
        <v>9</v>
      </c>
      <c r="D2637" s="1" t="s">
        <v>38</v>
      </c>
      <c r="E2637" s="1" t="s">
        <v>1346</v>
      </c>
      <c r="F2637" s="1" t="n">
        <v>275</v>
      </c>
      <c r="G2637" s="1" t="n">
        <v>100</v>
      </c>
      <c r="H2637" s="2" t="n">
        <v>950000</v>
      </c>
      <c r="I2637" s="2" t="n">
        <f aca="false">(((H2637 / 800) / IF(ISBLANK(R2637), 1000000, IF(ISNA(VLOOKUP(R2637, Mileages!$A$2:$C$34, 2, 0)), R2637, VLOOKUP(R2637, Mileages!$A$2:$C$34, 2, 0)))) + (F2637 * IF(ISBLANK(P2637), 1, P2637) * IF(ISBLANK(T2637), 0, IF(ISNA(VLOOKUP(T2637, 'Fuel Costs'!$A$2:$C$42, 2, 0)), T2637, VLOOKUP(T2637, 'Fuel Costs'!$A$2:$C$42, 2, 0))) / IF(ISBLANK(O2637), 1, O2637))) * 100</f>
        <v>27.559375</v>
      </c>
      <c r="J2637" s="2" t="n">
        <f aca="false">((H2637 / 800) / (IF(ISBLANK(S2637), 100, IF(ISNA(VLOOKUP(S2637, Lives!$A$2:$C$35, 2, 0)), S2637, VLOOKUP(S2637, Lives!$A$2:$C$35, 2, 0))) * 12) + (IF(ISBLANK(Q2637), 0, IF(ISNA(VLOOKUP(Q2637, Wages!$A$2:$C$17, 2, 0)), Q2637, VLOOKUP(Q2637, Wages!$A$2:$C$17, 2, 0))) * IF(ISBLANK(N2637), 0, IF(ISNA(VLOOKUP(N2637, Crews!$A$2:$C$28, 2, 0)), N2637, VLOOKUP(N2637, Crews!$A$2:$C$28, 2, 0))))) * 400</f>
        <v>791.6666667</v>
      </c>
      <c r="K2637" s="1"/>
      <c r="L2637" s="1" t="s">
        <v>5104</v>
      </c>
      <c r="M2637" s="1" t="n">
        <v>2</v>
      </c>
      <c r="N2637" s="1"/>
      <c r="O2637" s="1" t="n">
        <v>1</v>
      </c>
      <c r="P2637" s="1"/>
      <c r="Q2637" s="1"/>
      <c r="R2637" s="1" t="s">
        <v>4696</v>
      </c>
      <c r="S2637" s="1" t="s">
        <v>1350</v>
      </c>
      <c r="T2637" s="1" t="s">
        <v>4697</v>
      </c>
    </row>
    <row r="2638" customFormat="false" ht="15" hidden="false" customHeight="true" outlineLevel="0" collapsed="false">
      <c r="A2638" s="1" t="s">
        <v>5107</v>
      </c>
      <c r="B2638" s="1" t="n">
        <v>1992</v>
      </c>
      <c r="C2638" s="1" t="n">
        <v>9</v>
      </c>
      <c r="D2638" s="1" t="s">
        <v>38</v>
      </c>
      <c r="E2638" s="1" t="s">
        <v>1346</v>
      </c>
      <c r="F2638" s="1" t="n">
        <v>275</v>
      </c>
      <c r="G2638" s="1" t="n">
        <v>100</v>
      </c>
      <c r="H2638" s="2" t="n">
        <v>1450000</v>
      </c>
      <c r="I2638" s="2" t="n">
        <f aca="false">(((H2638 / 800) / IF(ISBLANK(R2638), 1000000, IF(ISNA(VLOOKUP(R2638, Mileages!$A$2:$C$34, 2, 0)), R2638, VLOOKUP(R2638, Mileages!$A$2:$C$34, 2, 0)))) + (F2638 * IF(ISBLANK(P2638), 1, P2638) * IF(ISBLANK(T2638), 0, IF(ISNA(VLOOKUP(T2638, 'Fuel Costs'!$A$2:$C$42, 2, 0)), T2638, VLOOKUP(T2638, 'Fuel Costs'!$A$2:$C$42, 2, 0))) / IF(ISBLANK(O2638), 1, O2638))) * 100</f>
        <v>27.590625</v>
      </c>
      <c r="J2638" s="2" t="n">
        <f aca="false">((H2638 / 800) / (IF(ISBLANK(S2638), 100, IF(ISNA(VLOOKUP(S2638, Lives!$A$2:$C$35, 2, 0)), S2638, VLOOKUP(S2638, Lives!$A$2:$C$35, 2, 0))) * 12) + (IF(ISBLANK(Q2638), 0, IF(ISNA(VLOOKUP(Q2638, Wages!$A$2:$C$17, 2, 0)), Q2638, VLOOKUP(Q2638, Wages!$A$2:$C$17, 2, 0))) * IF(ISBLANK(N2638), 0, IF(ISNA(VLOOKUP(N2638, Crews!$A$2:$C$28, 2, 0)), N2638, VLOOKUP(N2638, Crews!$A$2:$C$28, 2, 0))))) * 400</f>
        <v>7208.333333</v>
      </c>
      <c r="K2638" s="1"/>
      <c r="L2638" s="1" t="s">
        <v>5104</v>
      </c>
      <c r="M2638" s="1" t="n">
        <v>3</v>
      </c>
      <c r="N2638" s="1" t="s">
        <v>1512</v>
      </c>
      <c r="O2638" s="1" t="n">
        <v>1</v>
      </c>
      <c r="P2638" s="1"/>
      <c r="Q2638" s="1" t="str">
        <f aca="false">IF(ISBLANK('Pak128 Britain In'!$N2638),,'Pak128 Britain In'!$N2638)</f>
        <v>ElectricMultipleUnit</v>
      </c>
      <c r="R2638" s="1" t="s">
        <v>4696</v>
      </c>
      <c r="S2638" s="1" t="s">
        <v>1350</v>
      </c>
      <c r="T2638" s="1" t="s">
        <v>4697</v>
      </c>
    </row>
    <row r="2639" customFormat="false" ht="15" hidden="false" customHeight="true" outlineLevel="0" collapsed="false">
      <c r="A2639" s="1" t="s">
        <v>5108</v>
      </c>
      <c r="B2639" s="1" t="n">
        <v>1992</v>
      </c>
      <c r="C2639" s="1" t="n">
        <v>11</v>
      </c>
      <c r="D2639" s="1" t="s">
        <v>38</v>
      </c>
      <c r="E2639" s="1" t="s">
        <v>2039</v>
      </c>
      <c r="F2639" s="1" t="n">
        <v>260</v>
      </c>
      <c r="G2639" s="1" t="n">
        <v>145</v>
      </c>
      <c r="H2639" s="2" t="n">
        <v>1822000</v>
      </c>
      <c r="I2639" s="2" t="n">
        <f aca="false">(((H2639 / 800) / IF(ISBLANK(R2639), 1000000, IF(ISNA(VLOOKUP(R2639, Mileages!$A$2:$C$34, 2, 0)), R2639, VLOOKUP(R2639, Mileages!$A$2:$C$34, 2, 0)))) + (F2639 * IF(ISBLANK(P2639), 1, P2639) * IF(ISBLANK(T2639), 0, IF(ISNA(VLOOKUP(T2639, 'Fuel Costs'!$A$2:$C$42, 2, 0)), T2639, VLOOKUP(T2639, 'Fuel Costs'!$A$2:$C$42, 2, 0))) / IF(ISBLANK(O2639), 1, O2639))) * 100</f>
        <v>78.113875</v>
      </c>
      <c r="J2639" s="2" t="n">
        <f aca="false">((H2639 / 800) / (IF(ISBLANK(S2639), 100, IF(ISNA(VLOOKUP(S2639, Lives!$A$2:$C$35, 2, 0)), S2639, VLOOKUP(S2639, Lives!$A$2:$C$35, 2, 0))) * 12) + (IF(ISBLANK(Q2639), 0, IF(ISNA(VLOOKUP(Q2639, Wages!$A$2:$C$17, 2, 0)), Q2639, VLOOKUP(Q2639, Wages!$A$2:$C$17, 2, 0))) * IF(ISBLANK(N2639), 0, IF(ISNA(VLOOKUP(N2639, Crews!$A$2:$C$28, 2, 0)), N2639, VLOOKUP(N2639, Crews!$A$2:$C$28, 2, 0))))) * 400</f>
        <v>6948.958333</v>
      </c>
      <c r="K2639" s="1" t="s">
        <v>5109</v>
      </c>
      <c r="L2639" s="1" t="s">
        <v>5110</v>
      </c>
      <c r="M2639" s="1" t="n">
        <v>0</v>
      </c>
      <c r="N2639" s="1" t="s">
        <v>1512</v>
      </c>
      <c r="O2639" s="1" t="n">
        <v>1</v>
      </c>
      <c r="P2639" s="1"/>
      <c r="Q2639" s="1" t="s">
        <v>1512</v>
      </c>
      <c r="R2639" s="1" t="s">
        <v>4747</v>
      </c>
      <c r="S2639" s="1" t="s">
        <v>4747</v>
      </c>
      <c r="T2639" s="1" t="s">
        <v>4726</v>
      </c>
    </row>
    <row r="2640" customFormat="false" ht="15" hidden="false" customHeight="true" outlineLevel="0" collapsed="false">
      <c r="A2640" s="1" t="s">
        <v>5111</v>
      </c>
      <c r="B2640" s="1" t="n">
        <v>1992</v>
      </c>
      <c r="C2640" s="1" t="n">
        <v>11</v>
      </c>
      <c r="D2640" s="1" t="s">
        <v>38</v>
      </c>
      <c r="E2640" s="1" t="s">
        <v>2039</v>
      </c>
      <c r="F2640" s="1" t="n">
        <v>260</v>
      </c>
      <c r="G2640" s="1" t="n">
        <v>145</v>
      </c>
      <c r="H2640" s="2" t="n">
        <v>1822000</v>
      </c>
      <c r="I2640" s="2" t="n">
        <f aca="false">(((H2640 / 800) / IF(ISBLANK(R2640), 1000000, IF(ISNA(VLOOKUP(R2640, Mileages!$A$2:$C$34, 2, 0)), R2640, VLOOKUP(R2640, Mileages!$A$2:$C$34, 2, 0)))) + (F2640 * IF(ISBLANK(P2640), 1, P2640) * IF(ISBLANK(T2640), 0, IF(ISNA(VLOOKUP(T2640, 'Fuel Costs'!$A$2:$C$42, 2, 0)), T2640, VLOOKUP(T2640, 'Fuel Costs'!$A$2:$C$42, 2, 0))) / IF(ISBLANK(O2640), 1, O2640))) * 100</f>
        <v>78.113875</v>
      </c>
      <c r="J2640" s="2" t="n">
        <f aca="false">((H2640 / 800) / (IF(ISBLANK(S2640), 100, IF(ISNA(VLOOKUP(S2640, Lives!$A$2:$C$35, 2, 0)), S2640, VLOOKUP(S2640, Lives!$A$2:$C$35, 2, 0))) * 12) + (IF(ISBLANK(Q2640), 0, IF(ISNA(VLOOKUP(Q2640, Wages!$A$2:$C$17, 2, 0)), Q2640, VLOOKUP(Q2640, Wages!$A$2:$C$17, 2, 0))) * IF(ISBLANK(N2640), 0, IF(ISNA(VLOOKUP(N2640, Crews!$A$2:$C$28, 2, 0)), N2640, VLOOKUP(N2640, Crews!$A$2:$C$28, 2, 0))))) * 400</f>
        <v>948.9583333</v>
      </c>
      <c r="K2640" s="1"/>
      <c r="L2640" s="1" t="s">
        <v>5110</v>
      </c>
      <c r="M2640" s="1" t="n">
        <v>1</v>
      </c>
      <c r="N2640" s="1"/>
      <c r="O2640" s="1" t="n">
        <v>1</v>
      </c>
      <c r="P2640" s="1"/>
      <c r="Q2640" s="1"/>
      <c r="R2640" s="1" t="s">
        <v>4747</v>
      </c>
      <c r="S2640" s="1" t="s">
        <v>4747</v>
      </c>
      <c r="T2640" s="1" t="s">
        <v>4726</v>
      </c>
    </row>
    <row r="2641" customFormat="false" ht="15" hidden="false" customHeight="true" outlineLevel="0" collapsed="false">
      <c r="A2641" s="1" t="s">
        <v>5112</v>
      </c>
      <c r="B2641" s="1" t="n">
        <v>1992</v>
      </c>
      <c r="C2641" s="1" t="n">
        <v>11</v>
      </c>
      <c r="D2641" s="1" t="s">
        <v>38</v>
      </c>
      <c r="E2641" s="1" t="s">
        <v>2039</v>
      </c>
      <c r="F2641" s="1" t="n">
        <v>260</v>
      </c>
      <c r="G2641" s="1" t="n">
        <v>145</v>
      </c>
      <c r="H2641" s="2" t="n">
        <v>1822000</v>
      </c>
      <c r="I2641" s="2" t="n">
        <f aca="false">(((H2641 / 800) / IF(ISBLANK(R2641), 1000000, IF(ISNA(VLOOKUP(R2641, Mileages!$A$2:$C$34, 2, 0)), R2641, VLOOKUP(R2641, Mileages!$A$2:$C$34, 2, 0)))) + (F2641 * IF(ISBLANK(P2641), 1, P2641) * IF(ISBLANK(T2641), 0, IF(ISNA(VLOOKUP(T2641, 'Fuel Costs'!$A$2:$C$42, 2, 0)), T2641, VLOOKUP(T2641, 'Fuel Costs'!$A$2:$C$42, 2, 0))) / IF(ISBLANK(O2641), 1, O2641))) * 100</f>
        <v>78.113875</v>
      </c>
      <c r="J2641" s="2" t="n">
        <f aca="false">((H2641 / 800) / (IF(ISBLANK(S2641), 100, IF(ISNA(VLOOKUP(S2641, Lives!$A$2:$C$35, 2, 0)), S2641, VLOOKUP(S2641, Lives!$A$2:$C$35, 2, 0))) * 12) + (IF(ISBLANK(Q2641), 0, IF(ISNA(VLOOKUP(Q2641, Wages!$A$2:$C$17, 2, 0)), Q2641, VLOOKUP(Q2641, Wages!$A$2:$C$17, 2, 0))) * IF(ISBLANK(N2641), 0, IF(ISNA(VLOOKUP(N2641, Crews!$A$2:$C$28, 2, 0)), N2641, VLOOKUP(N2641, Crews!$A$2:$C$28, 2, 0))))) * 400</f>
        <v>18948.95833</v>
      </c>
      <c r="K2641" s="1"/>
      <c r="L2641" s="1" t="s">
        <v>5110</v>
      </c>
      <c r="M2641" s="1" t="n">
        <v>2</v>
      </c>
      <c r="N2641" s="1" t="s">
        <v>1481</v>
      </c>
      <c r="O2641" s="1" t="n">
        <v>1</v>
      </c>
      <c r="P2641" s="1"/>
      <c r="Q2641" s="1" t="s">
        <v>1481</v>
      </c>
      <c r="R2641" s="1" t="s">
        <v>4747</v>
      </c>
      <c r="S2641" s="1" t="s">
        <v>4747</v>
      </c>
      <c r="T2641" s="1" t="s">
        <v>4726</v>
      </c>
    </row>
    <row r="2642" customFormat="false" ht="15" hidden="false" customHeight="true" outlineLevel="0" collapsed="false">
      <c r="A2642" s="1" t="s">
        <v>5113</v>
      </c>
      <c r="B2642" s="1" t="n">
        <v>1992</v>
      </c>
      <c r="C2642" s="1" t="n">
        <v>11</v>
      </c>
      <c r="D2642" s="1" t="s">
        <v>38</v>
      </c>
      <c r="E2642" s="1" t="s">
        <v>2039</v>
      </c>
      <c r="F2642" s="1" t="n">
        <v>260</v>
      </c>
      <c r="G2642" s="1" t="n">
        <v>145</v>
      </c>
      <c r="H2642" s="2" t="n">
        <v>1822000</v>
      </c>
      <c r="I2642" s="2" t="n">
        <f aca="false">(((H2642 / 800) / IF(ISBLANK(R2642), 1000000, IF(ISNA(VLOOKUP(R2642, Mileages!$A$2:$C$34, 2, 0)), R2642, VLOOKUP(R2642, Mileages!$A$2:$C$34, 2, 0)))) + (F2642 * IF(ISBLANK(P2642), 1, P2642) * IF(ISBLANK(T2642), 0, IF(ISNA(VLOOKUP(T2642, 'Fuel Costs'!$A$2:$C$42, 2, 0)), T2642, VLOOKUP(T2642, 'Fuel Costs'!$A$2:$C$42, 2, 0))) / IF(ISBLANK(O2642), 1, O2642))) * 100</f>
        <v>78.113875</v>
      </c>
      <c r="J2642" s="2" t="n">
        <f aca="false">((H2642 / 800) / (IF(ISBLANK(S2642), 100, IF(ISNA(VLOOKUP(S2642, Lives!$A$2:$C$35, 2, 0)), S2642, VLOOKUP(S2642, Lives!$A$2:$C$35, 2, 0))) * 12) + (IF(ISBLANK(Q2642), 0, IF(ISNA(VLOOKUP(Q2642, Wages!$A$2:$C$17, 2, 0)), Q2642, VLOOKUP(Q2642, Wages!$A$2:$C$17, 2, 0))) * IF(ISBLANK(N2642), 0, IF(ISNA(VLOOKUP(N2642, Crews!$A$2:$C$28, 2, 0)), N2642, VLOOKUP(N2642, Crews!$A$2:$C$28, 2, 0))))) * 400</f>
        <v>6948.958333</v>
      </c>
      <c r="K2642" s="1" t="s">
        <v>5114</v>
      </c>
      <c r="L2642" s="1" t="s">
        <v>5110</v>
      </c>
      <c r="M2642" s="1" t="n">
        <v>3</v>
      </c>
      <c r="N2642" s="1" t="s">
        <v>1512</v>
      </c>
      <c r="O2642" s="1" t="n">
        <v>1</v>
      </c>
      <c r="P2642" s="1"/>
      <c r="Q2642" s="1" t="s">
        <v>1512</v>
      </c>
      <c r="R2642" s="1" t="s">
        <v>4747</v>
      </c>
      <c r="S2642" s="1" t="s">
        <v>4747</v>
      </c>
      <c r="T2642" s="1" t="s">
        <v>4726</v>
      </c>
    </row>
    <row r="2643" customFormat="false" ht="15" hidden="false" customHeight="true" outlineLevel="0" collapsed="false">
      <c r="A2643" s="1" t="s">
        <v>5115</v>
      </c>
      <c r="B2643" s="1" t="n">
        <v>1992</v>
      </c>
      <c r="C2643" s="1" t="n">
        <v>12</v>
      </c>
      <c r="D2643" s="1" t="s">
        <v>876</v>
      </c>
      <c r="E2643" s="1" t="s">
        <v>1346</v>
      </c>
      <c r="F2643" s="1" t="n">
        <v>554</v>
      </c>
      <c r="G2643" s="1" t="n">
        <v>80</v>
      </c>
      <c r="H2643" s="2" t="n">
        <v>580000</v>
      </c>
      <c r="I2643" s="2" t="n">
        <f aca="false">(((H2643 / 800) / IF(ISBLANK(R2643), 1000000, IF(ISNA(VLOOKUP(R2643, Mileages!$A$2:$C$34, 2, 0)), R2643, VLOOKUP(R2643, Mileages!$A$2:$C$34, 2, 0)))) + (F2643 * IF(ISBLANK(P2643), 1, P2643) * IF(ISBLANK(T2643), 0, IF(ISNA(VLOOKUP(T2643, 'Fuel Costs'!$A$2:$C$42, 2, 0)), T2643, VLOOKUP(T2643, 'Fuel Costs'!$A$2:$C$42, 2, 0))) / IF(ISBLANK(O2643), 1, O2643))) * 100</f>
        <v>55.43625</v>
      </c>
      <c r="J2643" s="2" t="n">
        <f aca="false">((H2643 / 800) / (IF(ISBLANK(S2643), 100, IF(ISNA(VLOOKUP(S2643, Lives!$A$2:$C$35, 2, 0)), S2643, VLOOKUP(S2643, Lives!$A$2:$C$35, 2, 0))) * 12) + (IF(ISBLANK(Q2643), 0, IF(ISNA(VLOOKUP(Q2643, Wages!$A$2:$C$17, 2, 0)), Q2643, VLOOKUP(Q2643, Wages!$A$2:$C$17, 2, 0))) * IF(ISBLANK(N2643), 0, IF(ISNA(VLOOKUP(N2643, Crews!$A$2:$C$28, 2, 0)), N2643, VLOOKUP(N2643, Crews!$A$2:$C$28, 2, 0))))) * 400</f>
        <v>6483.333333</v>
      </c>
      <c r="K2643" s="3" t="s">
        <v>5116</v>
      </c>
      <c r="L2643" s="1" t="s">
        <v>5117</v>
      </c>
      <c r="M2643" s="1" t="n">
        <v>0</v>
      </c>
      <c r="N2643" s="1" t="s">
        <v>1512</v>
      </c>
      <c r="O2643" s="1"/>
      <c r="P2643" s="1"/>
      <c r="Q2643" s="1" t="s">
        <v>1512</v>
      </c>
      <c r="R2643" s="1" t="s">
        <v>4696</v>
      </c>
      <c r="S2643" s="1" t="s">
        <v>1350</v>
      </c>
      <c r="T2643" s="1" t="s">
        <v>4697</v>
      </c>
    </row>
    <row r="2644" customFormat="false" ht="15" hidden="false" customHeight="true" outlineLevel="0" collapsed="false">
      <c r="A2644" s="1" t="s">
        <v>5118</v>
      </c>
      <c r="B2644" s="1" t="n">
        <v>1992</v>
      </c>
      <c r="C2644" s="1" t="n">
        <v>12</v>
      </c>
      <c r="D2644" s="1" t="s">
        <v>876</v>
      </c>
      <c r="E2644" s="1"/>
      <c r="F2644" s="1" t="n">
        <v>554</v>
      </c>
      <c r="G2644" s="1" t="n">
        <v>80</v>
      </c>
      <c r="H2644" s="2" t="n">
        <v>0</v>
      </c>
      <c r="I2644" s="2" t="n">
        <f aca="false">(((H2644 / 800) / IF(ISBLANK(R2644), 1000000, IF(ISNA(VLOOKUP(R2644, Mileages!$A$2:$C$34, 2, 0)), R2644, VLOOKUP(R2644, Mileages!$A$2:$C$34, 2, 0)))) + (F2644 * IF(ISBLANK(P2644), 1, P2644) * IF(ISBLANK(T2644), 0, IF(ISNA(VLOOKUP(T2644, 'Fuel Costs'!$A$2:$C$42, 2, 0)), T2644, VLOOKUP(T2644, 'Fuel Costs'!$A$2:$C$42, 2, 0))) / IF(ISBLANK(O2644), 1, O2644))) * 100</f>
        <v>55.4</v>
      </c>
      <c r="J2644" s="2" t="n">
        <f aca="false">((H2644 / 800) / (IF(ISBLANK(S2644), 100, IF(ISNA(VLOOKUP(S2644, Lives!$A$2:$C$35, 2, 0)), S2644, VLOOKUP(S2644, Lives!$A$2:$C$35, 2, 0))) * 12) + (IF(ISBLANK(Q2644), 0, IF(ISNA(VLOOKUP(Q2644, Wages!$A$2:$C$17, 2, 0)), Q2644, VLOOKUP(Q2644, Wages!$A$2:$C$17, 2, 0))) * IF(ISBLANK(N2644), 0, IF(ISNA(VLOOKUP(N2644, Crews!$A$2:$C$28, 2, 0)), N2644, VLOOKUP(N2644, Crews!$A$2:$C$28, 2, 0))))) * 400</f>
        <v>6000</v>
      </c>
      <c r="K2644" s="1" t="s">
        <v>5119</v>
      </c>
      <c r="L2644" s="1" t="s">
        <v>5120</v>
      </c>
      <c r="M2644" s="1" t="n">
        <v>0</v>
      </c>
      <c r="N2644" s="1" t="s">
        <v>1512</v>
      </c>
      <c r="O2644" s="1"/>
      <c r="P2644" s="1"/>
      <c r="Q2644" s="1" t="s">
        <v>1512</v>
      </c>
      <c r="R2644" s="1" t="s">
        <v>4696</v>
      </c>
      <c r="S2644" s="1" t="s">
        <v>1350</v>
      </c>
      <c r="T2644" s="1" t="s">
        <v>4697</v>
      </c>
    </row>
    <row r="2645" customFormat="false" ht="15" hidden="false" customHeight="true" outlineLevel="0" collapsed="false">
      <c r="A2645" s="1" t="s">
        <v>5121</v>
      </c>
      <c r="B2645" s="1" t="n">
        <v>1992</v>
      </c>
      <c r="C2645" s="1" t="n">
        <v>12</v>
      </c>
      <c r="D2645" s="1" t="s">
        <v>876</v>
      </c>
      <c r="E2645" s="1" t="s">
        <v>1346</v>
      </c>
      <c r="F2645" s="1"/>
      <c r="G2645" s="1" t="n">
        <v>80</v>
      </c>
      <c r="H2645" s="2" t="n">
        <v>0</v>
      </c>
      <c r="I2645" s="2" t="n">
        <f aca="false">(((H2645 / 800) / IF(ISBLANK(R2645), 1000000, IF(ISNA(VLOOKUP(R2645, Mileages!$A$2:$C$34, 2, 0)), R2645, VLOOKUP(R2645, Mileages!$A$2:$C$34, 2, 0)))) + (F2645 * IF(ISBLANK(P2645), 1, P2645) * IF(ISBLANK(T2645), 0, IF(ISNA(VLOOKUP(T2645, 'Fuel Costs'!$A$2:$C$42, 2, 0)), T2645, VLOOKUP(T2645, 'Fuel Costs'!$A$2:$C$42, 2, 0))) / IF(ISBLANK(O2645), 1, O2645))) * 100</f>
        <v>0</v>
      </c>
      <c r="J2645" s="2" t="n">
        <f aca="false">((H2645 / 800) / (IF(ISBLANK(S2645), 100, IF(ISNA(VLOOKUP(S2645, Lives!$A$2:$C$35, 2, 0)), S2645, VLOOKUP(S2645, Lives!$A$2:$C$35, 2, 0))) * 12) + (IF(ISBLANK(Q2645), 0, IF(ISNA(VLOOKUP(Q2645, Wages!$A$2:$C$17, 2, 0)), Q2645, VLOOKUP(Q2645, Wages!$A$2:$C$17, 2, 0))) * IF(ISBLANK(N2645), 0, IF(ISNA(VLOOKUP(N2645, Crews!$A$2:$C$28, 2, 0)), N2645, VLOOKUP(N2645, Crews!$A$2:$C$28, 2, 0))))) * 400</f>
        <v>0</v>
      </c>
      <c r="K2645" s="1"/>
      <c r="L2645" s="1" t="s">
        <v>5122</v>
      </c>
      <c r="M2645" s="1" t="n">
        <v>0</v>
      </c>
      <c r="N2645" s="1"/>
      <c r="O2645" s="1"/>
      <c r="P2645" s="1"/>
      <c r="Q2645" s="1"/>
      <c r="R2645" s="1" t="s">
        <v>4419</v>
      </c>
      <c r="S2645" s="1" t="s">
        <v>4470</v>
      </c>
      <c r="T2645" s="1"/>
    </row>
    <row r="2646" customFormat="false" ht="15" hidden="false" customHeight="true" outlineLevel="0" collapsed="false">
      <c r="A2646" s="1" t="s">
        <v>5123</v>
      </c>
      <c r="B2646" s="1" t="n">
        <v>1993</v>
      </c>
      <c r="C2646" s="1" t="n">
        <v>2</v>
      </c>
      <c r="D2646" s="1" t="s">
        <v>21</v>
      </c>
      <c r="E2646" s="1" t="s">
        <v>2039</v>
      </c>
      <c r="F2646" s="1" t="n">
        <v>183</v>
      </c>
      <c r="G2646" s="1" t="n">
        <v>64</v>
      </c>
      <c r="H2646" s="2" t="n">
        <v>3750000</v>
      </c>
      <c r="I2646" s="2" t="n">
        <f aca="false">(((H2646 / 800) / IF(ISBLANK(R2646), 1000000, IF(ISNA(VLOOKUP(R2646, Mileages!$A$2:$C$34, 2, 0)), R2646, VLOOKUP(R2646, Mileages!$A$2:$C$34, 2, 0)))) + (F2646 * IF(ISBLANK(P2646), 1, P2646) * IF(ISBLANK(T2646), 0, IF(ISNA(VLOOKUP(T2646, 'Fuel Costs'!$A$2:$C$42, 2, 0)), T2646, VLOOKUP(T2646, 'Fuel Costs'!$A$2:$C$42, 2, 0))) / IF(ISBLANK(O2646), 1, O2646))) * 100</f>
        <v>55.134375</v>
      </c>
      <c r="J2646" s="2" t="n">
        <f aca="false">((H2646 / 800) / (IF(ISBLANK(S2646), 100, IF(ISNA(VLOOKUP(S2646, Lives!$A$2:$C$35, 2, 0)), S2646, VLOOKUP(S2646, Lives!$A$2:$C$35, 2, 0))) * 12) + (IF(ISBLANK(Q2646), 0, IF(ISNA(VLOOKUP(Q2646, Wages!$A$2:$C$17, 2, 0)), Q2646, VLOOKUP(Q2646, Wages!$A$2:$C$17, 2, 0))) * IF(ISBLANK(N2646), 0, IF(ISNA(VLOOKUP(N2646, Crews!$A$2:$C$28, 2, 0)), N2646, VLOOKUP(N2646, Crews!$A$2:$C$28, 2, 0))))) * 400</f>
        <v>9953.125</v>
      </c>
      <c r="K2646" s="3" t="s">
        <v>5124</v>
      </c>
      <c r="L2646" s="1" t="s">
        <v>5125</v>
      </c>
      <c r="M2646" s="1" t="n">
        <v>0</v>
      </c>
      <c r="N2646" s="1" t="s">
        <v>1815</v>
      </c>
      <c r="O2646" s="1" t="n">
        <v>1</v>
      </c>
      <c r="P2646" s="1"/>
      <c r="Q2646" s="1" t="s">
        <v>1815</v>
      </c>
      <c r="R2646" s="1" t="s">
        <v>4725</v>
      </c>
      <c r="S2646" s="1" t="s">
        <v>1843</v>
      </c>
      <c r="T2646" s="1" t="s">
        <v>4726</v>
      </c>
    </row>
    <row r="2647" customFormat="false" ht="15" hidden="false" customHeight="true" outlineLevel="0" collapsed="false">
      <c r="A2647" s="1" t="s">
        <v>5126</v>
      </c>
      <c r="B2647" s="1" t="n">
        <v>1993</v>
      </c>
      <c r="C2647" s="1" t="n">
        <v>2</v>
      </c>
      <c r="D2647" s="1" t="s">
        <v>21</v>
      </c>
      <c r="E2647" s="1" t="s">
        <v>2039</v>
      </c>
      <c r="F2647" s="1" t="n">
        <v>183</v>
      </c>
      <c r="G2647" s="1" t="n">
        <v>64</v>
      </c>
      <c r="H2647" s="2" t="n">
        <v>3600000</v>
      </c>
      <c r="I2647" s="2" t="n">
        <f aca="false">(((H2647 / 800) / IF(ISBLANK(R2647), 1000000, IF(ISNA(VLOOKUP(R2647, Mileages!$A$2:$C$34, 2, 0)), R2647, VLOOKUP(R2647, Mileages!$A$2:$C$34, 2, 0)))) + (F2647 * IF(ISBLANK(P2647), 1, P2647) * IF(ISBLANK(T2647), 0, IF(ISNA(VLOOKUP(T2647, 'Fuel Costs'!$A$2:$C$42, 2, 0)), T2647, VLOOKUP(T2647, 'Fuel Costs'!$A$2:$C$42, 2, 0))) / IF(ISBLANK(O2647), 1, O2647))) * 100</f>
        <v>55.2</v>
      </c>
      <c r="J2647" s="2" t="n">
        <f aca="false">((H2647 / 800) / (IF(ISBLANK(S2647), 100, IF(ISNA(VLOOKUP(S2647, Lives!$A$2:$C$35, 2, 0)), S2647, VLOOKUP(S2647, Lives!$A$2:$C$35, 2, 0))) * 12) + (IF(ISBLANK(Q2647), 0, IF(ISNA(VLOOKUP(Q2647, Wages!$A$2:$C$17, 2, 0)), Q2647, VLOOKUP(Q2647, Wages!$A$2:$C$17, 2, 0))) * IF(ISBLANK(N2647), 0, IF(ISNA(VLOOKUP(N2647, Crews!$A$2:$C$28, 2, 0)), N2647, VLOOKUP(N2647, Crews!$A$2:$C$28, 2, 0))))) * 400</f>
        <v>9750</v>
      </c>
      <c r="K2647" s="3" t="s">
        <v>5127</v>
      </c>
      <c r="L2647" s="1" t="s">
        <v>5125</v>
      </c>
      <c r="M2647" s="1" t="n">
        <v>1</v>
      </c>
      <c r="N2647" s="1" t="s">
        <v>3064</v>
      </c>
      <c r="O2647" s="1" t="n">
        <v>1</v>
      </c>
      <c r="P2647" s="1"/>
      <c r="Q2647" s="1" t="s">
        <v>3064</v>
      </c>
      <c r="R2647" s="1" t="s">
        <v>4730</v>
      </c>
      <c r="S2647" s="1" t="s">
        <v>3064</v>
      </c>
      <c r="T2647" s="1" t="s">
        <v>4726</v>
      </c>
    </row>
    <row r="2648" customFormat="false" ht="15" hidden="false" customHeight="true" outlineLevel="0" collapsed="false">
      <c r="A2648" s="1" t="s">
        <v>5128</v>
      </c>
      <c r="B2648" s="1" t="n">
        <v>1994</v>
      </c>
      <c r="C2648" s="1" t="n">
        <v>1</v>
      </c>
      <c r="D2648" s="1" t="s">
        <v>2225</v>
      </c>
      <c r="E2648" s="1" t="s">
        <v>3660</v>
      </c>
      <c r="F2648" s="1" t="n">
        <v>52920</v>
      </c>
      <c r="G2648" s="1" t="n">
        <v>828</v>
      </c>
      <c r="H2648" s="2" t="n">
        <v>60000000</v>
      </c>
      <c r="I2648" s="2" t="n">
        <f aca="false">(((H2648 / 800) / IF(ISBLANK(R2648), 1000000, IF(ISNA(VLOOKUP(R2648, Mileages!$A$2:$C$34, 2, 0)), R2648, VLOOKUP(R2648, Mileages!$A$2:$C$34, 2, 0)))) + (F2648 * IF(ISBLANK(P2648), 1, P2648) * IF(ISBLANK(T2648), 0, IF(ISNA(VLOOKUP(T2648, 'Fuel Costs'!$A$2:$C$42, 2, 0)), T2648, VLOOKUP(T2648, 'Fuel Costs'!$A$2:$C$42, 2, 0))) / IF(ISBLANK(O2648), 1, O2648))) * 100</f>
        <v>211.93</v>
      </c>
      <c r="J2648" s="2" t="n">
        <f aca="false">((H2648 / 800) / (IF(ISBLANK(S2648), 100, IF(ISNA(VLOOKUP(S2648, Lives!$A$2:$C$35, 2, 0)), S2648, VLOOKUP(S2648, Lives!$A$2:$C$35, 2, 0))) * 12) + (IF(ISBLANK(Q2648), 0, IF(ISNA(VLOOKUP(Q2648, Wages!$A$2:$C$17, 2, 0)), Q2648, VLOOKUP(Q2648, Wages!$A$2:$C$17, 2, 0))) * IF(ISBLANK(N2648), 0, IF(ISNA(VLOOKUP(N2648, Crews!$A$2:$C$28, 2, 0)), N2648, VLOOKUP(N2648, Crews!$A$2:$C$28, 2, 0))))) * 400</f>
        <v>91666.66667</v>
      </c>
      <c r="K2648" s="3" t="s">
        <v>5129</v>
      </c>
      <c r="L2648" s="1" t="s">
        <v>5130</v>
      </c>
      <c r="M2648" s="1" t="n">
        <v>0</v>
      </c>
      <c r="N2648" s="1" t="s">
        <v>2342</v>
      </c>
      <c r="O2648" s="1"/>
      <c r="P2648" s="1" t="n">
        <v>0.02</v>
      </c>
      <c r="Q2648" s="1" t="s">
        <v>2229</v>
      </c>
      <c r="R2648" s="1" t="s">
        <v>4413</v>
      </c>
      <c r="S2648" s="1" t="s">
        <v>2229</v>
      </c>
      <c r="T2648" s="1" t="s">
        <v>4773</v>
      </c>
    </row>
    <row r="2649" customFormat="false" ht="15" hidden="false" customHeight="true" outlineLevel="0" collapsed="false">
      <c r="A2649" s="1" t="s">
        <v>5131</v>
      </c>
      <c r="B2649" s="1" t="n">
        <v>1994</v>
      </c>
      <c r="C2649" s="1" t="n">
        <v>1</v>
      </c>
      <c r="D2649" s="1" t="s">
        <v>2225</v>
      </c>
      <c r="E2649" s="1" t="s">
        <v>3660</v>
      </c>
      <c r="F2649" s="1" t="n">
        <v>52920</v>
      </c>
      <c r="G2649" s="1" t="n">
        <v>828</v>
      </c>
      <c r="H2649" s="2" t="n">
        <v>60000000</v>
      </c>
      <c r="I2649" s="2" t="n">
        <f aca="false">(((H2649 / 800) / IF(ISBLANK(R2649), 1000000, IF(ISNA(VLOOKUP(R2649, Mileages!$A$2:$C$34, 2, 0)), R2649, VLOOKUP(R2649, Mileages!$A$2:$C$34, 2, 0)))) + (F2649 * IF(ISBLANK(P2649), 1, P2649) * IF(ISBLANK(T2649), 0, IF(ISNA(VLOOKUP(T2649, 'Fuel Costs'!$A$2:$C$42, 2, 0)), T2649, VLOOKUP(T2649, 'Fuel Costs'!$A$2:$C$42, 2, 0))) / IF(ISBLANK(O2649), 1, O2649))) * 100</f>
        <v>211.93</v>
      </c>
      <c r="J2649" s="2" t="n">
        <f aca="false">((H2649 / 800) / (IF(ISBLANK(S2649), 100, IF(ISNA(VLOOKUP(S2649, Lives!$A$2:$C$35, 2, 0)), S2649, VLOOKUP(S2649, Lives!$A$2:$C$35, 2, 0))) * 12) + (IF(ISBLANK(Q2649), 0, IF(ISNA(VLOOKUP(Q2649, Wages!$A$2:$C$17, 2, 0)), Q2649, VLOOKUP(Q2649, Wages!$A$2:$C$17, 2, 0))) * IF(ISBLANK(N2649), 0, IF(ISNA(VLOOKUP(N2649, Crews!$A$2:$C$28, 2, 0)), N2649, VLOOKUP(N2649, Crews!$A$2:$C$28, 2, 0))))) * 400</f>
        <v>91666.66667</v>
      </c>
      <c r="K2649" s="3" t="s">
        <v>5129</v>
      </c>
      <c r="L2649" s="1" t="s">
        <v>5130</v>
      </c>
      <c r="M2649" s="1" t="n">
        <v>1</v>
      </c>
      <c r="N2649" s="1" t="s">
        <v>2342</v>
      </c>
      <c r="O2649" s="1"/>
      <c r="P2649" s="1" t="n">
        <v>0.02</v>
      </c>
      <c r="Q2649" s="1" t="s">
        <v>2229</v>
      </c>
      <c r="R2649" s="1" t="s">
        <v>4413</v>
      </c>
      <c r="S2649" s="1" t="s">
        <v>2229</v>
      </c>
      <c r="T2649" s="1" t="s">
        <v>4773</v>
      </c>
    </row>
    <row r="2650" customFormat="false" ht="15" hidden="false" customHeight="true" outlineLevel="0" collapsed="false">
      <c r="A2650" s="1" t="s">
        <v>5132</v>
      </c>
      <c r="B2650" s="1" t="n">
        <v>1994</v>
      </c>
      <c r="C2650" s="1" t="n">
        <v>2</v>
      </c>
      <c r="D2650" s="1" t="s">
        <v>38</v>
      </c>
      <c r="E2650" s="1" t="s">
        <v>1346</v>
      </c>
      <c r="F2650" s="1" t="n">
        <v>628</v>
      </c>
      <c r="G2650" s="1" t="n">
        <v>160</v>
      </c>
      <c r="H2650" s="2" t="n">
        <v>1602000</v>
      </c>
      <c r="I2650" s="2" t="n">
        <f aca="false">(((H2650 / 800) / IF(ISBLANK(R2650), 1000000, IF(ISNA(VLOOKUP(R2650, Mileages!$A$2:$C$34, 2, 0)), R2650, VLOOKUP(R2650, Mileages!$A$2:$C$34, 2, 0)))) + (F2650 * IF(ISBLANK(P2650), 1, P2650) * IF(ISBLANK(T2650), 0, IF(ISNA(VLOOKUP(T2650, 'Fuel Costs'!$A$2:$C$42, 2, 0)), T2650, VLOOKUP(T2650, 'Fuel Costs'!$A$2:$C$42, 2, 0))) / IF(ISBLANK(O2650), 1, O2650))) * 100</f>
        <v>62.900125</v>
      </c>
      <c r="J2650" s="2" t="n">
        <f aca="false">((H2650 / 800) / (IF(ISBLANK(S2650), 100, IF(ISNA(VLOOKUP(S2650, Lives!$A$2:$C$35, 2, 0)), S2650, VLOOKUP(S2650, Lives!$A$2:$C$35, 2, 0))) * 12) + (IF(ISBLANK(Q2650), 0, IF(ISNA(VLOOKUP(Q2650, Wages!$A$2:$C$17, 2, 0)), Q2650, VLOOKUP(Q2650, Wages!$A$2:$C$17, 2, 0))) * IF(ISBLANK(N2650), 0, IF(ISNA(VLOOKUP(N2650, Crews!$A$2:$C$28, 2, 0)), N2650, VLOOKUP(N2650, Crews!$A$2:$C$28, 2, 0))))) * 400</f>
        <v>7335</v>
      </c>
      <c r="K2650" s="1"/>
      <c r="L2650" s="1" t="s">
        <v>5133</v>
      </c>
      <c r="M2650" s="1" t="n">
        <v>0</v>
      </c>
      <c r="N2650" s="1" t="s">
        <v>1512</v>
      </c>
      <c r="O2650" s="1" t="n">
        <v>1</v>
      </c>
      <c r="P2650" s="1"/>
      <c r="Q2650" s="1" t="str">
        <f aca="false">IF(ISBLANK('Pak128 Britain In'!$N2650),,'Pak128 Britain In'!$N2650)</f>
        <v>ElectricMultipleUnit</v>
      </c>
      <c r="R2650" s="1" t="s">
        <v>4696</v>
      </c>
      <c r="S2650" s="1" t="s">
        <v>1350</v>
      </c>
      <c r="T2650" s="1" t="s">
        <v>4697</v>
      </c>
    </row>
    <row r="2651" customFormat="false" ht="15" hidden="false" customHeight="true" outlineLevel="0" collapsed="false">
      <c r="A2651" s="1" t="s">
        <v>5134</v>
      </c>
      <c r="B2651" s="1" t="n">
        <v>1994</v>
      </c>
      <c r="C2651" s="1" t="n">
        <v>2</v>
      </c>
      <c r="D2651" s="1" t="s">
        <v>38</v>
      </c>
      <c r="E2651" s="1" t="s">
        <v>1346</v>
      </c>
      <c r="F2651" s="1" t="n">
        <v>0</v>
      </c>
      <c r="G2651" s="1" t="n">
        <v>160</v>
      </c>
      <c r="H2651" s="2" t="n">
        <v>1602000</v>
      </c>
      <c r="I2651" s="2" t="n">
        <f aca="false">(((H2651 / 800) / IF(ISBLANK(R2651), 1000000, IF(ISNA(VLOOKUP(R2651, Mileages!$A$2:$C$34, 2, 0)), R2651, VLOOKUP(R2651, Mileages!$A$2:$C$34, 2, 0)))) + (F2651 * IF(ISBLANK(P2651), 1, P2651) * IF(ISBLANK(T2651), 0, IF(ISNA(VLOOKUP(T2651, 'Fuel Costs'!$A$2:$C$42, 2, 0)), T2651, VLOOKUP(T2651, 'Fuel Costs'!$A$2:$C$42, 2, 0))) / IF(ISBLANK(O2651), 1, O2651))) * 100</f>
        <v>0.0834375</v>
      </c>
      <c r="J2651" s="2" t="n">
        <f aca="false">((H2651 / 800) / (IF(ISBLANK(S2651), 100, IF(ISNA(VLOOKUP(S2651, Lives!$A$2:$C$35, 2, 0)), S2651, VLOOKUP(S2651, Lives!$A$2:$C$35, 2, 0))) * 12) + (IF(ISBLANK(Q2651), 0, IF(ISNA(VLOOKUP(Q2651, Wages!$A$2:$C$17, 2, 0)), Q2651, VLOOKUP(Q2651, Wages!$A$2:$C$17, 2, 0))) * IF(ISBLANK(N2651), 0, IF(ISNA(VLOOKUP(N2651, Crews!$A$2:$C$28, 2, 0)), N2651, VLOOKUP(N2651, Crews!$A$2:$C$28, 2, 0))))) * 400</f>
        <v>3337.5</v>
      </c>
      <c r="K2651" s="1" t="s">
        <v>5135</v>
      </c>
      <c r="L2651" s="1" t="s">
        <v>5133</v>
      </c>
      <c r="M2651" s="1" t="n">
        <v>1</v>
      </c>
      <c r="N2651" s="1"/>
      <c r="O2651" s="1"/>
      <c r="P2651" s="1"/>
      <c r="Q2651" s="1"/>
      <c r="R2651" s="1" t="s">
        <v>4419</v>
      </c>
      <c r="S2651" s="1" t="s">
        <v>4470</v>
      </c>
      <c r="T2651" s="1"/>
    </row>
    <row r="2652" customFormat="false" ht="15" hidden="false" customHeight="true" outlineLevel="0" collapsed="false">
      <c r="A2652" s="1" t="s">
        <v>5136</v>
      </c>
      <c r="B2652" s="1" t="n">
        <v>1994</v>
      </c>
      <c r="C2652" s="1" t="n">
        <v>2</v>
      </c>
      <c r="D2652" s="1" t="s">
        <v>38</v>
      </c>
      <c r="E2652" s="1" t="s">
        <v>1346</v>
      </c>
      <c r="F2652" s="1" t="n">
        <v>0</v>
      </c>
      <c r="G2652" s="1" t="n">
        <v>160</v>
      </c>
      <c r="H2652" s="2" t="n">
        <v>1602000</v>
      </c>
      <c r="I2652" s="2" t="n">
        <f aca="false">(((H2652 / 800) / IF(ISBLANK(R2652), 1000000, IF(ISNA(VLOOKUP(R2652, Mileages!$A$2:$C$34, 2, 0)), R2652, VLOOKUP(R2652, Mileages!$A$2:$C$34, 2, 0)))) + (F2652 * IF(ISBLANK(P2652), 1, P2652) * IF(ISBLANK(T2652), 0, IF(ISNA(VLOOKUP(T2652, 'Fuel Costs'!$A$2:$C$42, 2, 0)), T2652, VLOOKUP(T2652, 'Fuel Costs'!$A$2:$C$42, 2, 0))) / IF(ISBLANK(O2652), 1, O2652))) * 100</f>
        <v>0.0834375</v>
      </c>
      <c r="J2652" s="2" t="n">
        <f aca="false">((H2652 / 800) / (IF(ISBLANK(S2652), 100, IF(ISNA(VLOOKUP(S2652, Lives!$A$2:$C$35, 2, 0)), S2652, VLOOKUP(S2652, Lives!$A$2:$C$35, 2, 0))) * 12) + (IF(ISBLANK(Q2652), 0, IF(ISNA(VLOOKUP(Q2652, Wages!$A$2:$C$17, 2, 0)), Q2652, VLOOKUP(Q2652, Wages!$A$2:$C$17, 2, 0))) * IF(ISBLANK(N2652), 0, IF(ISNA(VLOOKUP(N2652, Crews!$A$2:$C$28, 2, 0)), N2652, VLOOKUP(N2652, Crews!$A$2:$C$28, 2, 0))))) * 400</f>
        <v>3337.5</v>
      </c>
      <c r="K2652" s="1"/>
      <c r="L2652" s="1" t="s">
        <v>5133</v>
      </c>
      <c r="M2652" s="1" t="n">
        <v>2</v>
      </c>
      <c r="N2652" s="1"/>
      <c r="O2652" s="1"/>
      <c r="P2652" s="1"/>
      <c r="Q2652" s="1"/>
      <c r="R2652" s="1" t="s">
        <v>4419</v>
      </c>
      <c r="S2652" s="1" t="s">
        <v>4470</v>
      </c>
      <c r="T2652" s="1"/>
    </row>
    <row r="2653" customFormat="false" ht="15" hidden="false" customHeight="true" outlineLevel="0" collapsed="false">
      <c r="A2653" s="1" t="s">
        <v>5137</v>
      </c>
      <c r="B2653" s="1" t="n">
        <v>1994</v>
      </c>
      <c r="C2653" s="1" t="n">
        <v>2</v>
      </c>
      <c r="D2653" s="1" t="s">
        <v>38</v>
      </c>
      <c r="E2653" s="1" t="s">
        <v>1346</v>
      </c>
      <c r="F2653" s="1" t="n">
        <v>628</v>
      </c>
      <c r="G2653" s="1" t="n">
        <v>160</v>
      </c>
      <c r="H2653" s="2" t="n">
        <v>1602000</v>
      </c>
      <c r="I2653" s="2" t="n">
        <f aca="false">(((H2653 / 800) / IF(ISBLANK(R2653), 1000000, IF(ISNA(VLOOKUP(R2653, Mileages!$A$2:$C$34, 2, 0)), R2653, VLOOKUP(R2653, Mileages!$A$2:$C$34, 2, 0)))) + (F2653 * IF(ISBLANK(P2653), 1, P2653) * IF(ISBLANK(T2653), 0, IF(ISNA(VLOOKUP(T2653, 'Fuel Costs'!$A$2:$C$42, 2, 0)), T2653, VLOOKUP(T2653, 'Fuel Costs'!$A$2:$C$42, 2, 0))) / IF(ISBLANK(O2653), 1, O2653))) * 100</f>
        <v>62.900125</v>
      </c>
      <c r="J2653" s="2" t="n">
        <f aca="false">((H2653 / 800) / (IF(ISBLANK(S2653), 100, IF(ISNA(VLOOKUP(S2653, Lives!$A$2:$C$35, 2, 0)), S2653, VLOOKUP(S2653, Lives!$A$2:$C$35, 2, 0))) * 12) + (IF(ISBLANK(Q2653), 0, IF(ISNA(VLOOKUP(Q2653, Wages!$A$2:$C$17, 2, 0)), Q2653, VLOOKUP(Q2653, Wages!$A$2:$C$17, 2, 0))) * IF(ISBLANK(N2653), 0, IF(ISNA(VLOOKUP(N2653, Crews!$A$2:$C$28, 2, 0)), N2653, VLOOKUP(N2653, Crews!$A$2:$C$28, 2, 0))))) * 400</f>
        <v>7335</v>
      </c>
      <c r="K2653" s="1"/>
      <c r="L2653" s="1" t="s">
        <v>5133</v>
      </c>
      <c r="M2653" s="1" t="n">
        <v>3</v>
      </c>
      <c r="N2653" s="1" t="s">
        <v>1512</v>
      </c>
      <c r="O2653" s="1" t="n">
        <v>1</v>
      </c>
      <c r="P2653" s="1"/>
      <c r="Q2653" s="1" t="str">
        <f aca="false">IF(ISBLANK('Pak128 Britain In'!$N2653),,'Pak128 Britain In'!$N2653)</f>
        <v>ElectricMultipleUnit</v>
      </c>
      <c r="R2653" s="1" t="s">
        <v>4696</v>
      </c>
      <c r="S2653" s="1" t="s">
        <v>1350</v>
      </c>
      <c r="T2653" s="1" t="s">
        <v>4697</v>
      </c>
    </row>
    <row r="2654" customFormat="false" ht="15" hidden="false" customHeight="true" outlineLevel="0" collapsed="false">
      <c r="A2654" s="1" t="s">
        <v>5138</v>
      </c>
      <c r="B2654" s="1" t="n">
        <v>1994</v>
      </c>
      <c r="C2654" s="1" t="n">
        <v>6</v>
      </c>
      <c r="D2654" s="1" t="s">
        <v>38</v>
      </c>
      <c r="E2654" s="1" t="s">
        <v>1346</v>
      </c>
      <c r="F2654" s="1" t="n">
        <v>5040</v>
      </c>
      <c r="G2654" s="1" t="n">
        <v>140</v>
      </c>
      <c r="H2654" s="2" t="n">
        <v>8800000</v>
      </c>
      <c r="I2654" s="2" t="n">
        <f aca="false">(((H2654 / 800) / IF(ISBLANK(R2654), 1000000, IF(ISNA(VLOOKUP(R2654, Mileages!$A$2:$C$34, 2, 0)), R2654, VLOOKUP(R2654, Mileages!$A$2:$C$34, 2, 0)))) + (F2654 * IF(ISBLANK(P2654), 1, P2654) * IF(ISBLANK(T2654), 0, IF(ISNA(VLOOKUP(T2654, 'Fuel Costs'!$A$2:$C$42, 2, 0)), T2654, VLOOKUP(T2654, 'Fuel Costs'!$A$2:$C$42, 2, 0))) / IF(ISBLANK(O2654), 1, O2654))) * 100</f>
        <v>504.55</v>
      </c>
      <c r="J2654" s="2" t="n">
        <f aca="false">((H2654 / 800) / (IF(ISBLANK(S2654), 100, IF(ISNA(VLOOKUP(S2654, Lives!$A$2:$C$35, 2, 0)), S2654, VLOOKUP(S2654, Lives!$A$2:$C$35, 2, 0))) * 12) + (IF(ISBLANK(Q2654), 0, IF(ISNA(VLOOKUP(Q2654, Wages!$A$2:$C$17, 2, 0)), Q2654, VLOOKUP(Q2654, Wages!$A$2:$C$17, 2, 0))) * IF(ISBLANK(N2654), 0, IF(ISNA(VLOOKUP(N2654, Crews!$A$2:$C$28, 2, 0)), N2654, VLOOKUP(N2654, Crews!$A$2:$C$28, 2, 0))))) * 400</f>
        <v>14583.33333</v>
      </c>
      <c r="K2654" s="3" t="s">
        <v>5139</v>
      </c>
      <c r="L2654" s="1" t="s">
        <v>5140</v>
      </c>
      <c r="M2654" s="1" t="n">
        <v>0</v>
      </c>
      <c r="N2654" s="1" t="s">
        <v>1488</v>
      </c>
      <c r="O2654" s="1" t="n">
        <v>1</v>
      </c>
      <c r="P2654" s="1"/>
      <c r="Q2654" s="1" t="str">
        <f aca="false">IF(ISBLANK('Pak128 Britain In'!$N2654),,'Pak128 Britain In'!$N2654)</f>
        <v>ElectricDriverRail</v>
      </c>
      <c r="R2654" s="1" t="s">
        <v>4696</v>
      </c>
      <c r="S2654" s="1" t="s">
        <v>4696</v>
      </c>
      <c r="T2654" s="1" t="s">
        <v>4697</v>
      </c>
    </row>
    <row r="2655" customFormat="false" ht="15" hidden="false" customHeight="true" outlineLevel="0" collapsed="false">
      <c r="A2655" s="1" t="s">
        <v>5141</v>
      </c>
      <c r="B2655" s="1" t="n">
        <v>1994</v>
      </c>
      <c r="C2655" s="1" t="n">
        <v>9</v>
      </c>
      <c r="D2655" s="1" t="s">
        <v>2225</v>
      </c>
      <c r="E2655" s="1" t="s">
        <v>3660</v>
      </c>
      <c r="F2655" s="1" t="n">
        <v>3580</v>
      </c>
      <c r="G2655" s="1" t="n">
        <v>450</v>
      </c>
      <c r="H2655" s="2" t="n">
        <v>10000000</v>
      </c>
      <c r="I2655" s="2" t="n">
        <f aca="false">(((H2655 / 800) / IF(ISBLANK(R2655), 1000000, IF(ISNA(VLOOKUP(R2655, Mileages!$A$2:$C$34, 2, 0)), R2655, VLOOKUP(R2655, Mileages!$A$2:$C$34, 2, 0)))) + (F2655 * IF(ISBLANK(P2655), 1, P2655) * IF(ISBLANK(T2655), 0, IF(ISNA(VLOOKUP(T2655, 'Fuel Costs'!$A$2:$C$42, 2, 0)), T2655, VLOOKUP(T2655, 'Fuel Costs'!$A$2:$C$42, 2, 0))) / IF(ISBLANK(O2655), 1, O2655))) * 100</f>
        <v>14.36166667</v>
      </c>
      <c r="J2655" s="2" t="n">
        <f aca="false">((H2655 / 800) / (IF(ISBLANK(S2655), 100, IF(ISNA(VLOOKUP(S2655, Lives!$A$2:$C$35, 2, 0)), S2655, VLOOKUP(S2655, Lives!$A$2:$C$35, 2, 0))) * 12) + (IF(ISBLANK(Q2655), 0, IF(ISNA(VLOOKUP(Q2655, Wages!$A$2:$C$17, 2, 0)), Q2655, VLOOKUP(Q2655, Wages!$A$2:$C$17, 2, 0))) * IF(ISBLANK(N2655), 0, IF(ISNA(VLOOKUP(N2655, Crews!$A$2:$C$28, 2, 0)), N2655, VLOOKUP(N2655, Crews!$A$2:$C$28, 2, 0))))) * 400</f>
        <v>16944.44444</v>
      </c>
      <c r="K2655" s="3" t="s">
        <v>5142</v>
      </c>
      <c r="L2655" s="1" t="s">
        <v>5143</v>
      </c>
      <c r="M2655" s="1" t="n">
        <v>0</v>
      </c>
      <c r="N2655" s="1" t="s">
        <v>25</v>
      </c>
      <c r="O2655" s="1"/>
      <c r="P2655" s="1" t="n">
        <v>0.02</v>
      </c>
      <c r="Q2655" s="1" t="s">
        <v>2229</v>
      </c>
      <c r="R2655" s="1" t="s">
        <v>4413</v>
      </c>
      <c r="S2655" s="1" t="s">
        <v>2229</v>
      </c>
      <c r="T2655" s="1" t="s">
        <v>4773</v>
      </c>
    </row>
    <row r="2656" customFormat="false" ht="15" hidden="false" customHeight="true" outlineLevel="0" collapsed="false">
      <c r="A2656" s="1" t="s">
        <v>5144</v>
      </c>
      <c r="B2656" s="1" t="n">
        <v>1994</v>
      </c>
      <c r="C2656" s="1" t="n">
        <v>9</v>
      </c>
      <c r="D2656" s="1" t="s">
        <v>2225</v>
      </c>
      <c r="E2656" s="1" t="s">
        <v>3660</v>
      </c>
      <c r="F2656" s="1" t="n">
        <v>3580</v>
      </c>
      <c r="G2656" s="1" t="n">
        <v>450</v>
      </c>
      <c r="H2656" s="2" t="n">
        <v>10000000</v>
      </c>
      <c r="I2656" s="2" t="n">
        <f aca="false">(((H2656 / 800) / IF(ISBLANK(R2656), 1000000, IF(ISNA(VLOOKUP(R2656, Mileages!$A$2:$C$34, 2, 0)), R2656, VLOOKUP(R2656, Mileages!$A$2:$C$34, 2, 0)))) + (F2656 * IF(ISBLANK(P2656), 1, P2656) * IF(ISBLANK(T2656), 0, IF(ISNA(VLOOKUP(T2656, 'Fuel Costs'!$A$2:$C$42, 2, 0)), T2656, VLOOKUP(T2656, 'Fuel Costs'!$A$2:$C$42, 2, 0))) / IF(ISBLANK(O2656), 1, O2656))) * 100</f>
        <v>14.36166667</v>
      </c>
      <c r="J2656" s="2" t="n">
        <f aca="false">((H2656 / 800) / (IF(ISBLANK(S2656), 100, IF(ISNA(VLOOKUP(S2656, Lives!$A$2:$C$35, 2, 0)), S2656, VLOOKUP(S2656, Lives!$A$2:$C$35, 2, 0))) * 12) + (IF(ISBLANK(Q2656), 0, IF(ISNA(VLOOKUP(Q2656, Wages!$A$2:$C$17, 2, 0)), Q2656, VLOOKUP(Q2656, Wages!$A$2:$C$17, 2, 0))) * IF(ISBLANK(N2656), 0, IF(ISNA(VLOOKUP(N2656, Crews!$A$2:$C$28, 2, 0)), N2656, VLOOKUP(N2656, Crews!$A$2:$C$28, 2, 0))))) * 400</f>
        <v>16944.44444</v>
      </c>
      <c r="K2656" s="3" t="s">
        <v>5142</v>
      </c>
      <c r="L2656" s="1" t="s">
        <v>5143</v>
      </c>
      <c r="M2656" s="1" t="n">
        <v>1</v>
      </c>
      <c r="N2656" s="1" t="s">
        <v>25</v>
      </c>
      <c r="O2656" s="1"/>
      <c r="P2656" s="1" t="n">
        <v>0.02</v>
      </c>
      <c r="Q2656" s="1" t="s">
        <v>2229</v>
      </c>
      <c r="R2656" s="1" t="s">
        <v>4413</v>
      </c>
      <c r="S2656" s="1" t="s">
        <v>2229</v>
      </c>
      <c r="T2656" s="1" t="s">
        <v>4773</v>
      </c>
    </row>
    <row r="2657" customFormat="false" ht="15" hidden="false" customHeight="true" outlineLevel="0" collapsed="false">
      <c r="A2657" s="1" t="s">
        <v>5145</v>
      </c>
      <c r="B2657" s="1" t="n">
        <v>1994</v>
      </c>
      <c r="C2657" s="1" t="n">
        <v>9</v>
      </c>
      <c r="D2657" s="1" t="s">
        <v>2225</v>
      </c>
      <c r="E2657" s="1" t="s">
        <v>3660</v>
      </c>
      <c r="F2657" s="1" t="n">
        <v>3580</v>
      </c>
      <c r="G2657" s="1" t="n">
        <v>450</v>
      </c>
      <c r="H2657" s="2" t="n">
        <v>10000000</v>
      </c>
      <c r="I2657" s="2" t="n">
        <f aca="false">(((H2657 / 800) / IF(ISBLANK(R2657), 1000000, IF(ISNA(VLOOKUP(R2657, Mileages!$A$2:$C$34, 2, 0)), R2657, VLOOKUP(R2657, Mileages!$A$2:$C$34, 2, 0)))) + (F2657 * IF(ISBLANK(P2657), 1, P2657) * IF(ISBLANK(T2657), 0, IF(ISNA(VLOOKUP(T2657, 'Fuel Costs'!$A$2:$C$42, 2, 0)), T2657, VLOOKUP(T2657, 'Fuel Costs'!$A$2:$C$42, 2, 0))) / IF(ISBLANK(O2657), 1, O2657))) * 100</f>
        <v>14.36166667</v>
      </c>
      <c r="J2657" s="2" t="n">
        <f aca="false">((H2657 / 800) / (IF(ISBLANK(S2657), 100, IF(ISNA(VLOOKUP(S2657, Lives!$A$2:$C$35, 2, 0)), S2657, VLOOKUP(S2657, Lives!$A$2:$C$35, 2, 0))) * 12) + (IF(ISBLANK(Q2657), 0, IF(ISNA(VLOOKUP(Q2657, Wages!$A$2:$C$17, 2, 0)), Q2657, VLOOKUP(Q2657, Wages!$A$2:$C$17, 2, 0))) * IF(ISBLANK(N2657), 0, IF(ISNA(VLOOKUP(N2657, Crews!$A$2:$C$28, 2, 0)), N2657, VLOOKUP(N2657, Crews!$A$2:$C$28, 2, 0))))) * 400</f>
        <v>16944.44444</v>
      </c>
      <c r="K2657" s="3" t="s">
        <v>5142</v>
      </c>
      <c r="L2657" s="1" t="s">
        <v>5143</v>
      </c>
      <c r="M2657" s="1" t="n">
        <v>2</v>
      </c>
      <c r="N2657" s="1" t="s">
        <v>25</v>
      </c>
      <c r="O2657" s="1"/>
      <c r="P2657" s="1" t="n">
        <v>0.02</v>
      </c>
      <c r="Q2657" s="1" t="s">
        <v>2229</v>
      </c>
      <c r="R2657" s="1" t="s">
        <v>4413</v>
      </c>
      <c r="S2657" s="1" t="s">
        <v>2229</v>
      </c>
      <c r="T2657" s="1" t="s">
        <v>4773</v>
      </c>
    </row>
    <row r="2658" customFormat="false" ht="15" hidden="false" customHeight="true" outlineLevel="0" collapsed="false">
      <c r="A2658" s="1" t="s">
        <v>5146</v>
      </c>
      <c r="B2658" s="1" t="n">
        <v>1994</v>
      </c>
      <c r="C2658" s="1" t="n">
        <v>9</v>
      </c>
      <c r="D2658" s="1" t="s">
        <v>2225</v>
      </c>
      <c r="E2658" s="1" t="s">
        <v>3660</v>
      </c>
      <c r="F2658" s="1" t="n">
        <v>3580</v>
      </c>
      <c r="G2658" s="1" t="n">
        <v>450</v>
      </c>
      <c r="H2658" s="2" t="n">
        <v>11000000</v>
      </c>
      <c r="I2658" s="2" t="n">
        <f aca="false">(((H2658 / 800) / IF(ISBLANK(R2658), 1000000, IF(ISNA(VLOOKUP(R2658, Mileages!$A$2:$C$34, 2, 0)), R2658, VLOOKUP(R2658, Mileages!$A$2:$C$34, 2, 0)))) + (F2658 * IF(ISBLANK(P2658), 1, P2658) * IF(ISBLANK(T2658), 0, IF(ISNA(VLOOKUP(T2658, 'Fuel Costs'!$A$2:$C$42, 2, 0)), T2658, VLOOKUP(T2658, 'Fuel Costs'!$A$2:$C$42, 2, 0))) / IF(ISBLANK(O2658), 1, O2658))) * 100</f>
        <v>14.36583333</v>
      </c>
      <c r="J2658" s="2" t="n">
        <f aca="false">((H2658 / 800) / (IF(ISBLANK(S2658), 100, IF(ISNA(VLOOKUP(S2658, Lives!$A$2:$C$35, 2, 0)), S2658, VLOOKUP(S2658, Lives!$A$2:$C$35, 2, 0))) * 12) + (IF(ISBLANK(Q2658), 0, IF(ISNA(VLOOKUP(Q2658, Wages!$A$2:$C$17, 2, 0)), Q2658, VLOOKUP(Q2658, Wages!$A$2:$C$17, 2, 0))) * IF(ISBLANK(N2658), 0, IF(ISNA(VLOOKUP(N2658, Crews!$A$2:$C$28, 2, 0)), N2658, VLOOKUP(N2658, Crews!$A$2:$C$28, 2, 0))))) * 400</f>
        <v>57638.88889</v>
      </c>
      <c r="K2658" s="3" t="s">
        <v>5147</v>
      </c>
      <c r="L2658" s="1" t="s">
        <v>5148</v>
      </c>
      <c r="M2658" s="1" t="n">
        <v>0</v>
      </c>
      <c r="N2658" s="1" t="s">
        <v>2342</v>
      </c>
      <c r="O2658" s="1"/>
      <c r="P2658" s="1" t="n">
        <v>0.02</v>
      </c>
      <c r="Q2658" s="1" t="s">
        <v>2229</v>
      </c>
      <c r="R2658" s="1" t="s">
        <v>4413</v>
      </c>
      <c r="S2658" s="1" t="s">
        <v>2229</v>
      </c>
      <c r="T2658" s="1" t="s">
        <v>4773</v>
      </c>
    </row>
    <row r="2659" customFormat="false" ht="15" hidden="false" customHeight="true" outlineLevel="0" collapsed="false">
      <c r="A2659" s="1" t="s">
        <v>5149</v>
      </c>
      <c r="B2659" s="1" t="n">
        <v>1994</v>
      </c>
      <c r="C2659" s="1" t="n">
        <v>11</v>
      </c>
      <c r="D2659" s="1" t="s">
        <v>38</v>
      </c>
      <c r="E2659" s="1" t="s">
        <v>1346</v>
      </c>
      <c r="F2659" s="1" t="n">
        <v>6100</v>
      </c>
      <c r="G2659" s="1" t="n">
        <v>300</v>
      </c>
      <c r="H2659" s="2" t="n">
        <v>9744000</v>
      </c>
      <c r="I2659" s="2" t="n">
        <f aca="false">(((H2659 / 800) / IF(ISBLANK(R2659), 1000000, IF(ISNA(VLOOKUP(R2659, Mileages!$A$2:$C$34, 2, 0)), R2659, VLOOKUP(R2659, Mileages!$A$2:$C$34, 2, 0)))) + (F2659 * IF(ISBLANK(P2659), 1, P2659) * IF(ISBLANK(T2659), 0, IF(ISNA(VLOOKUP(T2659, 'Fuel Costs'!$A$2:$C$42, 2, 0)), T2659, VLOOKUP(T2659, 'Fuel Costs'!$A$2:$C$42, 2, 0))) / IF(ISBLANK(O2659), 1, O2659))) * 100</f>
        <v>610.609</v>
      </c>
      <c r="J2659" s="2" t="n">
        <f aca="false">((H2659 / 800) / (IF(ISBLANK(S2659), 100, IF(ISNA(VLOOKUP(S2659, Lives!$A$2:$C$35, 2, 0)), S2659, VLOOKUP(S2659, Lives!$A$2:$C$35, 2, 0))) * 12) + (IF(ISBLANK(Q2659), 0, IF(ISNA(VLOOKUP(Q2659, Wages!$A$2:$C$17, 2, 0)), Q2659, VLOOKUP(Q2659, Wages!$A$2:$C$17, 2, 0))) * IF(ISBLANK(N2659), 0, IF(ISNA(VLOOKUP(N2659, Crews!$A$2:$C$28, 2, 0)), N2659, VLOOKUP(N2659, Crews!$A$2:$C$28, 2, 0))))) * 400</f>
        <v>14120</v>
      </c>
      <c r="K2659" s="3" t="s">
        <v>5150</v>
      </c>
      <c r="L2659" s="1" t="s">
        <v>5151</v>
      </c>
      <c r="M2659" s="1" t="n">
        <v>0</v>
      </c>
      <c r="N2659" s="1" t="s">
        <v>1512</v>
      </c>
      <c r="O2659" s="1" t="n">
        <v>1</v>
      </c>
      <c r="P2659" s="1"/>
      <c r="Q2659" s="1" t="str">
        <f aca="false">IF(ISBLANK('Pak128 Britain In'!$N2659),,'Pak128 Britain In'!$N2659)</f>
        <v>ElectricMultipleUnit</v>
      </c>
      <c r="R2659" s="1" t="s">
        <v>4696</v>
      </c>
      <c r="S2659" s="1" t="s">
        <v>1350</v>
      </c>
      <c r="T2659" s="1" t="s">
        <v>4697</v>
      </c>
    </row>
    <row r="2660" customFormat="false" ht="15" hidden="false" customHeight="true" outlineLevel="0" collapsed="false">
      <c r="A2660" s="1" t="s">
        <v>5152</v>
      </c>
      <c r="B2660" s="1" t="n">
        <v>1994</v>
      </c>
      <c r="C2660" s="1" t="n">
        <v>11</v>
      </c>
      <c r="D2660" s="1" t="s">
        <v>38</v>
      </c>
      <c r="E2660" s="1" t="s">
        <v>1346</v>
      </c>
      <c r="F2660" s="1" t="n">
        <v>0</v>
      </c>
      <c r="G2660" s="1" t="n">
        <v>300</v>
      </c>
      <c r="H2660" s="2" t="n">
        <v>3248000</v>
      </c>
      <c r="I2660" s="2" t="n">
        <f aca="false">(((H2660 / 800) / IF(ISBLANK(R2660), 1000000, IF(ISNA(VLOOKUP(R2660, Mileages!$A$2:$C$34, 2, 0)), R2660, VLOOKUP(R2660, Mileages!$A$2:$C$34, 2, 0)))) + (F2660 * IF(ISBLANK(P2660), 1, P2660) * IF(ISBLANK(T2660), 0, IF(ISNA(VLOOKUP(T2660, 'Fuel Costs'!$A$2:$C$42, 2, 0)), T2660, VLOOKUP(T2660, 'Fuel Costs'!$A$2:$C$42, 2, 0))) / IF(ISBLANK(O2660), 1, O2660))) * 100</f>
        <v>0.1691666667</v>
      </c>
      <c r="J2660" s="2" t="n">
        <f aca="false">((H2660 / 800) / (IF(ISBLANK(S2660), 100, IF(ISNA(VLOOKUP(S2660, Lives!$A$2:$C$35, 2, 0)), S2660, VLOOKUP(S2660, Lives!$A$2:$C$35, 2, 0))) * 12) + (IF(ISBLANK(Q2660), 0, IF(ISNA(VLOOKUP(Q2660, Wages!$A$2:$C$17, 2, 0)), Q2660, VLOOKUP(Q2660, Wages!$A$2:$C$17, 2, 0))) * IF(ISBLANK(N2660), 0, IF(ISNA(VLOOKUP(N2660, Crews!$A$2:$C$28, 2, 0)), N2660, VLOOKUP(N2660, Crews!$A$2:$C$28, 2, 0))))) * 400</f>
        <v>6766.666667</v>
      </c>
      <c r="K2660" s="1"/>
      <c r="L2660" s="1" t="s">
        <v>5151</v>
      </c>
      <c r="M2660" s="1" t="n">
        <v>1</v>
      </c>
      <c r="N2660" s="1"/>
      <c r="O2660" s="1"/>
      <c r="P2660" s="1"/>
      <c r="Q2660" s="1"/>
      <c r="R2660" s="1" t="s">
        <v>4419</v>
      </c>
      <c r="S2660" s="1" t="s">
        <v>4470</v>
      </c>
      <c r="T2660" s="1"/>
    </row>
    <row r="2661" customFormat="false" ht="15" hidden="false" customHeight="true" outlineLevel="0" collapsed="false">
      <c r="A2661" s="1" t="s">
        <v>5153</v>
      </c>
      <c r="B2661" s="1" t="n">
        <v>1994</v>
      </c>
      <c r="C2661" s="1" t="n">
        <v>11</v>
      </c>
      <c r="D2661" s="1" t="s">
        <v>38</v>
      </c>
      <c r="E2661" s="1" t="s">
        <v>1346</v>
      </c>
      <c r="F2661" s="1" t="n">
        <v>0</v>
      </c>
      <c r="G2661" s="1" t="n">
        <v>300</v>
      </c>
      <c r="H2661" s="2" t="n">
        <v>16240</v>
      </c>
      <c r="I2661" s="2" t="n">
        <f aca="false">(((H2661 / 800) / IF(ISBLANK(R2661), 1000000, IF(ISNA(VLOOKUP(R2661, Mileages!$A$2:$C$34, 2, 0)), R2661, VLOOKUP(R2661, Mileages!$A$2:$C$34, 2, 0)))) + (F2661 * IF(ISBLANK(P2661), 1, P2661) * IF(ISBLANK(T2661), 0, IF(ISNA(VLOOKUP(T2661, 'Fuel Costs'!$A$2:$C$42, 2, 0)), T2661, VLOOKUP(T2661, 'Fuel Costs'!$A$2:$C$42, 2, 0))) / IF(ISBLANK(O2661), 1, O2661))) * 100</f>
        <v>0.0008458333333</v>
      </c>
      <c r="J2661" s="2" t="n">
        <f aca="false">((H2661 / 800) / (IF(ISBLANK(S2661), 100, IF(ISNA(VLOOKUP(S2661, Lives!$A$2:$C$35, 2, 0)), S2661, VLOOKUP(S2661, Lives!$A$2:$C$35, 2, 0))) * 12) + (IF(ISBLANK(Q2661), 0, IF(ISNA(VLOOKUP(Q2661, Wages!$A$2:$C$17, 2, 0)), Q2661, VLOOKUP(Q2661, Wages!$A$2:$C$17, 2, 0))) * IF(ISBLANK(N2661), 0, IF(ISNA(VLOOKUP(N2661, Crews!$A$2:$C$28, 2, 0)), N2661, VLOOKUP(N2661, Crews!$A$2:$C$28, 2, 0))))) * 400</f>
        <v>33.83333333</v>
      </c>
      <c r="K2661" s="1"/>
      <c r="L2661" s="1" t="s">
        <v>5151</v>
      </c>
      <c r="M2661" s="1" t="n">
        <v>2</v>
      </c>
      <c r="N2661" s="1"/>
      <c r="O2661" s="1"/>
      <c r="P2661" s="1"/>
      <c r="Q2661" s="1"/>
      <c r="R2661" s="1" t="s">
        <v>4419</v>
      </c>
      <c r="S2661" s="1" t="s">
        <v>4470</v>
      </c>
      <c r="T2661" s="1"/>
    </row>
    <row r="2662" customFormat="false" ht="15" hidden="false" customHeight="true" outlineLevel="0" collapsed="false">
      <c r="A2662" s="1" t="s">
        <v>5154</v>
      </c>
      <c r="B2662" s="1" t="n">
        <v>1994</v>
      </c>
      <c r="C2662" s="1" t="n">
        <v>11</v>
      </c>
      <c r="D2662" s="1" t="s">
        <v>38</v>
      </c>
      <c r="E2662" s="1" t="s">
        <v>1346</v>
      </c>
      <c r="F2662" s="1" t="n">
        <v>0</v>
      </c>
      <c r="G2662" s="1" t="n">
        <v>300</v>
      </c>
      <c r="H2662" s="2" t="n">
        <v>16240</v>
      </c>
      <c r="I2662" s="2" t="n">
        <f aca="false">(((H2662 / 800) / IF(ISBLANK(R2662), 1000000, IF(ISNA(VLOOKUP(R2662, Mileages!$A$2:$C$34, 2, 0)), R2662, VLOOKUP(R2662, Mileages!$A$2:$C$34, 2, 0)))) + (F2662 * IF(ISBLANK(P2662), 1, P2662) * IF(ISBLANK(T2662), 0, IF(ISNA(VLOOKUP(T2662, 'Fuel Costs'!$A$2:$C$42, 2, 0)), T2662, VLOOKUP(T2662, 'Fuel Costs'!$A$2:$C$42, 2, 0))) / IF(ISBLANK(O2662), 1, O2662))) * 100</f>
        <v>0.0008458333333</v>
      </c>
      <c r="J2662" s="2" t="n">
        <f aca="false">((H2662 / 800) / (IF(ISBLANK(S2662), 100, IF(ISNA(VLOOKUP(S2662, Lives!$A$2:$C$35, 2, 0)), S2662, VLOOKUP(S2662, Lives!$A$2:$C$35, 2, 0))) * 12) + (IF(ISBLANK(Q2662), 0, IF(ISNA(VLOOKUP(Q2662, Wages!$A$2:$C$17, 2, 0)), Q2662, VLOOKUP(Q2662, Wages!$A$2:$C$17, 2, 0))) * IF(ISBLANK(N2662), 0, IF(ISNA(VLOOKUP(N2662, Crews!$A$2:$C$28, 2, 0)), N2662, VLOOKUP(N2662, Crews!$A$2:$C$28, 2, 0))))) * 400</f>
        <v>33.83333333</v>
      </c>
      <c r="K2662" s="1"/>
      <c r="L2662" s="1" t="s">
        <v>5151</v>
      </c>
      <c r="M2662" s="1" t="n">
        <v>3</v>
      </c>
      <c r="N2662" s="1"/>
      <c r="O2662" s="1"/>
      <c r="P2662" s="1"/>
      <c r="Q2662" s="1"/>
      <c r="R2662" s="1" t="s">
        <v>4419</v>
      </c>
      <c r="S2662" s="1" t="s">
        <v>4470</v>
      </c>
      <c r="T2662" s="1"/>
    </row>
    <row r="2663" customFormat="false" ht="15" hidden="false" customHeight="true" outlineLevel="0" collapsed="false">
      <c r="A2663" s="1" t="s">
        <v>5155</v>
      </c>
      <c r="B2663" s="1" t="n">
        <v>1994</v>
      </c>
      <c r="C2663" s="1" t="n">
        <v>11</v>
      </c>
      <c r="D2663" s="1" t="s">
        <v>38</v>
      </c>
      <c r="E2663" s="1" t="s">
        <v>1346</v>
      </c>
      <c r="F2663" s="1" t="n">
        <v>0</v>
      </c>
      <c r="G2663" s="1" t="n">
        <v>300</v>
      </c>
      <c r="H2663" s="2" t="n">
        <v>16240</v>
      </c>
      <c r="I2663" s="2" t="n">
        <f aca="false">(((H2663 / 800) / IF(ISBLANK(R2663), 1000000, IF(ISNA(VLOOKUP(R2663, Mileages!$A$2:$C$34, 2, 0)), R2663, VLOOKUP(R2663, Mileages!$A$2:$C$34, 2, 0)))) + (F2663 * IF(ISBLANK(P2663), 1, P2663) * IF(ISBLANK(T2663), 0, IF(ISNA(VLOOKUP(T2663, 'Fuel Costs'!$A$2:$C$42, 2, 0)), T2663, VLOOKUP(T2663, 'Fuel Costs'!$A$2:$C$42, 2, 0))) / IF(ISBLANK(O2663), 1, O2663))) * 100</f>
        <v>0.0008458333333</v>
      </c>
      <c r="J2663" s="2" t="n">
        <f aca="false">((H2663 / 800) / (IF(ISBLANK(S2663), 100, IF(ISNA(VLOOKUP(S2663, Lives!$A$2:$C$35, 2, 0)), S2663, VLOOKUP(S2663, Lives!$A$2:$C$35, 2, 0))) * 12) + (IF(ISBLANK(Q2663), 0, IF(ISNA(VLOOKUP(Q2663, Wages!$A$2:$C$17, 2, 0)), Q2663, VLOOKUP(Q2663, Wages!$A$2:$C$17, 2, 0))) * IF(ISBLANK(N2663), 0, IF(ISNA(VLOOKUP(N2663, Crews!$A$2:$C$28, 2, 0)), N2663, VLOOKUP(N2663, Crews!$A$2:$C$28, 2, 0))))) * 400</f>
        <v>18033.83333</v>
      </c>
      <c r="K2663" s="1" t="s">
        <v>5156</v>
      </c>
      <c r="L2663" s="1" t="s">
        <v>5151</v>
      </c>
      <c r="M2663" s="1" t="n">
        <v>4</v>
      </c>
      <c r="N2663" s="1" t="s">
        <v>1481</v>
      </c>
      <c r="O2663" s="1"/>
      <c r="P2663" s="1"/>
      <c r="Q2663" s="1" t="s">
        <v>1481</v>
      </c>
      <c r="R2663" s="1" t="s">
        <v>4419</v>
      </c>
      <c r="S2663" s="1" t="s">
        <v>4470</v>
      </c>
      <c r="T2663" s="1"/>
    </row>
    <row r="2664" customFormat="false" ht="15" hidden="false" customHeight="true" outlineLevel="0" collapsed="false">
      <c r="A2664" s="1" t="s">
        <v>5157</v>
      </c>
      <c r="B2664" s="1" t="n">
        <v>1994</v>
      </c>
      <c r="C2664" s="1" t="n">
        <v>11</v>
      </c>
      <c r="D2664" s="1" t="s">
        <v>38</v>
      </c>
      <c r="E2664" s="1" t="s">
        <v>1346</v>
      </c>
      <c r="F2664" s="1" t="n">
        <v>0</v>
      </c>
      <c r="G2664" s="1" t="n">
        <v>300</v>
      </c>
      <c r="H2664" s="2" t="n">
        <v>3248000</v>
      </c>
      <c r="I2664" s="2" t="n">
        <f aca="false">(((H2664 / 800) / IF(ISBLANK(R2664), 1000000, IF(ISNA(VLOOKUP(R2664, Mileages!$A$2:$C$34, 2, 0)), R2664, VLOOKUP(R2664, Mileages!$A$2:$C$34, 2, 0)))) + (F2664 * IF(ISBLANK(P2664), 1, P2664) * IF(ISBLANK(T2664), 0, IF(ISNA(VLOOKUP(T2664, 'Fuel Costs'!$A$2:$C$42, 2, 0)), T2664, VLOOKUP(T2664, 'Fuel Costs'!$A$2:$C$42, 2, 0))) / IF(ISBLANK(O2664), 1, O2664))) * 100</f>
        <v>0.1691666667</v>
      </c>
      <c r="J2664" s="2" t="n">
        <f aca="false">((H2664 / 800) / (IF(ISBLANK(S2664), 100, IF(ISNA(VLOOKUP(S2664, Lives!$A$2:$C$35, 2, 0)), S2664, VLOOKUP(S2664, Lives!$A$2:$C$35, 2, 0))) * 12) + (IF(ISBLANK(Q2664), 0, IF(ISNA(VLOOKUP(Q2664, Wages!$A$2:$C$17, 2, 0)), Q2664, VLOOKUP(Q2664, Wages!$A$2:$C$17, 2, 0))) * IF(ISBLANK(N2664), 0, IF(ISNA(VLOOKUP(N2664, Crews!$A$2:$C$28, 2, 0)), N2664, VLOOKUP(N2664, Crews!$A$2:$C$28, 2, 0))))) * 400</f>
        <v>6766.666667</v>
      </c>
      <c r="K2664" s="1"/>
      <c r="L2664" s="1" t="s">
        <v>5151</v>
      </c>
      <c r="M2664" s="1" t="n">
        <v>5</v>
      </c>
      <c r="N2664" s="1"/>
      <c r="O2664" s="1"/>
      <c r="P2664" s="1"/>
      <c r="Q2664" s="1"/>
      <c r="R2664" s="1" t="s">
        <v>4419</v>
      </c>
      <c r="S2664" s="1" t="s">
        <v>4470</v>
      </c>
      <c r="T2664" s="1"/>
    </row>
    <row r="2665" customFormat="false" ht="15" hidden="false" customHeight="true" outlineLevel="0" collapsed="false">
      <c r="A2665" s="1" t="s">
        <v>5158</v>
      </c>
      <c r="B2665" s="1" t="n">
        <v>1994</v>
      </c>
      <c r="C2665" s="1" t="n">
        <v>11</v>
      </c>
      <c r="D2665" s="1" t="s">
        <v>38</v>
      </c>
      <c r="E2665" s="1" t="s">
        <v>1346</v>
      </c>
      <c r="F2665" s="1" t="n">
        <v>6100</v>
      </c>
      <c r="G2665" s="1" t="n">
        <v>300</v>
      </c>
      <c r="H2665" s="2" t="n">
        <v>9744000</v>
      </c>
      <c r="I2665" s="2" t="n">
        <f aca="false">(((H2665 / 800) / IF(ISBLANK(R2665), 1000000, IF(ISNA(VLOOKUP(R2665, Mileages!$A$2:$C$34, 2, 0)), R2665, VLOOKUP(R2665, Mileages!$A$2:$C$34, 2, 0)))) + (F2665 * IF(ISBLANK(P2665), 1, P2665) * IF(ISBLANK(T2665), 0, IF(ISNA(VLOOKUP(T2665, 'Fuel Costs'!$A$2:$C$42, 2, 0)), T2665, VLOOKUP(T2665, 'Fuel Costs'!$A$2:$C$42, 2, 0))) / IF(ISBLANK(O2665), 1, O2665))) * 100</f>
        <v>610.609</v>
      </c>
      <c r="J2665" s="2" t="n">
        <f aca="false">((H2665 / 800) / (IF(ISBLANK(S2665), 100, IF(ISNA(VLOOKUP(S2665, Lives!$A$2:$C$35, 2, 0)), S2665, VLOOKUP(S2665, Lives!$A$2:$C$35, 2, 0))) * 12) + (IF(ISBLANK(Q2665), 0, IF(ISNA(VLOOKUP(Q2665, Wages!$A$2:$C$17, 2, 0)), Q2665, VLOOKUP(Q2665, Wages!$A$2:$C$17, 2, 0))) * IF(ISBLANK(N2665), 0, IF(ISNA(VLOOKUP(N2665, Crews!$A$2:$C$28, 2, 0)), N2665, VLOOKUP(N2665, Crews!$A$2:$C$28, 2, 0))))) * 400</f>
        <v>14120</v>
      </c>
      <c r="K2665" s="1"/>
      <c r="L2665" s="1" t="s">
        <v>5151</v>
      </c>
      <c r="M2665" s="1" t="n">
        <v>6</v>
      </c>
      <c r="N2665" s="1" t="s">
        <v>1512</v>
      </c>
      <c r="O2665" s="1" t="n">
        <v>1</v>
      </c>
      <c r="P2665" s="1"/>
      <c r="Q2665" s="1" t="str">
        <f aca="false">IF(ISBLANK('Pak128 Britain In'!$N2665),,'Pak128 Britain In'!$N2665)</f>
        <v>ElectricMultipleUnit</v>
      </c>
      <c r="R2665" s="1" t="s">
        <v>4696</v>
      </c>
      <c r="S2665" s="1" t="s">
        <v>1350</v>
      </c>
      <c r="T2665" s="1" t="s">
        <v>4697</v>
      </c>
    </row>
    <row r="2666" customFormat="false" ht="15" hidden="false" customHeight="true" outlineLevel="0" collapsed="false">
      <c r="A2666" s="1" t="s">
        <v>5159</v>
      </c>
      <c r="B2666" s="1" t="n">
        <v>1995</v>
      </c>
      <c r="C2666" s="1" t="n">
        <v>1</v>
      </c>
      <c r="D2666" s="1" t="s">
        <v>38</v>
      </c>
      <c r="E2666" s="1" t="s">
        <v>1346</v>
      </c>
      <c r="F2666" s="1"/>
      <c r="G2666" s="1" t="n">
        <v>100</v>
      </c>
      <c r="H2666" s="2" t="n">
        <v>800000</v>
      </c>
      <c r="I2666" s="2" t="n">
        <f aca="false">(((H2666 / 800) / IF(ISBLANK(R2666), 1000000, IF(ISNA(VLOOKUP(R2666, Mileages!$A$2:$C$34, 2, 0)), R2666, VLOOKUP(R2666, Mileages!$A$2:$C$34, 2, 0)))) + (F2666 * IF(ISBLANK(P2666), 1, P2666) * IF(ISBLANK(T2666), 0, IF(ISNA(VLOOKUP(T2666, 'Fuel Costs'!$A$2:$C$42, 2, 0)), T2666, VLOOKUP(T2666, 'Fuel Costs'!$A$2:$C$42, 2, 0))) / IF(ISBLANK(O2666), 1, O2666))) * 100</f>
        <v>0.04166666667</v>
      </c>
      <c r="J2666" s="2" t="n">
        <f aca="false">((H2666 / 800) / (IF(ISBLANK(S2666), 100, IF(ISNA(VLOOKUP(S2666, Lives!$A$2:$C$35, 2, 0)), S2666, VLOOKUP(S2666, Lives!$A$2:$C$35, 2, 0))) * 12) + (IF(ISBLANK(Q2666), 0, IF(ISNA(VLOOKUP(Q2666, Wages!$A$2:$C$17, 2, 0)), Q2666, VLOOKUP(Q2666, Wages!$A$2:$C$17, 2, 0))) * IF(ISBLANK(N2666), 0, IF(ISNA(VLOOKUP(N2666, Crews!$A$2:$C$28, 2, 0)), N2666, VLOOKUP(N2666, Crews!$A$2:$C$28, 2, 0))))) * 400</f>
        <v>1666.666667</v>
      </c>
      <c r="K2666" s="1"/>
      <c r="L2666" s="1" t="s">
        <v>5160</v>
      </c>
      <c r="M2666" s="1" t="n">
        <v>2</v>
      </c>
      <c r="N2666" s="1"/>
      <c r="O2666" s="1"/>
      <c r="P2666" s="1"/>
      <c r="Q2666" s="1"/>
      <c r="R2666" s="1" t="s">
        <v>4419</v>
      </c>
      <c r="S2666" s="1" t="s">
        <v>4470</v>
      </c>
      <c r="T2666" s="1"/>
    </row>
    <row r="2667" customFormat="false" ht="15" hidden="false" customHeight="true" outlineLevel="0" collapsed="false">
      <c r="A2667" s="1" t="s">
        <v>5161</v>
      </c>
      <c r="B2667" s="1" t="n">
        <v>1995</v>
      </c>
      <c r="C2667" s="1" t="n">
        <v>4</v>
      </c>
      <c r="D2667" s="1" t="s">
        <v>38</v>
      </c>
      <c r="E2667" s="1" t="s">
        <v>1346</v>
      </c>
      <c r="F2667" s="1" t="n">
        <v>500</v>
      </c>
      <c r="G2667" s="1" t="n">
        <v>100</v>
      </c>
      <c r="H2667" s="2" t="n">
        <v>1500000</v>
      </c>
      <c r="I2667" s="2" t="n">
        <f aca="false">(((H2667 / 800) / IF(ISBLANK(R2667), 1000000, IF(ISNA(VLOOKUP(R2667, Mileages!$A$2:$C$34, 2, 0)), R2667, VLOOKUP(R2667, Mileages!$A$2:$C$34, 2, 0)))) + (F2667 * IF(ISBLANK(P2667), 1, P2667) * IF(ISBLANK(T2667), 0, IF(ISNA(VLOOKUP(T2667, 'Fuel Costs'!$A$2:$C$42, 2, 0)), T2667, VLOOKUP(T2667, 'Fuel Costs'!$A$2:$C$42, 2, 0))) / IF(ISBLANK(O2667), 1, O2667))) * 100</f>
        <v>50.09375</v>
      </c>
      <c r="J2667" s="2" t="n">
        <f aca="false">((H2667 / 800) / (IF(ISBLANK(S2667), 100, IF(ISNA(VLOOKUP(S2667, Lives!$A$2:$C$35, 2, 0)), S2667, VLOOKUP(S2667, Lives!$A$2:$C$35, 2, 0))) * 12) + (IF(ISBLANK(Q2667), 0, IF(ISNA(VLOOKUP(Q2667, Wages!$A$2:$C$17, 2, 0)), Q2667, VLOOKUP(Q2667, Wages!$A$2:$C$17, 2, 0))) * IF(ISBLANK(N2667), 0, IF(ISNA(VLOOKUP(N2667, Crews!$A$2:$C$28, 2, 0)), N2667, VLOOKUP(N2667, Crews!$A$2:$C$28, 2, 0))))) * 400</f>
        <v>7250</v>
      </c>
      <c r="K2667" s="1"/>
      <c r="L2667" s="1" t="s">
        <v>5160</v>
      </c>
      <c r="M2667" s="1" t="n">
        <v>0</v>
      </c>
      <c r="N2667" s="1" t="s">
        <v>1512</v>
      </c>
      <c r="O2667" s="1" t="n">
        <v>1</v>
      </c>
      <c r="P2667" s="1"/>
      <c r="Q2667" s="1" t="str">
        <f aca="false">IF(ISBLANK('Pak128 Britain In'!$N2667),,'Pak128 Britain In'!$N2667)</f>
        <v>ElectricMultipleUnit</v>
      </c>
      <c r="R2667" s="1" t="s">
        <v>4696</v>
      </c>
      <c r="S2667" s="1" t="s">
        <v>1350</v>
      </c>
      <c r="T2667" s="1" t="s">
        <v>4697</v>
      </c>
    </row>
    <row r="2668" customFormat="false" ht="15" hidden="false" customHeight="true" outlineLevel="0" collapsed="false">
      <c r="A2668" s="1" t="s">
        <v>5162</v>
      </c>
      <c r="B2668" s="1" t="n">
        <v>1995</v>
      </c>
      <c r="C2668" s="1" t="n">
        <v>4</v>
      </c>
      <c r="D2668" s="1" t="s">
        <v>38</v>
      </c>
      <c r="E2668" s="1" t="s">
        <v>1346</v>
      </c>
      <c r="F2668" s="1" t="n">
        <v>500</v>
      </c>
      <c r="G2668" s="1" t="n">
        <v>100</v>
      </c>
      <c r="H2668" s="2" t="n">
        <v>1000000</v>
      </c>
      <c r="I2668" s="2" t="n">
        <f aca="false">(((H2668 / 800) / IF(ISBLANK(R2668), 1000000, IF(ISNA(VLOOKUP(R2668, Mileages!$A$2:$C$34, 2, 0)), R2668, VLOOKUP(R2668, Mileages!$A$2:$C$34, 2, 0)))) + (F2668 * IF(ISBLANK(P2668), 1, P2668) * IF(ISBLANK(T2668), 0, IF(ISNA(VLOOKUP(T2668, 'Fuel Costs'!$A$2:$C$42, 2, 0)), T2668, VLOOKUP(T2668, 'Fuel Costs'!$A$2:$C$42, 2, 0))) / IF(ISBLANK(O2668), 1, O2668))) * 100</f>
        <v>50.0625</v>
      </c>
      <c r="J2668" s="2" t="n">
        <f aca="false">((H2668 / 800) / (IF(ISBLANK(S2668), 100, IF(ISNA(VLOOKUP(S2668, Lives!$A$2:$C$35, 2, 0)), S2668, VLOOKUP(S2668, Lives!$A$2:$C$35, 2, 0))) * 12) + (IF(ISBLANK(Q2668), 0, IF(ISNA(VLOOKUP(Q2668, Wages!$A$2:$C$17, 2, 0)), Q2668, VLOOKUP(Q2668, Wages!$A$2:$C$17, 2, 0))) * IF(ISBLANK(N2668), 0, IF(ISNA(VLOOKUP(N2668, Crews!$A$2:$C$28, 2, 0)), N2668, VLOOKUP(N2668, Crews!$A$2:$C$28, 2, 0))))) * 400</f>
        <v>6833.333333</v>
      </c>
      <c r="K2668" s="1"/>
      <c r="L2668" s="1" t="s">
        <v>5160</v>
      </c>
      <c r="M2668" s="1" t="n">
        <v>1</v>
      </c>
      <c r="N2668" s="1" t="s">
        <v>1512</v>
      </c>
      <c r="O2668" s="1" t="n">
        <v>1</v>
      </c>
      <c r="P2668" s="1"/>
      <c r="Q2668" s="1" t="str">
        <f aca="false">IF(ISBLANK('Pak128 Britain In'!$N2668),,'Pak128 Britain In'!$N2668)</f>
        <v>ElectricMultipleUnit</v>
      </c>
      <c r="R2668" s="1" t="s">
        <v>4696</v>
      </c>
      <c r="S2668" s="1" t="s">
        <v>1350</v>
      </c>
      <c r="T2668" s="1" t="s">
        <v>4697</v>
      </c>
    </row>
    <row r="2669" customFormat="false" ht="15" hidden="false" customHeight="true" outlineLevel="0" collapsed="false">
      <c r="A2669" s="1" t="s">
        <v>5163</v>
      </c>
      <c r="B2669" s="1" t="n">
        <v>1995</v>
      </c>
      <c r="C2669" s="1" t="n">
        <v>4</v>
      </c>
      <c r="D2669" s="1" t="s">
        <v>38</v>
      </c>
      <c r="E2669" s="1" t="s">
        <v>1346</v>
      </c>
      <c r="F2669" s="1"/>
      <c r="G2669" s="1" t="n">
        <v>100</v>
      </c>
      <c r="H2669" s="2" t="n">
        <v>800000</v>
      </c>
      <c r="I2669" s="2" t="n">
        <f aca="false">(((H2669 / 800) / IF(ISBLANK(R2669), 1000000, IF(ISNA(VLOOKUP(R2669, Mileages!$A$2:$C$34, 2, 0)), R2669, VLOOKUP(R2669, Mileages!$A$2:$C$34, 2, 0)))) + (F2669 * IF(ISBLANK(P2669), 1, P2669) * IF(ISBLANK(T2669), 0, IF(ISNA(VLOOKUP(T2669, 'Fuel Costs'!$A$2:$C$42, 2, 0)), T2669, VLOOKUP(T2669, 'Fuel Costs'!$A$2:$C$42, 2, 0))) / IF(ISBLANK(O2669), 1, O2669))) * 100</f>
        <v>0.04166666667</v>
      </c>
      <c r="J2669" s="2" t="n">
        <f aca="false">((H2669 / 800) / (IF(ISBLANK(S2669), 100, IF(ISNA(VLOOKUP(S2669, Lives!$A$2:$C$35, 2, 0)), S2669, VLOOKUP(S2669, Lives!$A$2:$C$35, 2, 0))) * 12) + (IF(ISBLANK(Q2669), 0, IF(ISNA(VLOOKUP(Q2669, Wages!$A$2:$C$17, 2, 0)), Q2669, VLOOKUP(Q2669, Wages!$A$2:$C$17, 2, 0))) * IF(ISBLANK(N2669), 0, IF(ISNA(VLOOKUP(N2669, Crews!$A$2:$C$28, 2, 0)), N2669, VLOOKUP(N2669, Crews!$A$2:$C$28, 2, 0))))) * 400</f>
        <v>1666.666667</v>
      </c>
      <c r="K2669" s="1"/>
      <c r="L2669" s="1" t="s">
        <v>5160</v>
      </c>
      <c r="M2669" s="1" t="n">
        <v>3</v>
      </c>
      <c r="N2669" s="1"/>
      <c r="O2669" s="1"/>
      <c r="P2669" s="1"/>
      <c r="Q2669" s="1"/>
      <c r="R2669" s="1" t="s">
        <v>4419</v>
      </c>
      <c r="S2669" s="1" t="s">
        <v>4470</v>
      </c>
      <c r="T2669" s="1"/>
    </row>
    <row r="2670" customFormat="false" ht="15" hidden="false" customHeight="true" outlineLevel="0" collapsed="false">
      <c r="A2670" s="1" t="s">
        <v>5164</v>
      </c>
      <c r="B2670" s="1" t="n">
        <v>1995</v>
      </c>
      <c r="C2670" s="1" t="n">
        <v>4</v>
      </c>
      <c r="D2670" s="1" t="s">
        <v>38</v>
      </c>
      <c r="E2670" s="1" t="s">
        <v>1346</v>
      </c>
      <c r="F2670" s="1" t="n">
        <v>500</v>
      </c>
      <c r="G2670" s="1" t="n">
        <v>100</v>
      </c>
      <c r="H2670" s="2" t="n">
        <v>1000000</v>
      </c>
      <c r="I2670" s="2" t="n">
        <f aca="false">(((H2670 / 800) / IF(ISBLANK(R2670), 1000000, IF(ISNA(VLOOKUP(R2670, Mileages!$A$2:$C$34, 2, 0)), R2670, VLOOKUP(R2670, Mileages!$A$2:$C$34, 2, 0)))) + (F2670 * IF(ISBLANK(P2670), 1, P2670) * IF(ISBLANK(T2670), 0, IF(ISNA(VLOOKUP(T2670, 'Fuel Costs'!$A$2:$C$42, 2, 0)), T2670, VLOOKUP(T2670, 'Fuel Costs'!$A$2:$C$42, 2, 0))) / IF(ISBLANK(O2670), 1, O2670))) * 100</f>
        <v>50.0625</v>
      </c>
      <c r="J2670" s="2" t="n">
        <f aca="false">((H2670 / 800) / (IF(ISBLANK(S2670), 100, IF(ISNA(VLOOKUP(S2670, Lives!$A$2:$C$35, 2, 0)), S2670, VLOOKUP(S2670, Lives!$A$2:$C$35, 2, 0))) * 12) + (IF(ISBLANK(Q2670), 0, IF(ISNA(VLOOKUP(Q2670, Wages!$A$2:$C$17, 2, 0)), Q2670, VLOOKUP(Q2670, Wages!$A$2:$C$17, 2, 0))) * IF(ISBLANK(N2670), 0, IF(ISNA(VLOOKUP(N2670, Crews!$A$2:$C$28, 2, 0)), N2670, VLOOKUP(N2670, Crews!$A$2:$C$28, 2, 0))))) * 400</f>
        <v>6833.333333</v>
      </c>
      <c r="K2670" s="1"/>
      <c r="L2670" s="1" t="s">
        <v>5160</v>
      </c>
      <c r="M2670" s="1" t="n">
        <v>4</v>
      </c>
      <c r="N2670" s="1" t="s">
        <v>1512</v>
      </c>
      <c r="O2670" s="1" t="n">
        <v>1</v>
      </c>
      <c r="P2670" s="1"/>
      <c r="Q2670" s="1" t="str">
        <f aca="false">IF(ISBLANK('Pak128 Britain In'!$N2670),,'Pak128 Britain In'!$N2670)</f>
        <v>ElectricMultipleUnit</v>
      </c>
      <c r="R2670" s="1" t="s">
        <v>4696</v>
      </c>
      <c r="S2670" s="1" t="s">
        <v>1350</v>
      </c>
      <c r="T2670" s="1" t="s">
        <v>4697</v>
      </c>
    </row>
    <row r="2671" customFormat="false" ht="15" hidden="false" customHeight="true" outlineLevel="0" collapsed="false">
      <c r="A2671" s="1" t="s">
        <v>5165</v>
      </c>
      <c r="B2671" s="1" t="n">
        <v>1995</v>
      </c>
      <c r="C2671" s="1" t="n">
        <v>4</v>
      </c>
      <c r="D2671" s="1" t="s">
        <v>38</v>
      </c>
      <c r="E2671" s="1" t="s">
        <v>1346</v>
      </c>
      <c r="F2671" s="1" t="n">
        <v>500</v>
      </c>
      <c r="G2671" s="1" t="n">
        <v>100</v>
      </c>
      <c r="H2671" s="2" t="n">
        <v>1500000</v>
      </c>
      <c r="I2671" s="2" t="n">
        <f aca="false">(((H2671 / 800) / IF(ISBLANK(R2671), 1000000, IF(ISNA(VLOOKUP(R2671, Mileages!$A$2:$C$34, 2, 0)), R2671, VLOOKUP(R2671, Mileages!$A$2:$C$34, 2, 0)))) + (F2671 * IF(ISBLANK(P2671), 1, P2671) * IF(ISBLANK(T2671), 0, IF(ISNA(VLOOKUP(T2671, 'Fuel Costs'!$A$2:$C$42, 2, 0)), T2671, VLOOKUP(T2671, 'Fuel Costs'!$A$2:$C$42, 2, 0))) / IF(ISBLANK(O2671), 1, O2671))) * 100</f>
        <v>50.09375</v>
      </c>
      <c r="J2671" s="2" t="n">
        <f aca="false">((H2671 / 800) / (IF(ISBLANK(S2671), 100, IF(ISNA(VLOOKUP(S2671, Lives!$A$2:$C$35, 2, 0)), S2671, VLOOKUP(S2671, Lives!$A$2:$C$35, 2, 0))) * 12) + (IF(ISBLANK(Q2671), 0, IF(ISNA(VLOOKUP(Q2671, Wages!$A$2:$C$17, 2, 0)), Q2671, VLOOKUP(Q2671, Wages!$A$2:$C$17, 2, 0))) * IF(ISBLANK(N2671), 0, IF(ISNA(VLOOKUP(N2671, Crews!$A$2:$C$28, 2, 0)), N2671, VLOOKUP(N2671, Crews!$A$2:$C$28, 2, 0))))) * 400</f>
        <v>7250</v>
      </c>
      <c r="K2671" s="1"/>
      <c r="L2671" s="1" t="s">
        <v>5160</v>
      </c>
      <c r="M2671" s="1" t="n">
        <v>5</v>
      </c>
      <c r="N2671" s="1" t="s">
        <v>1512</v>
      </c>
      <c r="O2671" s="1" t="n">
        <v>1</v>
      </c>
      <c r="P2671" s="1"/>
      <c r="Q2671" s="1" t="str">
        <f aca="false">IF(ISBLANK('Pak128 Britain In'!$N2671),,'Pak128 Britain In'!$N2671)</f>
        <v>ElectricMultipleUnit</v>
      </c>
      <c r="R2671" s="1" t="s">
        <v>4696</v>
      </c>
      <c r="S2671" s="1" t="s">
        <v>1350</v>
      </c>
      <c r="T2671" s="1" t="s">
        <v>4697</v>
      </c>
    </row>
    <row r="2672" customFormat="false" ht="15" hidden="false" customHeight="true" outlineLevel="0" collapsed="false">
      <c r="A2672" s="1" t="s">
        <v>5166</v>
      </c>
      <c r="B2672" s="1" t="n">
        <v>1995</v>
      </c>
      <c r="C2672" s="1" t="n">
        <v>6</v>
      </c>
      <c r="D2672" s="1" t="s">
        <v>21</v>
      </c>
      <c r="E2672" s="1" t="s">
        <v>2039</v>
      </c>
      <c r="F2672" s="1" t="n">
        <v>123</v>
      </c>
      <c r="G2672" s="1" t="n">
        <v>75</v>
      </c>
      <c r="H2672" s="2" t="n">
        <v>2950000</v>
      </c>
      <c r="I2672" s="2" t="n">
        <f aca="false">(((H2672 / 800) / IF(ISBLANK(R2672), 1000000, IF(ISNA(VLOOKUP(R2672, Mileages!$A$2:$C$34, 2, 0)), R2672, VLOOKUP(R2672, Mileages!$A$2:$C$34, 2, 0)))) + (F2672 * IF(ISBLANK(P2672), 1, P2672) * IF(ISBLANK(T2672), 0, IF(ISNA(VLOOKUP(T2672, 'Fuel Costs'!$A$2:$C$42, 2, 0)), T2672, VLOOKUP(T2672, 'Fuel Costs'!$A$2:$C$42, 2, 0))) / IF(ISBLANK(O2672), 1, O2672))) * 100</f>
        <v>37.14583333</v>
      </c>
      <c r="J2672" s="2" t="n">
        <f aca="false">((H2672 / 800) / (IF(ISBLANK(S2672), 100, IF(ISNA(VLOOKUP(S2672, Lives!$A$2:$C$35, 2, 0)), S2672, VLOOKUP(S2672, Lives!$A$2:$C$35, 2, 0))) * 12) + (IF(ISBLANK(Q2672), 0, IF(ISNA(VLOOKUP(Q2672, Wages!$A$2:$C$17, 2, 0)), Q2672, VLOOKUP(Q2672, Wages!$A$2:$C$17, 2, 0))) * IF(ISBLANK(N2672), 0, IF(ISNA(VLOOKUP(N2672, Crews!$A$2:$C$28, 2, 0)), N2672, VLOOKUP(N2672, Crews!$A$2:$C$28, 2, 0))))) * 400</f>
        <v>9072.916667</v>
      </c>
      <c r="K2672" s="3" t="s">
        <v>5167</v>
      </c>
      <c r="L2672" s="1" t="s">
        <v>5168</v>
      </c>
      <c r="M2672" s="1" t="n">
        <v>0</v>
      </c>
      <c r="N2672" s="1" t="s">
        <v>3064</v>
      </c>
      <c r="O2672" s="1" t="n">
        <v>1</v>
      </c>
      <c r="P2672" s="1"/>
      <c r="Q2672" s="1" t="s">
        <v>3064</v>
      </c>
      <c r="R2672" s="1" t="s">
        <v>4730</v>
      </c>
      <c r="S2672" s="1" t="s">
        <v>3064</v>
      </c>
      <c r="T2672" s="1" t="s">
        <v>4726</v>
      </c>
    </row>
    <row r="2673" customFormat="false" ht="15" hidden="false" customHeight="true" outlineLevel="0" collapsed="false">
      <c r="A2673" s="1" t="s">
        <v>5169</v>
      </c>
      <c r="B2673" s="1" t="n">
        <v>1995</v>
      </c>
      <c r="C2673" s="1" t="n">
        <v>6</v>
      </c>
      <c r="D2673" s="1" t="s">
        <v>21</v>
      </c>
      <c r="E2673" s="1" t="s">
        <v>2039</v>
      </c>
      <c r="F2673" s="1" t="n">
        <v>123</v>
      </c>
      <c r="G2673" s="1" t="n">
        <v>75</v>
      </c>
      <c r="H2673" s="2" t="n">
        <v>2970000</v>
      </c>
      <c r="I2673" s="2" t="n">
        <f aca="false">(((H2673 / 800) / IF(ISBLANK(R2673), 1000000, IF(ISNA(VLOOKUP(R2673, Mileages!$A$2:$C$34, 2, 0)), R2673, VLOOKUP(R2673, Mileages!$A$2:$C$34, 2, 0)))) + (F2673 * IF(ISBLANK(P2673), 1, P2673) * IF(ISBLANK(T2673), 0, IF(ISNA(VLOOKUP(T2673, 'Fuel Costs'!$A$2:$C$42, 2, 0)), T2673, VLOOKUP(T2673, 'Fuel Costs'!$A$2:$C$42, 2, 0))) / IF(ISBLANK(O2673), 1, O2673))) * 100</f>
        <v>37.1475</v>
      </c>
      <c r="J2673" s="2" t="n">
        <f aca="false">((H2673 / 800) / (IF(ISBLANK(S2673), 100, IF(ISNA(VLOOKUP(S2673, Lives!$A$2:$C$35, 2, 0)), S2673, VLOOKUP(S2673, Lives!$A$2:$C$35, 2, 0))) * 12) + (IF(ISBLANK(Q2673), 0, IF(ISNA(VLOOKUP(Q2673, Wages!$A$2:$C$17, 2, 0)), Q2673, VLOOKUP(Q2673, Wages!$A$2:$C$17, 2, 0))) * IF(ISBLANK(N2673), 0, IF(ISNA(VLOOKUP(N2673, Crews!$A$2:$C$28, 2, 0)), N2673, VLOOKUP(N2673, Crews!$A$2:$C$28, 2, 0))))) * 400</f>
        <v>9093.75</v>
      </c>
      <c r="K2673" s="3" t="s">
        <v>5170</v>
      </c>
      <c r="L2673" s="1" t="s">
        <v>5168</v>
      </c>
      <c r="M2673" s="1" t="n">
        <v>1</v>
      </c>
      <c r="N2673" s="1" t="s">
        <v>3064</v>
      </c>
      <c r="O2673" s="1" t="n">
        <v>1</v>
      </c>
      <c r="P2673" s="1"/>
      <c r="Q2673" s="1" t="s">
        <v>3064</v>
      </c>
      <c r="R2673" s="1" t="s">
        <v>4730</v>
      </c>
      <c r="S2673" s="1" t="s">
        <v>3064</v>
      </c>
      <c r="T2673" s="1" t="s">
        <v>4726</v>
      </c>
    </row>
    <row r="2674" customFormat="false" ht="15" hidden="false" customHeight="true" outlineLevel="0" collapsed="false">
      <c r="A2674" s="1" t="s">
        <v>5171</v>
      </c>
      <c r="B2674" s="1" t="n">
        <v>1995</v>
      </c>
      <c r="C2674" s="1" t="n">
        <v>6</v>
      </c>
      <c r="D2674" s="1" t="s">
        <v>21</v>
      </c>
      <c r="E2674" s="1" t="s">
        <v>2039</v>
      </c>
      <c r="F2674" s="1" t="n">
        <v>123</v>
      </c>
      <c r="G2674" s="1" t="n">
        <v>75</v>
      </c>
      <c r="H2674" s="2" t="n">
        <v>2950000</v>
      </c>
      <c r="I2674" s="2" t="n">
        <f aca="false">(((H2674 / 800) / IF(ISBLANK(R2674), 1000000, IF(ISNA(VLOOKUP(R2674, Mileages!$A$2:$C$34, 2, 0)), R2674, VLOOKUP(R2674, Mileages!$A$2:$C$34, 2, 0)))) + (F2674 * IF(ISBLANK(P2674), 1, P2674) * IF(ISBLANK(T2674), 0, IF(ISNA(VLOOKUP(T2674, 'Fuel Costs'!$A$2:$C$42, 2, 0)), T2674, VLOOKUP(T2674, 'Fuel Costs'!$A$2:$C$42, 2, 0))) / IF(ISBLANK(O2674), 1, O2674))) * 100</f>
        <v>37.084375</v>
      </c>
      <c r="J2674" s="2" t="n">
        <f aca="false">((H2674 / 800) / (IF(ISBLANK(S2674), 100, IF(ISNA(VLOOKUP(S2674, Lives!$A$2:$C$35, 2, 0)), S2674, VLOOKUP(S2674, Lives!$A$2:$C$35, 2, 0))) * 12) + (IF(ISBLANK(Q2674), 0, IF(ISNA(VLOOKUP(Q2674, Wages!$A$2:$C$17, 2, 0)), Q2674, VLOOKUP(Q2674, Wages!$A$2:$C$17, 2, 0))) * IF(ISBLANK(N2674), 0, IF(ISNA(VLOOKUP(N2674, Crews!$A$2:$C$28, 2, 0)), N2674, VLOOKUP(N2674, Crews!$A$2:$C$28, 2, 0))))) * 400</f>
        <v>9536.458333</v>
      </c>
      <c r="K2674" s="3" t="s">
        <v>5172</v>
      </c>
      <c r="L2674" s="1" t="s">
        <v>5173</v>
      </c>
      <c r="M2674" s="1" t="n">
        <v>0</v>
      </c>
      <c r="N2674" s="1" t="s">
        <v>1815</v>
      </c>
      <c r="O2674" s="1" t="n">
        <v>1</v>
      </c>
      <c r="P2674" s="1"/>
      <c r="Q2674" s="1" t="s">
        <v>1815</v>
      </c>
      <c r="R2674" s="1" t="s">
        <v>4725</v>
      </c>
      <c r="S2674" s="1" t="s">
        <v>1843</v>
      </c>
      <c r="T2674" s="1" t="s">
        <v>4726</v>
      </c>
    </row>
    <row r="2675" customFormat="false" ht="15" hidden="false" customHeight="true" outlineLevel="0" collapsed="false">
      <c r="A2675" s="1" t="s">
        <v>5174</v>
      </c>
      <c r="B2675" s="1" t="n">
        <v>1995</v>
      </c>
      <c r="C2675" s="1" t="n">
        <v>9</v>
      </c>
      <c r="D2675" s="1" t="s">
        <v>21</v>
      </c>
      <c r="E2675" s="1" t="s">
        <v>2039</v>
      </c>
      <c r="F2675" s="1" t="n">
        <v>160</v>
      </c>
      <c r="G2675" s="1" t="n">
        <v>64</v>
      </c>
      <c r="H2675" s="2" t="n">
        <v>2680000</v>
      </c>
      <c r="I2675" s="2" t="n">
        <f aca="false">(((H2675 / 800) / IF(ISBLANK(R2675), 1000000, IF(ISNA(VLOOKUP(R2675, Mileages!$A$2:$C$34, 2, 0)), R2675, VLOOKUP(R2675, Mileages!$A$2:$C$34, 2, 0)))) + (F2675 * IF(ISBLANK(P2675), 1, P2675) * IF(ISBLANK(T2675), 0, IF(ISNA(VLOOKUP(T2675, 'Fuel Costs'!$A$2:$C$42, 2, 0)), T2675, VLOOKUP(T2675, 'Fuel Costs'!$A$2:$C$42, 2, 0))) / IF(ISBLANK(O2675), 1, O2675))) * 100</f>
        <v>48.1675</v>
      </c>
      <c r="J2675" s="2" t="n">
        <f aca="false">((H2675 / 800) / (IF(ISBLANK(S2675), 100, IF(ISNA(VLOOKUP(S2675, Lives!$A$2:$C$35, 2, 0)), S2675, VLOOKUP(S2675, Lives!$A$2:$C$35, 2, 0))) * 12) + (IF(ISBLANK(Q2675), 0, IF(ISNA(VLOOKUP(Q2675, Wages!$A$2:$C$17, 2, 0)), Q2675, VLOOKUP(Q2675, Wages!$A$2:$C$17, 2, 0))) * IF(ISBLANK(N2675), 0, IF(ISNA(VLOOKUP(N2675, Crews!$A$2:$C$28, 2, 0)), N2675, VLOOKUP(N2675, Crews!$A$2:$C$28, 2, 0))))) * 400</f>
        <v>9395.833333</v>
      </c>
      <c r="K2675" s="3" t="s">
        <v>5175</v>
      </c>
      <c r="L2675" s="1" t="s">
        <v>5176</v>
      </c>
      <c r="M2675" s="1" t="n">
        <v>0</v>
      </c>
      <c r="N2675" s="1" t="s">
        <v>1815</v>
      </c>
      <c r="O2675" s="1" t="n">
        <v>1</v>
      </c>
      <c r="P2675" s="1"/>
      <c r="Q2675" s="1" t="s">
        <v>1815</v>
      </c>
      <c r="R2675" s="1" t="s">
        <v>4725</v>
      </c>
      <c r="S2675" s="1" t="s">
        <v>1843</v>
      </c>
      <c r="T2675" s="1" t="s">
        <v>4726</v>
      </c>
    </row>
    <row r="2676" customFormat="false" ht="15" hidden="false" customHeight="true" outlineLevel="0" collapsed="false">
      <c r="A2676" s="1" t="s">
        <v>5177</v>
      </c>
      <c r="B2676" s="1" t="n">
        <v>1995</v>
      </c>
      <c r="C2676" s="1" t="n">
        <v>10</v>
      </c>
      <c r="D2676" s="1" t="s">
        <v>29</v>
      </c>
      <c r="E2676" s="1" t="s">
        <v>2039</v>
      </c>
      <c r="F2676" s="1" t="n">
        <v>68000</v>
      </c>
      <c r="G2676" s="1" t="n">
        <v>70</v>
      </c>
      <c r="H2676" s="2" t="n">
        <v>188200000</v>
      </c>
      <c r="I2676" s="2" t="n">
        <f aca="false">(((H2676 / 800) / IF(ISBLANK(R2676), 1000000, IF(ISNA(VLOOKUP(R2676, Mileages!$A$2:$C$34, 2, 0)), R2676, VLOOKUP(R2676, Mileages!$A$2:$C$34, 2, 0)))) + (F2676 * IF(ISBLANK(P2676), 1, P2676) * IF(ISBLANK(T2676), 0, IF(ISNA(VLOOKUP(T2676, 'Fuel Costs'!$A$2:$C$42, 2, 0)), T2676, VLOOKUP(T2676, 'Fuel Costs'!$A$2:$C$42, 2, 0))) / IF(ISBLANK(O2676), 1, O2676))) * 100</f>
        <v>146.7208333</v>
      </c>
      <c r="J2676" s="2" t="n">
        <f aca="false">((H2676 / 800) / (IF(ISBLANK(S2676), 100, IF(ISNA(VLOOKUP(S2676, Lives!$A$2:$C$35, 2, 0)), S2676, VLOOKUP(S2676, Lives!$A$2:$C$35, 2, 0))) * 12) + (IF(ISBLANK(Q2676), 0, IF(ISNA(VLOOKUP(Q2676, Wages!$A$2:$C$17, 2, 0)), Q2676, VLOOKUP(Q2676, Wages!$A$2:$C$17, 2, 0))) * IF(ISBLANK(N2676), 0, IF(ISNA(VLOOKUP(N2676, Crews!$A$2:$C$28, 2, 0)), N2676, VLOOKUP(N2676, Crews!$A$2:$C$28, 2, 0))))) * 400</f>
        <v>278416.6667</v>
      </c>
      <c r="K2676" s="3" t="s">
        <v>5178</v>
      </c>
      <c r="L2676" s="1" t="s">
        <v>5179</v>
      </c>
      <c r="M2676" s="1" t="n">
        <v>0</v>
      </c>
      <c r="N2676" s="1" t="s">
        <v>323</v>
      </c>
      <c r="O2676" s="1" t="n">
        <v>1</v>
      </c>
      <c r="P2676" s="1" t="n">
        <v>0.007</v>
      </c>
      <c r="Q2676" s="1" t="s">
        <v>34</v>
      </c>
      <c r="R2676" s="1" t="s">
        <v>3933</v>
      </c>
      <c r="S2676" s="1" t="s">
        <v>574</v>
      </c>
      <c r="T2676" s="1" t="s">
        <v>4726</v>
      </c>
    </row>
    <row r="2677" customFormat="false" ht="15" hidden="false" customHeight="true" outlineLevel="0" collapsed="false">
      <c r="A2677" s="1" t="s">
        <v>5180</v>
      </c>
      <c r="B2677" s="1" t="n">
        <v>1995</v>
      </c>
      <c r="C2677" s="1" t="n">
        <v>10</v>
      </c>
      <c r="D2677" s="1" t="s">
        <v>29</v>
      </c>
      <c r="E2677" s="1"/>
      <c r="F2677" s="1"/>
      <c r="G2677" s="1" t="n">
        <v>70</v>
      </c>
      <c r="H2677" s="2"/>
      <c r="I2677" s="2"/>
      <c r="J2677" s="2"/>
      <c r="K2677" s="1"/>
      <c r="L2677" s="1" t="s">
        <v>5179</v>
      </c>
      <c r="M2677" s="1" t="n">
        <v>1</v>
      </c>
      <c r="N2677" s="1"/>
      <c r="O2677" s="1"/>
      <c r="P2677" s="1"/>
      <c r="Q2677" s="1"/>
      <c r="R2677" s="1"/>
      <c r="S2677" s="1"/>
      <c r="T2677" s="1"/>
    </row>
    <row r="2678" customFormat="false" ht="15" hidden="false" customHeight="true" outlineLevel="0" collapsed="false">
      <c r="A2678" s="1" t="s">
        <v>5181</v>
      </c>
      <c r="B2678" s="1" t="n">
        <v>1996</v>
      </c>
      <c r="C2678" s="1" t="n">
        <v>4</v>
      </c>
      <c r="D2678" s="1" t="s">
        <v>876</v>
      </c>
      <c r="E2678" s="1" t="s">
        <v>1346</v>
      </c>
      <c r="F2678" s="1" t="n">
        <v>480</v>
      </c>
      <c r="G2678" s="1" t="n">
        <v>70</v>
      </c>
      <c r="H2678" s="2" t="n">
        <v>587500</v>
      </c>
      <c r="I2678" s="2" t="n">
        <f aca="false">(((H2678 / 800) / IF(ISBLANK(R2678), 1000000, IF(ISNA(VLOOKUP(R2678, Mileages!$A$2:$C$34, 2, 0)), R2678, VLOOKUP(R2678, Mileages!$A$2:$C$34, 2, 0)))) + (F2678 * IF(ISBLANK(P2678), 1, P2678) * IF(ISBLANK(T2678), 0, IF(ISNA(VLOOKUP(T2678, 'Fuel Costs'!$A$2:$C$42, 2, 0)), T2678, VLOOKUP(T2678, 'Fuel Costs'!$A$2:$C$42, 2, 0))) / IF(ISBLANK(O2678), 1, O2678))) * 100</f>
        <v>48.03671875</v>
      </c>
      <c r="J2678" s="2" t="n">
        <f aca="false">((H2678 / 800) / (IF(ISBLANK(S2678), 100, IF(ISNA(VLOOKUP(S2678, Lives!$A$2:$C$35, 2, 0)), S2678, VLOOKUP(S2678, Lives!$A$2:$C$35, 2, 0))) * 12) + (IF(ISBLANK(Q2678), 0, IF(ISNA(VLOOKUP(Q2678, Wages!$A$2:$C$17, 2, 0)), Q2678, VLOOKUP(Q2678, Wages!$A$2:$C$17, 2, 0))) * IF(ISBLANK(N2678), 0, IF(ISNA(VLOOKUP(N2678, Crews!$A$2:$C$28, 2, 0)), N2678, VLOOKUP(N2678, Crews!$A$2:$C$28, 2, 0))))) * 400</f>
        <v>6489.583333</v>
      </c>
      <c r="K2678" s="1" t="s">
        <v>5182</v>
      </c>
      <c r="L2678" s="1" t="s">
        <v>5183</v>
      </c>
      <c r="M2678" s="1" t="n">
        <v>0</v>
      </c>
      <c r="N2678" s="1" t="s">
        <v>1512</v>
      </c>
      <c r="O2678" s="1"/>
      <c r="P2678" s="1"/>
      <c r="Q2678" s="1" t="s">
        <v>1512</v>
      </c>
      <c r="R2678" s="1" t="s">
        <v>4696</v>
      </c>
      <c r="S2678" s="1" t="s">
        <v>1350</v>
      </c>
      <c r="T2678" s="1" t="s">
        <v>4697</v>
      </c>
    </row>
    <row r="2679" customFormat="false" ht="15" hidden="false" customHeight="true" outlineLevel="0" collapsed="false">
      <c r="A2679" s="1" t="s">
        <v>5184</v>
      </c>
      <c r="B2679" s="1" t="n">
        <v>1996</v>
      </c>
      <c r="C2679" s="1" t="n">
        <v>4</v>
      </c>
      <c r="D2679" s="1" t="s">
        <v>876</v>
      </c>
      <c r="E2679" s="1" t="s">
        <v>1346</v>
      </c>
      <c r="F2679" s="1" t="n">
        <v>480</v>
      </c>
      <c r="G2679" s="1" t="n">
        <v>70</v>
      </c>
      <c r="H2679" s="2" t="n">
        <v>0</v>
      </c>
      <c r="I2679" s="2" t="n">
        <f aca="false">(((H2679 / 800) / IF(ISBLANK(R2679), 1000000, IF(ISNA(VLOOKUP(R2679, Mileages!$A$2:$C$34, 2, 0)), R2679, VLOOKUP(R2679, Mileages!$A$2:$C$34, 2, 0)))) + (F2679 * IF(ISBLANK(P2679), 1, P2679) * IF(ISBLANK(T2679), 0, IF(ISNA(VLOOKUP(T2679, 'Fuel Costs'!$A$2:$C$42, 2, 0)), T2679, VLOOKUP(T2679, 'Fuel Costs'!$A$2:$C$42, 2, 0))) / IF(ISBLANK(O2679), 1, O2679))) * 100</f>
        <v>48</v>
      </c>
      <c r="J2679" s="2" t="n">
        <f aca="false">((H2679 / 800) / (IF(ISBLANK(S2679), 100, IF(ISNA(VLOOKUP(S2679, Lives!$A$2:$C$35, 2, 0)), S2679, VLOOKUP(S2679, Lives!$A$2:$C$35, 2, 0))) * 12) + (IF(ISBLANK(Q2679), 0, IF(ISNA(VLOOKUP(Q2679, Wages!$A$2:$C$17, 2, 0)), Q2679, VLOOKUP(Q2679, Wages!$A$2:$C$17, 2, 0))) * IF(ISBLANK(N2679), 0, IF(ISNA(VLOOKUP(N2679, Crews!$A$2:$C$28, 2, 0)), N2679, VLOOKUP(N2679, Crews!$A$2:$C$28, 2, 0))))) * 400</f>
        <v>6000</v>
      </c>
      <c r="K2679" s="1"/>
      <c r="L2679" s="1" t="s">
        <v>5183</v>
      </c>
      <c r="M2679" s="1" t="n">
        <v>1</v>
      </c>
      <c r="N2679" s="1" t="s">
        <v>1512</v>
      </c>
      <c r="O2679" s="1"/>
      <c r="P2679" s="1"/>
      <c r="Q2679" s="1" t="s">
        <v>1512</v>
      </c>
      <c r="R2679" s="1" t="s">
        <v>4696</v>
      </c>
      <c r="S2679" s="1" t="s">
        <v>1350</v>
      </c>
      <c r="T2679" s="1" t="s">
        <v>4697</v>
      </c>
    </row>
    <row r="2680" customFormat="false" ht="15" hidden="false" customHeight="true" outlineLevel="0" collapsed="false">
      <c r="A2680" s="1" t="s">
        <v>5185</v>
      </c>
      <c r="B2680" s="1" t="n">
        <v>1996</v>
      </c>
      <c r="C2680" s="1" t="n">
        <v>6</v>
      </c>
      <c r="D2680" s="1" t="s">
        <v>38</v>
      </c>
      <c r="E2680" s="1" t="s">
        <v>1346</v>
      </c>
      <c r="F2680" s="1" t="n">
        <v>0</v>
      </c>
      <c r="G2680" s="1" t="n">
        <v>160</v>
      </c>
      <c r="H2680" s="2" t="n">
        <v>1200000</v>
      </c>
      <c r="I2680" s="2" t="n">
        <f aca="false">(((H2680 / 800) / IF(ISBLANK(R2680), 1000000, IF(ISNA(VLOOKUP(R2680, Mileages!$A$2:$C$34, 2, 0)), R2680, VLOOKUP(R2680, Mileages!$A$2:$C$34, 2, 0)))) + (F2680 * IF(ISBLANK(P2680), 1, P2680) * IF(ISBLANK(T2680), 0, IF(ISNA(VLOOKUP(T2680, 'Fuel Costs'!$A$2:$C$42, 2, 0)), T2680, VLOOKUP(T2680, 'Fuel Costs'!$A$2:$C$42, 2, 0))) / IF(ISBLANK(O2680), 1, O2680))) * 100</f>
        <v>0.0625</v>
      </c>
      <c r="J2680" s="2" t="n">
        <f aca="false">((H2680 / 800) / (IF(ISBLANK(S2680), 100, IF(ISNA(VLOOKUP(S2680, Lives!$A$2:$C$35, 2, 0)), S2680, VLOOKUP(S2680, Lives!$A$2:$C$35, 2, 0))) * 12) + (IF(ISBLANK(Q2680), 0, IF(ISNA(VLOOKUP(Q2680, Wages!$A$2:$C$17, 2, 0)), Q2680, VLOOKUP(Q2680, Wages!$A$2:$C$17, 2, 0))) * IF(ISBLANK(N2680), 0, IF(ISNA(VLOOKUP(N2680, Crews!$A$2:$C$28, 2, 0)), N2680, VLOOKUP(N2680, Crews!$A$2:$C$28, 2, 0))))) * 400</f>
        <v>2500</v>
      </c>
      <c r="K2680" s="3" t="s">
        <v>5186</v>
      </c>
      <c r="L2680" s="1" t="s">
        <v>5187</v>
      </c>
      <c r="M2680" s="1" t="n">
        <v>0</v>
      </c>
      <c r="N2680" s="1"/>
      <c r="O2680" s="1"/>
      <c r="P2680" s="1"/>
      <c r="Q2680" s="1"/>
      <c r="R2680" s="1" t="s">
        <v>4419</v>
      </c>
      <c r="S2680" s="1" t="s">
        <v>4470</v>
      </c>
      <c r="T2680" s="1"/>
    </row>
    <row r="2681" customFormat="false" ht="15" hidden="false" customHeight="true" outlineLevel="0" collapsed="false">
      <c r="A2681" s="1" t="s">
        <v>5188</v>
      </c>
      <c r="B2681" s="1" t="n">
        <v>1996</v>
      </c>
      <c r="C2681" s="1" t="n">
        <v>6</v>
      </c>
      <c r="D2681" s="1" t="s">
        <v>29</v>
      </c>
      <c r="E2681" s="1" t="s">
        <v>2039</v>
      </c>
      <c r="F2681" s="1" t="n">
        <v>27500</v>
      </c>
      <c r="G2681" s="1" t="n">
        <v>70</v>
      </c>
      <c r="H2681" s="2" t="n">
        <v>175000000</v>
      </c>
      <c r="I2681" s="2" t="n">
        <f aca="false">(((H2681 / 800) / IF(ISBLANK(R2681), 1000000, IF(ISNA(VLOOKUP(R2681, Mileages!$A$2:$C$34, 2, 0)), R2681, VLOOKUP(R2681, Mileages!$A$2:$C$34, 2, 0)))) + (F2681 * IF(ISBLANK(P2681), 1, P2681) * IF(ISBLANK(T2681), 0, IF(ISNA(VLOOKUP(T2681, 'Fuel Costs'!$A$2:$C$42, 2, 0)), T2681, VLOOKUP(T2681, 'Fuel Costs'!$A$2:$C$42, 2, 0))) / IF(ISBLANK(O2681), 1, O2681))) * 100</f>
        <v>168.6458333</v>
      </c>
      <c r="J2681" s="2" t="n">
        <f aca="false">((H2681 / 800) / (IF(ISBLANK(S2681), 100, IF(ISNA(VLOOKUP(S2681, Lives!$A$2:$C$35, 2, 0)), S2681, VLOOKUP(S2681, Lives!$A$2:$C$35, 2, 0))) * 12) + (IF(ISBLANK(Q2681), 0, IF(ISNA(VLOOKUP(Q2681, Wages!$A$2:$C$17, 2, 0)), Q2681, VLOOKUP(Q2681, Wages!$A$2:$C$17, 2, 0))) * IF(ISBLANK(N2681), 0, IF(ISNA(VLOOKUP(N2681, Crews!$A$2:$C$28, 2, 0)), N2681, VLOOKUP(N2681, Crews!$A$2:$C$28, 2, 0))))) * 400</f>
        <v>272916.6667</v>
      </c>
      <c r="K2681" s="1" t="s">
        <v>5189</v>
      </c>
      <c r="L2681" s="1" t="s">
        <v>5190</v>
      </c>
      <c r="M2681" s="1" t="n">
        <v>0</v>
      </c>
      <c r="N2681" s="1" t="s">
        <v>323</v>
      </c>
      <c r="O2681" s="1" t="n">
        <v>1</v>
      </c>
      <c r="P2681" s="1" t="n">
        <v>0.02</v>
      </c>
      <c r="Q2681" s="1" t="s">
        <v>34</v>
      </c>
      <c r="R2681" s="1" t="s">
        <v>3933</v>
      </c>
      <c r="S2681" s="1" t="s">
        <v>574</v>
      </c>
      <c r="T2681" s="1" t="s">
        <v>4726</v>
      </c>
    </row>
    <row r="2682" customFormat="false" ht="15" hidden="false" customHeight="true" outlineLevel="0" collapsed="false">
      <c r="A2682" s="1" t="s">
        <v>5191</v>
      </c>
      <c r="B2682" s="1" t="n">
        <v>1996</v>
      </c>
      <c r="C2682" s="1" t="n">
        <v>6</v>
      </c>
      <c r="D2682" s="1" t="s">
        <v>29</v>
      </c>
      <c r="E2682" s="1"/>
      <c r="F2682" s="1"/>
      <c r="G2682" s="1" t="n">
        <v>70</v>
      </c>
      <c r="H2682" s="2"/>
      <c r="I2682" s="2"/>
      <c r="J2682" s="2"/>
      <c r="K2682" s="1"/>
      <c r="L2682" s="1" t="s">
        <v>5190</v>
      </c>
      <c r="M2682" s="1" t="n">
        <v>1</v>
      </c>
      <c r="N2682" s="1"/>
      <c r="O2682" s="1"/>
      <c r="P2682" s="1"/>
      <c r="Q2682" s="1"/>
      <c r="R2682" s="1"/>
      <c r="S2682" s="1"/>
      <c r="T2682" s="1"/>
    </row>
    <row r="2683" customFormat="false" ht="15" hidden="false" customHeight="true" outlineLevel="0" collapsed="false">
      <c r="A2683" s="1" t="s">
        <v>5192</v>
      </c>
      <c r="B2683" s="1" t="n">
        <v>1996</v>
      </c>
      <c r="C2683" s="1" t="n">
        <v>6</v>
      </c>
      <c r="D2683" s="1" t="s">
        <v>38</v>
      </c>
      <c r="E2683" s="1" t="s">
        <v>1346</v>
      </c>
      <c r="F2683" s="1" t="n">
        <v>0</v>
      </c>
      <c r="G2683" s="1" t="n">
        <v>160</v>
      </c>
      <c r="H2683" s="2" t="n">
        <v>1200000</v>
      </c>
      <c r="I2683" s="2" t="n">
        <f aca="false">(((H2683 / 800) / IF(ISBLANK(R2683), 1000000, IF(ISNA(VLOOKUP(R2683, Mileages!$A$2:$C$34, 2, 0)), R2683, VLOOKUP(R2683, Mileages!$A$2:$C$34, 2, 0)))) + (F2683 * IF(ISBLANK(P2683), 1, P2683) * IF(ISBLANK(T2683), 0, IF(ISNA(VLOOKUP(T2683, 'Fuel Costs'!$A$2:$C$42, 2, 0)), T2683, VLOOKUP(T2683, 'Fuel Costs'!$A$2:$C$42, 2, 0))) / IF(ISBLANK(O2683), 1, O2683))) * 100</f>
        <v>0.0625</v>
      </c>
      <c r="J2683" s="2" t="n">
        <f aca="false">((H2683 / 800) / (IF(ISBLANK(S2683), 100, IF(ISNA(VLOOKUP(S2683, Lives!$A$2:$C$35, 2, 0)), S2683, VLOOKUP(S2683, Lives!$A$2:$C$35, 2, 0))) * 12) + (IF(ISBLANK(Q2683), 0, IF(ISNA(VLOOKUP(Q2683, Wages!$A$2:$C$17, 2, 0)), Q2683, VLOOKUP(Q2683, Wages!$A$2:$C$17, 2, 0))) * IF(ISBLANK(N2683), 0, IF(ISNA(VLOOKUP(N2683, Crews!$A$2:$C$28, 2, 0)), N2683, VLOOKUP(N2683, Crews!$A$2:$C$28, 2, 0))))) * 400</f>
        <v>2500</v>
      </c>
      <c r="K2683" s="3" t="s">
        <v>5186</v>
      </c>
      <c r="L2683" s="1" t="s">
        <v>5193</v>
      </c>
      <c r="M2683" s="1" t="n">
        <v>0</v>
      </c>
      <c r="N2683" s="1"/>
      <c r="O2683" s="1"/>
      <c r="P2683" s="1"/>
      <c r="Q2683" s="1"/>
      <c r="R2683" s="1" t="s">
        <v>4419</v>
      </c>
      <c r="S2683" s="1" t="s">
        <v>4470</v>
      </c>
      <c r="T2683" s="1"/>
    </row>
    <row r="2684" customFormat="false" ht="15" hidden="false" customHeight="true" outlineLevel="0" collapsed="false">
      <c r="A2684" s="1" t="s">
        <v>5194</v>
      </c>
      <c r="B2684" s="1" t="n">
        <v>1996</v>
      </c>
      <c r="C2684" s="1" t="n">
        <v>6</v>
      </c>
      <c r="D2684" s="1" t="s">
        <v>38</v>
      </c>
      <c r="E2684" s="1" t="s">
        <v>1346</v>
      </c>
      <c r="F2684" s="1" t="n">
        <v>990</v>
      </c>
      <c r="G2684" s="1" t="n">
        <v>160</v>
      </c>
      <c r="H2684" s="2" t="n">
        <v>1200000</v>
      </c>
      <c r="I2684" s="2" t="n">
        <f aca="false">(((H2684 / 800) / IF(ISBLANK(R2684), 1000000, IF(ISNA(VLOOKUP(R2684, Mileages!$A$2:$C$34, 2, 0)), R2684, VLOOKUP(R2684, Mileages!$A$2:$C$34, 2, 0)))) + (F2684 * IF(ISBLANK(P2684), 1, P2684) * IF(ISBLANK(T2684), 0, IF(ISNA(VLOOKUP(T2684, 'Fuel Costs'!$A$2:$C$42, 2, 0)), T2684, VLOOKUP(T2684, 'Fuel Costs'!$A$2:$C$42, 2, 0))) / IF(ISBLANK(O2684), 1, O2684))) * 100</f>
        <v>99.075</v>
      </c>
      <c r="J2684" s="2" t="n">
        <f aca="false">((H2684 / 800) / (IF(ISBLANK(S2684), 100, IF(ISNA(VLOOKUP(S2684, Lives!$A$2:$C$35, 2, 0)), S2684, VLOOKUP(S2684, Lives!$A$2:$C$35, 2, 0))) * 12) + (IF(ISBLANK(Q2684), 0, IF(ISNA(VLOOKUP(Q2684, Wages!$A$2:$C$17, 2, 0)), Q2684, VLOOKUP(Q2684, Wages!$A$2:$C$17, 2, 0))) * IF(ISBLANK(N2684), 0, IF(ISNA(VLOOKUP(N2684, Crews!$A$2:$C$28, 2, 0)), N2684, VLOOKUP(N2684, Crews!$A$2:$C$28, 2, 0))))) * 400</f>
        <v>10625</v>
      </c>
      <c r="K2684" s="3" t="s">
        <v>5186</v>
      </c>
      <c r="L2684" s="1" t="s">
        <v>5195</v>
      </c>
      <c r="M2684" s="1" t="n">
        <v>0</v>
      </c>
      <c r="N2684" s="1" t="s">
        <v>1488</v>
      </c>
      <c r="O2684" s="1" t="n">
        <v>1</v>
      </c>
      <c r="P2684" s="1"/>
      <c r="Q2684" s="1" t="str">
        <f aca="false">IF(ISBLANK('Pak128 Britain In'!$N2684),,'Pak128 Britain In'!$N2684)</f>
        <v>ElectricDriverRail</v>
      </c>
      <c r="R2684" s="1" t="s">
        <v>4696</v>
      </c>
      <c r="S2684" s="1" t="s">
        <v>4696</v>
      </c>
      <c r="T2684" s="1" t="s">
        <v>4697</v>
      </c>
    </row>
    <row r="2685" customFormat="false" ht="15" hidden="false" customHeight="true" outlineLevel="0" collapsed="false">
      <c r="A2685" s="1" t="s">
        <v>5196</v>
      </c>
      <c r="B2685" s="1" t="n">
        <v>1996</v>
      </c>
      <c r="C2685" s="1" t="n">
        <v>6</v>
      </c>
      <c r="D2685" s="1" t="s">
        <v>38</v>
      </c>
      <c r="E2685" s="1" t="s">
        <v>1346</v>
      </c>
      <c r="F2685" s="1" t="n">
        <v>0</v>
      </c>
      <c r="G2685" s="1" t="n">
        <v>160</v>
      </c>
      <c r="H2685" s="2" t="n">
        <v>1200000</v>
      </c>
      <c r="I2685" s="2" t="n">
        <f aca="false">(((H2685 / 800) / IF(ISBLANK(R2685), 1000000, IF(ISNA(VLOOKUP(R2685, Mileages!$A$2:$C$34, 2, 0)), R2685, VLOOKUP(R2685, Mileages!$A$2:$C$34, 2, 0)))) + (F2685 * IF(ISBLANK(P2685), 1, P2685) * IF(ISBLANK(T2685), 0, IF(ISNA(VLOOKUP(T2685, 'Fuel Costs'!$A$2:$C$42, 2, 0)), T2685, VLOOKUP(T2685, 'Fuel Costs'!$A$2:$C$42, 2, 0))) / IF(ISBLANK(O2685), 1, O2685))) * 100</f>
        <v>0.0625</v>
      </c>
      <c r="J2685" s="2" t="n">
        <f aca="false">((H2685 / 800) / (IF(ISBLANK(S2685), 100, IF(ISNA(VLOOKUP(S2685, Lives!$A$2:$C$35, 2, 0)), S2685, VLOOKUP(S2685, Lives!$A$2:$C$35, 2, 0))) * 12) + (IF(ISBLANK(Q2685), 0, IF(ISNA(VLOOKUP(Q2685, Wages!$A$2:$C$17, 2, 0)), Q2685, VLOOKUP(Q2685, Wages!$A$2:$C$17, 2, 0))) * IF(ISBLANK(N2685), 0, IF(ISNA(VLOOKUP(N2685, Crews!$A$2:$C$28, 2, 0)), N2685, VLOOKUP(N2685, Crews!$A$2:$C$28, 2, 0))))) * 400</f>
        <v>2500</v>
      </c>
      <c r="K2685" s="3" t="s">
        <v>5186</v>
      </c>
      <c r="L2685" s="1" t="s">
        <v>5197</v>
      </c>
      <c r="M2685" s="1" t="n">
        <v>0</v>
      </c>
      <c r="N2685" s="1"/>
      <c r="O2685" s="1"/>
      <c r="P2685" s="1"/>
      <c r="Q2685" s="1"/>
      <c r="R2685" s="1" t="s">
        <v>4419</v>
      </c>
      <c r="S2685" s="1" t="s">
        <v>4470</v>
      </c>
      <c r="T2685" s="1"/>
    </row>
    <row r="2686" customFormat="false" ht="15" hidden="false" customHeight="true" outlineLevel="0" collapsed="false">
      <c r="A2686" s="1" t="s">
        <v>5198</v>
      </c>
      <c r="B2686" s="1" t="n">
        <v>1996</v>
      </c>
      <c r="C2686" s="1" t="n">
        <v>7</v>
      </c>
      <c r="D2686" s="1" t="s">
        <v>29</v>
      </c>
      <c r="E2686" s="1" t="s">
        <v>2039</v>
      </c>
      <c r="F2686" s="1" t="n">
        <v>4000</v>
      </c>
      <c r="G2686" s="1" t="n">
        <v>63</v>
      </c>
      <c r="H2686" s="2" t="n">
        <v>89000000</v>
      </c>
      <c r="I2686" s="2" t="n">
        <f aca="false">(((H2686 / 800) / IF(ISBLANK(R2686), 1000000, IF(ISNA(VLOOKUP(R2686, Mileages!$A$2:$C$34, 2, 0)), R2686, VLOOKUP(R2686, Mileages!$A$2:$C$34, 2, 0)))) + (F2686 * IF(ISBLANK(P2686), 1, P2686) * IF(ISBLANK(T2686), 0, IF(ISNA(VLOOKUP(T2686, 'Fuel Costs'!$A$2:$C$42, 2, 0)), T2686, VLOOKUP(T2686, 'Fuel Costs'!$A$2:$C$42, 2, 0))) / IF(ISBLANK(O2686), 1, O2686))) * 100</f>
        <v>241.8541667</v>
      </c>
      <c r="J2686" s="2" t="n">
        <f aca="false">((H2686 / 800) / (IF(ISBLANK(S2686), 100, IF(ISNA(VLOOKUP(S2686, Lives!$A$2:$C$35, 2, 0)), S2686, VLOOKUP(S2686, Lives!$A$2:$C$35, 2, 0))) * 12) + (IF(ISBLANK(Q2686), 0, IF(ISNA(VLOOKUP(Q2686, Wages!$A$2:$C$17, 2, 0)), Q2686, VLOOKUP(Q2686, Wages!$A$2:$C$17, 2, 0))) * IF(ISBLANK(N2686), 0, IF(ISNA(VLOOKUP(N2686, Crews!$A$2:$C$28, 2, 0)), N2686, VLOOKUP(N2686, Crews!$A$2:$C$28, 2, 0))))) * 400</f>
        <v>237083.3333</v>
      </c>
      <c r="K2686" s="1" t="s">
        <v>5199</v>
      </c>
      <c r="L2686" s="1" t="s">
        <v>5200</v>
      </c>
      <c r="M2686" s="1" t="n">
        <v>0</v>
      </c>
      <c r="N2686" s="1" t="s">
        <v>323</v>
      </c>
      <c r="O2686" s="1" t="n">
        <v>1</v>
      </c>
      <c r="P2686" s="1" t="n">
        <v>0.2</v>
      </c>
      <c r="Q2686" s="1" t="s">
        <v>34</v>
      </c>
      <c r="R2686" s="1" t="s">
        <v>3933</v>
      </c>
      <c r="S2686" s="1" t="s">
        <v>574</v>
      </c>
      <c r="T2686" s="1" t="s">
        <v>4726</v>
      </c>
    </row>
    <row r="2687" customFormat="false" ht="15" hidden="false" customHeight="true" outlineLevel="0" collapsed="false">
      <c r="A2687" s="1" t="s">
        <v>5201</v>
      </c>
      <c r="B2687" s="1" t="n">
        <v>1997</v>
      </c>
      <c r="C2687" s="1" t="n">
        <v>2</v>
      </c>
      <c r="D2687" s="1" t="s">
        <v>38</v>
      </c>
      <c r="E2687" s="1" t="s">
        <v>2039</v>
      </c>
      <c r="F2687" s="1" t="n">
        <v>2050</v>
      </c>
      <c r="G2687" s="1" t="n">
        <v>153</v>
      </c>
      <c r="H2687" s="2" t="n">
        <v>6912000</v>
      </c>
      <c r="I2687" s="2" t="n">
        <f aca="false">(((H2687 / 800) / IF(ISBLANK(R2687), 1000000, IF(ISNA(VLOOKUP(R2687, Mileages!$A$2:$C$34, 2, 0)), R2687, VLOOKUP(R2687, Mileages!$A$2:$C$34, 2, 0)))) + (F2687 * IF(ISBLANK(P2687), 1, P2687) * IF(ISBLANK(T2687), 0, IF(ISNA(VLOOKUP(T2687, 'Fuel Costs'!$A$2:$C$42, 2, 0)), T2687, VLOOKUP(T2687, 'Fuel Costs'!$A$2:$C$42, 2, 0))) / IF(ISBLANK(O2687), 1, O2687))) * 100</f>
        <v>615.432</v>
      </c>
      <c r="J2687" s="2" t="n">
        <f aca="false">((H2687 / 800) / (IF(ISBLANK(S2687), 100, IF(ISNA(VLOOKUP(S2687, Lives!$A$2:$C$35, 2, 0)), S2687, VLOOKUP(S2687, Lives!$A$2:$C$35, 2, 0))) * 12) + (IF(ISBLANK(Q2687), 0, IF(ISNA(VLOOKUP(Q2687, Wages!$A$2:$C$17, 2, 0)), Q2687, VLOOKUP(Q2687, Wages!$A$2:$C$17, 2, 0))) * IF(ISBLANK(N2687), 0, IF(ISNA(VLOOKUP(N2687, Crews!$A$2:$C$28, 2, 0)), N2687, VLOOKUP(N2687, Crews!$A$2:$C$28, 2, 0))))) * 400</f>
        <v>13600</v>
      </c>
      <c r="K2687" s="1" t="s">
        <v>3483</v>
      </c>
      <c r="L2687" s="1" t="s">
        <v>5202</v>
      </c>
      <c r="M2687" s="1" t="n">
        <v>0</v>
      </c>
      <c r="N2687" s="1" t="s">
        <v>1488</v>
      </c>
      <c r="O2687" s="1" t="n">
        <v>1</v>
      </c>
      <c r="P2687" s="1"/>
      <c r="Q2687" s="1" t="s">
        <v>1488</v>
      </c>
      <c r="R2687" s="1" t="s">
        <v>4747</v>
      </c>
      <c r="S2687" s="1" t="s">
        <v>4747</v>
      </c>
      <c r="T2687" s="1" t="s">
        <v>4726</v>
      </c>
    </row>
    <row r="2688" customFormat="false" ht="15" hidden="false" customHeight="true" outlineLevel="0" collapsed="false">
      <c r="A2688" s="1" t="s">
        <v>5203</v>
      </c>
      <c r="B2688" s="1" t="n">
        <v>1997</v>
      </c>
      <c r="C2688" s="1" t="n">
        <v>4</v>
      </c>
      <c r="D2688" s="1" t="s">
        <v>2225</v>
      </c>
      <c r="E2688" s="1" t="s">
        <v>3660</v>
      </c>
      <c r="F2688" s="1" t="n">
        <v>11340</v>
      </c>
      <c r="G2688" s="1" t="n">
        <v>833</v>
      </c>
      <c r="H2688" s="2" t="n">
        <v>30000000</v>
      </c>
      <c r="I2688" s="2" t="n">
        <f aca="false">(((H2688 / 800) / IF(ISBLANK(R2688), 1000000, IF(ISNA(VLOOKUP(R2688, Mileages!$A$2:$C$34, 2, 0)), R2688, VLOOKUP(R2688, Mileages!$A$2:$C$34, 2, 0)))) + (F2688 * IF(ISBLANK(P2688), 1, P2688) * IF(ISBLANK(T2688), 0, IF(ISNA(VLOOKUP(T2688, 'Fuel Costs'!$A$2:$C$42, 2, 0)), T2688, VLOOKUP(T2688, 'Fuel Costs'!$A$2:$C$42, 2, 0))) / IF(ISBLANK(O2688), 1, O2688))) * 100</f>
        <v>45.485</v>
      </c>
      <c r="J2688" s="2" t="n">
        <f aca="false">((H2688 / 800) / (IF(ISBLANK(S2688), 100, IF(ISNA(VLOOKUP(S2688, Lives!$A$2:$C$35, 2, 0)), S2688, VLOOKUP(S2688, Lives!$A$2:$C$35, 2, 0))) * 12) + (IF(ISBLANK(Q2688), 0, IF(ISNA(VLOOKUP(Q2688, Wages!$A$2:$C$17, 2, 0)), Q2688, VLOOKUP(Q2688, Wages!$A$2:$C$17, 2, 0))) * IF(ISBLANK(N2688), 0, IF(ISNA(VLOOKUP(N2688, Crews!$A$2:$C$28, 2, 0)), N2688, VLOOKUP(N2688, Crews!$A$2:$C$28, 2, 0))))) * 400</f>
        <v>70833.33333</v>
      </c>
      <c r="K2688" s="3" t="s">
        <v>5204</v>
      </c>
      <c r="L2688" s="1" t="s">
        <v>5205</v>
      </c>
      <c r="M2688" s="1" t="n">
        <v>0</v>
      </c>
      <c r="N2688" s="1" t="s">
        <v>2342</v>
      </c>
      <c r="O2688" s="1"/>
      <c r="P2688" s="1" t="n">
        <v>0.02</v>
      </c>
      <c r="Q2688" s="1" t="s">
        <v>2229</v>
      </c>
      <c r="R2688" s="1" t="s">
        <v>4413</v>
      </c>
      <c r="S2688" s="1" t="s">
        <v>2229</v>
      </c>
      <c r="T2688" s="1" t="s">
        <v>4773</v>
      </c>
    </row>
    <row r="2689" customFormat="false" ht="15" hidden="false" customHeight="true" outlineLevel="0" collapsed="false">
      <c r="A2689" s="1" t="s">
        <v>5206</v>
      </c>
      <c r="B2689" s="1" t="n">
        <v>1997</v>
      </c>
      <c r="C2689" s="1" t="n">
        <v>6</v>
      </c>
      <c r="D2689" s="1" t="s">
        <v>157</v>
      </c>
      <c r="E2689" s="1"/>
      <c r="F2689" s="1"/>
      <c r="G2689" s="1" t="n">
        <v>80</v>
      </c>
      <c r="H2689" s="2" t="n">
        <v>745000</v>
      </c>
      <c r="I2689" s="2" t="n">
        <f aca="false">(((H2689 / 800) / IF(ISBLANK(R2689), 1000000, IF(ISNA(VLOOKUP(R2689, Mileages!$A$2:$C$34, 2, 0)), R2689, VLOOKUP(R2689, Mileages!$A$2:$C$34, 2, 0)))) + (F2689 * IF(ISBLANK(P2689), 1, P2689) * IF(ISBLANK(T2689), 0, IF(ISNA(VLOOKUP(T2689, 'Fuel Costs'!$A$2:$C$42, 2, 0)), T2689, VLOOKUP(T2689, 'Fuel Costs'!$A$2:$C$42, 2, 0))) / IF(ISBLANK(O2689), 1, O2689))) * 100</f>
        <v>0.03880208333</v>
      </c>
      <c r="J2689" s="2" t="n">
        <f aca="false">((H2689 / 800) / (IF(ISBLANK(S2689), 100, IF(ISNA(VLOOKUP(S2689, Lives!$A$2:$C$35, 2, 0)), S2689, VLOOKUP(S2689, Lives!$A$2:$C$35, 2, 0))) * 12) + (IF(ISBLANK(Q2689), 0, IF(ISNA(VLOOKUP(Q2689, Wages!$A$2:$C$17, 2, 0)), Q2689, VLOOKUP(Q2689, Wages!$A$2:$C$17, 2, 0))) * IF(ISBLANK(N2689), 0, IF(ISNA(VLOOKUP(N2689, Crews!$A$2:$C$28, 2, 0)), N2689, VLOOKUP(N2689, Crews!$A$2:$C$28, 2, 0))))) * 400</f>
        <v>1552.083333</v>
      </c>
      <c r="K2689" s="3" t="s">
        <v>5207</v>
      </c>
      <c r="L2689" s="1" t="s">
        <v>5208</v>
      </c>
      <c r="M2689" s="1" t="n">
        <v>0</v>
      </c>
      <c r="N2689" s="1"/>
      <c r="O2689" s="1"/>
      <c r="P2689" s="1"/>
      <c r="Q2689" s="1"/>
      <c r="R2689" s="1" t="s">
        <v>4419</v>
      </c>
      <c r="S2689" s="1" t="s">
        <v>4470</v>
      </c>
      <c r="T2689" s="1"/>
    </row>
    <row r="2690" customFormat="false" ht="15" hidden="false" customHeight="true" outlineLevel="0" collapsed="false">
      <c r="A2690" s="1" t="s">
        <v>5209</v>
      </c>
      <c r="B2690" s="1" t="n">
        <v>1997</v>
      </c>
      <c r="C2690" s="1" t="n">
        <v>6</v>
      </c>
      <c r="D2690" s="1" t="s">
        <v>157</v>
      </c>
      <c r="E2690" s="1"/>
      <c r="F2690" s="1"/>
      <c r="G2690" s="1" t="n">
        <v>80</v>
      </c>
      <c r="H2690" s="2" t="n">
        <v>786000</v>
      </c>
      <c r="I2690" s="2" t="n">
        <f aca="false">(((H2690 / 800) / IF(ISBLANK(R2690), 1000000, IF(ISNA(VLOOKUP(R2690, Mileages!$A$2:$C$34, 2, 0)), R2690, VLOOKUP(R2690, Mileages!$A$2:$C$34, 2, 0)))) + (F2690 * IF(ISBLANK(P2690), 1, P2690) * IF(ISBLANK(T2690), 0, IF(ISNA(VLOOKUP(T2690, 'Fuel Costs'!$A$2:$C$42, 2, 0)), T2690, VLOOKUP(T2690, 'Fuel Costs'!$A$2:$C$42, 2, 0))) / IF(ISBLANK(O2690), 1, O2690))) * 100</f>
        <v>0.0409375</v>
      </c>
      <c r="J2690" s="2" t="n">
        <f aca="false">((H2690 / 800) / (IF(ISBLANK(S2690), 100, IF(ISNA(VLOOKUP(S2690, Lives!$A$2:$C$35, 2, 0)), S2690, VLOOKUP(S2690, Lives!$A$2:$C$35, 2, 0))) * 12) + (IF(ISBLANK(Q2690), 0, IF(ISNA(VLOOKUP(Q2690, Wages!$A$2:$C$17, 2, 0)), Q2690, VLOOKUP(Q2690, Wages!$A$2:$C$17, 2, 0))) * IF(ISBLANK(N2690), 0, IF(ISNA(VLOOKUP(N2690, Crews!$A$2:$C$28, 2, 0)), N2690, VLOOKUP(N2690, Crews!$A$2:$C$28, 2, 0))))) * 400</f>
        <v>1637.5</v>
      </c>
      <c r="K2690" s="1" t="s">
        <v>5210</v>
      </c>
      <c r="L2690" s="1" t="s">
        <v>5211</v>
      </c>
      <c r="M2690" s="1" t="n">
        <v>0</v>
      </c>
      <c r="N2690" s="1"/>
      <c r="O2690" s="1"/>
      <c r="P2690" s="1"/>
      <c r="Q2690" s="1"/>
      <c r="R2690" s="1" t="s">
        <v>4419</v>
      </c>
      <c r="S2690" s="1" t="s">
        <v>4470</v>
      </c>
      <c r="T2690" s="1"/>
    </row>
    <row r="2691" customFormat="false" ht="15" hidden="false" customHeight="true" outlineLevel="0" collapsed="false">
      <c r="A2691" s="1" t="s">
        <v>5212</v>
      </c>
      <c r="B2691" s="1" t="n">
        <v>1997</v>
      </c>
      <c r="C2691" s="1" t="n">
        <v>7</v>
      </c>
      <c r="D2691" s="1" t="s">
        <v>2225</v>
      </c>
      <c r="E2691" s="1" t="s">
        <v>3660</v>
      </c>
      <c r="F2691" s="1" t="n">
        <v>3690</v>
      </c>
      <c r="G2691" s="1" t="n">
        <v>460</v>
      </c>
      <c r="H2691" s="2" t="n">
        <v>16000000</v>
      </c>
      <c r="I2691" s="2" t="n">
        <f aca="false">(((H2691 / 800) / IF(ISBLANK(R2691), 1000000, IF(ISNA(VLOOKUP(R2691, Mileages!$A$2:$C$34, 2, 0)), R2691, VLOOKUP(R2691, Mileages!$A$2:$C$34, 2, 0)))) + (F2691 * IF(ISBLANK(P2691), 1, P2691) * IF(ISBLANK(T2691), 0, IF(ISNA(VLOOKUP(T2691, 'Fuel Costs'!$A$2:$C$42, 2, 0)), T2691, VLOOKUP(T2691, 'Fuel Costs'!$A$2:$C$42, 2, 0))) / IF(ISBLANK(O2691), 1, O2691))) * 100</f>
        <v>14.82666667</v>
      </c>
      <c r="J2691" s="2" t="n">
        <f aca="false">((H2691 / 800) / (IF(ISBLANK(S2691), 100, IF(ISNA(VLOOKUP(S2691, Lives!$A$2:$C$35, 2, 0)), S2691, VLOOKUP(S2691, Lives!$A$2:$C$35, 2, 0))) * 12) + (IF(ISBLANK(Q2691), 0, IF(ISNA(VLOOKUP(Q2691, Wages!$A$2:$C$17, 2, 0)), Q2691, VLOOKUP(Q2691, Wages!$A$2:$C$17, 2, 0))) * IF(ISBLANK(N2691), 0, IF(ISNA(VLOOKUP(N2691, Crews!$A$2:$C$28, 2, 0)), N2691, VLOOKUP(N2691, Crews!$A$2:$C$28, 2, 0))))) * 400</f>
        <v>61111.11111</v>
      </c>
      <c r="K2691" s="3" t="s">
        <v>5213</v>
      </c>
      <c r="L2691" s="1" t="s">
        <v>5214</v>
      </c>
      <c r="M2691" s="1" t="n">
        <v>0</v>
      </c>
      <c r="N2691" s="1" t="s">
        <v>2342</v>
      </c>
      <c r="O2691" s="1"/>
      <c r="P2691" s="1" t="n">
        <v>0.02</v>
      </c>
      <c r="Q2691" s="1" t="s">
        <v>2229</v>
      </c>
      <c r="R2691" s="1" t="s">
        <v>4413</v>
      </c>
      <c r="S2691" s="1" t="s">
        <v>2229</v>
      </c>
      <c r="T2691" s="1" t="s">
        <v>4773</v>
      </c>
    </row>
    <row r="2692" customFormat="false" ht="15" hidden="false" customHeight="true" outlineLevel="0" collapsed="false">
      <c r="A2692" s="1" t="s">
        <v>5215</v>
      </c>
      <c r="B2692" s="1" t="n">
        <v>1997</v>
      </c>
      <c r="C2692" s="1" t="n">
        <v>7</v>
      </c>
      <c r="D2692" s="1" t="s">
        <v>2225</v>
      </c>
      <c r="E2692" s="1" t="s">
        <v>3660</v>
      </c>
      <c r="F2692" s="1" t="n">
        <v>3690</v>
      </c>
      <c r="G2692" s="1" t="n">
        <v>460</v>
      </c>
      <c r="H2692" s="2" t="n">
        <v>15000000</v>
      </c>
      <c r="I2692" s="2" t="n">
        <f aca="false">(((H2692 / 800) / IF(ISBLANK(R2692), 1000000, IF(ISNA(VLOOKUP(R2692, Mileages!$A$2:$C$34, 2, 0)), R2692, VLOOKUP(R2692, Mileages!$A$2:$C$34, 2, 0)))) + (F2692 * IF(ISBLANK(P2692), 1, P2692) * IF(ISBLANK(T2692), 0, IF(ISNA(VLOOKUP(T2692, 'Fuel Costs'!$A$2:$C$42, 2, 0)), T2692, VLOOKUP(T2692, 'Fuel Costs'!$A$2:$C$42, 2, 0))) / IF(ISBLANK(O2692), 1, O2692))) * 100</f>
        <v>14.8225</v>
      </c>
      <c r="J2692" s="2" t="n">
        <f aca="false">((H2692 / 800) / (IF(ISBLANK(S2692), 100, IF(ISNA(VLOOKUP(S2692, Lives!$A$2:$C$35, 2, 0)), S2692, VLOOKUP(S2692, Lives!$A$2:$C$35, 2, 0))) * 12) + (IF(ISBLANK(Q2692), 0, IF(ISNA(VLOOKUP(Q2692, Wages!$A$2:$C$17, 2, 0)), Q2692, VLOOKUP(Q2692, Wages!$A$2:$C$17, 2, 0))) * IF(ISBLANK(N2692), 0, IF(ISNA(VLOOKUP(N2692, Crews!$A$2:$C$28, 2, 0)), N2692, VLOOKUP(N2692, Crews!$A$2:$C$28, 2, 0))))) * 400</f>
        <v>20416.66667</v>
      </c>
      <c r="K2692" s="3" t="s">
        <v>5216</v>
      </c>
      <c r="L2692" s="1" t="s">
        <v>5217</v>
      </c>
      <c r="M2692" s="1" t="n">
        <v>0</v>
      </c>
      <c r="N2692" s="1" t="s">
        <v>25</v>
      </c>
      <c r="O2692" s="1"/>
      <c r="P2692" s="1" t="n">
        <v>0.02</v>
      </c>
      <c r="Q2692" s="1" t="s">
        <v>2229</v>
      </c>
      <c r="R2692" s="1" t="s">
        <v>4413</v>
      </c>
      <c r="S2692" s="1" t="s">
        <v>2229</v>
      </c>
      <c r="T2692" s="1" t="s">
        <v>4773</v>
      </c>
    </row>
    <row r="2693" customFormat="false" ht="15" hidden="false" customHeight="true" outlineLevel="0" collapsed="false">
      <c r="A2693" s="1" t="s">
        <v>5218</v>
      </c>
      <c r="B2693" s="1" t="n">
        <v>1997</v>
      </c>
      <c r="C2693" s="1" t="n">
        <v>12</v>
      </c>
      <c r="D2693" s="1" t="s">
        <v>2225</v>
      </c>
      <c r="E2693" s="1" t="s">
        <v>3660</v>
      </c>
      <c r="F2693" s="1" t="n">
        <v>32040</v>
      </c>
      <c r="G2693" s="1" t="n">
        <v>833</v>
      </c>
      <c r="H2693" s="2" t="n">
        <v>48900000</v>
      </c>
      <c r="I2693" s="2" t="n">
        <f aca="false">(((H2693 / 800) / IF(ISBLANK(R2693), 1000000, IF(ISNA(VLOOKUP(R2693, Mileages!$A$2:$C$34, 2, 0)), R2693, VLOOKUP(R2693, Mileages!$A$2:$C$34, 2, 0)))) + (F2693 * IF(ISBLANK(P2693), 1, P2693) * IF(ISBLANK(T2693), 0, IF(ISNA(VLOOKUP(T2693, 'Fuel Costs'!$A$2:$C$42, 2, 0)), T2693, VLOOKUP(T2693, 'Fuel Costs'!$A$2:$C$42, 2, 0))) / IF(ISBLANK(O2693), 1, O2693))) * 100</f>
        <v>128.36375</v>
      </c>
      <c r="J2693" s="2" t="n">
        <f aca="false">((H2693 / 800) / (IF(ISBLANK(S2693), 100, IF(ISNA(VLOOKUP(S2693, Lives!$A$2:$C$35, 2, 0)), S2693, VLOOKUP(S2693, Lives!$A$2:$C$35, 2, 0))) * 12) + (IF(ISBLANK(Q2693), 0, IF(ISNA(VLOOKUP(Q2693, Wages!$A$2:$C$17, 2, 0)), Q2693, VLOOKUP(Q2693, Wages!$A$2:$C$17, 2, 0))) * IF(ISBLANK(N2693), 0, IF(ISNA(VLOOKUP(N2693, Crews!$A$2:$C$28, 2, 0)), N2693, VLOOKUP(N2693, Crews!$A$2:$C$28, 2, 0))))) * 400</f>
        <v>83958.33333</v>
      </c>
      <c r="K2693" s="3" t="s">
        <v>5219</v>
      </c>
      <c r="L2693" s="1" t="s">
        <v>5220</v>
      </c>
      <c r="M2693" s="1" t="n">
        <v>0</v>
      </c>
      <c r="N2693" s="1" t="s">
        <v>2342</v>
      </c>
      <c r="O2693" s="1"/>
      <c r="P2693" s="1" t="n">
        <v>0.02</v>
      </c>
      <c r="Q2693" s="1" t="s">
        <v>2229</v>
      </c>
      <c r="R2693" s="1" t="s">
        <v>4413</v>
      </c>
      <c r="S2693" s="1" t="s">
        <v>2229</v>
      </c>
      <c r="T2693" s="1" t="s">
        <v>4773</v>
      </c>
    </row>
    <row r="2694" customFormat="false" ht="15" hidden="false" customHeight="true" outlineLevel="0" collapsed="false">
      <c r="A2694" s="1" t="s">
        <v>5221</v>
      </c>
      <c r="B2694" s="1" t="n">
        <v>1997</v>
      </c>
      <c r="C2694" s="1" t="n">
        <v>12</v>
      </c>
      <c r="D2694" s="1" t="s">
        <v>2225</v>
      </c>
      <c r="E2694" s="1" t="s">
        <v>3660</v>
      </c>
      <c r="F2694" s="1" t="n">
        <v>32040</v>
      </c>
      <c r="G2694" s="1" t="n">
        <v>833</v>
      </c>
      <c r="H2694" s="2" t="n">
        <v>48900000</v>
      </c>
      <c r="I2694" s="2" t="n">
        <f aca="false">(((H2694 / 800) / IF(ISBLANK(R2694), 1000000, IF(ISNA(VLOOKUP(R2694, Mileages!$A$2:$C$34, 2, 0)), R2694, VLOOKUP(R2694, Mileages!$A$2:$C$34, 2, 0)))) + (F2694 * IF(ISBLANK(P2694), 1, P2694) * IF(ISBLANK(T2694), 0, IF(ISNA(VLOOKUP(T2694, 'Fuel Costs'!$A$2:$C$42, 2, 0)), T2694, VLOOKUP(T2694, 'Fuel Costs'!$A$2:$C$42, 2, 0))) / IF(ISBLANK(O2694), 1, O2694))) * 100</f>
        <v>128.36375</v>
      </c>
      <c r="J2694" s="2" t="n">
        <f aca="false">((H2694 / 800) / (IF(ISBLANK(S2694), 100, IF(ISNA(VLOOKUP(S2694, Lives!$A$2:$C$35, 2, 0)), S2694, VLOOKUP(S2694, Lives!$A$2:$C$35, 2, 0))) * 12) + (IF(ISBLANK(Q2694), 0, IF(ISNA(VLOOKUP(Q2694, Wages!$A$2:$C$17, 2, 0)), Q2694, VLOOKUP(Q2694, Wages!$A$2:$C$17, 2, 0))) * IF(ISBLANK(N2694), 0, IF(ISNA(VLOOKUP(N2694, Crews!$A$2:$C$28, 2, 0)), N2694, VLOOKUP(N2694, Crews!$A$2:$C$28, 2, 0))))) * 400</f>
        <v>83958.33333</v>
      </c>
      <c r="K2694" s="3" t="s">
        <v>5222</v>
      </c>
      <c r="L2694" s="1" t="s">
        <v>5220</v>
      </c>
      <c r="M2694" s="1" t="n">
        <v>1</v>
      </c>
      <c r="N2694" s="1" t="s">
        <v>2342</v>
      </c>
      <c r="O2694" s="1"/>
      <c r="P2694" s="1" t="n">
        <v>0.02</v>
      </c>
      <c r="Q2694" s="1" t="s">
        <v>2229</v>
      </c>
      <c r="R2694" s="1" t="s">
        <v>4413</v>
      </c>
      <c r="S2694" s="1" t="s">
        <v>2229</v>
      </c>
      <c r="T2694" s="1" t="s">
        <v>4773</v>
      </c>
    </row>
    <row r="2695" customFormat="false" ht="15" hidden="false" customHeight="true" outlineLevel="0" collapsed="false">
      <c r="A2695" s="1" t="s">
        <v>5223</v>
      </c>
      <c r="B2695" s="1" t="n">
        <v>1997</v>
      </c>
      <c r="C2695" s="1" t="n">
        <v>12</v>
      </c>
      <c r="D2695" s="1" t="s">
        <v>21</v>
      </c>
      <c r="E2695" s="1" t="s">
        <v>2039</v>
      </c>
      <c r="F2695" s="1" t="n">
        <v>210</v>
      </c>
      <c r="G2695" s="1" t="n">
        <v>75</v>
      </c>
      <c r="H2695" s="2" t="n">
        <v>4950000</v>
      </c>
      <c r="I2695" s="2" t="n">
        <f aca="false">(((H2695 / 800) / IF(ISBLANK(R2695), 1000000, IF(ISNA(VLOOKUP(R2695, Mileages!$A$2:$C$34, 2, 0)), R2695, VLOOKUP(R2695, Mileages!$A$2:$C$34, 2, 0)))) + (F2695 * IF(ISBLANK(P2695), 1, P2695) * IF(ISBLANK(T2695), 0, IF(ISNA(VLOOKUP(T2695, 'Fuel Costs'!$A$2:$C$42, 2, 0)), T2695, VLOOKUP(T2695, 'Fuel Costs'!$A$2:$C$42, 2, 0))) / IF(ISBLANK(O2695), 1, O2695))) * 100</f>
        <v>63.309375</v>
      </c>
      <c r="J2695" s="2" t="n">
        <f aca="false">((H2695 / 800) / (IF(ISBLANK(S2695), 100, IF(ISNA(VLOOKUP(S2695, Lives!$A$2:$C$35, 2, 0)), S2695, VLOOKUP(S2695, Lives!$A$2:$C$35, 2, 0))) * 12) + (IF(ISBLANK(Q2695), 0, IF(ISNA(VLOOKUP(Q2695, Wages!$A$2:$C$17, 2, 0)), Q2695, VLOOKUP(Q2695, Wages!$A$2:$C$17, 2, 0))) * IF(ISBLANK(N2695), 0, IF(ISNA(VLOOKUP(N2695, Crews!$A$2:$C$28, 2, 0)), N2695, VLOOKUP(N2695, Crews!$A$2:$C$28, 2, 0))))) * 400</f>
        <v>10578.125</v>
      </c>
      <c r="K2695" s="3" t="s">
        <v>5224</v>
      </c>
      <c r="L2695" s="1" t="s">
        <v>5225</v>
      </c>
      <c r="M2695" s="1" t="n">
        <v>0</v>
      </c>
      <c r="N2695" s="1" t="s">
        <v>1815</v>
      </c>
      <c r="O2695" s="1" t="n">
        <v>1</v>
      </c>
      <c r="P2695" s="1"/>
      <c r="Q2695" s="1" t="s">
        <v>1815</v>
      </c>
      <c r="R2695" s="1" t="s">
        <v>4725</v>
      </c>
      <c r="S2695" s="1" t="s">
        <v>1843</v>
      </c>
      <c r="T2695" s="1" t="s">
        <v>4726</v>
      </c>
    </row>
    <row r="2696" customFormat="false" ht="15" hidden="false" customHeight="true" outlineLevel="0" collapsed="false">
      <c r="A2696" s="1" t="s">
        <v>5226</v>
      </c>
      <c r="B2696" s="1" t="n">
        <v>1998</v>
      </c>
      <c r="C2696" s="1" t="n">
        <v>1</v>
      </c>
      <c r="D2696" s="1" t="s">
        <v>38</v>
      </c>
      <c r="E2696" s="1" t="s">
        <v>2039</v>
      </c>
      <c r="F2696" s="1" t="n">
        <v>315</v>
      </c>
      <c r="G2696" s="1" t="n">
        <v>160</v>
      </c>
      <c r="H2696" s="2" t="n">
        <v>1930000</v>
      </c>
      <c r="I2696" s="2" t="n">
        <f aca="false">(((H2696 / 800) / IF(ISBLANK(R2696), 1000000, IF(ISNA(VLOOKUP(R2696, Mileages!$A$2:$C$34, 2, 0)), R2696, VLOOKUP(R2696, Mileages!$A$2:$C$34, 2, 0)))) + (F2696 * IF(ISBLANK(P2696), 1, P2696) * IF(ISBLANK(T2696), 0, IF(ISNA(VLOOKUP(T2696, 'Fuel Costs'!$A$2:$C$42, 2, 0)), T2696, VLOOKUP(T2696, 'Fuel Costs'!$A$2:$C$42, 2, 0))) / IF(ISBLANK(O2696), 1, O2696))) * 100</f>
        <v>94.620625</v>
      </c>
      <c r="J2696" s="2" t="n">
        <f aca="false">((H2696 / 800) / (IF(ISBLANK(S2696), 100, IF(ISNA(VLOOKUP(S2696, Lives!$A$2:$C$35, 2, 0)), S2696, VLOOKUP(S2696, Lives!$A$2:$C$35, 2, 0))) * 12) + (IF(ISBLANK(Q2696), 0, IF(ISNA(VLOOKUP(Q2696, Wages!$A$2:$C$17, 2, 0)), Q2696, VLOOKUP(Q2696, Wages!$A$2:$C$17, 2, 0))) * IF(ISBLANK(N2696), 0, IF(ISNA(VLOOKUP(N2696, Crews!$A$2:$C$28, 2, 0)), N2696, VLOOKUP(N2696, Crews!$A$2:$C$28, 2, 0))))) * 400</f>
        <v>7005.208333</v>
      </c>
      <c r="K2696" s="1" t="s">
        <v>5227</v>
      </c>
      <c r="L2696" s="1" t="s">
        <v>5228</v>
      </c>
      <c r="M2696" s="1" t="n">
        <v>0</v>
      </c>
      <c r="N2696" s="1" t="s">
        <v>1512</v>
      </c>
      <c r="O2696" s="1" t="n">
        <v>1</v>
      </c>
      <c r="P2696" s="1"/>
      <c r="Q2696" s="1" t="s">
        <v>1512</v>
      </c>
      <c r="R2696" s="1" t="s">
        <v>4747</v>
      </c>
      <c r="S2696" s="1" t="s">
        <v>4747</v>
      </c>
      <c r="T2696" s="1" t="s">
        <v>4726</v>
      </c>
    </row>
    <row r="2697" customFormat="false" ht="15" hidden="false" customHeight="true" outlineLevel="0" collapsed="false">
      <c r="A2697" s="1" t="s">
        <v>5229</v>
      </c>
      <c r="B2697" s="1" t="n">
        <v>1998</v>
      </c>
      <c r="C2697" s="1" t="n">
        <v>1</v>
      </c>
      <c r="D2697" s="1" t="s">
        <v>38</v>
      </c>
      <c r="E2697" s="1" t="s">
        <v>2039</v>
      </c>
      <c r="F2697" s="1" t="n">
        <v>315</v>
      </c>
      <c r="G2697" s="1" t="n">
        <v>160</v>
      </c>
      <c r="H2697" s="2" t="n">
        <v>1931500</v>
      </c>
      <c r="I2697" s="2" t="n">
        <f aca="false">(((H2697 / 800) / IF(ISBLANK(R2697), 1000000, IF(ISNA(VLOOKUP(R2697, Mileages!$A$2:$C$34, 2, 0)), R2697, VLOOKUP(R2697, Mileages!$A$2:$C$34, 2, 0)))) + (F2697 * IF(ISBLANK(P2697), 1, P2697) * IF(ISBLANK(T2697), 0, IF(ISNA(VLOOKUP(T2697, 'Fuel Costs'!$A$2:$C$42, 2, 0)), T2697, VLOOKUP(T2697, 'Fuel Costs'!$A$2:$C$42, 2, 0))) / IF(ISBLANK(O2697), 1, O2697))) * 100</f>
        <v>94.62071875</v>
      </c>
      <c r="J2697" s="2" t="n">
        <f aca="false">((H2697 / 800) / (IF(ISBLANK(S2697), 100, IF(ISNA(VLOOKUP(S2697, Lives!$A$2:$C$35, 2, 0)), S2697, VLOOKUP(S2697, Lives!$A$2:$C$35, 2, 0))) * 12) + (IF(ISBLANK(Q2697), 0, IF(ISNA(VLOOKUP(Q2697, Wages!$A$2:$C$17, 2, 0)), Q2697, VLOOKUP(Q2697, Wages!$A$2:$C$17, 2, 0))) * IF(ISBLANK(N2697), 0, IF(ISNA(VLOOKUP(N2697, Crews!$A$2:$C$28, 2, 0)), N2697, VLOOKUP(N2697, Crews!$A$2:$C$28, 2, 0))))) * 400</f>
        <v>1005.989583</v>
      </c>
      <c r="K2697" s="1"/>
      <c r="L2697" s="1" t="s">
        <v>5228</v>
      </c>
      <c r="M2697" s="1" t="n">
        <v>1</v>
      </c>
      <c r="N2697" s="1"/>
      <c r="O2697" s="1" t="n">
        <v>1</v>
      </c>
      <c r="P2697" s="1"/>
      <c r="Q2697" s="1"/>
      <c r="R2697" s="1" t="s">
        <v>4747</v>
      </c>
      <c r="S2697" s="1" t="s">
        <v>4747</v>
      </c>
      <c r="T2697" s="1" t="s">
        <v>4726</v>
      </c>
    </row>
    <row r="2698" customFormat="false" ht="15" hidden="false" customHeight="true" outlineLevel="0" collapsed="false">
      <c r="A2698" s="1" t="s">
        <v>5230</v>
      </c>
      <c r="B2698" s="1" t="n">
        <v>1998</v>
      </c>
      <c r="C2698" s="1" t="n">
        <v>1</v>
      </c>
      <c r="D2698" s="1" t="s">
        <v>38</v>
      </c>
      <c r="E2698" s="1" t="s">
        <v>2039</v>
      </c>
      <c r="F2698" s="1" t="n">
        <v>315</v>
      </c>
      <c r="G2698" s="1" t="n">
        <v>160</v>
      </c>
      <c r="H2698" s="2" t="n">
        <v>1930000</v>
      </c>
      <c r="I2698" s="2" t="n">
        <f aca="false">(((H2698 / 800) / IF(ISBLANK(R2698), 1000000, IF(ISNA(VLOOKUP(R2698, Mileages!$A$2:$C$34, 2, 0)), R2698, VLOOKUP(R2698, Mileages!$A$2:$C$34, 2, 0)))) + (F2698 * IF(ISBLANK(P2698), 1, P2698) * IF(ISBLANK(T2698), 0, IF(ISNA(VLOOKUP(T2698, 'Fuel Costs'!$A$2:$C$42, 2, 0)), T2698, VLOOKUP(T2698, 'Fuel Costs'!$A$2:$C$42, 2, 0))) / IF(ISBLANK(O2698), 1, O2698))) * 100</f>
        <v>94.620625</v>
      </c>
      <c r="J2698" s="2" t="n">
        <f aca="false">((H2698 / 800) / (IF(ISBLANK(S2698), 100, IF(ISNA(VLOOKUP(S2698, Lives!$A$2:$C$35, 2, 0)), S2698, VLOOKUP(S2698, Lives!$A$2:$C$35, 2, 0))) * 12) + (IF(ISBLANK(Q2698), 0, IF(ISNA(VLOOKUP(Q2698, Wages!$A$2:$C$17, 2, 0)), Q2698, VLOOKUP(Q2698, Wages!$A$2:$C$17, 2, 0))) * IF(ISBLANK(N2698), 0, IF(ISNA(VLOOKUP(N2698, Crews!$A$2:$C$28, 2, 0)), N2698, VLOOKUP(N2698, Crews!$A$2:$C$28, 2, 0))))) * 400</f>
        <v>7005.208333</v>
      </c>
      <c r="K2698" s="1"/>
      <c r="L2698" s="1" t="s">
        <v>5228</v>
      </c>
      <c r="M2698" s="1" t="n">
        <v>2</v>
      </c>
      <c r="N2698" s="1" t="s">
        <v>1512</v>
      </c>
      <c r="O2698" s="1" t="n">
        <v>1</v>
      </c>
      <c r="P2698" s="1"/>
      <c r="Q2698" s="1" t="s">
        <v>1512</v>
      </c>
      <c r="R2698" s="1" t="s">
        <v>4747</v>
      </c>
      <c r="S2698" s="1" t="s">
        <v>4747</v>
      </c>
      <c r="T2698" s="1" t="s">
        <v>4726</v>
      </c>
    </row>
    <row r="2699" customFormat="false" ht="15" hidden="false" customHeight="true" outlineLevel="0" collapsed="false">
      <c r="A2699" s="1" t="s">
        <v>5231</v>
      </c>
      <c r="B2699" s="1" t="n">
        <v>1998</v>
      </c>
      <c r="C2699" s="1" t="n">
        <v>1</v>
      </c>
      <c r="D2699" s="1" t="s">
        <v>38</v>
      </c>
      <c r="E2699" s="1" t="s">
        <v>1346</v>
      </c>
      <c r="F2699" s="1" t="n">
        <v>700</v>
      </c>
      <c r="G2699" s="1" t="n">
        <v>160</v>
      </c>
      <c r="H2699" s="2" t="n">
        <v>1057500</v>
      </c>
      <c r="I2699" s="2" t="n">
        <f aca="false">(((H2699 / 800) / IF(ISBLANK(R2699), 1000000, IF(ISNA(VLOOKUP(R2699, Mileages!$A$2:$C$34, 2, 0)), R2699, VLOOKUP(R2699, Mileages!$A$2:$C$34, 2, 0)))) + (F2699 * IF(ISBLANK(P2699), 1, P2699) * IF(ISBLANK(T2699), 0, IF(ISNA(VLOOKUP(T2699, 'Fuel Costs'!$A$2:$C$42, 2, 0)), T2699, VLOOKUP(T2699, 'Fuel Costs'!$A$2:$C$42, 2, 0))) / IF(ISBLANK(O2699), 1, O2699))) * 100</f>
        <v>70.06609375</v>
      </c>
      <c r="J2699" s="2" t="n">
        <f aca="false">((H2699 / 800) / (IF(ISBLANK(S2699), 100, IF(ISNA(VLOOKUP(S2699, Lives!$A$2:$C$35, 2, 0)), S2699, VLOOKUP(S2699, Lives!$A$2:$C$35, 2, 0))) * 12) + (IF(ISBLANK(Q2699), 0, IF(ISNA(VLOOKUP(Q2699, Wages!$A$2:$C$17, 2, 0)), Q2699, VLOOKUP(Q2699, Wages!$A$2:$C$17, 2, 0))) * IF(ISBLANK(N2699), 0, IF(ISNA(VLOOKUP(N2699, Crews!$A$2:$C$28, 2, 0)), N2699, VLOOKUP(N2699, Crews!$A$2:$C$28, 2, 0))))) * 400</f>
        <v>6881.25</v>
      </c>
      <c r="K2699" s="1"/>
      <c r="L2699" s="1" t="s">
        <v>5232</v>
      </c>
      <c r="M2699" s="1" t="n">
        <v>0</v>
      </c>
      <c r="N2699" s="1" t="s">
        <v>1512</v>
      </c>
      <c r="O2699" s="1" t="n">
        <v>1</v>
      </c>
      <c r="P2699" s="1"/>
      <c r="Q2699" s="1" t="str">
        <f aca="false">IF(ISBLANK('Pak128 Britain In'!$N2699),,'Pak128 Britain In'!$N2699)</f>
        <v>ElectricMultipleUnit</v>
      </c>
      <c r="R2699" s="1" t="s">
        <v>4696</v>
      </c>
      <c r="S2699" s="1" t="s">
        <v>1350</v>
      </c>
      <c r="T2699" s="1" t="s">
        <v>4697</v>
      </c>
    </row>
    <row r="2700" customFormat="false" ht="15" hidden="false" customHeight="true" outlineLevel="0" collapsed="false">
      <c r="A2700" s="1" t="s">
        <v>5233</v>
      </c>
      <c r="B2700" s="1" t="n">
        <v>1998</v>
      </c>
      <c r="C2700" s="1" t="n">
        <v>1</v>
      </c>
      <c r="D2700" s="1" t="s">
        <v>38</v>
      </c>
      <c r="E2700" s="1" t="s">
        <v>1346</v>
      </c>
      <c r="F2700" s="1" t="n">
        <v>0</v>
      </c>
      <c r="G2700" s="1" t="n">
        <v>160</v>
      </c>
      <c r="H2700" s="2" t="n">
        <v>1899100</v>
      </c>
      <c r="I2700" s="2" t="n">
        <f aca="false">(((H2700 / 800) / IF(ISBLANK(R2700), 1000000, IF(ISNA(VLOOKUP(R2700, Mileages!$A$2:$C$34, 2, 0)), R2700, VLOOKUP(R2700, Mileages!$A$2:$C$34, 2, 0)))) + (F2700 * IF(ISBLANK(P2700), 1, P2700) * IF(ISBLANK(T2700), 0, IF(ISNA(VLOOKUP(T2700, 'Fuel Costs'!$A$2:$C$42, 2, 0)), T2700, VLOOKUP(T2700, 'Fuel Costs'!$A$2:$C$42, 2, 0))) / IF(ISBLANK(O2700), 1, O2700))) * 100</f>
        <v>0.09891145833</v>
      </c>
      <c r="J2700" s="2" t="n">
        <f aca="false">((H2700 / 800) / (IF(ISBLANK(S2700), 100, IF(ISNA(VLOOKUP(S2700, Lives!$A$2:$C$35, 2, 0)), S2700, VLOOKUP(S2700, Lives!$A$2:$C$35, 2, 0))) * 12) + (IF(ISBLANK(Q2700), 0, IF(ISNA(VLOOKUP(Q2700, Wages!$A$2:$C$17, 2, 0)), Q2700, VLOOKUP(Q2700, Wages!$A$2:$C$17, 2, 0))) * IF(ISBLANK(N2700), 0, IF(ISNA(VLOOKUP(N2700, Crews!$A$2:$C$28, 2, 0)), N2700, VLOOKUP(N2700, Crews!$A$2:$C$28, 2, 0))))) * 400</f>
        <v>3956.458333</v>
      </c>
      <c r="K2700" s="1"/>
      <c r="L2700" s="1" t="s">
        <v>5232</v>
      </c>
      <c r="M2700" s="1" t="n">
        <v>1</v>
      </c>
      <c r="N2700" s="1"/>
      <c r="O2700" s="1"/>
      <c r="P2700" s="1"/>
      <c r="Q2700" s="1"/>
      <c r="R2700" s="1" t="s">
        <v>4419</v>
      </c>
      <c r="S2700" s="1" t="s">
        <v>4470</v>
      </c>
      <c r="T2700" s="1"/>
    </row>
    <row r="2701" customFormat="false" ht="15" hidden="false" customHeight="true" outlineLevel="0" collapsed="false">
      <c r="A2701" s="1" t="s">
        <v>5234</v>
      </c>
      <c r="B2701" s="1" t="n">
        <v>1998</v>
      </c>
      <c r="C2701" s="1" t="n">
        <v>1</v>
      </c>
      <c r="D2701" s="1" t="s">
        <v>38</v>
      </c>
      <c r="E2701" s="1" t="s">
        <v>1346</v>
      </c>
      <c r="F2701" s="1" t="n">
        <v>0</v>
      </c>
      <c r="G2701" s="1" t="n">
        <v>160</v>
      </c>
      <c r="H2701" s="2" t="n">
        <v>1899100</v>
      </c>
      <c r="I2701" s="2" t="n">
        <f aca="false">(((H2701 / 800) / IF(ISBLANK(R2701), 1000000, IF(ISNA(VLOOKUP(R2701, Mileages!$A$2:$C$34, 2, 0)), R2701, VLOOKUP(R2701, Mileages!$A$2:$C$34, 2, 0)))) + (F2701 * IF(ISBLANK(P2701), 1, P2701) * IF(ISBLANK(T2701), 0, IF(ISNA(VLOOKUP(T2701, 'Fuel Costs'!$A$2:$C$42, 2, 0)), T2701, VLOOKUP(T2701, 'Fuel Costs'!$A$2:$C$42, 2, 0))) / IF(ISBLANK(O2701), 1, O2701))) * 100</f>
        <v>0.09891145833</v>
      </c>
      <c r="J2701" s="2" t="n">
        <f aca="false">((H2701 / 800) / (IF(ISBLANK(S2701), 100, IF(ISNA(VLOOKUP(S2701, Lives!$A$2:$C$35, 2, 0)), S2701, VLOOKUP(S2701, Lives!$A$2:$C$35, 2, 0))) * 12) + (IF(ISBLANK(Q2701), 0, IF(ISNA(VLOOKUP(Q2701, Wages!$A$2:$C$17, 2, 0)), Q2701, VLOOKUP(Q2701, Wages!$A$2:$C$17, 2, 0))) * IF(ISBLANK(N2701), 0, IF(ISNA(VLOOKUP(N2701, Crews!$A$2:$C$28, 2, 0)), N2701, VLOOKUP(N2701, Crews!$A$2:$C$28, 2, 0))))) * 400</f>
        <v>3956.458333</v>
      </c>
      <c r="K2701" s="1"/>
      <c r="L2701" s="1" t="s">
        <v>5232</v>
      </c>
      <c r="M2701" s="1" t="n">
        <v>2</v>
      </c>
      <c r="N2701" s="1"/>
      <c r="O2701" s="1"/>
      <c r="P2701" s="1"/>
      <c r="Q2701" s="1"/>
      <c r="R2701" s="1" t="s">
        <v>4419</v>
      </c>
      <c r="S2701" s="1" t="s">
        <v>4470</v>
      </c>
      <c r="T2701" s="1"/>
    </row>
    <row r="2702" customFormat="false" ht="15" hidden="false" customHeight="true" outlineLevel="0" collapsed="false">
      <c r="A2702" s="1" t="s">
        <v>5235</v>
      </c>
      <c r="B2702" s="1" t="n">
        <v>1998</v>
      </c>
      <c r="C2702" s="1" t="n">
        <v>1</v>
      </c>
      <c r="D2702" s="1" t="s">
        <v>38</v>
      </c>
      <c r="E2702" s="1" t="s">
        <v>1346</v>
      </c>
      <c r="F2702" s="1" t="n">
        <v>700</v>
      </c>
      <c r="G2702" s="1" t="n">
        <v>160</v>
      </c>
      <c r="H2702" s="2" t="n">
        <v>1057500</v>
      </c>
      <c r="I2702" s="2" t="n">
        <f aca="false">(((H2702 / 800) / IF(ISBLANK(R2702), 1000000, IF(ISNA(VLOOKUP(R2702, Mileages!$A$2:$C$34, 2, 0)), R2702, VLOOKUP(R2702, Mileages!$A$2:$C$34, 2, 0)))) + (F2702 * IF(ISBLANK(P2702), 1, P2702) * IF(ISBLANK(T2702), 0, IF(ISNA(VLOOKUP(T2702, 'Fuel Costs'!$A$2:$C$42, 2, 0)), T2702, VLOOKUP(T2702, 'Fuel Costs'!$A$2:$C$42, 2, 0))) / IF(ISBLANK(O2702), 1, O2702))) * 100</f>
        <v>70.06609375</v>
      </c>
      <c r="J2702" s="2" t="n">
        <f aca="false">((H2702 / 800) / (IF(ISBLANK(S2702), 100, IF(ISNA(VLOOKUP(S2702, Lives!$A$2:$C$35, 2, 0)), S2702, VLOOKUP(S2702, Lives!$A$2:$C$35, 2, 0))) * 12) + (IF(ISBLANK(Q2702), 0, IF(ISNA(VLOOKUP(Q2702, Wages!$A$2:$C$17, 2, 0)), Q2702, VLOOKUP(Q2702, Wages!$A$2:$C$17, 2, 0))) * IF(ISBLANK(N2702), 0, IF(ISNA(VLOOKUP(N2702, Crews!$A$2:$C$28, 2, 0)), N2702, VLOOKUP(N2702, Crews!$A$2:$C$28, 2, 0))))) * 400</f>
        <v>6881.25</v>
      </c>
      <c r="K2702" s="1"/>
      <c r="L2702" s="1" t="s">
        <v>5232</v>
      </c>
      <c r="M2702" s="1" t="n">
        <v>3</v>
      </c>
      <c r="N2702" s="1" t="s">
        <v>1512</v>
      </c>
      <c r="O2702" s="1" t="n">
        <v>1</v>
      </c>
      <c r="P2702" s="1"/>
      <c r="Q2702" s="1" t="str">
        <f aca="false">IF(ISBLANK('Pak128 Britain In'!$N2702),,'Pak128 Britain In'!$N2702)</f>
        <v>ElectricMultipleUnit</v>
      </c>
      <c r="R2702" s="1" t="s">
        <v>4696</v>
      </c>
      <c r="S2702" s="1" t="s">
        <v>1350</v>
      </c>
      <c r="T2702" s="1" t="s">
        <v>4697</v>
      </c>
    </row>
    <row r="2703" customFormat="false" ht="15" hidden="false" customHeight="true" outlineLevel="0" collapsed="false">
      <c r="A2703" s="1" t="s">
        <v>5236</v>
      </c>
      <c r="B2703" s="1" t="n">
        <v>1998</v>
      </c>
      <c r="C2703" s="1" t="n">
        <v>1</v>
      </c>
      <c r="D2703" s="1" t="s">
        <v>38</v>
      </c>
      <c r="E2703" s="1" t="s">
        <v>1346</v>
      </c>
      <c r="F2703" s="1" t="n">
        <v>700</v>
      </c>
      <c r="G2703" s="1" t="n">
        <v>160</v>
      </c>
      <c r="H2703" s="2" t="n">
        <v>1057500</v>
      </c>
      <c r="I2703" s="2" t="n">
        <f aca="false">(((H2703 / 800) / IF(ISBLANK(R2703), 1000000, IF(ISNA(VLOOKUP(R2703, Mileages!$A$2:$C$34, 2, 0)), R2703, VLOOKUP(R2703, Mileages!$A$2:$C$34, 2, 0)))) + (F2703 * IF(ISBLANK(P2703), 1, P2703) * IF(ISBLANK(T2703), 0, IF(ISNA(VLOOKUP(T2703, 'Fuel Costs'!$A$2:$C$42, 2, 0)), T2703, VLOOKUP(T2703, 'Fuel Costs'!$A$2:$C$42, 2, 0))) / IF(ISBLANK(O2703), 1, O2703))) * 100</f>
        <v>70.06609375</v>
      </c>
      <c r="J2703" s="2" t="n">
        <f aca="false">((H2703 / 800) / (IF(ISBLANK(S2703), 100, IF(ISNA(VLOOKUP(S2703, Lives!$A$2:$C$35, 2, 0)), S2703, VLOOKUP(S2703, Lives!$A$2:$C$35, 2, 0))) * 12) + (IF(ISBLANK(Q2703), 0, IF(ISNA(VLOOKUP(Q2703, Wages!$A$2:$C$17, 2, 0)), Q2703, VLOOKUP(Q2703, Wages!$A$2:$C$17, 2, 0))) * IF(ISBLANK(N2703), 0, IF(ISNA(VLOOKUP(N2703, Crews!$A$2:$C$28, 2, 0)), N2703, VLOOKUP(N2703, Crews!$A$2:$C$28, 2, 0))))) * 400</f>
        <v>6881.25</v>
      </c>
      <c r="K2703" s="1"/>
      <c r="L2703" s="1" t="s">
        <v>5237</v>
      </c>
      <c r="M2703" s="1" t="n">
        <v>0</v>
      </c>
      <c r="N2703" s="1" t="s">
        <v>1512</v>
      </c>
      <c r="O2703" s="1" t="n">
        <v>1</v>
      </c>
      <c r="P2703" s="1"/>
      <c r="Q2703" s="1" t="str">
        <f aca="false">IF(ISBLANK('Pak128 Britain In'!$N2703),,'Pak128 Britain In'!$N2703)</f>
        <v>ElectricMultipleUnit</v>
      </c>
      <c r="R2703" s="1" t="s">
        <v>4696</v>
      </c>
      <c r="S2703" s="1" t="s">
        <v>1350</v>
      </c>
      <c r="T2703" s="1" t="s">
        <v>4697</v>
      </c>
    </row>
    <row r="2704" customFormat="false" ht="15" hidden="false" customHeight="true" outlineLevel="0" collapsed="false">
      <c r="A2704" s="1" t="s">
        <v>5238</v>
      </c>
      <c r="B2704" s="1" t="n">
        <v>1998</v>
      </c>
      <c r="C2704" s="1" t="n">
        <v>1</v>
      </c>
      <c r="D2704" s="1" t="s">
        <v>38</v>
      </c>
      <c r="E2704" s="1" t="s">
        <v>1346</v>
      </c>
      <c r="F2704" s="1" t="n">
        <v>0</v>
      </c>
      <c r="G2704" s="1" t="n">
        <v>160</v>
      </c>
      <c r="H2704" s="2" t="n">
        <v>1899100</v>
      </c>
      <c r="I2704" s="2" t="n">
        <f aca="false">(((H2704 / 800) / IF(ISBLANK(R2704), 1000000, IF(ISNA(VLOOKUP(R2704, Mileages!$A$2:$C$34, 2, 0)), R2704, VLOOKUP(R2704, Mileages!$A$2:$C$34, 2, 0)))) + (F2704 * IF(ISBLANK(P2704), 1, P2704) * IF(ISBLANK(T2704), 0, IF(ISNA(VLOOKUP(T2704, 'Fuel Costs'!$A$2:$C$42, 2, 0)), T2704, VLOOKUP(T2704, 'Fuel Costs'!$A$2:$C$42, 2, 0))) / IF(ISBLANK(O2704), 1, O2704))) * 100</f>
        <v>0.09891145833</v>
      </c>
      <c r="J2704" s="2" t="n">
        <f aca="false">((H2704 / 800) / (IF(ISBLANK(S2704), 100, IF(ISNA(VLOOKUP(S2704, Lives!$A$2:$C$35, 2, 0)), S2704, VLOOKUP(S2704, Lives!$A$2:$C$35, 2, 0))) * 12) + (IF(ISBLANK(Q2704), 0, IF(ISNA(VLOOKUP(Q2704, Wages!$A$2:$C$17, 2, 0)), Q2704, VLOOKUP(Q2704, Wages!$A$2:$C$17, 2, 0))) * IF(ISBLANK(N2704), 0, IF(ISNA(VLOOKUP(N2704, Crews!$A$2:$C$28, 2, 0)), N2704, VLOOKUP(N2704, Crews!$A$2:$C$28, 2, 0))))) * 400</f>
        <v>3956.458333</v>
      </c>
      <c r="K2704" s="1"/>
      <c r="L2704" s="1" t="s">
        <v>5237</v>
      </c>
      <c r="M2704" s="1" t="n">
        <v>1</v>
      </c>
      <c r="N2704" s="1"/>
      <c r="O2704" s="1"/>
      <c r="P2704" s="1"/>
      <c r="Q2704" s="1"/>
      <c r="R2704" s="1" t="s">
        <v>4419</v>
      </c>
      <c r="S2704" s="1" t="s">
        <v>4470</v>
      </c>
      <c r="T2704" s="1"/>
    </row>
    <row r="2705" customFormat="false" ht="15" hidden="false" customHeight="true" outlineLevel="0" collapsed="false">
      <c r="A2705" s="1" t="s">
        <v>5239</v>
      </c>
      <c r="B2705" s="1" t="n">
        <v>1998</v>
      </c>
      <c r="C2705" s="1" t="n">
        <v>1</v>
      </c>
      <c r="D2705" s="1" t="s">
        <v>38</v>
      </c>
      <c r="E2705" s="1" t="s">
        <v>1346</v>
      </c>
      <c r="F2705" s="1" t="n">
        <v>0</v>
      </c>
      <c r="G2705" s="1" t="n">
        <v>160</v>
      </c>
      <c r="H2705" s="2" t="n">
        <v>1899100</v>
      </c>
      <c r="I2705" s="2" t="n">
        <f aca="false">(((H2705 / 800) / IF(ISBLANK(R2705), 1000000, IF(ISNA(VLOOKUP(R2705, Mileages!$A$2:$C$34, 2, 0)), R2705, VLOOKUP(R2705, Mileages!$A$2:$C$34, 2, 0)))) + (F2705 * IF(ISBLANK(P2705), 1, P2705) * IF(ISBLANK(T2705), 0, IF(ISNA(VLOOKUP(T2705, 'Fuel Costs'!$A$2:$C$42, 2, 0)), T2705, VLOOKUP(T2705, 'Fuel Costs'!$A$2:$C$42, 2, 0))) / IF(ISBLANK(O2705), 1, O2705))) * 100</f>
        <v>0.09891145833</v>
      </c>
      <c r="J2705" s="2" t="n">
        <f aca="false">((H2705 / 800) / (IF(ISBLANK(S2705), 100, IF(ISNA(VLOOKUP(S2705, Lives!$A$2:$C$35, 2, 0)), S2705, VLOOKUP(S2705, Lives!$A$2:$C$35, 2, 0))) * 12) + (IF(ISBLANK(Q2705), 0, IF(ISNA(VLOOKUP(Q2705, Wages!$A$2:$C$17, 2, 0)), Q2705, VLOOKUP(Q2705, Wages!$A$2:$C$17, 2, 0))) * IF(ISBLANK(N2705), 0, IF(ISNA(VLOOKUP(N2705, Crews!$A$2:$C$28, 2, 0)), N2705, VLOOKUP(N2705, Crews!$A$2:$C$28, 2, 0))))) * 400</f>
        <v>3956.458333</v>
      </c>
      <c r="K2705" s="1"/>
      <c r="L2705" s="1" t="s">
        <v>5237</v>
      </c>
      <c r="M2705" s="1" t="n">
        <v>2</v>
      </c>
      <c r="N2705" s="1"/>
      <c r="O2705" s="1"/>
      <c r="P2705" s="1"/>
      <c r="Q2705" s="1"/>
      <c r="R2705" s="1" t="s">
        <v>4419</v>
      </c>
      <c r="S2705" s="1" t="s">
        <v>4470</v>
      </c>
      <c r="T2705" s="1"/>
    </row>
    <row r="2706" customFormat="false" ht="15" hidden="false" customHeight="true" outlineLevel="0" collapsed="false">
      <c r="A2706" s="1" t="s">
        <v>5240</v>
      </c>
      <c r="B2706" s="1" t="n">
        <v>1998</v>
      </c>
      <c r="C2706" s="1" t="n">
        <v>1</v>
      </c>
      <c r="D2706" s="1" t="s">
        <v>38</v>
      </c>
      <c r="E2706" s="1" t="s">
        <v>1346</v>
      </c>
      <c r="F2706" s="1" t="n">
        <v>700</v>
      </c>
      <c r="G2706" s="1" t="n">
        <v>160</v>
      </c>
      <c r="H2706" s="2" t="n">
        <v>1057500</v>
      </c>
      <c r="I2706" s="2" t="n">
        <f aca="false">(((H2706 / 800) / IF(ISBLANK(R2706), 1000000, IF(ISNA(VLOOKUP(R2706, Mileages!$A$2:$C$34, 2, 0)), R2706, VLOOKUP(R2706, Mileages!$A$2:$C$34, 2, 0)))) + (F2706 * IF(ISBLANK(P2706), 1, P2706) * IF(ISBLANK(T2706), 0, IF(ISNA(VLOOKUP(T2706, 'Fuel Costs'!$A$2:$C$42, 2, 0)), T2706, VLOOKUP(T2706, 'Fuel Costs'!$A$2:$C$42, 2, 0))) / IF(ISBLANK(O2706), 1, O2706))) * 100</f>
        <v>70.06609375</v>
      </c>
      <c r="J2706" s="2" t="n">
        <f aca="false">((H2706 / 800) / (IF(ISBLANK(S2706), 100, IF(ISNA(VLOOKUP(S2706, Lives!$A$2:$C$35, 2, 0)), S2706, VLOOKUP(S2706, Lives!$A$2:$C$35, 2, 0))) * 12) + (IF(ISBLANK(Q2706), 0, IF(ISNA(VLOOKUP(Q2706, Wages!$A$2:$C$17, 2, 0)), Q2706, VLOOKUP(Q2706, Wages!$A$2:$C$17, 2, 0))) * IF(ISBLANK(N2706), 0, IF(ISNA(VLOOKUP(N2706, Crews!$A$2:$C$28, 2, 0)), N2706, VLOOKUP(N2706, Crews!$A$2:$C$28, 2, 0))))) * 400</f>
        <v>6881.25</v>
      </c>
      <c r="K2706" s="1"/>
      <c r="L2706" s="1" t="s">
        <v>5237</v>
      </c>
      <c r="M2706" s="1" t="n">
        <v>3</v>
      </c>
      <c r="N2706" s="1" t="s">
        <v>1512</v>
      </c>
      <c r="O2706" s="1" t="n">
        <v>1</v>
      </c>
      <c r="P2706" s="1"/>
      <c r="Q2706" s="1" t="str">
        <f aca="false">IF(ISBLANK('Pak128 Britain In'!$N2706),,'Pak128 Britain In'!$N2706)</f>
        <v>ElectricMultipleUnit</v>
      </c>
      <c r="R2706" s="1" t="s">
        <v>4696</v>
      </c>
      <c r="S2706" s="1" t="s">
        <v>1350</v>
      </c>
      <c r="T2706" s="1" t="s">
        <v>4697</v>
      </c>
    </row>
    <row r="2707" customFormat="false" ht="15" hidden="false" customHeight="true" outlineLevel="0" collapsed="false">
      <c r="A2707" s="1" t="s">
        <v>5241</v>
      </c>
      <c r="B2707" s="1" t="n">
        <v>1998</v>
      </c>
      <c r="C2707" s="1" t="n">
        <v>2</v>
      </c>
      <c r="D2707" s="1" t="s">
        <v>876</v>
      </c>
      <c r="E2707" s="1" t="s">
        <v>1346</v>
      </c>
      <c r="F2707" s="1" t="n">
        <v>60</v>
      </c>
      <c r="G2707" s="1" t="n">
        <v>70</v>
      </c>
      <c r="H2707" s="2" t="n">
        <v>700000</v>
      </c>
      <c r="I2707" s="2" t="n">
        <f aca="false">(((H2707 / 800) / IF(ISBLANK(R2707), 1000000, IF(ISNA(VLOOKUP(R2707, Mileages!$A$2:$C$34, 2, 0)), R2707, VLOOKUP(R2707, Mileages!$A$2:$C$34, 2, 0)))) + (F2707 * IF(ISBLANK(P2707), 1, P2707) * IF(ISBLANK(T2707), 0, IF(ISNA(VLOOKUP(T2707, 'Fuel Costs'!$A$2:$C$42, 2, 0)), T2707, VLOOKUP(T2707, 'Fuel Costs'!$A$2:$C$42, 2, 0))) / IF(ISBLANK(O2707), 1, O2707))) * 100</f>
        <v>6.04375</v>
      </c>
      <c r="J2707" s="2" t="n">
        <f aca="false">((H2707 / 800) / (IF(ISBLANK(S2707), 100, IF(ISNA(VLOOKUP(S2707, Lives!$A$2:$C$35, 2, 0)), S2707, VLOOKUP(S2707, Lives!$A$2:$C$35, 2, 0))) * 12) + (IF(ISBLANK(Q2707), 0, IF(ISNA(VLOOKUP(Q2707, Wages!$A$2:$C$17, 2, 0)), Q2707, VLOOKUP(Q2707, Wages!$A$2:$C$17, 2, 0))) * IF(ISBLANK(N2707), 0, IF(ISNA(VLOOKUP(N2707, Crews!$A$2:$C$28, 2, 0)), N2707, VLOOKUP(N2707, Crews!$A$2:$C$28, 2, 0))))) * 400</f>
        <v>6583.333333</v>
      </c>
      <c r="K2707" s="1" t="s">
        <v>437</v>
      </c>
      <c r="L2707" s="1" t="s">
        <v>5242</v>
      </c>
      <c r="M2707" s="1" t="n">
        <v>0</v>
      </c>
      <c r="N2707" s="1" t="s">
        <v>895</v>
      </c>
      <c r="O2707" s="1"/>
      <c r="P2707" s="1"/>
      <c r="Q2707" s="1" t="s">
        <v>895</v>
      </c>
      <c r="R2707" s="1" t="s">
        <v>4696</v>
      </c>
      <c r="S2707" s="1" t="s">
        <v>1350</v>
      </c>
      <c r="T2707" s="1" t="s">
        <v>4697</v>
      </c>
    </row>
    <row r="2708" customFormat="false" ht="15" hidden="false" customHeight="true" outlineLevel="0" collapsed="false">
      <c r="A2708" s="1" t="s">
        <v>5243</v>
      </c>
      <c r="B2708" s="1" t="n">
        <v>1998</v>
      </c>
      <c r="C2708" s="1" t="n">
        <v>2</v>
      </c>
      <c r="D2708" s="1" t="s">
        <v>21</v>
      </c>
      <c r="E2708" s="1" t="s">
        <v>2039</v>
      </c>
      <c r="F2708" s="1" t="n">
        <v>110</v>
      </c>
      <c r="G2708" s="1" t="n">
        <v>70</v>
      </c>
      <c r="H2708" s="2" t="n">
        <v>4500000</v>
      </c>
      <c r="I2708" s="2" t="n">
        <f aca="false">(((H2708 / 800) / IF(ISBLANK(R2708), 1000000, IF(ISNA(VLOOKUP(R2708, Mileages!$A$2:$C$34, 2, 0)), R2708, VLOOKUP(R2708, Mileages!$A$2:$C$34, 2, 0)))) + (F2708 * IF(ISBLANK(P2708), 1, P2708) * IF(ISBLANK(T2708), 0, IF(ISNA(VLOOKUP(T2708, 'Fuel Costs'!$A$2:$C$42, 2, 0)), T2708, VLOOKUP(T2708, 'Fuel Costs'!$A$2:$C$42, 2, 0))) / IF(ISBLANK(O2708), 1, O2708))) * 100</f>
        <v>33.28125</v>
      </c>
      <c r="J2708" s="2" t="n">
        <f aca="false">((H2708 / 800) / (IF(ISBLANK(S2708), 100, IF(ISNA(VLOOKUP(S2708, Lives!$A$2:$C$35, 2, 0)), S2708, VLOOKUP(S2708, Lives!$A$2:$C$35, 2, 0))) * 12) + (IF(ISBLANK(Q2708), 0, IF(ISNA(VLOOKUP(Q2708, Wages!$A$2:$C$17, 2, 0)), Q2708, VLOOKUP(Q2708, Wages!$A$2:$C$17, 2, 0))) * IF(ISBLANK(N2708), 0, IF(ISNA(VLOOKUP(N2708, Crews!$A$2:$C$28, 2, 0)), N2708, VLOOKUP(N2708, Crews!$A$2:$C$28, 2, 0))))) * 400</f>
        <v>10343.75</v>
      </c>
      <c r="K2708" s="3" t="s">
        <v>5244</v>
      </c>
      <c r="L2708" s="1" t="s">
        <v>5245</v>
      </c>
      <c r="M2708" s="1" t="n">
        <v>0</v>
      </c>
      <c r="N2708" s="1" t="s">
        <v>1815</v>
      </c>
      <c r="O2708" s="1" t="n">
        <v>1</v>
      </c>
      <c r="P2708" s="1"/>
      <c r="Q2708" s="1" t="s">
        <v>1815</v>
      </c>
      <c r="R2708" s="1" t="s">
        <v>4725</v>
      </c>
      <c r="S2708" s="1" t="s">
        <v>1843</v>
      </c>
      <c r="T2708" s="1" t="s">
        <v>4726</v>
      </c>
    </row>
    <row r="2709" customFormat="false" ht="15" hidden="false" customHeight="true" outlineLevel="0" collapsed="false">
      <c r="A2709" s="1" t="s">
        <v>5246</v>
      </c>
      <c r="B2709" s="1" t="n">
        <v>1998</v>
      </c>
      <c r="C2709" s="1" t="n">
        <v>3</v>
      </c>
      <c r="D2709" s="1" t="s">
        <v>876</v>
      </c>
      <c r="E2709" s="1" t="s">
        <v>1346</v>
      </c>
      <c r="F2709" s="1" t="n">
        <v>240</v>
      </c>
      <c r="G2709" s="1" t="n">
        <v>80</v>
      </c>
      <c r="H2709" s="2" t="n">
        <v>587500</v>
      </c>
      <c r="I2709" s="2" t="n">
        <f aca="false">(((H2709 / 800) / IF(ISBLANK(R2709), 1000000, IF(ISNA(VLOOKUP(R2709, Mileages!$A$2:$C$34, 2, 0)), R2709, VLOOKUP(R2709, Mileages!$A$2:$C$34, 2, 0)))) + (F2709 * IF(ISBLANK(P2709), 1, P2709) * IF(ISBLANK(T2709), 0, IF(ISNA(VLOOKUP(T2709, 'Fuel Costs'!$A$2:$C$42, 2, 0)), T2709, VLOOKUP(T2709, 'Fuel Costs'!$A$2:$C$42, 2, 0))) / IF(ISBLANK(O2709), 1, O2709))) * 100</f>
        <v>24.03671875</v>
      </c>
      <c r="J2709" s="2" t="n">
        <f aca="false">((H2709 / 800) / (IF(ISBLANK(S2709), 100, IF(ISNA(VLOOKUP(S2709, Lives!$A$2:$C$35, 2, 0)), S2709, VLOOKUP(S2709, Lives!$A$2:$C$35, 2, 0))) * 12) + (IF(ISBLANK(Q2709), 0, IF(ISNA(VLOOKUP(Q2709, Wages!$A$2:$C$17, 2, 0)), Q2709, VLOOKUP(Q2709, Wages!$A$2:$C$17, 2, 0))) * IF(ISBLANK(N2709), 0, IF(ISNA(VLOOKUP(N2709, Crews!$A$2:$C$28, 2, 0)), N2709, VLOOKUP(N2709, Crews!$A$2:$C$28, 2, 0))))) * 400</f>
        <v>6489.583333</v>
      </c>
      <c r="K2709" s="3" t="s">
        <v>5247</v>
      </c>
      <c r="L2709" s="1" t="s">
        <v>5248</v>
      </c>
      <c r="M2709" s="1" t="n">
        <v>0</v>
      </c>
      <c r="N2709" s="1" t="s">
        <v>1512</v>
      </c>
      <c r="O2709" s="1"/>
      <c r="P2709" s="1"/>
      <c r="Q2709" s="1" t="s">
        <v>1512</v>
      </c>
      <c r="R2709" s="1" t="s">
        <v>4696</v>
      </c>
      <c r="S2709" s="1" t="s">
        <v>1350</v>
      </c>
      <c r="T2709" s="1" t="s">
        <v>4697</v>
      </c>
    </row>
    <row r="2710" customFormat="false" ht="15" hidden="false" customHeight="true" outlineLevel="0" collapsed="false">
      <c r="A2710" s="1" t="s">
        <v>5249</v>
      </c>
      <c r="B2710" s="1" t="n">
        <v>1998</v>
      </c>
      <c r="C2710" s="1" t="n">
        <v>3</v>
      </c>
      <c r="D2710" s="1" t="s">
        <v>876</v>
      </c>
      <c r="E2710" s="1" t="s">
        <v>1346</v>
      </c>
      <c r="F2710" s="1" t="n">
        <v>240</v>
      </c>
      <c r="G2710" s="1" t="n">
        <v>80</v>
      </c>
      <c r="H2710" s="2" t="n">
        <v>0</v>
      </c>
      <c r="I2710" s="2" t="n">
        <f aca="false">(((H2710 / 800) / IF(ISBLANK(R2710), 1000000, IF(ISNA(VLOOKUP(R2710, Mileages!$A$2:$C$34, 2, 0)), R2710, VLOOKUP(R2710, Mileages!$A$2:$C$34, 2, 0)))) + (F2710 * IF(ISBLANK(P2710), 1, P2710) * IF(ISBLANK(T2710), 0, IF(ISNA(VLOOKUP(T2710, 'Fuel Costs'!$A$2:$C$42, 2, 0)), T2710, VLOOKUP(T2710, 'Fuel Costs'!$A$2:$C$42, 2, 0))) / IF(ISBLANK(O2710), 1, O2710))) * 100</f>
        <v>24</v>
      </c>
      <c r="J2710" s="2" t="n">
        <f aca="false">((H2710 / 800) / (IF(ISBLANK(S2710), 100, IF(ISNA(VLOOKUP(S2710, Lives!$A$2:$C$35, 2, 0)), S2710, VLOOKUP(S2710, Lives!$A$2:$C$35, 2, 0))) * 12) + (IF(ISBLANK(Q2710), 0, IF(ISNA(VLOOKUP(Q2710, Wages!$A$2:$C$17, 2, 0)), Q2710, VLOOKUP(Q2710, Wages!$A$2:$C$17, 2, 0))) * IF(ISBLANK(N2710), 0, IF(ISNA(VLOOKUP(N2710, Crews!$A$2:$C$28, 2, 0)), N2710, VLOOKUP(N2710, Crews!$A$2:$C$28, 2, 0))))) * 400</f>
        <v>6000</v>
      </c>
      <c r="K2710" s="3" t="s">
        <v>5247</v>
      </c>
      <c r="L2710" s="1" t="s">
        <v>5248</v>
      </c>
      <c r="M2710" s="1" t="n">
        <v>1</v>
      </c>
      <c r="N2710" s="1" t="s">
        <v>1512</v>
      </c>
      <c r="O2710" s="1"/>
      <c r="P2710" s="1"/>
      <c r="Q2710" s="1" t="s">
        <v>1512</v>
      </c>
      <c r="R2710" s="1" t="s">
        <v>4696</v>
      </c>
      <c r="S2710" s="1" t="s">
        <v>1350</v>
      </c>
      <c r="T2710" s="1" t="s">
        <v>4697</v>
      </c>
    </row>
    <row r="2711" customFormat="false" ht="15" hidden="false" customHeight="true" outlineLevel="0" collapsed="false">
      <c r="A2711" s="1" t="s">
        <v>5250</v>
      </c>
      <c r="B2711" s="1" t="n">
        <v>1998</v>
      </c>
      <c r="C2711" s="1" t="n">
        <v>4</v>
      </c>
      <c r="D2711" s="1" t="s">
        <v>2225</v>
      </c>
      <c r="E2711" s="1" t="s">
        <v>3660</v>
      </c>
      <c r="F2711" s="1" t="n">
        <v>42159</v>
      </c>
      <c r="G2711" s="1" t="n">
        <v>844</v>
      </c>
      <c r="H2711" s="2" t="n">
        <v>52000000</v>
      </c>
      <c r="I2711" s="2" t="n">
        <f aca="false">(((H2711 / 800) / IF(ISBLANK(R2711), 1000000, IF(ISNA(VLOOKUP(R2711, Mileages!$A$2:$C$34, 2, 0)), R2711, VLOOKUP(R2711, Mileages!$A$2:$C$34, 2, 0)))) + (F2711 * IF(ISBLANK(P2711), 1, P2711) * IF(ISBLANK(T2711), 0, IF(ISNA(VLOOKUP(T2711, 'Fuel Costs'!$A$2:$C$42, 2, 0)), T2711, VLOOKUP(T2711, 'Fuel Costs'!$A$2:$C$42, 2, 0))) / IF(ISBLANK(O2711), 1, O2711))) * 100</f>
        <v>168.8526667</v>
      </c>
      <c r="J2711" s="2" t="n">
        <f aca="false">((H2711 / 800) / (IF(ISBLANK(S2711), 100, IF(ISNA(VLOOKUP(S2711, Lives!$A$2:$C$35, 2, 0)), S2711, VLOOKUP(S2711, Lives!$A$2:$C$35, 2, 0))) * 12) + (IF(ISBLANK(Q2711), 0, IF(ISNA(VLOOKUP(Q2711, Wages!$A$2:$C$17, 2, 0)), Q2711, VLOOKUP(Q2711, Wages!$A$2:$C$17, 2, 0))) * IF(ISBLANK(N2711), 0, IF(ISNA(VLOOKUP(N2711, Crews!$A$2:$C$28, 2, 0)), N2711, VLOOKUP(N2711, Crews!$A$2:$C$28, 2, 0))))) * 400</f>
        <v>86111.11111</v>
      </c>
      <c r="K2711" s="3" t="s">
        <v>5251</v>
      </c>
      <c r="L2711" s="1" t="s">
        <v>5252</v>
      </c>
      <c r="M2711" s="1" t="n">
        <v>0</v>
      </c>
      <c r="N2711" s="1" t="s">
        <v>2342</v>
      </c>
      <c r="O2711" s="1"/>
      <c r="P2711" s="1" t="n">
        <v>0.02</v>
      </c>
      <c r="Q2711" s="1" t="s">
        <v>2229</v>
      </c>
      <c r="R2711" s="1" t="s">
        <v>4413</v>
      </c>
      <c r="S2711" s="1" t="s">
        <v>2229</v>
      </c>
      <c r="T2711" s="1" t="s">
        <v>4773</v>
      </c>
    </row>
    <row r="2712" customFormat="false" ht="15" hidden="false" customHeight="true" outlineLevel="0" collapsed="false">
      <c r="A2712" s="1" t="s">
        <v>5253</v>
      </c>
      <c r="B2712" s="1" t="n">
        <v>1998</v>
      </c>
      <c r="C2712" s="1" t="n">
        <v>4</v>
      </c>
      <c r="D2712" s="1" t="s">
        <v>2225</v>
      </c>
      <c r="E2712" s="1" t="s">
        <v>3660</v>
      </c>
      <c r="F2712" s="1" t="n">
        <v>42159</v>
      </c>
      <c r="G2712" s="1" t="n">
        <v>844</v>
      </c>
      <c r="H2712" s="2" t="n">
        <v>52000000</v>
      </c>
      <c r="I2712" s="2" t="n">
        <f aca="false">(((H2712 / 800) / IF(ISBLANK(R2712), 1000000, IF(ISNA(VLOOKUP(R2712, Mileages!$A$2:$C$34, 2, 0)), R2712, VLOOKUP(R2712, Mileages!$A$2:$C$34, 2, 0)))) + (F2712 * IF(ISBLANK(P2712), 1, P2712) * IF(ISBLANK(T2712), 0, IF(ISNA(VLOOKUP(T2712, 'Fuel Costs'!$A$2:$C$42, 2, 0)), T2712, VLOOKUP(T2712, 'Fuel Costs'!$A$2:$C$42, 2, 0))) / IF(ISBLANK(O2712), 1, O2712))) * 100</f>
        <v>168.8526667</v>
      </c>
      <c r="J2712" s="2" t="n">
        <f aca="false">((H2712 / 800) / (IF(ISBLANK(S2712), 100, IF(ISNA(VLOOKUP(S2712, Lives!$A$2:$C$35, 2, 0)), S2712, VLOOKUP(S2712, Lives!$A$2:$C$35, 2, 0))) * 12) + (IF(ISBLANK(Q2712), 0, IF(ISNA(VLOOKUP(Q2712, Wages!$A$2:$C$17, 2, 0)), Q2712, VLOOKUP(Q2712, Wages!$A$2:$C$17, 2, 0))) * IF(ISBLANK(N2712), 0, IF(ISNA(VLOOKUP(N2712, Crews!$A$2:$C$28, 2, 0)), N2712, VLOOKUP(N2712, Crews!$A$2:$C$28, 2, 0))))) * 400</f>
        <v>86111.11111</v>
      </c>
      <c r="K2712" s="3" t="s">
        <v>5254</v>
      </c>
      <c r="L2712" s="1" t="s">
        <v>5252</v>
      </c>
      <c r="M2712" s="1" t="n">
        <v>1</v>
      </c>
      <c r="N2712" s="1" t="s">
        <v>2342</v>
      </c>
      <c r="O2712" s="1"/>
      <c r="P2712" s="1" t="n">
        <v>0.02</v>
      </c>
      <c r="Q2712" s="1" t="s">
        <v>2229</v>
      </c>
      <c r="R2712" s="1" t="s">
        <v>4413</v>
      </c>
      <c r="S2712" s="1" t="s">
        <v>2229</v>
      </c>
      <c r="T2712" s="1" t="s">
        <v>4773</v>
      </c>
    </row>
    <row r="2713" customFormat="false" ht="15" hidden="false" customHeight="true" outlineLevel="0" collapsed="false">
      <c r="A2713" s="1" t="s">
        <v>5255</v>
      </c>
      <c r="B2713" s="1" t="n">
        <v>1998</v>
      </c>
      <c r="C2713" s="1" t="n">
        <v>4</v>
      </c>
      <c r="D2713" s="1" t="s">
        <v>2225</v>
      </c>
      <c r="E2713" s="1" t="s">
        <v>3660</v>
      </c>
      <c r="F2713" s="1" t="n">
        <v>38736</v>
      </c>
      <c r="G2713" s="1" t="n">
        <v>843</v>
      </c>
      <c r="H2713" s="2" t="n">
        <v>50000000</v>
      </c>
      <c r="I2713" s="2" t="n">
        <f aca="false">(((H2713 / 800) / IF(ISBLANK(R2713), 1000000, IF(ISNA(VLOOKUP(R2713, Mileages!$A$2:$C$34, 2, 0)), R2713, VLOOKUP(R2713, Mileages!$A$2:$C$34, 2, 0)))) + (F2713 * IF(ISBLANK(P2713), 1, P2713) * IF(ISBLANK(T2713), 0, IF(ISNA(VLOOKUP(T2713, 'Fuel Costs'!$A$2:$C$42, 2, 0)), T2713, VLOOKUP(T2713, 'Fuel Costs'!$A$2:$C$42, 2, 0))) / IF(ISBLANK(O2713), 1, O2713))) * 100</f>
        <v>155.1523333</v>
      </c>
      <c r="J2713" s="2" t="n">
        <f aca="false">((H2713 / 800) / (IF(ISBLANK(S2713), 100, IF(ISNA(VLOOKUP(S2713, Lives!$A$2:$C$35, 2, 0)), S2713, VLOOKUP(S2713, Lives!$A$2:$C$35, 2, 0))) * 12) + (IF(ISBLANK(Q2713), 0, IF(ISNA(VLOOKUP(Q2713, Wages!$A$2:$C$17, 2, 0)), Q2713, VLOOKUP(Q2713, Wages!$A$2:$C$17, 2, 0))) * IF(ISBLANK(N2713), 0, IF(ISNA(VLOOKUP(N2713, Crews!$A$2:$C$28, 2, 0)), N2713, VLOOKUP(N2713, Crews!$A$2:$C$28, 2, 0))))) * 400</f>
        <v>84722.22222</v>
      </c>
      <c r="K2713" s="3" t="s">
        <v>5256</v>
      </c>
      <c r="L2713" s="1" t="s">
        <v>5257</v>
      </c>
      <c r="M2713" s="1" t="n">
        <v>0</v>
      </c>
      <c r="N2713" s="1" t="s">
        <v>2342</v>
      </c>
      <c r="O2713" s="1"/>
      <c r="P2713" s="1" t="n">
        <v>0.02</v>
      </c>
      <c r="Q2713" s="1" t="s">
        <v>2229</v>
      </c>
      <c r="R2713" s="1" t="s">
        <v>4413</v>
      </c>
      <c r="S2713" s="1" t="s">
        <v>2229</v>
      </c>
      <c r="T2713" s="1" t="s">
        <v>4773</v>
      </c>
    </row>
    <row r="2714" customFormat="false" ht="15" hidden="false" customHeight="true" outlineLevel="0" collapsed="false">
      <c r="A2714" s="1" t="s">
        <v>5258</v>
      </c>
      <c r="B2714" s="1" t="n">
        <v>1998</v>
      </c>
      <c r="C2714" s="1" t="n">
        <v>4</v>
      </c>
      <c r="D2714" s="1" t="s">
        <v>2225</v>
      </c>
      <c r="E2714" s="1" t="s">
        <v>3660</v>
      </c>
      <c r="F2714" s="1" t="n">
        <v>38736</v>
      </c>
      <c r="G2714" s="1" t="n">
        <v>843</v>
      </c>
      <c r="H2714" s="2" t="n">
        <v>50000000</v>
      </c>
      <c r="I2714" s="2" t="n">
        <f aca="false">(((H2714 / 800) / IF(ISBLANK(R2714), 1000000, IF(ISNA(VLOOKUP(R2714, Mileages!$A$2:$C$34, 2, 0)), R2714, VLOOKUP(R2714, Mileages!$A$2:$C$34, 2, 0)))) + (F2714 * IF(ISBLANK(P2714), 1, P2714) * IF(ISBLANK(T2714), 0, IF(ISNA(VLOOKUP(T2714, 'Fuel Costs'!$A$2:$C$42, 2, 0)), T2714, VLOOKUP(T2714, 'Fuel Costs'!$A$2:$C$42, 2, 0))) / IF(ISBLANK(O2714), 1, O2714))) * 100</f>
        <v>155.1523333</v>
      </c>
      <c r="J2714" s="2" t="n">
        <f aca="false">((H2714 / 800) / (IF(ISBLANK(S2714), 100, IF(ISNA(VLOOKUP(S2714, Lives!$A$2:$C$35, 2, 0)), S2714, VLOOKUP(S2714, Lives!$A$2:$C$35, 2, 0))) * 12) + (IF(ISBLANK(Q2714), 0, IF(ISNA(VLOOKUP(Q2714, Wages!$A$2:$C$17, 2, 0)), Q2714, VLOOKUP(Q2714, Wages!$A$2:$C$17, 2, 0))) * IF(ISBLANK(N2714), 0, IF(ISNA(VLOOKUP(N2714, Crews!$A$2:$C$28, 2, 0)), N2714, VLOOKUP(N2714, Crews!$A$2:$C$28, 2, 0))))) * 400</f>
        <v>84722.22222</v>
      </c>
      <c r="K2714" s="3" t="s">
        <v>5259</v>
      </c>
      <c r="L2714" s="1" t="s">
        <v>5257</v>
      </c>
      <c r="M2714" s="1" t="n">
        <v>1</v>
      </c>
      <c r="N2714" s="1" t="s">
        <v>2342</v>
      </c>
      <c r="O2714" s="1"/>
      <c r="P2714" s="1" t="n">
        <v>0.02</v>
      </c>
      <c r="Q2714" s="1" t="s">
        <v>2229</v>
      </c>
      <c r="R2714" s="1" t="s">
        <v>4413</v>
      </c>
      <c r="S2714" s="1" t="s">
        <v>2229</v>
      </c>
      <c r="T2714" s="1" t="s">
        <v>4773</v>
      </c>
    </row>
    <row r="2715" customFormat="false" ht="15" hidden="false" customHeight="true" outlineLevel="0" collapsed="false">
      <c r="A2715" s="1" t="s">
        <v>5260</v>
      </c>
      <c r="B2715" s="1" t="n">
        <v>1998</v>
      </c>
      <c r="C2715" s="1" t="n">
        <v>9</v>
      </c>
      <c r="D2715" s="1" t="s">
        <v>38</v>
      </c>
      <c r="E2715" s="1" t="s">
        <v>2039</v>
      </c>
      <c r="F2715" s="1" t="n">
        <v>2385</v>
      </c>
      <c r="G2715" s="1" t="n">
        <v>120</v>
      </c>
      <c r="H2715" s="2" t="n">
        <v>5280000</v>
      </c>
      <c r="I2715" s="2" t="n">
        <f aca="false">(((H2715 / 800) / IF(ISBLANK(R2715), 1000000, IF(ISNA(VLOOKUP(R2715, Mileages!$A$2:$C$34, 2, 0)), R2715, VLOOKUP(R2715, Mileages!$A$2:$C$34, 2, 0)))) + (F2715 * IF(ISBLANK(P2715), 1, P2715) * IF(ISBLANK(T2715), 0, IF(ISNA(VLOOKUP(T2715, 'Fuel Costs'!$A$2:$C$42, 2, 0)), T2715, VLOOKUP(T2715, 'Fuel Costs'!$A$2:$C$42, 2, 0))) / IF(ISBLANK(O2715), 1, O2715))) * 100</f>
        <v>715.83</v>
      </c>
      <c r="J2715" s="2" t="n">
        <f aca="false">((H2715 / 800) / (IF(ISBLANK(S2715), 100, IF(ISNA(VLOOKUP(S2715, Lives!$A$2:$C$35, 2, 0)), S2715, VLOOKUP(S2715, Lives!$A$2:$C$35, 2, 0))) * 12) + (IF(ISBLANK(Q2715), 0, IF(ISNA(VLOOKUP(Q2715, Wages!$A$2:$C$17, 2, 0)), Q2715, VLOOKUP(Q2715, Wages!$A$2:$C$17, 2, 0))) * IF(ISBLANK(N2715), 0, IF(ISNA(VLOOKUP(N2715, Crews!$A$2:$C$28, 2, 0)), N2715, VLOOKUP(N2715, Crews!$A$2:$C$28, 2, 0))))) * 400</f>
        <v>12750</v>
      </c>
      <c r="K2715" s="3" t="s">
        <v>5261</v>
      </c>
      <c r="L2715" s="1" t="s">
        <v>5262</v>
      </c>
      <c r="M2715" s="1" t="n">
        <v>0</v>
      </c>
      <c r="N2715" s="1" t="s">
        <v>1488</v>
      </c>
      <c r="O2715" s="1" t="n">
        <v>1</v>
      </c>
      <c r="P2715" s="1"/>
      <c r="Q2715" s="1" t="s">
        <v>1488</v>
      </c>
      <c r="R2715" s="1" t="s">
        <v>4747</v>
      </c>
      <c r="S2715" s="1" t="s">
        <v>4747</v>
      </c>
      <c r="T2715" s="1" t="s">
        <v>4726</v>
      </c>
    </row>
    <row r="2716" customFormat="false" ht="15" hidden="false" customHeight="true" outlineLevel="0" collapsed="false">
      <c r="A2716" s="1" t="s">
        <v>5263</v>
      </c>
      <c r="B2716" s="1" t="n">
        <v>1998</v>
      </c>
      <c r="C2716" s="1" t="n">
        <v>12</v>
      </c>
      <c r="D2716" s="1" t="s">
        <v>29</v>
      </c>
      <c r="E2716" s="1" t="s">
        <v>2039</v>
      </c>
      <c r="F2716" s="1" t="n">
        <v>28337</v>
      </c>
      <c r="G2716" s="1" t="n">
        <v>80</v>
      </c>
      <c r="H2716" s="2" t="n">
        <v>145000000</v>
      </c>
      <c r="I2716" s="2" t="n">
        <f aca="false">(((H2716 / 800) / IF(ISBLANK(R2716), 1000000, IF(ISNA(VLOOKUP(R2716, Mileages!$A$2:$C$34, 2, 0)), R2716, VLOOKUP(R2716, Mileages!$A$2:$C$34, 2, 0)))) + (F2716 * IF(ISBLANK(P2716), 1, P2716) * IF(ISBLANK(T2716), 0, IF(ISNA(VLOOKUP(T2716, 'Fuel Costs'!$A$2:$C$42, 2, 0)), T2716, VLOOKUP(T2716, 'Fuel Costs'!$A$2:$C$42, 2, 0))) / IF(ISBLANK(O2716), 1, O2716))) * 100</f>
        <v>88.03183333</v>
      </c>
      <c r="J2716" s="2" t="n">
        <f aca="false">((H2716 / 800) / (IF(ISBLANK(S2716), 100, IF(ISNA(VLOOKUP(S2716, Lives!$A$2:$C$35, 2, 0)), S2716, VLOOKUP(S2716, Lives!$A$2:$C$35, 2, 0))) * 12) + (IF(ISBLANK(Q2716), 0, IF(ISNA(VLOOKUP(Q2716, Wages!$A$2:$C$17, 2, 0)), Q2716, VLOOKUP(Q2716, Wages!$A$2:$C$17, 2, 0))) * IF(ISBLANK(N2716), 0, IF(ISNA(VLOOKUP(N2716, Crews!$A$2:$C$28, 2, 0)), N2716, VLOOKUP(N2716, Crews!$A$2:$C$28, 2, 0))))) * 400</f>
        <v>260416.6667</v>
      </c>
      <c r="K2716" s="3" t="s">
        <v>5264</v>
      </c>
      <c r="L2716" s="1" t="s">
        <v>5265</v>
      </c>
      <c r="M2716" s="1" t="n">
        <v>0</v>
      </c>
      <c r="N2716" s="1" t="s">
        <v>323</v>
      </c>
      <c r="O2716" s="1" t="n">
        <v>1</v>
      </c>
      <c r="P2716" s="1" t="n">
        <v>0.01</v>
      </c>
      <c r="Q2716" s="1" t="s">
        <v>34</v>
      </c>
      <c r="R2716" s="1" t="s">
        <v>3933</v>
      </c>
      <c r="S2716" s="1" t="s">
        <v>574</v>
      </c>
      <c r="T2716" s="1" t="s">
        <v>4726</v>
      </c>
    </row>
    <row r="2717" customFormat="false" ht="15" hidden="false" customHeight="true" outlineLevel="0" collapsed="false">
      <c r="A2717" s="1" t="s">
        <v>5266</v>
      </c>
      <c r="B2717" s="1" t="n">
        <v>1998</v>
      </c>
      <c r="C2717" s="1" t="n">
        <v>12</v>
      </c>
      <c r="D2717" s="1" t="s">
        <v>29</v>
      </c>
      <c r="E2717" s="1"/>
      <c r="F2717" s="1"/>
      <c r="G2717" s="1" t="n">
        <v>80</v>
      </c>
      <c r="H2717" s="2"/>
      <c r="I2717" s="2"/>
      <c r="J2717" s="2"/>
      <c r="K2717" s="1"/>
      <c r="L2717" s="1" t="s">
        <v>5265</v>
      </c>
      <c r="M2717" s="1" t="n">
        <v>1</v>
      </c>
      <c r="N2717" s="1"/>
      <c r="O2717" s="1"/>
      <c r="P2717" s="1"/>
      <c r="Q2717" s="1"/>
      <c r="R2717" s="1"/>
      <c r="S2717" s="1"/>
      <c r="T2717" s="1"/>
    </row>
    <row r="2718" customFormat="false" ht="15" hidden="false" customHeight="true" outlineLevel="0" collapsed="false">
      <c r="A2718" s="1" t="s">
        <v>5267</v>
      </c>
      <c r="B2718" s="1" t="n">
        <v>1999</v>
      </c>
      <c r="C2718" s="1" t="n">
        <v>5</v>
      </c>
      <c r="D2718" s="1" t="s">
        <v>21</v>
      </c>
      <c r="E2718" s="1" t="s">
        <v>2039</v>
      </c>
      <c r="F2718" s="1" t="n">
        <v>186</v>
      </c>
      <c r="G2718" s="1" t="n">
        <v>72</v>
      </c>
      <c r="H2718" s="2" t="n">
        <v>4050000</v>
      </c>
      <c r="I2718" s="2" t="n">
        <f aca="false">(((H2718 / 800) / IF(ISBLANK(R2718), 1000000, IF(ISNA(VLOOKUP(R2718, Mileages!$A$2:$C$34, 2, 0)), R2718, VLOOKUP(R2718, Mileages!$A$2:$C$34, 2, 0)))) + (F2718 * IF(ISBLANK(P2718), 1, P2718) * IF(ISBLANK(T2718), 0, IF(ISNA(VLOOKUP(T2718, 'Fuel Costs'!$A$2:$C$42, 2, 0)), T2718, VLOOKUP(T2718, 'Fuel Costs'!$A$2:$C$42, 2, 0))) / IF(ISBLANK(O2718), 1, O2718))) * 100</f>
        <v>56.053125</v>
      </c>
      <c r="J2718" s="2" t="n">
        <f aca="false">((H2718 / 800) / (IF(ISBLANK(S2718), 100, IF(ISNA(VLOOKUP(S2718, Lives!$A$2:$C$35, 2, 0)), S2718, VLOOKUP(S2718, Lives!$A$2:$C$35, 2, 0))) * 12) + (IF(ISBLANK(Q2718), 0, IF(ISNA(VLOOKUP(Q2718, Wages!$A$2:$C$17, 2, 0)), Q2718, VLOOKUP(Q2718, Wages!$A$2:$C$17, 2, 0))) * IF(ISBLANK(N2718), 0, IF(ISNA(VLOOKUP(N2718, Crews!$A$2:$C$28, 2, 0)), N2718, VLOOKUP(N2718, Crews!$A$2:$C$28, 2, 0))))) * 400</f>
        <v>10109.375</v>
      </c>
      <c r="K2718" s="3" t="s">
        <v>5268</v>
      </c>
      <c r="L2718" s="1" t="s">
        <v>5269</v>
      </c>
      <c r="M2718" s="1" t="n">
        <v>0</v>
      </c>
      <c r="N2718" s="1" t="s">
        <v>1815</v>
      </c>
      <c r="O2718" s="1" t="n">
        <v>1</v>
      </c>
      <c r="P2718" s="1"/>
      <c r="Q2718" s="1" t="s">
        <v>1815</v>
      </c>
      <c r="R2718" s="1" t="s">
        <v>4725</v>
      </c>
      <c r="S2718" s="1" t="s">
        <v>1843</v>
      </c>
      <c r="T2718" s="1" t="s">
        <v>4726</v>
      </c>
    </row>
    <row r="2719" customFormat="false" ht="15" hidden="false" customHeight="true" outlineLevel="0" collapsed="false">
      <c r="A2719" s="1" t="s">
        <v>5270</v>
      </c>
      <c r="B2719" s="1" t="n">
        <v>1999</v>
      </c>
      <c r="C2719" s="1" t="n">
        <v>5</v>
      </c>
      <c r="D2719" s="1" t="s">
        <v>21</v>
      </c>
      <c r="E2719" s="1" t="s">
        <v>2039</v>
      </c>
      <c r="F2719" s="1" t="n">
        <v>186</v>
      </c>
      <c r="G2719" s="1" t="n">
        <v>72</v>
      </c>
      <c r="H2719" s="2" t="n">
        <v>4000000</v>
      </c>
      <c r="I2719" s="2" t="n">
        <f aca="false">(((H2719 / 800) / IF(ISBLANK(R2719), 1000000, IF(ISNA(VLOOKUP(R2719, Mileages!$A$2:$C$34, 2, 0)), R2719, VLOOKUP(R2719, Mileages!$A$2:$C$34, 2, 0)))) + (F2719 * IF(ISBLANK(P2719), 1, P2719) * IF(ISBLANK(T2719), 0, IF(ISNA(VLOOKUP(T2719, 'Fuel Costs'!$A$2:$C$42, 2, 0)), T2719, VLOOKUP(T2719, 'Fuel Costs'!$A$2:$C$42, 2, 0))) / IF(ISBLANK(O2719), 1, O2719))) * 100</f>
        <v>56.13333333</v>
      </c>
      <c r="J2719" s="2" t="n">
        <f aca="false">((H2719 / 800) / (IF(ISBLANK(S2719), 100, IF(ISNA(VLOOKUP(S2719, Lives!$A$2:$C$35, 2, 0)), S2719, VLOOKUP(S2719, Lives!$A$2:$C$35, 2, 0))) * 12) + (IF(ISBLANK(Q2719), 0, IF(ISNA(VLOOKUP(Q2719, Wages!$A$2:$C$17, 2, 0)), Q2719, VLOOKUP(Q2719, Wages!$A$2:$C$17, 2, 0))) * IF(ISBLANK(N2719), 0, IF(ISNA(VLOOKUP(N2719, Crews!$A$2:$C$28, 2, 0)), N2719, VLOOKUP(N2719, Crews!$A$2:$C$28, 2, 0))))) * 400</f>
        <v>10166.66667</v>
      </c>
      <c r="K2719" s="3" t="s">
        <v>5271</v>
      </c>
      <c r="L2719" s="1" t="s">
        <v>5269</v>
      </c>
      <c r="M2719" s="1" t="n">
        <v>1</v>
      </c>
      <c r="N2719" s="1" t="s">
        <v>3064</v>
      </c>
      <c r="O2719" s="1" t="n">
        <v>1</v>
      </c>
      <c r="P2719" s="1"/>
      <c r="Q2719" s="1" t="s">
        <v>3064</v>
      </c>
      <c r="R2719" s="1" t="s">
        <v>4730</v>
      </c>
      <c r="S2719" s="1" t="s">
        <v>3064</v>
      </c>
      <c r="T2719" s="1" t="s">
        <v>4726</v>
      </c>
    </row>
    <row r="2720" customFormat="false" ht="15" hidden="false" customHeight="true" outlineLevel="0" collapsed="false">
      <c r="A2720" s="1" t="s">
        <v>5272</v>
      </c>
      <c r="B2720" s="1" t="n">
        <v>1999</v>
      </c>
      <c r="C2720" s="1" t="n">
        <v>7</v>
      </c>
      <c r="D2720" s="1" t="s">
        <v>21</v>
      </c>
      <c r="E2720" s="1" t="s">
        <v>2039</v>
      </c>
      <c r="F2720" s="1" t="n">
        <v>208</v>
      </c>
      <c r="G2720" s="1" t="n">
        <v>77</v>
      </c>
      <c r="H2720" s="2" t="n">
        <v>2775000</v>
      </c>
      <c r="I2720" s="2" t="n">
        <f aca="false">(((H2720 / 800) / IF(ISBLANK(R2720), 1000000, IF(ISNA(VLOOKUP(R2720, Mileages!$A$2:$C$34, 2, 0)), R2720, VLOOKUP(R2720, Mileages!$A$2:$C$34, 2, 0)))) + (F2720 * IF(ISBLANK(P2720), 1, P2720) * IF(ISBLANK(T2720), 0, IF(ISNA(VLOOKUP(T2720, 'Fuel Costs'!$A$2:$C$42, 2, 0)), T2720, VLOOKUP(T2720, 'Fuel Costs'!$A$2:$C$42, 2, 0))) / IF(ISBLANK(O2720), 1, O2720))) * 100</f>
        <v>62.5734375</v>
      </c>
      <c r="J2720" s="2" t="n">
        <f aca="false">((H2720 / 800) / (IF(ISBLANK(S2720), 100, IF(ISNA(VLOOKUP(S2720, Lives!$A$2:$C$35, 2, 0)), S2720, VLOOKUP(S2720, Lives!$A$2:$C$35, 2, 0))) * 12) + (IF(ISBLANK(Q2720), 0, IF(ISNA(VLOOKUP(Q2720, Wages!$A$2:$C$17, 2, 0)), Q2720, VLOOKUP(Q2720, Wages!$A$2:$C$17, 2, 0))) * IF(ISBLANK(N2720), 0, IF(ISNA(VLOOKUP(N2720, Crews!$A$2:$C$28, 2, 0)), N2720, VLOOKUP(N2720, Crews!$A$2:$C$28, 2, 0))))) * 400</f>
        <v>9445.3125</v>
      </c>
      <c r="K2720" s="3" t="s">
        <v>5273</v>
      </c>
      <c r="L2720" s="1" t="s">
        <v>5274</v>
      </c>
      <c r="M2720" s="1" t="n">
        <v>0</v>
      </c>
      <c r="N2720" s="1" t="s">
        <v>1815</v>
      </c>
      <c r="O2720" s="1" t="n">
        <v>1</v>
      </c>
      <c r="P2720" s="1"/>
      <c r="Q2720" s="1" t="s">
        <v>1815</v>
      </c>
      <c r="R2720" s="1" t="s">
        <v>4725</v>
      </c>
      <c r="S2720" s="1" t="s">
        <v>1843</v>
      </c>
      <c r="T2720" s="1" t="s">
        <v>4726</v>
      </c>
    </row>
    <row r="2721" customFormat="false" ht="15" hidden="false" customHeight="true" outlineLevel="0" collapsed="false">
      <c r="A2721" s="1" t="s">
        <v>5275</v>
      </c>
      <c r="B2721" s="1" t="n">
        <v>1999</v>
      </c>
      <c r="C2721" s="1" t="n">
        <v>8</v>
      </c>
      <c r="D2721" s="1" t="s">
        <v>38</v>
      </c>
      <c r="E2721" s="1" t="s">
        <v>1346</v>
      </c>
      <c r="F2721" s="1" t="n">
        <v>560</v>
      </c>
      <c r="G2721" s="1" t="n">
        <v>160</v>
      </c>
      <c r="H2721" s="2" t="n">
        <v>1512000</v>
      </c>
      <c r="I2721" s="2" t="n">
        <f aca="false">(((H2721 / 800) / IF(ISBLANK(R2721), 1000000, IF(ISNA(VLOOKUP(R2721, Mileages!$A$2:$C$34, 2, 0)), R2721, VLOOKUP(R2721, Mileages!$A$2:$C$34, 2, 0)))) + (F2721 * IF(ISBLANK(P2721), 1, P2721) * IF(ISBLANK(T2721), 0, IF(ISNA(VLOOKUP(T2721, 'Fuel Costs'!$A$2:$C$42, 2, 0)), T2721, VLOOKUP(T2721, 'Fuel Costs'!$A$2:$C$42, 2, 0))) / IF(ISBLANK(O2721), 1, O2721))) * 100</f>
        <v>56.0945</v>
      </c>
      <c r="J2721" s="2" t="n">
        <f aca="false">((H2721 / 800) / (IF(ISBLANK(S2721), 100, IF(ISNA(VLOOKUP(S2721, Lives!$A$2:$C$35, 2, 0)), S2721, VLOOKUP(S2721, Lives!$A$2:$C$35, 2, 0))) * 12) + (IF(ISBLANK(Q2721), 0, IF(ISNA(VLOOKUP(Q2721, Wages!$A$2:$C$17, 2, 0)), Q2721, VLOOKUP(Q2721, Wages!$A$2:$C$17, 2, 0))) * IF(ISBLANK(N2721), 0, IF(ISNA(VLOOKUP(N2721, Crews!$A$2:$C$28, 2, 0)), N2721, VLOOKUP(N2721, Crews!$A$2:$C$28, 2, 0))))) * 400</f>
        <v>7260</v>
      </c>
      <c r="K2721" s="1" t="s">
        <v>5276</v>
      </c>
      <c r="L2721" s="1" t="s">
        <v>5277</v>
      </c>
      <c r="M2721" s="1" t="n">
        <v>0</v>
      </c>
      <c r="N2721" s="1" t="s">
        <v>1512</v>
      </c>
      <c r="O2721" s="1" t="n">
        <v>1</v>
      </c>
      <c r="P2721" s="1"/>
      <c r="Q2721" s="1" t="str">
        <f aca="false">IF(ISBLANK('Pak128 Britain In'!$N2721),,'Pak128 Britain In'!$N2721)</f>
        <v>ElectricMultipleUnit</v>
      </c>
      <c r="R2721" s="1" t="s">
        <v>4696</v>
      </c>
      <c r="S2721" s="1" t="s">
        <v>1350</v>
      </c>
      <c r="T2721" s="1" t="s">
        <v>4697</v>
      </c>
    </row>
    <row r="2722" customFormat="false" ht="15" hidden="false" customHeight="true" outlineLevel="0" collapsed="false">
      <c r="A2722" s="1" t="s">
        <v>5278</v>
      </c>
      <c r="B2722" s="1" t="n">
        <v>1999</v>
      </c>
      <c r="C2722" s="1" t="n">
        <v>8</v>
      </c>
      <c r="D2722" s="1" t="s">
        <v>38</v>
      </c>
      <c r="E2722" s="1" t="s">
        <v>1346</v>
      </c>
      <c r="F2722" s="1" t="n">
        <v>0</v>
      </c>
      <c r="G2722" s="1" t="n">
        <v>160</v>
      </c>
      <c r="H2722" s="2" t="n">
        <v>1512000</v>
      </c>
      <c r="I2722" s="2" t="n">
        <f aca="false">(((H2722 / 800) / IF(ISBLANK(R2722), 1000000, IF(ISNA(VLOOKUP(R2722, Mileages!$A$2:$C$34, 2, 0)), R2722, VLOOKUP(R2722, Mileages!$A$2:$C$34, 2, 0)))) + (F2722 * IF(ISBLANK(P2722), 1, P2722) * IF(ISBLANK(T2722), 0, IF(ISNA(VLOOKUP(T2722, 'Fuel Costs'!$A$2:$C$42, 2, 0)), T2722, VLOOKUP(T2722, 'Fuel Costs'!$A$2:$C$42, 2, 0))) / IF(ISBLANK(O2722), 1, O2722))) * 100</f>
        <v>0.07875</v>
      </c>
      <c r="J2722" s="2" t="n">
        <f aca="false">((H2722 / 800) / (IF(ISBLANK(S2722), 100, IF(ISNA(VLOOKUP(S2722, Lives!$A$2:$C$35, 2, 0)), S2722, VLOOKUP(S2722, Lives!$A$2:$C$35, 2, 0))) * 12) + (IF(ISBLANK(Q2722), 0, IF(ISNA(VLOOKUP(Q2722, Wages!$A$2:$C$17, 2, 0)), Q2722, VLOOKUP(Q2722, Wages!$A$2:$C$17, 2, 0))) * IF(ISBLANK(N2722), 0, IF(ISNA(VLOOKUP(N2722, Crews!$A$2:$C$28, 2, 0)), N2722, VLOOKUP(N2722, Crews!$A$2:$C$28, 2, 0))))) * 400</f>
        <v>3150</v>
      </c>
      <c r="K2722" s="1"/>
      <c r="L2722" s="1" t="s">
        <v>5277</v>
      </c>
      <c r="M2722" s="1" t="n">
        <v>1</v>
      </c>
      <c r="N2722" s="1"/>
      <c r="O2722" s="1"/>
      <c r="P2722" s="1"/>
      <c r="Q2722" s="1"/>
      <c r="R2722" s="1" t="s">
        <v>4419</v>
      </c>
      <c r="S2722" s="1" t="s">
        <v>4470</v>
      </c>
      <c r="T2722" s="1"/>
    </row>
    <row r="2723" customFormat="false" ht="15" hidden="false" customHeight="true" outlineLevel="0" collapsed="false">
      <c r="A2723" s="1" t="s">
        <v>5279</v>
      </c>
      <c r="B2723" s="1" t="n">
        <v>1999</v>
      </c>
      <c r="C2723" s="1" t="n">
        <v>8</v>
      </c>
      <c r="D2723" s="1" t="s">
        <v>38</v>
      </c>
      <c r="E2723" s="1" t="s">
        <v>1346</v>
      </c>
      <c r="F2723" s="1" t="n">
        <v>560</v>
      </c>
      <c r="G2723" s="1" t="n">
        <v>160</v>
      </c>
      <c r="H2723" s="2" t="n">
        <v>1512000</v>
      </c>
      <c r="I2723" s="2" t="n">
        <f aca="false">(((H2723 / 800) / IF(ISBLANK(R2723), 1000000, IF(ISNA(VLOOKUP(R2723, Mileages!$A$2:$C$34, 2, 0)), R2723, VLOOKUP(R2723, Mileages!$A$2:$C$34, 2, 0)))) + (F2723 * IF(ISBLANK(P2723), 1, P2723) * IF(ISBLANK(T2723), 0, IF(ISNA(VLOOKUP(T2723, 'Fuel Costs'!$A$2:$C$42, 2, 0)), T2723, VLOOKUP(T2723, 'Fuel Costs'!$A$2:$C$42, 2, 0))) / IF(ISBLANK(O2723), 1, O2723))) * 100</f>
        <v>56.0945</v>
      </c>
      <c r="J2723" s="2" t="n">
        <f aca="false">((H2723 / 800) / (IF(ISBLANK(S2723), 100, IF(ISNA(VLOOKUP(S2723, Lives!$A$2:$C$35, 2, 0)), S2723, VLOOKUP(S2723, Lives!$A$2:$C$35, 2, 0))) * 12) + (IF(ISBLANK(Q2723), 0, IF(ISNA(VLOOKUP(Q2723, Wages!$A$2:$C$17, 2, 0)), Q2723, VLOOKUP(Q2723, Wages!$A$2:$C$17, 2, 0))) * IF(ISBLANK(N2723), 0, IF(ISNA(VLOOKUP(N2723, Crews!$A$2:$C$28, 2, 0)), N2723, VLOOKUP(N2723, Crews!$A$2:$C$28, 2, 0))))) * 400</f>
        <v>1260</v>
      </c>
      <c r="K2723" s="1"/>
      <c r="L2723" s="1" t="s">
        <v>5277</v>
      </c>
      <c r="M2723" s="1" t="n">
        <v>2</v>
      </c>
      <c r="N2723" s="1"/>
      <c r="O2723" s="1" t="n">
        <v>1</v>
      </c>
      <c r="P2723" s="1"/>
      <c r="Q2723" s="1"/>
      <c r="R2723" s="1" t="s">
        <v>4696</v>
      </c>
      <c r="S2723" s="1" t="s">
        <v>1350</v>
      </c>
      <c r="T2723" s="1" t="s">
        <v>4697</v>
      </c>
    </row>
    <row r="2724" customFormat="false" ht="15" hidden="false" customHeight="true" outlineLevel="0" collapsed="false">
      <c r="A2724" s="1" t="s">
        <v>5280</v>
      </c>
      <c r="B2724" s="1" t="n">
        <v>1999</v>
      </c>
      <c r="C2724" s="1" t="n">
        <v>8</v>
      </c>
      <c r="D2724" s="1" t="s">
        <v>38</v>
      </c>
      <c r="E2724" s="1" t="s">
        <v>1346</v>
      </c>
      <c r="F2724" s="1" t="n">
        <v>560</v>
      </c>
      <c r="G2724" s="1" t="n">
        <v>160</v>
      </c>
      <c r="H2724" s="2" t="n">
        <v>1512000</v>
      </c>
      <c r="I2724" s="2" t="n">
        <f aca="false">(((H2724 / 800) / IF(ISBLANK(R2724), 1000000, IF(ISNA(VLOOKUP(R2724, Mileages!$A$2:$C$34, 2, 0)), R2724, VLOOKUP(R2724, Mileages!$A$2:$C$34, 2, 0)))) + (F2724 * IF(ISBLANK(P2724), 1, P2724) * IF(ISBLANK(T2724), 0, IF(ISNA(VLOOKUP(T2724, 'Fuel Costs'!$A$2:$C$42, 2, 0)), T2724, VLOOKUP(T2724, 'Fuel Costs'!$A$2:$C$42, 2, 0))) / IF(ISBLANK(O2724), 1, O2724))) * 100</f>
        <v>56.0945</v>
      </c>
      <c r="J2724" s="2" t="n">
        <f aca="false">((H2724 / 800) / (IF(ISBLANK(S2724), 100, IF(ISNA(VLOOKUP(S2724, Lives!$A$2:$C$35, 2, 0)), S2724, VLOOKUP(S2724, Lives!$A$2:$C$35, 2, 0))) * 12) + (IF(ISBLANK(Q2724), 0, IF(ISNA(VLOOKUP(Q2724, Wages!$A$2:$C$17, 2, 0)), Q2724, VLOOKUP(Q2724, Wages!$A$2:$C$17, 2, 0))) * IF(ISBLANK(N2724), 0, IF(ISNA(VLOOKUP(N2724, Crews!$A$2:$C$28, 2, 0)), N2724, VLOOKUP(N2724, Crews!$A$2:$C$28, 2, 0))))) * 400</f>
        <v>7260</v>
      </c>
      <c r="K2724" s="1"/>
      <c r="L2724" s="1" t="s">
        <v>5277</v>
      </c>
      <c r="M2724" s="1" t="n">
        <v>3</v>
      </c>
      <c r="N2724" s="1" t="s">
        <v>1512</v>
      </c>
      <c r="O2724" s="1" t="n">
        <v>1</v>
      </c>
      <c r="P2724" s="1"/>
      <c r="Q2724" s="1" t="str">
        <f aca="false">IF(ISBLANK('Pak128 Britain In'!$N2724),,'Pak128 Britain In'!$N2724)</f>
        <v>ElectricMultipleUnit</v>
      </c>
      <c r="R2724" s="1" t="s">
        <v>4696</v>
      </c>
      <c r="S2724" s="1" t="s">
        <v>1350</v>
      </c>
      <c r="T2724" s="1" t="s">
        <v>4697</v>
      </c>
    </row>
    <row r="2725" customFormat="false" ht="15" hidden="false" customHeight="true" outlineLevel="0" collapsed="false">
      <c r="A2725" s="1" t="s">
        <v>5281</v>
      </c>
      <c r="B2725" s="1" t="n">
        <v>1999</v>
      </c>
      <c r="C2725" s="1" t="n">
        <v>9</v>
      </c>
      <c r="D2725" s="1" t="s">
        <v>2225</v>
      </c>
      <c r="E2725" s="1" t="s">
        <v>3660</v>
      </c>
      <c r="F2725" s="1" t="n">
        <v>38520</v>
      </c>
      <c r="G2725" s="1" t="n">
        <v>828</v>
      </c>
      <c r="H2725" s="2" t="n">
        <v>40000000</v>
      </c>
      <c r="I2725" s="2" t="n">
        <f aca="false">(((H2725 / 800) / IF(ISBLANK(R2725), 1000000, IF(ISNA(VLOOKUP(R2725, Mileages!$A$2:$C$34, 2, 0)), R2725, VLOOKUP(R2725, Mileages!$A$2:$C$34, 2, 0)))) + (F2725 * IF(ISBLANK(P2725), 1, P2725) * IF(ISBLANK(T2725), 0, IF(ISNA(VLOOKUP(T2725, 'Fuel Costs'!$A$2:$C$42, 2, 0)), T2725, VLOOKUP(T2725, 'Fuel Costs'!$A$2:$C$42, 2, 0))) / IF(ISBLANK(O2725), 1, O2725))) * 100</f>
        <v>154.2466667</v>
      </c>
      <c r="J2725" s="2" t="n">
        <f aca="false">((H2725 / 800) / (IF(ISBLANK(S2725), 100, IF(ISNA(VLOOKUP(S2725, Lives!$A$2:$C$35, 2, 0)), S2725, VLOOKUP(S2725, Lives!$A$2:$C$35, 2, 0))) * 12) + (IF(ISBLANK(Q2725), 0, IF(ISNA(VLOOKUP(Q2725, Wages!$A$2:$C$17, 2, 0)), Q2725, VLOOKUP(Q2725, Wages!$A$2:$C$17, 2, 0))) * IF(ISBLANK(N2725), 0, IF(ISNA(VLOOKUP(N2725, Crews!$A$2:$C$28, 2, 0)), N2725, VLOOKUP(N2725, Crews!$A$2:$C$28, 2, 0))))) * 400</f>
        <v>77777.77778</v>
      </c>
      <c r="K2725" s="3" t="s">
        <v>5282</v>
      </c>
      <c r="L2725" s="1" t="s">
        <v>5283</v>
      </c>
      <c r="M2725" s="1" t="n">
        <v>0</v>
      </c>
      <c r="N2725" s="1" t="s">
        <v>2342</v>
      </c>
      <c r="O2725" s="1"/>
      <c r="P2725" s="1" t="n">
        <v>0.02</v>
      </c>
      <c r="Q2725" s="1" t="s">
        <v>2229</v>
      </c>
      <c r="R2725" s="1" t="s">
        <v>4413</v>
      </c>
      <c r="S2725" s="1" t="s">
        <v>2229</v>
      </c>
      <c r="T2725" s="1" t="s">
        <v>4773</v>
      </c>
    </row>
    <row r="2726" customFormat="false" ht="15" hidden="false" customHeight="true" outlineLevel="0" collapsed="false">
      <c r="A2726" s="1" t="s">
        <v>5284</v>
      </c>
      <c r="B2726" s="1" t="n">
        <v>1999</v>
      </c>
      <c r="C2726" s="1" t="n">
        <v>9</v>
      </c>
      <c r="D2726" s="1" t="s">
        <v>2225</v>
      </c>
      <c r="E2726" s="1" t="s">
        <v>3660</v>
      </c>
      <c r="F2726" s="1" t="n">
        <v>35280</v>
      </c>
      <c r="G2726" s="1" t="n">
        <v>828</v>
      </c>
      <c r="H2726" s="2" t="n">
        <v>40000000</v>
      </c>
      <c r="I2726" s="2" t="n">
        <f aca="false">(((H2726 / 800) / IF(ISBLANK(R2726), 1000000, IF(ISNA(VLOOKUP(R2726, Mileages!$A$2:$C$34, 2, 0)), R2726, VLOOKUP(R2726, Mileages!$A$2:$C$34, 2, 0)))) + (F2726 * IF(ISBLANK(P2726), 1, P2726) * IF(ISBLANK(T2726), 0, IF(ISNA(VLOOKUP(T2726, 'Fuel Costs'!$A$2:$C$42, 2, 0)), T2726, VLOOKUP(T2726, 'Fuel Costs'!$A$2:$C$42, 2, 0))) / IF(ISBLANK(O2726), 1, O2726))) * 100</f>
        <v>141.2866667</v>
      </c>
      <c r="J2726" s="2" t="n">
        <f aca="false">((H2726 / 800) / (IF(ISBLANK(S2726), 100, IF(ISNA(VLOOKUP(S2726, Lives!$A$2:$C$35, 2, 0)), S2726, VLOOKUP(S2726, Lives!$A$2:$C$35, 2, 0))) * 12) + (IF(ISBLANK(Q2726), 0, IF(ISNA(VLOOKUP(Q2726, Wages!$A$2:$C$17, 2, 0)), Q2726, VLOOKUP(Q2726, Wages!$A$2:$C$17, 2, 0))) * IF(ISBLANK(N2726), 0, IF(ISNA(VLOOKUP(N2726, Crews!$A$2:$C$28, 2, 0)), N2726, VLOOKUP(N2726, Crews!$A$2:$C$28, 2, 0))))) * 400</f>
        <v>77777.77778</v>
      </c>
      <c r="K2726" s="3" t="s">
        <v>5285</v>
      </c>
      <c r="L2726" s="1" t="s">
        <v>5283</v>
      </c>
      <c r="M2726" s="1" t="n">
        <v>1</v>
      </c>
      <c r="N2726" s="1" t="s">
        <v>2342</v>
      </c>
      <c r="O2726" s="1"/>
      <c r="P2726" s="1" t="n">
        <v>0.02</v>
      </c>
      <c r="Q2726" s="1" t="s">
        <v>2229</v>
      </c>
      <c r="R2726" s="1" t="s">
        <v>4413</v>
      </c>
      <c r="S2726" s="1" t="s">
        <v>2229</v>
      </c>
      <c r="T2726" s="1" t="s">
        <v>4773</v>
      </c>
    </row>
    <row r="2727" customFormat="false" ht="15" hidden="false" customHeight="true" outlineLevel="0" collapsed="false">
      <c r="A2727" s="1" t="s">
        <v>5286</v>
      </c>
      <c r="B2727" s="1" t="n">
        <v>1999</v>
      </c>
      <c r="C2727" s="1" t="n">
        <v>12</v>
      </c>
      <c r="D2727" s="1" t="s">
        <v>21</v>
      </c>
      <c r="E2727" s="1" t="s">
        <v>2039</v>
      </c>
      <c r="F2727" s="1" t="n">
        <v>320</v>
      </c>
      <c r="G2727" s="1" t="n">
        <v>96</v>
      </c>
      <c r="H2727" s="2" t="n">
        <v>5600000</v>
      </c>
      <c r="I2727" s="2" t="n">
        <f aca="false">(((H2727 / 800) / IF(ISBLANK(R2727), 1000000, IF(ISNA(VLOOKUP(R2727, Mileages!$A$2:$C$34, 2, 0)), R2727, VLOOKUP(R2727, Mileages!$A$2:$C$34, 2, 0)))) + (F2727 * IF(ISBLANK(P2727), 1, P2727) * IF(ISBLANK(T2727), 0, IF(ISNA(VLOOKUP(T2727, 'Fuel Costs'!$A$2:$C$42, 2, 0)), T2727, VLOOKUP(T2727, 'Fuel Costs'!$A$2:$C$42, 2, 0))) / IF(ISBLANK(O2727), 1, O2727))) * 100</f>
        <v>96.35</v>
      </c>
      <c r="J2727" s="2" t="n">
        <f aca="false">((H2727 / 800) / (IF(ISBLANK(S2727), 100, IF(ISNA(VLOOKUP(S2727, Lives!$A$2:$C$35, 2, 0)), S2727, VLOOKUP(S2727, Lives!$A$2:$C$35, 2, 0))) * 12) + (IF(ISBLANK(Q2727), 0, IF(ISNA(VLOOKUP(Q2727, Wages!$A$2:$C$17, 2, 0)), Q2727, VLOOKUP(Q2727, Wages!$A$2:$C$17, 2, 0))) * IF(ISBLANK(N2727), 0, IF(ISNA(VLOOKUP(N2727, Crews!$A$2:$C$28, 2, 0)), N2727, VLOOKUP(N2727, Crews!$A$2:$C$28, 2, 0))))) * 400</f>
        <v>10916.66667</v>
      </c>
      <c r="K2727" s="3" t="s">
        <v>5287</v>
      </c>
      <c r="L2727" s="1" t="s">
        <v>5288</v>
      </c>
      <c r="M2727" s="1" t="n">
        <v>0</v>
      </c>
      <c r="N2727" s="1" t="s">
        <v>1815</v>
      </c>
      <c r="O2727" s="1" t="n">
        <v>1</v>
      </c>
      <c r="P2727" s="1"/>
      <c r="Q2727" s="1" t="s">
        <v>1815</v>
      </c>
      <c r="R2727" s="1" t="s">
        <v>4725</v>
      </c>
      <c r="S2727" s="1" t="s">
        <v>1843</v>
      </c>
      <c r="T2727" s="1" t="s">
        <v>4726</v>
      </c>
    </row>
    <row r="2728" customFormat="false" ht="15" hidden="false" customHeight="true" outlineLevel="0" collapsed="false">
      <c r="A2728" s="1" t="s">
        <v>5289</v>
      </c>
      <c r="B2728" s="1" t="n">
        <v>2000</v>
      </c>
      <c r="C2728" s="1" t="n">
        <v>2</v>
      </c>
      <c r="D2728" s="1" t="s">
        <v>38</v>
      </c>
      <c r="E2728" s="1" t="s">
        <v>2039</v>
      </c>
      <c r="F2728" s="1" t="n">
        <v>2200</v>
      </c>
      <c r="G2728" s="1" t="n">
        <v>200</v>
      </c>
      <c r="H2728" s="2" t="n">
        <v>5670000</v>
      </c>
      <c r="I2728" s="2" t="n">
        <f aca="false">(((H2728 / 800) / IF(ISBLANK(R2728), 1000000, IF(ISNA(VLOOKUP(R2728, Mileages!$A$2:$C$34, 2, 0)), R2728, VLOOKUP(R2728, Mileages!$A$2:$C$34, 2, 0)))) + (F2728 * IF(ISBLANK(P2728), 1, P2728) * IF(ISBLANK(T2728), 0, IF(ISNA(VLOOKUP(T2728, 'Fuel Costs'!$A$2:$C$42, 2, 0)), T2728, VLOOKUP(T2728, 'Fuel Costs'!$A$2:$C$42, 2, 0))) / IF(ISBLANK(O2728), 1, O2728))) * 100</f>
        <v>440.354375</v>
      </c>
      <c r="J2728" s="2" t="n">
        <f aca="false">((H2728 / 800) / (IF(ISBLANK(S2728), 100, IF(ISNA(VLOOKUP(S2728, Lives!$A$2:$C$35, 2, 0)), S2728, VLOOKUP(S2728, Lives!$A$2:$C$35, 2, 0))) * 12) + (IF(ISBLANK(Q2728), 0, IF(ISNA(VLOOKUP(Q2728, Wages!$A$2:$C$17, 2, 0)), Q2728, VLOOKUP(Q2728, Wages!$A$2:$C$17, 2, 0))) * IF(ISBLANK(N2728), 0, IF(ISNA(VLOOKUP(N2728, Crews!$A$2:$C$28, 2, 0)), N2728, VLOOKUP(N2728, Crews!$A$2:$C$28, 2, 0))))) * 400</f>
        <v>12953.125</v>
      </c>
      <c r="K2728" s="3" t="s">
        <v>5290</v>
      </c>
      <c r="L2728" s="1" t="s">
        <v>5291</v>
      </c>
      <c r="M2728" s="1" t="n">
        <v>0</v>
      </c>
      <c r="N2728" s="1" t="s">
        <v>1488</v>
      </c>
      <c r="O2728" s="1" t="n">
        <v>1</v>
      </c>
      <c r="P2728" s="1"/>
      <c r="Q2728" s="1" t="s">
        <v>1488</v>
      </c>
      <c r="R2728" s="1" t="s">
        <v>4747</v>
      </c>
      <c r="S2728" s="1" t="s">
        <v>4747</v>
      </c>
      <c r="T2728" s="1" t="s">
        <v>5292</v>
      </c>
    </row>
    <row r="2729" customFormat="false" ht="15" hidden="false" customHeight="true" outlineLevel="0" collapsed="false">
      <c r="A2729" s="1" t="s">
        <v>5293</v>
      </c>
      <c r="B2729" s="1" t="n">
        <v>2000</v>
      </c>
      <c r="C2729" s="1" t="n">
        <v>4</v>
      </c>
      <c r="D2729" s="1" t="s">
        <v>21</v>
      </c>
      <c r="E2729" s="1" t="s">
        <v>2039</v>
      </c>
      <c r="F2729" s="1" t="n">
        <v>265</v>
      </c>
      <c r="G2729" s="1" t="n">
        <v>90</v>
      </c>
      <c r="H2729" s="2" t="n">
        <v>125000</v>
      </c>
      <c r="I2729" s="2" t="n">
        <f aca="false">(((H2729 / 800) / IF(ISBLANK(R2729), 1000000, IF(ISNA(VLOOKUP(R2729, Mileages!$A$2:$C$34, 2, 0)), R2729, VLOOKUP(R2729, Mileages!$A$2:$C$34, 2, 0)))) + (F2729 * IF(ISBLANK(P2729), 1, P2729) * IF(ISBLANK(T2729), 0, IF(ISNA(VLOOKUP(T2729, 'Fuel Costs'!$A$2:$C$42, 2, 0)), T2729, VLOOKUP(T2729, 'Fuel Costs'!$A$2:$C$42, 2, 0))) / IF(ISBLANK(O2729), 1, O2729))) * 100</f>
        <v>53.0078125</v>
      </c>
      <c r="J2729" s="2" t="n">
        <f aca="false">((H2729 / 800) / (IF(ISBLANK(S2729), 100, IF(ISNA(VLOOKUP(S2729, Lives!$A$2:$C$35, 2, 0)), S2729, VLOOKUP(S2729, Lives!$A$2:$C$35, 2, 0))) * 12) + (IF(ISBLANK(Q2729), 0, IF(ISNA(VLOOKUP(Q2729, Wages!$A$2:$C$17, 2, 0)), Q2729, VLOOKUP(Q2729, Wages!$A$2:$C$17, 2, 0))) * IF(ISBLANK(N2729), 0, IF(ISNA(VLOOKUP(N2729, Crews!$A$2:$C$28, 2, 0)), N2729, VLOOKUP(N2729, Crews!$A$2:$C$28, 2, 0))))) * 400</f>
        <v>8065.104167</v>
      </c>
      <c r="K2729" s="1"/>
      <c r="L2729" s="1" t="s">
        <v>4652</v>
      </c>
      <c r="M2729" s="1" t="n">
        <v>4</v>
      </c>
      <c r="N2729" s="1" t="s">
        <v>1815</v>
      </c>
      <c r="O2729" s="1" t="n">
        <v>1</v>
      </c>
      <c r="P2729" s="1"/>
      <c r="Q2729" s="1" t="s">
        <v>1815</v>
      </c>
      <c r="R2729" s="1" t="s">
        <v>4725</v>
      </c>
      <c r="S2729" s="1" t="s">
        <v>1843</v>
      </c>
      <c r="T2729" s="1" t="s">
        <v>5292</v>
      </c>
    </row>
    <row r="2730" customFormat="false" ht="15" hidden="false" customHeight="true" outlineLevel="0" collapsed="false">
      <c r="A2730" s="1" t="s">
        <v>5294</v>
      </c>
      <c r="B2730" s="1" t="n">
        <v>2000</v>
      </c>
      <c r="C2730" s="1" t="n">
        <v>4</v>
      </c>
      <c r="D2730" s="1" t="s">
        <v>21</v>
      </c>
      <c r="E2730" s="1" t="s">
        <v>2039</v>
      </c>
      <c r="F2730" s="1" t="n">
        <v>265</v>
      </c>
      <c r="G2730" s="1" t="n">
        <v>90</v>
      </c>
      <c r="H2730" s="2" t="n">
        <v>125000</v>
      </c>
      <c r="I2730" s="2" t="n">
        <f aca="false">(((H2730 / 800) / IF(ISBLANK(R2730), 1000000, IF(ISNA(VLOOKUP(R2730, Mileages!$A$2:$C$34, 2, 0)), R2730, VLOOKUP(R2730, Mileages!$A$2:$C$34, 2, 0)))) + (F2730 * IF(ISBLANK(P2730), 1, P2730) * IF(ISBLANK(T2730), 0, IF(ISNA(VLOOKUP(T2730, 'Fuel Costs'!$A$2:$C$42, 2, 0)), T2730, VLOOKUP(T2730, 'Fuel Costs'!$A$2:$C$42, 2, 0))) / IF(ISBLANK(O2730), 1, O2730))) * 100</f>
        <v>53.0078125</v>
      </c>
      <c r="J2730" s="2" t="n">
        <f aca="false">((H2730 / 800) / (IF(ISBLANK(S2730), 100, IF(ISNA(VLOOKUP(S2730, Lives!$A$2:$C$35, 2, 0)), S2730, VLOOKUP(S2730, Lives!$A$2:$C$35, 2, 0))) * 12) + (IF(ISBLANK(Q2730), 0, IF(ISNA(VLOOKUP(Q2730, Wages!$A$2:$C$17, 2, 0)), Q2730, VLOOKUP(Q2730, Wages!$A$2:$C$17, 2, 0))) * IF(ISBLANK(N2730), 0, IF(ISNA(VLOOKUP(N2730, Crews!$A$2:$C$28, 2, 0)), N2730, VLOOKUP(N2730, Crews!$A$2:$C$28, 2, 0))))) * 400</f>
        <v>8065.104167</v>
      </c>
      <c r="K2730" s="1"/>
      <c r="L2730" s="1" t="s">
        <v>4652</v>
      </c>
      <c r="M2730" s="1" t="n">
        <v>5</v>
      </c>
      <c r="N2730" s="1" t="s">
        <v>1815</v>
      </c>
      <c r="O2730" s="1" t="n">
        <v>1</v>
      </c>
      <c r="P2730" s="1"/>
      <c r="Q2730" s="1" t="s">
        <v>1815</v>
      </c>
      <c r="R2730" s="1" t="s">
        <v>4725</v>
      </c>
      <c r="S2730" s="1" t="s">
        <v>1843</v>
      </c>
      <c r="T2730" s="1" t="s">
        <v>5292</v>
      </c>
    </row>
    <row r="2731" customFormat="false" ht="15" hidden="false" customHeight="true" outlineLevel="0" collapsed="false">
      <c r="A2731" s="1" t="s">
        <v>5295</v>
      </c>
      <c r="B2731" s="1" t="n">
        <v>2000</v>
      </c>
      <c r="C2731" s="1" t="n">
        <v>4</v>
      </c>
      <c r="D2731" s="1" t="s">
        <v>21</v>
      </c>
      <c r="E2731" s="1" t="s">
        <v>2039</v>
      </c>
      <c r="F2731" s="1" t="n">
        <v>198</v>
      </c>
      <c r="G2731" s="1" t="n">
        <v>90</v>
      </c>
      <c r="H2731" s="2" t="n">
        <v>125000</v>
      </c>
      <c r="I2731" s="2" t="n">
        <f aca="false">(((H2731 / 800) / IF(ISBLANK(R2731), 1000000, IF(ISNA(VLOOKUP(R2731, Mileages!$A$2:$C$34, 2, 0)), R2731, VLOOKUP(R2731, Mileages!$A$2:$C$34, 2, 0)))) + (F2731 * IF(ISBLANK(P2731), 1, P2731) * IF(ISBLANK(T2731), 0, IF(ISNA(VLOOKUP(T2731, 'Fuel Costs'!$A$2:$C$42, 2, 0)), T2731, VLOOKUP(T2731, 'Fuel Costs'!$A$2:$C$42, 2, 0))) / IF(ISBLANK(O2731), 1, O2731))) * 100</f>
        <v>39.6078125</v>
      </c>
      <c r="J2731" s="2" t="n">
        <f aca="false">((H2731 / 800) / (IF(ISBLANK(S2731), 100, IF(ISNA(VLOOKUP(S2731, Lives!$A$2:$C$35, 2, 0)), S2731, VLOOKUP(S2731, Lives!$A$2:$C$35, 2, 0))) * 12) + (IF(ISBLANK(Q2731), 0, IF(ISNA(VLOOKUP(Q2731, Wages!$A$2:$C$17, 2, 0)), Q2731, VLOOKUP(Q2731, Wages!$A$2:$C$17, 2, 0))) * IF(ISBLANK(N2731), 0, IF(ISNA(VLOOKUP(N2731, Crews!$A$2:$C$28, 2, 0)), N2731, VLOOKUP(N2731, Crews!$A$2:$C$28, 2, 0))))) * 400</f>
        <v>8065.104167</v>
      </c>
      <c r="K2731" s="1" t="s">
        <v>5296</v>
      </c>
      <c r="L2731" s="1" t="s">
        <v>5297</v>
      </c>
      <c r="M2731" s="1" t="n">
        <v>0</v>
      </c>
      <c r="N2731" s="1" t="s">
        <v>1815</v>
      </c>
      <c r="O2731" s="1" t="n">
        <v>1</v>
      </c>
      <c r="P2731" s="1"/>
      <c r="Q2731" s="1" t="s">
        <v>1815</v>
      </c>
      <c r="R2731" s="1" t="s">
        <v>4725</v>
      </c>
      <c r="S2731" s="1" t="s">
        <v>1843</v>
      </c>
      <c r="T2731" s="1" t="s">
        <v>5292</v>
      </c>
    </row>
    <row r="2732" customFormat="false" ht="15" hidden="false" customHeight="true" outlineLevel="0" collapsed="false">
      <c r="A2732" s="1" t="s">
        <v>5298</v>
      </c>
      <c r="B2732" s="1" t="n">
        <v>2000</v>
      </c>
      <c r="C2732" s="1" t="n">
        <v>4</v>
      </c>
      <c r="D2732" s="1" t="s">
        <v>21</v>
      </c>
      <c r="E2732" s="1" t="s">
        <v>2039</v>
      </c>
      <c r="F2732" s="1" t="n">
        <v>198</v>
      </c>
      <c r="G2732" s="1" t="n">
        <v>90</v>
      </c>
      <c r="H2732" s="2" t="n">
        <v>125000</v>
      </c>
      <c r="I2732" s="2" t="n">
        <f aca="false">(((H2732 / 800) / IF(ISBLANK(R2732), 1000000, IF(ISNA(VLOOKUP(R2732, Mileages!$A$2:$C$34, 2, 0)), R2732, VLOOKUP(R2732, Mileages!$A$2:$C$34, 2, 0)))) + (F2732 * IF(ISBLANK(P2732), 1, P2732) * IF(ISBLANK(T2732), 0, IF(ISNA(VLOOKUP(T2732, 'Fuel Costs'!$A$2:$C$42, 2, 0)), T2732, VLOOKUP(T2732, 'Fuel Costs'!$A$2:$C$42, 2, 0))) / IF(ISBLANK(O2732), 1, O2732))) * 100</f>
        <v>39.6078125</v>
      </c>
      <c r="J2732" s="2" t="n">
        <f aca="false">((H2732 / 800) / (IF(ISBLANK(S2732), 100, IF(ISNA(VLOOKUP(S2732, Lives!$A$2:$C$35, 2, 0)), S2732, VLOOKUP(S2732, Lives!$A$2:$C$35, 2, 0))) * 12) + (IF(ISBLANK(Q2732), 0, IF(ISNA(VLOOKUP(Q2732, Wages!$A$2:$C$17, 2, 0)), Q2732, VLOOKUP(Q2732, Wages!$A$2:$C$17, 2, 0))) * IF(ISBLANK(N2732), 0, IF(ISNA(VLOOKUP(N2732, Crews!$A$2:$C$28, 2, 0)), N2732, VLOOKUP(N2732, Crews!$A$2:$C$28, 2, 0))))) * 400</f>
        <v>8065.104167</v>
      </c>
      <c r="K2732" s="1"/>
      <c r="L2732" s="1" t="s">
        <v>5297</v>
      </c>
      <c r="M2732" s="1" t="n">
        <v>1</v>
      </c>
      <c r="N2732" s="1" t="s">
        <v>1815</v>
      </c>
      <c r="O2732" s="1" t="n">
        <v>1</v>
      </c>
      <c r="P2732" s="1"/>
      <c r="Q2732" s="1" t="s">
        <v>1815</v>
      </c>
      <c r="R2732" s="1" t="s">
        <v>4725</v>
      </c>
      <c r="S2732" s="1" t="s">
        <v>1843</v>
      </c>
      <c r="T2732" s="1" t="s">
        <v>5292</v>
      </c>
    </row>
    <row r="2733" customFormat="false" ht="15" hidden="false" customHeight="true" outlineLevel="0" collapsed="false">
      <c r="A2733" s="1" t="s">
        <v>5299</v>
      </c>
      <c r="B2733" s="1" t="n">
        <v>2000</v>
      </c>
      <c r="C2733" s="1" t="n">
        <v>4</v>
      </c>
      <c r="D2733" s="1" t="s">
        <v>21</v>
      </c>
      <c r="E2733" s="1" t="s">
        <v>2039</v>
      </c>
      <c r="F2733" s="1" t="n">
        <v>198</v>
      </c>
      <c r="G2733" s="1" t="n">
        <v>90</v>
      </c>
      <c r="H2733" s="2" t="n">
        <v>125000</v>
      </c>
      <c r="I2733" s="2" t="n">
        <f aca="false">(((H2733 / 800) / IF(ISBLANK(R2733), 1000000, IF(ISNA(VLOOKUP(R2733, Mileages!$A$2:$C$34, 2, 0)), R2733, VLOOKUP(R2733, Mileages!$A$2:$C$34, 2, 0)))) + (F2733 * IF(ISBLANK(P2733), 1, P2733) * IF(ISBLANK(T2733), 0, IF(ISNA(VLOOKUP(T2733, 'Fuel Costs'!$A$2:$C$42, 2, 0)), T2733, VLOOKUP(T2733, 'Fuel Costs'!$A$2:$C$42, 2, 0))) / IF(ISBLANK(O2733), 1, O2733))) * 100</f>
        <v>39.6078125</v>
      </c>
      <c r="J2733" s="2" t="n">
        <f aca="false">((H2733 / 800) / (IF(ISBLANK(S2733), 100, IF(ISNA(VLOOKUP(S2733, Lives!$A$2:$C$35, 2, 0)), S2733, VLOOKUP(S2733, Lives!$A$2:$C$35, 2, 0))) * 12) + (IF(ISBLANK(Q2733), 0, IF(ISNA(VLOOKUP(Q2733, Wages!$A$2:$C$17, 2, 0)), Q2733, VLOOKUP(Q2733, Wages!$A$2:$C$17, 2, 0))) * IF(ISBLANK(N2733), 0, IF(ISNA(VLOOKUP(N2733, Crews!$A$2:$C$28, 2, 0)), N2733, VLOOKUP(N2733, Crews!$A$2:$C$28, 2, 0))))) * 400</f>
        <v>8065.104167</v>
      </c>
      <c r="K2733" s="1"/>
      <c r="L2733" s="1" t="s">
        <v>5297</v>
      </c>
      <c r="M2733" s="1" t="n">
        <v>2</v>
      </c>
      <c r="N2733" s="1" t="s">
        <v>1815</v>
      </c>
      <c r="O2733" s="1" t="n">
        <v>1</v>
      </c>
      <c r="P2733" s="1"/>
      <c r="Q2733" s="1" t="s">
        <v>1815</v>
      </c>
      <c r="R2733" s="1" t="s">
        <v>4725</v>
      </c>
      <c r="S2733" s="1" t="s">
        <v>1843</v>
      </c>
      <c r="T2733" s="1" t="s">
        <v>5292</v>
      </c>
    </row>
    <row r="2734" customFormat="false" ht="15" hidden="false" customHeight="true" outlineLevel="0" collapsed="false">
      <c r="A2734" s="1" t="s">
        <v>5300</v>
      </c>
      <c r="B2734" s="1" t="n">
        <v>2000</v>
      </c>
      <c r="C2734" s="1" t="n">
        <v>6</v>
      </c>
      <c r="D2734" s="1" t="s">
        <v>38</v>
      </c>
      <c r="E2734" s="1" t="s">
        <v>1346</v>
      </c>
      <c r="F2734" s="1" t="n">
        <v>750</v>
      </c>
      <c r="G2734" s="1" t="n">
        <v>160</v>
      </c>
      <c r="H2734" s="2" t="n">
        <v>1057500</v>
      </c>
      <c r="I2734" s="2" t="n">
        <f aca="false">(((H2734 / 800) / IF(ISBLANK(R2734), 1000000, IF(ISNA(VLOOKUP(R2734, Mileages!$A$2:$C$34, 2, 0)), R2734, VLOOKUP(R2734, Mileages!$A$2:$C$34, 2, 0)))) + (F2734 * IF(ISBLANK(P2734), 1, P2734) * IF(ISBLANK(T2734), 0, IF(ISNA(VLOOKUP(T2734, 'Fuel Costs'!$A$2:$C$42, 2, 0)), T2734, VLOOKUP(T2734, 'Fuel Costs'!$A$2:$C$42, 2, 0))) / IF(ISBLANK(O2734), 1, O2734))) * 100</f>
        <v>112.5660938</v>
      </c>
      <c r="J2734" s="2" t="n">
        <f aca="false">((H2734 / 800) / (IF(ISBLANK(S2734), 100, IF(ISNA(VLOOKUP(S2734, Lives!$A$2:$C$35, 2, 0)), S2734, VLOOKUP(S2734, Lives!$A$2:$C$35, 2, 0))) * 12) + (IF(ISBLANK(Q2734), 0, IF(ISNA(VLOOKUP(Q2734, Wages!$A$2:$C$17, 2, 0)), Q2734, VLOOKUP(Q2734, Wages!$A$2:$C$17, 2, 0))) * IF(ISBLANK(N2734), 0, IF(ISNA(VLOOKUP(N2734, Crews!$A$2:$C$28, 2, 0)), N2734, VLOOKUP(N2734, Crews!$A$2:$C$28, 2, 0))))) * 400</f>
        <v>6881.25</v>
      </c>
      <c r="K2734" s="3" t="s">
        <v>5301</v>
      </c>
      <c r="L2734" s="1" t="s">
        <v>5302</v>
      </c>
      <c r="M2734" s="1" t="n">
        <v>0</v>
      </c>
      <c r="N2734" s="1" t="s">
        <v>1512</v>
      </c>
      <c r="O2734" s="1" t="n">
        <v>1</v>
      </c>
      <c r="P2734" s="1"/>
      <c r="Q2734" s="1" t="str">
        <f aca="false">IF(ISBLANK('Pak128 Britain In'!$N2734),,'Pak128 Britain In'!$N2734)</f>
        <v>ElectricMultipleUnit</v>
      </c>
      <c r="R2734" s="1" t="s">
        <v>4696</v>
      </c>
      <c r="S2734" s="1" t="s">
        <v>1350</v>
      </c>
      <c r="T2734" s="1" t="s">
        <v>5303</v>
      </c>
    </row>
    <row r="2735" customFormat="false" ht="15" hidden="false" customHeight="true" outlineLevel="0" collapsed="false">
      <c r="A2735" s="1" t="s">
        <v>5304</v>
      </c>
      <c r="B2735" s="1" t="n">
        <v>2000</v>
      </c>
      <c r="C2735" s="1" t="n">
        <v>6</v>
      </c>
      <c r="D2735" s="1" t="s">
        <v>38</v>
      </c>
      <c r="E2735" s="1" t="s">
        <v>1346</v>
      </c>
      <c r="F2735" s="1" t="n">
        <v>750</v>
      </c>
      <c r="G2735" s="1" t="n">
        <v>160</v>
      </c>
      <c r="H2735" s="2" t="n">
        <v>1899100</v>
      </c>
      <c r="I2735" s="2" t="n">
        <f aca="false">(((H2735 / 800) / IF(ISBLANK(R2735), 1000000, IF(ISNA(VLOOKUP(R2735, Mileages!$A$2:$C$34, 2, 0)), R2735, VLOOKUP(R2735, Mileages!$A$2:$C$34, 2, 0)))) + (F2735 * IF(ISBLANK(P2735), 1, P2735) * IF(ISBLANK(T2735), 0, IF(ISNA(VLOOKUP(T2735, 'Fuel Costs'!$A$2:$C$42, 2, 0)), T2735, VLOOKUP(T2735, 'Fuel Costs'!$A$2:$C$42, 2, 0))) / IF(ISBLANK(O2735), 1, O2735))) * 100</f>
        <v>112.6186938</v>
      </c>
      <c r="J2735" s="2" t="n">
        <f aca="false">((H2735 / 800) / (IF(ISBLANK(S2735), 100, IF(ISNA(VLOOKUP(S2735, Lives!$A$2:$C$35, 2, 0)), S2735, VLOOKUP(S2735, Lives!$A$2:$C$35, 2, 0))) * 12) + (IF(ISBLANK(Q2735), 0, IF(ISNA(VLOOKUP(Q2735, Wages!$A$2:$C$17, 2, 0)), Q2735, VLOOKUP(Q2735, Wages!$A$2:$C$17, 2, 0))) * IF(ISBLANK(N2735), 0, IF(ISNA(VLOOKUP(N2735, Crews!$A$2:$C$28, 2, 0)), N2735, VLOOKUP(N2735, Crews!$A$2:$C$28, 2, 0))))) * 400</f>
        <v>7582.583333</v>
      </c>
      <c r="K2735" s="1"/>
      <c r="L2735" s="1" t="s">
        <v>5302</v>
      </c>
      <c r="M2735" s="1" t="n">
        <v>1</v>
      </c>
      <c r="N2735" s="1" t="s">
        <v>1512</v>
      </c>
      <c r="O2735" s="1" t="n">
        <v>1</v>
      </c>
      <c r="P2735" s="1"/>
      <c r="Q2735" s="1" t="str">
        <f aca="false">IF(ISBLANK('Pak128 Britain In'!$N2735),,'Pak128 Britain In'!$N2735)</f>
        <v>ElectricMultipleUnit</v>
      </c>
      <c r="R2735" s="1" t="s">
        <v>4696</v>
      </c>
      <c r="S2735" s="1" t="s">
        <v>1350</v>
      </c>
      <c r="T2735" s="1" t="s">
        <v>5303</v>
      </c>
    </row>
    <row r="2736" customFormat="false" ht="15" hidden="false" customHeight="true" outlineLevel="0" collapsed="false">
      <c r="A2736" s="1" t="s">
        <v>5305</v>
      </c>
      <c r="B2736" s="1" t="n">
        <v>2000</v>
      </c>
      <c r="C2736" s="1" t="n">
        <v>6</v>
      </c>
      <c r="D2736" s="1" t="s">
        <v>38</v>
      </c>
      <c r="E2736" s="1" t="s">
        <v>1346</v>
      </c>
      <c r="F2736" s="1" t="n">
        <v>0</v>
      </c>
      <c r="G2736" s="1" t="n">
        <v>160</v>
      </c>
      <c r="H2736" s="2" t="n">
        <v>1899100</v>
      </c>
      <c r="I2736" s="2" t="n">
        <f aca="false">(((H2736 / 800) / IF(ISBLANK(R2736), 1000000, IF(ISNA(VLOOKUP(R2736, Mileages!$A$2:$C$34, 2, 0)), R2736, VLOOKUP(R2736, Mileages!$A$2:$C$34, 2, 0)))) + (F2736 * IF(ISBLANK(P2736), 1, P2736) * IF(ISBLANK(T2736), 0, IF(ISNA(VLOOKUP(T2736, 'Fuel Costs'!$A$2:$C$42, 2, 0)), T2736, VLOOKUP(T2736, 'Fuel Costs'!$A$2:$C$42, 2, 0))) / IF(ISBLANK(O2736), 1, O2736))) * 100</f>
        <v>0.09891145833</v>
      </c>
      <c r="J2736" s="2" t="n">
        <f aca="false">((H2736 / 800) / (IF(ISBLANK(S2736), 100, IF(ISNA(VLOOKUP(S2736, Lives!$A$2:$C$35, 2, 0)), S2736, VLOOKUP(S2736, Lives!$A$2:$C$35, 2, 0))) * 12) + (IF(ISBLANK(Q2736), 0, IF(ISNA(VLOOKUP(Q2736, Wages!$A$2:$C$17, 2, 0)), Q2736, VLOOKUP(Q2736, Wages!$A$2:$C$17, 2, 0))) * IF(ISBLANK(N2736), 0, IF(ISNA(VLOOKUP(N2736, Crews!$A$2:$C$28, 2, 0)), N2736, VLOOKUP(N2736, Crews!$A$2:$C$28, 2, 0))))) * 400</f>
        <v>3956.458333</v>
      </c>
      <c r="K2736" s="1"/>
      <c r="L2736" s="1" t="s">
        <v>5302</v>
      </c>
      <c r="M2736" s="1" t="n">
        <v>2</v>
      </c>
      <c r="N2736" s="1"/>
      <c r="O2736" s="1"/>
      <c r="P2736" s="1"/>
      <c r="Q2736" s="1"/>
      <c r="R2736" s="1" t="s">
        <v>4419</v>
      </c>
      <c r="S2736" s="1" t="s">
        <v>4470</v>
      </c>
      <c r="T2736" s="1"/>
    </row>
    <row r="2737" customFormat="false" ht="15" hidden="false" customHeight="true" outlineLevel="0" collapsed="false">
      <c r="A2737" s="1" t="s">
        <v>5306</v>
      </c>
      <c r="B2737" s="1" t="n">
        <v>2000</v>
      </c>
      <c r="C2737" s="1" t="n">
        <v>6</v>
      </c>
      <c r="D2737" s="1" t="s">
        <v>38</v>
      </c>
      <c r="E2737" s="1" t="s">
        <v>1346</v>
      </c>
      <c r="F2737" s="1" t="n">
        <v>0</v>
      </c>
      <c r="G2737" s="1" t="n">
        <v>160</v>
      </c>
      <c r="H2737" s="2" t="n">
        <v>1899100</v>
      </c>
      <c r="I2737" s="2" t="n">
        <f aca="false">(((H2737 / 800) / IF(ISBLANK(R2737), 1000000, IF(ISNA(VLOOKUP(R2737, Mileages!$A$2:$C$34, 2, 0)), R2737, VLOOKUP(R2737, Mileages!$A$2:$C$34, 2, 0)))) + (F2737 * IF(ISBLANK(P2737), 1, P2737) * IF(ISBLANK(T2737), 0, IF(ISNA(VLOOKUP(T2737, 'Fuel Costs'!$A$2:$C$42, 2, 0)), T2737, VLOOKUP(T2737, 'Fuel Costs'!$A$2:$C$42, 2, 0))) / IF(ISBLANK(O2737), 1, O2737))) * 100</f>
        <v>0.09891145833</v>
      </c>
      <c r="J2737" s="2" t="n">
        <f aca="false">((H2737 / 800) / (IF(ISBLANK(S2737), 100, IF(ISNA(VLOOKUP(S2737, Lives!$A$2:$C$35, 2, 0)), S2737, VLOOKUP(S2737, Lives!$A$2:$C$35, 2, 0))) * 12) + (IF(ISBLANK(Q2737), 0, IF(ISNA(VLOOKUP(Q2737, Wages!$A$2:$C$17, 2, 0)), Q2737, VLOOKUP(Q2737, Wages!$A$2:$C$17, 2, 0))) * IF(ISBLANK(N2737), 0, IF(ISNA(VLOOKUP(N2737, Crews!$A$2:$C$28, 2, 0)), N2737, VLOOKUP(N2737, Crews!$A$2:$C$28, 2, 0))))) * 400</f>
        <v>3956.458333</v>
      </c>
      <c r="K2737" s="1"/>
      <c r="L2737" s="1" t="s">
        <v>5302</v>
      </c>
      <c r="M2737" s="1" t="n">
        <v>3</v>
      </c>
      <c r="N2737" s="1"/>
      <c r="O2737" s="1"/>
      <c r="P2737" s="1"/>
      <c r="Q2737" s="1"/>
      <c r="R2737" s="1" t="s">
        <v>4419</v>
      </c>
      <c r="S2737" s="1" t="s">
        <v>4470</v>
      </c>
      <c r="T2737" s="1"/>
    </row>
    <row r="2738" customFormat="false" ht="15" hidden="false" customHeight="true" outlineLevel="0" collapsed="false">
      <c r="A2738" s="1" t="s">
        <v>5307</v>
      </c>
      <c r="B2738" s="1" t="n">
        <v>2000</v>
      </c>
      <c r="C2738" s="1" t="n">
        <v>6</v>
      </c>
      <c r="D2738" s="1" t="s">
        <v>38</v>
      </c>
      <c r="E2738" s="1" t="s">
        <v>1346</v>
      </c>
      <c r="F2738" s="1" t="n">
        <v>0</v>
      </c>
      <c r="G2738" s="1" t="n">
        <v>160</v>
      </c>
      <c r="H2738" s="2" t="n">
        <v>1899100</v>
      </c>
      <c r="I2738" s="2" t="n">
        <f aca="false">(((H2738 / 800) / IF(ISBLANK(R2738), 1000000, IF(ISNA(VLOOKUP(R2738, Mileages!$A$2:$C$34, 2, 0)), R2738, VLOOKUP(R2738, Mileages!$A$2:$C$34, 2, 0)))) + (F2738 * IF(ISBLANK(P2738), 1, P2738) * IF(ISBLANK(T2738), 0, IF(ISNA(VLOOKUP(T2738, 'Fuel Costs'!$A$2:$C$42, 2, 0)), T2738, VLOOKUP(T2738, 'Fuel Costs'!$A$2:$C$42, 2, 0))) / IF(ISBLANK(O2738), 1, O2738))) * 100</f>
        <v>0.09891145833</v>
      </c>
      <c r="J2738" s="2" t="n">
        <f aca="false">((H2738 / 800) / (IF(ISBLANK(S2738), 100, IF(ISNA(VLOOKUP(S2738, Lives!$A$2:$C$35, 2, 0)), S2738, VLOOKUP(S2738, Lives!$A$2:$C$35, 2, 0))) * 12) + (IF(ISBLANK(Q2738), 0, IF(ISNA(VLOOKUP(Q2738, Wages!$A$2:$C$17, 2, 0)), Q2738, VLOOKUP(Q2738, Wages!$A$2:$C$17, 2, 0))) * IF(ISBLANK(N2738), 0, IF(ISNA(VLOOKUP(N2738, Crews!$A$2:$C$28, 2, 0)), N2738, VLOOKUP(N2738, Crews!$A$2:$C$28, 2, 0))))) * 400</f>
        <v>3956.458333</v>
      </c>
      <c r="K2738" s="1"/>
      <c r="L2738" s="1" t="s">
        <v>5302</v>
      </c>
      <c r="M2738" s="1" t="n">
        <v>4</v>
      </c>
      <c r="N2738" s="1"/>
      <c r="O2738" s="1"/>
      <c r="P2738" s="1"/>
      <c r="Q2738" s="1"/>
      <c r="R2738" s="1" t="s">
        <v>4419</v>
      </c>
      <c r="S2738" s="1" t="s">
        <v>4470</v>
      </c>
      <c r="T2738" s="1"/>
    </row>
    <row r="2739" customFormat="false" ht="15" hidden="false" customHeight="true" outlineLevel="0" collapsed="false">
      <c r="A2739" s="1" t="s">
        <v>5308</v>
      </c>
      <c r="B2739" s="1" t="n">
        <v>2000</v>
      </c>
      <c r="C2739" s="1" t="n">
        <v>6</v>
      </c>
      <c r="D2739" s="1" t="s">
        <v>38</v>
      </c>
      <c r="E2739" s="1" t="s">
        <v>1346</v>
      </c>
      <c r="F2739" s="1" t="n">
        <v>750</v>
      </c>
      <c r="G2739" s="1" t="n">
        <v>160</v>
      </c>
      <c r="H2739" s="2" t="n">
        <v>1057500</v>
      </c>
      <c r="I2739" s="2" t="n">
        <f aca="false">(((H2739 / 800) / IF(ISBLANK(R2739), 1000000, IF(ISNA(VLOOKUP(R2739, Mileages!$A$2:$C$34, 2, 0)), R2739, VLOOKUP(R2739, Mileages!$A$2:$C$34, 2, 0)))) + (F2739 * IF(ISBLANK(P2739), 1, P2739) * IF(ISBLANK(T2739), 0, IF(ISNA(VLOOKUP(T2739, 'Fuel Costs'!$A$2:$C$42, 2, 0)), T2739, VLOOKUP(T2739, 'Fuel Costs'!$A$2:$C$42, 2, 0))) / IF(ISBLANK(O2739), 1, O2739))) * 100</f>
        <v>112.5660938</v>
      </c>
      <c r="J2739" s="2" t="n">
        <f aca="false">((H2739 / 800) / (IF(ISBLANK(S2739), 100, IF(ISNA(VLOOKUP(S2739, Lives!$A$2:$C$35, 2, 0)), S2739, VLOOKUP(S2739, Lives!$A$2:$C$35, 2, 0))) * 12) + (IF(ISBLANK(Q2739), 0, IF(ISNA(VLOOKUP(Q2739, Wages!$A$2:$C$17, 2, 0)), Q2739, VLOOKUP(Q2739, Wages!$A$2:$C$17, 2, 0))) * IF(ISBLANK(N2739), 0, IF(ISNA(VLOOKUP(N2739, Crews!$A$2:$C$28, 2, 0)), N2739, VLOOKUP(N2739, Crews!$A$2:$C$28, 2, 0))))) * 400</f>
        <v>6881.25</v>
      </c>
      <c r="K2739" s="1"/>
      <c r="L2739" s="1" t="s">
        <v>5302</v>
      </c>
      <c r="M2739" s="1" t="n">
        <v>5</v>
      </c>
      <c r="N2739" s="1" t="s">
        <v>1512</v>
      </c>
      <c r="O2739" s="1" t="n">
        <v>1</v>
      </c>
      <c r="P2739" s="1"/>
      <c r="Q2739" s="1" t="str">
        <f aca="false">IF(ISBLANK('Pak128 Britain In'!$N2739),,'Pak128 Britain In'!$N2739)</f>
        <v>ElectricMultipleUnit</v>
      </c>
      <c r="R2739" s="1" t="s">
        <v>4696</v>
      </c>
      <c r="S2739" s="1" t="s">
        <v>1350</v>
      </c>
      <c r="T2739" s="1" t="s">
        <v>5303</v>
      </c>
    </row>
    <row r="2740" customFormat="false" ht="15" hidden="false" customHeight="true" outlineLevel="0" collapsed="false">
      <c r="A2740" s="1" t="s">
        <v>5309</v>
      </c>
      <c r="B2740" s="1" t="n">
        <v>2000</v>
      </c>
      <c r="C2740" s="1" t="n">
        <v>6</v>
      </c>
      <c r="D2740" s="1" t="s">
        <v>38</v>
      </c>
      <c r="E2740" s="1" t="s">
        <v>1346</v>
      </c>
      <c r="F2740" s="1" t="n">
        <v>750</v>
      </c>
      <c r="G2740" s="1" t="n">
        <v>160</v>
      </c>
      <c r="H2740" s="2" t="n">
        <v>1057500</v>
      </c>
      <c r="I2740" s="2" t="n">
        <f aca="false">(((H2740 / 800) / IF(ISBLANK(R2740), 1000000, IF(ISNA(VLOOKUP(R2740, Mileages!$A$2:$C$34, 2, 0)), R2740, VLOOKUP(R2740, Mileages!$A$2:$C$34, 2, 0)))) + (F2740 * IF(ISBLANK(P2740), 1, P2740) * IF(ISBLANK(T2740), 0, IF(ISNA(VLOOKUP(T2740, 'Fuel Costs'!$A$2:$C$42, 2, 0)), T2740, VLOOKUP(T2740, 'Fuel Costs'!$A$2:$C$42, 2, 0))) / IF(ISBLANK(O2740), 1, O2740))) * 100</f>
        <v>112.5660938</v>
      </c>
      <c r="J2740" s="2" t="n">
        <f aca="false">((H2740 / 800) / (IF(ISBLANK(S2740), 100, IF(ISNA(VLOOKUP(S2740, Lives!$A$2:$C$35, 2, 0)), S2740, VLOOKUP(S2740, Lives!$A$2:$C$35, 2, 0))) * 12) + (IF(ISBLANK(Q2740), 0, IF(ISNA(VLOOKUP(Q2740, Wages!$A$2:$C$17, 2, 0)), Q2740, VLOOKUP(Q2740, Wages!$A$2:$C$17, 2, 0))) * IF(ISBLANK(N2740), 0, IF(ISNA(VLOOKUP(N2740, Crews!$A$2:$C$28, 2, 0)), N2740, VLOOKUP(N2740, Crews!$A$2:$C$28, 2, 0))))) * 400</f>
        <v>6881.25</v>
      </c>
      <c r="K2740" s="3" t="s">
        <v>5310</v>
      </c>
      <c r="L2740" s="1" t="s">
        <v>5311</v>
      </c>
      <c r="M2740" s="1" t="n">
        <v>0</v>
      </c>
      <c r="N2740" s="1" t="s">
        <v>1512</v>
      </c>
      <c r="O2740" s="1" t="n">
        <v>1</v>
      </c>
      <c r="P2740" s="1"/>
      <c r="Q2740" s="1" t="str">
        <f aca="false">IF(ISBLANK('Pak128 Britain In'!$N2740),,'Pak128 Britain In'!$N2740)</f>
        <v>ElectricMultipleUnit</v>
      </c>
      <c r="R2740" s="1" t="s">
        <v>4696</v>
      </c>
      <c r="S2740" s="1" t="s">
        <v>1350</v>
      </c>
      <c r="T2740" s="1" t="s">
        <v>5303</v>
      </c>
    </row>
    <row r="2741" customFormat="false" ht="15" hidden="false" customHeight="true" outlineLevel="0" collapsed="false">
      <c r="A2741" s="1" t="s">
        <v>5312</v>
      </c>
      <c r="B2741" s="1" t="n">
        <v>2000</v>
      </c>
      <c r="C2741" s="1" t="n">
        <v>6</v>
      </c>
      <c r="D2741" s="1" t="s">
        <v>38</v>
      </c>
      <c r="E2741" s="1" t="s">
        <v>1346</v>
      </c>
      <c r="F2741" s="1" t="n">
        <v>0</v>
      </c>
      <c r="G2741" s="1" t="n">
        <v>160</v>
      </c>
      <c r="H2741" s="2" t="n">
        <v>1899100</v>
      </c>
      <c r="I2741" s="2" t="n">
        <f aca="false">(((H2741 / 800) / IF(ISBLANK(R2741), 1000000, IF(ISNA(VLOOKUP(R2741, Mileages!$A$2:$C$34, 2, 0)), R2741, VLOOKUP(R2741, Mileages!$A$2:$C$34, 2, 0)))) + (F2741 * IF(ISBLANK(P2741), 1, P2741) * IF(ISBLANK(T2741), 0, IF(ISNA(VLOOKUP(T2741, 'Fuel Costs'!$A$2:$C$42, 2, 0)), T2741, VLOOKUP(T2741, 'Fuel Costs'!$A$2:$C$42, 2, 0))) / IF(ISBLANK(O2741), 1, O2741))) * 100</f>
        <v>0.09891145833</v>
      </c>
      <c r="J2741" s="2" t="n">
        <f aca="false">((H2741 / 800) / (IF(ISBLANK(S2741), 100, IF(ISNA(VLOOKUP(S2741, Lives!$A$2:$C$35, 2, 0)), S2741, VLOOKUP(S2741, Lives!$A$2:$C$35, 2, 0))) * 12) + (IF(ISBLANK(Q2741), 0, IF(ISNA(VLOOKUP(Q2741, Wages!$A$2:$C$17, 2, 0)), Q2741, VLOOKUP(Q2741, Wages!$A$2:$C$17, 2, 0))) * IF(ISBLANK(N2741), 0, IF(ISNA(VLOOKUP(N2741, Crews!$A$2:$C$28, 2, 0)), N2741, VLOOKUP(N2741, Crews!$A$2:$C$28, 2, 0))))) * 400</f>
        <v>3956.458333</v>
      </c>
      <c r="K2741" s="1"/>
      <c r="L2741" s="1" t="s">
        <v>5311</v>
      </c>
      <c r="M2741" s="1" t="n">
        <v>1</v>
      </c>
      <c r="N2741" s="1"/>
      <c r="O2741" s="1"/>
      <c r="P2741" s="1"/>
      <c r="Q2741" s="1"/>
      <c r="R2741" s="1" t="s">
        <v>4419</v>
      </c>
      <c r="S2741" s="1" t="s">
        <v>4470</v>
      </c>
      <c r="T2741" s="1"/>
    </row>
    <row r="2742" customFormat="false" ht="15" hidden="false" customHeight="true" outlineLevel="0" collapsed="false">
      <c r="A2742" s="1" t="s">
        <v>5313</v>
      </c>
      <c r="B2742" s="1" t="n">
        <v>2000</v>
      </c>
      <c r="C2742" s="1" t="n">
        <v>6</v>
      </c>
      <c r="D2742" s="1" t="s">
        <v>38</v>
      </c>
      <c r="E2742" s="1" t="s">
        <v>1346</v>
      </c>
      <c r="F2742" s="1" t="n">
        <v>750</v>
      </c>
      <c r="G2742" s="1" t="n">
        <v>160</v>
      </c>
      <c r="H2742" s="2" t="n">
        <v>1899100</v>
      </c>
      <c r="I2742" s="2" t="n">
        <f aca="false">(((H2742 / 800) / IF(ISBLANK(R2742), 1000000, IF(ISNA(VLOOKUP(R2742, Mileages!$A$2:$C$34, 2, 0)), R2742, VLOOKUP(R2742, Mileages!$A$2:$C$34, 2, 0)))) + (F2742 * IF(ISBLANK(P2742), 1, P2742) * IF(ISBLANK(T2742), 0, IF(ISNA(VLOOKUP(T2742, 'Fuel Costs'!$A$2:$C$42, 2, 0)), T2742, VLOOKUP(T2742, 'Fuel Costs'!$A$2:$C$42, 2, 0))) / IF(ISBLANK(O2742), 1, O2742))) * 100</f>
        <v>112.6186938</v>
      </c>
      <c r="J2742" s="2" t="n">
        <f aca="false">((H2742 / 800) / (IF(ISBLANK(S2742), 100, IF(ISNA(VLOOKUP(S2742, Lives!$A$2:$C$35, 2, 0)), S2742, VLOOKUP(S2742, Lives!$A$2:$C$35, 2, 0))) * 12) + (IF(ISBLANK(Q2742), 0, IF(ISNA(VLOOKUP(Q2742, Wages!$A$2:$C$17, 2, 0)), Q2742, VLOOKUP(Q2742, Wages!$A$2:$C$17, 2, 0))) * IF(ISBLANK(N2742), 0, IF(ISNA(VLOOKUP(N2742, Crews!$A$2:$C$28, 2, 0)), N2742, VLOOKUP(N2742, Crews!$A$2:$C$28, 2, 0))))) * 400</f>
        <v>1582.583333</v>
      </c>
      <c r="K2742" s="1"/>
      <c r="L2742" s="1" t="s">
        <v>5311</v>
      </c>
      <c r="M2742" s="1" t="n">
        <v>2</v>
      </c>
      <c r="N2742" s="1"/>
      <c r="O2742" s="1" t="n">
        <v>1</v>
      </c>
      <c r="P2742" s="1"/>
      <c r="Q2742" s="1"/>
      <c r="R2742" s="1" t="s">
        <v>4696</v>
      </c>
      <c r="S2742" s="1" t="s">
        <v>1350</v>
      </c>
      <c r="T2742" s="1" t="s">
        <v>5303</v>
      </c>
    </row>
    <row r="2743" customFormat="false" ht="15" hidden="false" customHeight="true" outlineLevel="0" collapsed="false">
      <c r="A2743" s="1" t="s">
        <v>5314</v>
      </c>
      <c r="B2743" s="1" t="n">
        <v>2000</v>
      </c>
      <c r="C2743" s="1" t="n">
        <v>6</v>
      </c>
      <c r="D2743" s="1" t="s">
        <v>38</v>
      </c>
      <c r="E2743" s="1" t="s">
        <v>1346</v>
      </c>
      <c r="F2743" s="1" t="n">
        <v>750</v>
      </c>
      <c r="G2743" s="1" t="n">
        <v>160</v>
      </c>
      <c r="H2743" s="2" t="n">
        <v>1057500</v>
      </c>
      <c r="I2743" s="2" t="n">
        <f aca="false">(((H2743 / 800) / IF(ISBLANK(R2743), 1000000, IF(ISNA(VLOOKUP(R2743, Mileages!$A$2:$C$34, 2, 0)), R2743, VLOOKUP(R2743, Mileages!$A$2:$C$34, 2, 0)))) + (F2743 * IF(ISBLANK(P2743), 1, P2743) * IF(ISBLANK(T2743), 0, IF(ISNA(VLOOKUP(T2743, 'Fuel Costs'!$A$2:$C$42, 2, 0)), T2743, VLOOKUP(T2743, 'Fuel Costs'!$A$2:$C$42, 2, 0))) / IF(ISBLANK(O2743), 1, O2743))) * 100</f>
        <v>112.5660938</v>
      </c>
      <c r="J2743" s="2" t="n">
        <f aca="false">((H2743 / 800) / (IF(ISBLANK(S2743), 100, IF(ISNA(VLOOKUP(S2743, Lives!$A$2:$C$35, 2, 0)), S2743, VLOOKUP(S2743, Lives!$A$2:$C$35, 2, 0))) * 12) + (IF(ISBLANK(Q2743), 0, IF(ISNA(VLOOKUP(Q2743, Wages!$A$2:$C$17, 2, 0)), Q2743, VLOOKUP(Q2743, Wages!$A$2:$C$17, 2, 0))) * IF(ISBLANK(N2743), 0, IF(ISNA(VLOOKUP(N2743, Crews!$A$2:$C$28, 2, 0)), N2743, VLOOKUP(N2743, Crews!$A$2:$C$28, 2, 0))))) * 400</f>
        <v>6881.25</v>
      </c>
      <c r="K2743" s="1"/>
      <c r="L2743" s="1" t="s">
        <v>5311</v>
      </c>
      <c r="M2743" s="1" t="n">
        <v>3</v>
      </c>
      <c r="N2743" s="1" t="s">
        <v>1512</v>
      </c>
      <c r="O2743" s="1" t="n">
        <v>1</v>
      </c>
      <c r="P2743" s="1"/>
      <c r="Q2743" s="1" t="str">
        <f aca="false">IF(ISBLANK('Pak128 Britain In'!$N2743),,'Pak128 Britain In'!$N2743)</f>
        <v>ElectricMultipleUnit</v>
      </c>
      <c r="R2743" s="1" t="s">
        <v>4696</v>
      </c>
      <c r="S2743" s="1" t="s">
        <v>1350</v>
      </c>
      <c r="T2743" s="1" t="s">
        <v>5303</v>
      </c>
    </row>
    <row r="2744" customFormat="false" ht="15" hidden="false" customHeight="true" outlineLevel="0" collapsed="false">
      <c r="A2744" s="1" t="s">
        <v>5315</v>
      </c>
      <c r="B2744" s="1" t="n">
        <v>2000</v>
      </c>
      <c r="C2744" s="1" t="n">
        <v>6</v>
      </c>
      <c r="D2744" s="1" t="s">
        <v>38</v>
      </c>
      <c r="E2744" s="1" t="s">
        <v>2039</v>
      </c>
      <c r="F2744" s="1" t="n">
        <v>340</v>
      </c>
      <c r="G2744" s="1" t="n">
        <v>160</v>
      </c>
      <c r="H2744" s="2" t="n">
        <v>1930000</v>
      </c>
      <c r="I2744" s="2" t="n">
        <f aca="false">(((H2744 / 800) / IF(ISBLANK(R2744), 1000000, IF(ISNA(VLOOKUP(R2744, Mileages!$A$2:$C$34, 2, 0)), R2744, VLOOKUP(R2744, Mileages!$A$2:$C$34, 2, 0)))) + (F2744 * IF(ISBLANK(P2744), 1, P2744) * IF(ISBLANK(T2744), 0, IF(ISNA(VLOOKUP(T2744, 'Fuel Costs'!$A$2:$C$42, 2, 0)), T2744, VLOOKUP(T2744, 'Fuel Costs'!$A$2:$C$42, 2, 0))) / IF(ISBLANK(O2744), 1, O2744))) * 100</f>
        <v>68.120625</v>
      </c>
      <c r="J2744" s="2" t="n">
        <f aca="false">((H2744 / 800) / (IF(ISBLANK(S2744), 100, IF(ISNA(VLOOKUP(S2744, Lives!$A$2:$C$35, 2, 0)), S2744, VLOOKUP(S2744, Lives!$A$2:$C$35, 2, 0))) * 12) + (IF(ISBLANK(Q2744), 0, IF(ISNA(VLOOKUP(Q2744, Wages!$A$2:$C$17, 2, 0)), Q2744, VLOOKUP(Q2744, Wages!$A$2:$C$17, 2, 0))) * IF(ISBLANK(N2744), 0, IF(ISNA(VLOOKUP(N2744, Crews!$A$2:$C$28, 2, 0)), N2744, VLOOKUP(N2744, Crews!$A$2:$C$28, 2, 0))))) * 400</f>
        <v>7005.208333</v>
      </c>
      <c r="K2744" s="1"/>
      <c r="L2744" s="1" t="s">
        <v>5316</v>
      </c>
      <c r="M2744" s="1" t="n">
        <v>0</v>
      </c>
      <c r="N2744" s="1" t="s">
        <v>1512</v>
      </c>
      <c r="O2744" s="1" t="n">
        <v>1</v>
      </c>
      <c r="P2744" s="1"/>
      <c r="Q2744" s="1" t="s">
        <v>1512</v>
      </c>
      <c r="R2744" s="1" t="s">
        <v>4747</v>
      </c>
      <c r="S2744" s="1" t="s">
        <v>4747</v>
      </c>
      <c r="T2744" s="1" t="s">
        <v>5292</v>
      </c>
    </row>
    <row r="2745" customFormat="false" ht="15" hidden="false" customHeight="true" outlineLevel="0" collapsed="false">
      <c r="A2745" s="1" t="s">
        <v>5317</v>
      </c>
      <c r="B2745" s="1" t="n">
        <v>2000</v>
      </c>
      <c r="C2745" s="1" t="n">
        <v>6</v>
      </c>
      <c r="D2745" s="1" t="s">
        <v>38</v>
      </c>
      <c r="E2745" s="1" t="s">
        <v>2039</v>
      </c>
      <c r="F2745" s="1" t="n">
        <v>340</v>
      </c>
      <c r="G2745" s="1" t="n">
        <v>160</v>
      </c>
      <c r="H2745" s="2" t="n">
        <v>1930000</v>
      </c>
      <c r="I2745" s="2" t="n">
        <f aca="false">(((H2745 / 800) / IF(ISBLANK(R2745), 1000000, IF(ISNA(VLOOKUP(R2745, Mileages!$A$2:$C$34, 2, 0)), R2745, VLOOKUP(R2745, Mileages!$A$2:$C$34, 2, 0)))) + (F2745 * IF(ISBLANK(P2745), 1, P2745) * IF(ISBLANK(T2745), 0, IF(ISNA(VLOOKUP(T2745, 'Fuel Costs'!$A$2:$C$42, 2, 0)), T2745, VLOOKUP(T2745, 'Fuel Costs'!$A$2:$C$42, 2, 0))) / IF(ISBLANK(O2745), 1, O2745))) * 100</f>
        <v>68.120625</v>
      </c>
      <c r="J2745" s="2" t="n">
        <f aca="false">((H2745 / 800) / (IF(ISBLANK(S2745), 100, IF(ISNA(VLOOKUP(S2745, Lives!$A$2:$C$35, 2, 0)), S2745, VLOOKUP(S2745, Lives!$A$2:$C$35, 2, 0))) * 12) + (IF(ISBLANK(Q2745), 0, IF(ISNA(VLOOKUP(Q2745, Wages!$A$2:$C$17, 2, 0)), Q2745, VLOOKUP(Q2745, Wages!$A$2:$C$17, 2, 0))) * IF(ISBLANK(N2745), 0, IF(ISNA(VLOOKUP(N2745, Crews!$A$2:$C$28, 2, 0)), N2745, VLOOKUP(N2745, Crews!$A$2:$C$28, 2, 0))))) * 400</f>
        <v>7005.208333</v>
      </c>
      <c r="K2745" s="1"/>
      <c r="L2745" s="1" t="s">
        <v>5316</v>
      </c>
      <c r="M2745" s="1" t="n">
        <v>1</v>
      </c>
      <c r="N2745" s="1" t="s">
        <v>1512</v>
      </c>
      <c r="O2745" s="1" t="n">
        <v>1</v>
      </c>
      <c r="P2745" s="1"/>
      <c r="Q2745" s="1" t="s">
        <v>1512</v>
      </c>
      <c r="R2745" s="1" t="s">
        <v>4747</v>
      </c>
      <c r="S2745" s="1" t="s">
        <v>4747</v>
      </c>
      <c r="T2745" s="1" t="s">
        <v>5292</v>
      </c>
    </row>
    <row r="2746" customFormat="false" ht="15" hidden="false" customHeight="true" outlineLevel="0" collapsed="false">
      <c r="A2746" s="1" t="s">
        <v>5318</v>
      </c>
      <c r="B2746" s="1" t="n">
        <v>2000</v>
      </c>
      <c r="C2746" s="1" t="n">
        <v>6</v>
      </c>
      <c r="D2746" s="1" t="s">
        <v>38</v>
      </c>
      <c r="E2746" s="1" t="s">
        <v>2039</v>
      </c>
      <c r="F2746" s="1" t="n">
        <v>340</v>
      </c>
      <c r="G2746" s="1" t="n">
        <v>160</v>
      </c>
      <c r="H2746" s="2" t="n">
        <v>1930000</v>
      </c>
      <c r="I2746" s="2" t="n">
        <f aca="false">(((H2746 / 800) / IF(ISBLANK(R2746), 1000000, IF(ISNA(VLOOKUP(R2746, Mileages!$A$2:$C$34, 2, 0)), R2746, VLOOKUP(R2746, Mileages!$A$2:$C$34, 2, 0)))) + (F2746 * IF(ISBLANK(P2746), 1, P2746) * IF(ISBLANK(T2746), 0, IF(ISNA(VLOOKUP(T2746, 'Fuel Costs'!$A$2:$C$42, 2, 0)), T2746, VLOOKUP(T2746, 'Fuel Costs'!$A$2:$C$42, 2, 0))) / IF(ISBLANK(O2746), 1, O2746))) * 100</f>
        <v>68.120625</v>
      </c>
      <c r="J2746" s="2" t="n">
        <f aca="false">((H2746 / 800) / (IF(ISBLANK(S2746), 100, IF(ISNA(VLOOKUP(S2746, Lives!$A$2:$C$35, 2, 0)), S2746, VLOOKUP(S2746, Lives!$A$2:$C$35, 2, 0))) * 12) + (IF(ISBLANK(Q2746), 0, IF(ISNA(VLOOKUP(Q2746, Wages!$A$2:$C$17, 2, 0)), Q2746, VLOOKUP(Q2746, Wages!$A$2:$C$17, 2, 0))) * IF(ISBLANK(N2746), 0, IF(ISNA(VLOOKUP(N2746, Crews!$A$2:$C$28, 2, 0)), N2746, VLOOKUP(N2746, Crews!$A$2:$C$28, 2, 0))))) * 400</f>
        <v>1005.208333</v>
      </c>
      <c r="K2746" s="1"/>
      <c r="L2746" s="1" t="s">
        <v>5316</v>
      </c>
      <c r="M2746" s="1" t="n">
        <v>2</v>
      </c>
      <c r="N2746" s="1"/>
      <c r="O2746" s="1" t="n">
        <v>1</v>
      </c>
      <c r="P2746" s="1"/>
      <c r="Q2746" s="1"/>
      <c r="R2746" s="1" t="s">
        <v>4747</v>
      </c>
      <c r="S2746" s="1" t="s">
        <v>4747</v>
      </c>
      <c r="T2746" s="1" t="s">
        <v>5292</v>
      </c>
    </row>
    <row r="2747" customFormat="false" ht="15" hidden="false" customHeight="true" outlineLevel="0" collapsed="false">
      <c r="A2747" s="1" t="s">
        <v>5319</v>
      </c>
      <c r="B2747" s="1" t="n">
        <v>2000</v>
      </c>
      <c r="C2747" s="1" t="n">
        <v>6</v>
      </c>
      <c r="D2747" s="1" t="s">
        <v>38</v>
      </c>
      <c r="E2747" s="1" t="s">
        <v>2039</v>
      </c>
      <c r="F2747" s="1" t="n">
        <v>340</v>
      </c>
      <c r="G2747" s="1" t="n">
        <v>160</v>
      </c>
      <c r="H2747" s="2" t="n">
        <v>1930000</v>
      </c>
      <c r="I2747" s="2" t="n">
        <f aca="false">(((H2747 / 800) / IF(ISBLANK(R2747), 1000000, IF(ISNA(VLOOKUP(R2747, Mileages!$A$2:$C$34, 2, 0)), R2747, VLOOKUP(R2747, Mileages!$A$2:$C$34, 2, 0)))) + (F2747 * IF(ISBLANK(P2747), 1, P2747) * IF(ISBLANK(T2747), 0, IF(ISNA(VLOOKUP(T2747, 'Fuel Costs'!$A$2:$C$42, 2, 0)), T2747, VLOOKUP(T2747, 'Fuel Costs'!$A$2:$C$42, 2, 0))) / IF(ISBLANK(O2747), 1, O2747))) * 100</f>
        <v>68.120625</v>
      </c>
      <c r="J2747" s="2" t="n">
        <f aca="false">((H2747 / 800) / (IF(ISBLANK(S2747), 100, IF(ISNA(VLOOKUP(S2747, Lives!$A$2:$C$35, 2, 0)), S2747, VLOOKUP(S2747, Lives!$A$2:$C$35, 2, 0))) * 12) + (IF(ISBLANK(Q2747), 0, IF(ISNA(VLOOKUP(Q2747, Wages!$A$2:$C$17, 2, 0)), Q2747, VLOOKUP(Q2747, Wages!$A$2:$C$17, 2, 0))) * IF(ISBLANK(N2747), 0, IF(ISNA(VLOOKUP(N2747, Crews!$A$2:$C$28, 2, 0)), N2747, VLOOKUP(N2747, Crews!$A$2:$C$28, 2, 0))))) * 400</f>
        <v>19005.20833</v>
      </c>
      <c r="K2747" s="1"/>
      <c r="L2747" s="1" t="s">
        <v>5316</v>
      </c>
      <c r="M2747" s="1" t="n">
        <v>3</v>
      </c>
      <c r="N2747" s="1" t="s">
        <v>1481</v>
      </c>
      <c r="O2747" s="1" t="n">
        <v>1</v>
      </c>
      <c r="P2747" s="1"/>
      <c r="Q2747" s="1" t="s">
        <v>1481</v>
      </c>
      <c r="R2747" s="1" t="s">
        <v>4747</v>
      </c>
      <c r="S2747" s="1" t="s">
        <v>4747</v>
      </c>
      <c r="T2747" s="1" t="s">
        <v>5292</v>
      </c>
    </row>
    <row r="2748" customFormat="false" ht="15" hidden="false" customHeight="true" outlineLevel="0" collapsed="false">
      <c r="A2748" s="1" t="s">
        <v>5320</v>
      </c>
      <c r="B2748" s="1" t="n">
        <v>2000</v>
      </c>
      <c r="C2748" s="1" t="n">
        <v>7</v>
      </c>
      <c r="D2748" s="1" t="s">
        <v>21</v>
      </c>
      <c r="E2748" s="1" t="s">
        <v>2039</v>
      </c>
      <c r="F2748" s="1" t="n">
        <v>355</v>
      </c>
      <c r="G2748" s="1" t="n">
        <v>90</v>
      </c>
      <c r="H2748" s="2" t="n">
        <v>125000</v>
      </c>
      <c r="I2748" s="2" t="n">
        <f aca="false">(((H2748 / 800) / IF(ISBLANK(R2748), 1000000, IF(ISNA(VLOOKUP(R2748, Mileages!$A$2:$C$34, 2, 0)), R2748, VLOOKUP(R2748, Mileages!$A$2:$C$34, 2, 0)))) + (F2748 * IF(ISBLANK(P2748), 1, P2748) * IF(ISBLANK(T2748), 0, IF(ISNA(VLOOKUP(T2748, 'Fuel Costs'!$A$2:$C$42, 2, 0)), T2748, VLOOKUP(T2748, 'Fuel Costs'!$A$2:$C$42, 2, 0))) / IF(ISBLANK(O2748), 1, O2748))) * 100</f>
        <v>71.0078125</v>
      </c>
      <c r="J2748" s="2" t="n">
        <f aca="false">((H2748 / 800) / (IF(ISBLANK(S2748), 100, IF(ISNA(VLOOKUP(S2748, Lives!$A$2:$C$35, 2, 0)), S2748, VLOOKUP(S2748, Lives!$A$2:$C$35, 2, 0))) * 12) + (IF(ISBLANK(Q2748), 0, IF(ISNA(VLOOKUP(Q2748, Wages!$A$2:$C$17, 2, 0)), Q2748, VLOOKUP(Q2748, Wages!$A$2:$C$17, 2, 0))) * IF(ISBLANK(N2748), 0, IF(ISNA(VLOOKUP(N2748, Crews!$A$2:$C$28, 2, 0)), N2748, VLOOKUP(N2748, Crews!$A$2:$C$28, 2, 0))))) * 400</f>
        <v>8065.104167</v>
      </c>
      <c r="K2748" s="1"/>
      <c r="L2748" s="1" t="s">
        <v>4879</v>
      </c>
      <c r="M2748" s="1" t="n">
        <v>2</v>
      </c>
      <c r="N2748" s="1" t="s">
        <v>1815</v>
      </c>
      <c r="O2748" s="1" t="n">
        <v>1</v>
      </c>
      <c r="P2748" s="1"/>
      <c r="Q2748" s="1" t="s">
        <v>1815</v>
      </c>
      <c r="R2748" s="1" t="s">
        <v>4725</v>
      </c>
      <c r="S2748" s="1" t="s">
        <v>1843</v>
      </c>
      <c r="T2748" s="1" t="s">
        <v>5292</v>
      </c>
    </row>
    <row r="2749" customFormat="false" ht="15" hidden="false" customHeight="true" outlineLevel="0" collapsed="false">
      <c r="A2749" s="1" t="s">
        <v>5321</v>
      </c>
      <c r="B2749" s="1" t="n">
        <v>2000</v>
      </c>
      <c r="C2749" s="1" t="n">
        <v>7</v>
      </c>
      <c r="D2749" s="1" t="s">
        <v>21</v>
      </c>
      <c r="E2749" s="1" t="s">
        <v>2039</v>
      </c>
      <c r="F2749" s="1" t="n">
        <v>355</v>
      </c>
      <c r="G2749" s="1" t="n">
        <v>90</v>
      </c>
      <c r="H2749" s="2" t="n">
        <v>125000</v>
      </c>
      <c r="I2749" s="2" t="n">
        <f aca="false">(((H2749 / 800) / IF(ISBLANK(R2749), 1000000, IF(ISNA(VLOOKUP(R2749, Mileages!$A$2:$C$34, 2, 0)), R2749, VLOOKUP(R2749, Mileages!$A$2:$C$34, 2, 0)))) + (F2749 * IF(ISBLANK(P2749), 1, P2749) * IF(ISBLANK(T2749), 0, IF(ISNA(VLOOKUP(T2749, 'Fuel Costs'!$A$2:$C$42, 2, 0)), T2749, VLOOKUP(T2749, 'Fuel Costs'!$A$2:$C$42, 2, 0))) / IF(ISBLANK(O2749), 1, O2749))) * 100</f>
        <v>71.0078125</v>
      </c>
      <c r="J2749" s="2" t="n">
        <f aca="false">((H2749 / 800) / (IF(ISBLANK(S2749), 100, IF(ISNA(VLOOKUP(S2749, Lives!$A$2:$C$35, 2, 0)), S2749, VLOOKUP(S2749, Lives!$A$2:$C$35, 2, 0))) * 12) + (IF(ISBLANK(Q2749), 0, IF(ISNA(VLOOKUP(Q2749, Wages!$A$2:$C$17, 2, 0)), Q2749, VLOOKUP(Q2749, Wages!$A$2:$C$17, 2, 0))) * IF(ISBLANK(N2749), 0, IF(ISNA(VLOOKUP(N2749, Crews!$A$2:$C$28, 2, 0)), N2749, VLOOKUP(N2749, Crews!$A$2:$C$28, 2, 0))))) * 400</f>
        <v>8065.104167</v>
      </c>
      <c r="K2749" s="1"/>
      <c r="L2749" s="1" t="s">
        <v>4879</v>
      </c>
      <c r="M2749" s="1" t="n">
        <v>3</v>
      </c>
      <c r="N2749" s="1" t="s">
        <v>1815</v>
      </c>
      <c r="O2749" s="1" t="n">
        <v>1</v>
      </c>
      <c r="P2749" s="1"/>
      <c r="Q2749" s="1" t="s">
        <v>1815</v>
      </c>
      <c r="R2749" s="1" t="s">
        <v>4725</v>
      </c>
      <c r="S2749" s="1" t="s">
        <v>1843</v>
      </c>
      <c r="T2749" s="1" t="s">
        <v>5292</v>
      </c>
    </row>
    <row r="2750" customFormat="false" ht="15" hidden="false" customHeight="true" outlineLevel="0" collapsed="false">
      <c r="A2750" s="1" t="s">
        <v>5322</v>
      </c>
      <c r="B2750" s="1" t="n">
        <v>2000</v>
      </c>
      <c r="C2750" s="1" t="n">
        <v>7</v>
      </c>
      <c r="D2750" s="1" t="s">
        <v>38</v>
      </c>
      <c r="E2750" s="1" t="s">
        <v>2039</v>
      </c>
      <c r="F2750" s="1" t="n">
        <v>560</v>
      </c>
      <c r="G2750" s="1" t="n">
        <v>200</v>
      </c>
      <c r="H2750" s="2" t="n">
        <v>2705000</v>
      </c>
      <c r="I2750" s="2" t="n">
        <f aca="false">(((H2750 / 800) / IF(ISBLANK(R2750), 1000000, IF(ISNA(VLOOKUP(R2750, Mileages!$A$2:$C$34, 2, 0)), R2750, VLOOKUP(R2750, Mileages!$A$2:$C$34, 2, 0)))) + (F2750 * IF(ISBLANK(P2750), 1, P2750) * IF(ISBLANK(T2750), 0, IF(ISNA(VLOOKUP(T2750, 'Fuel Costs'!$A$2:$C$42, 2, 0)), T2750, VLOOKUP(T2750, 'Fuel Costs'!$A$2:$C$42, 2, 0))) / IF(ISBLANK(O2750), 1, O2750))) * 100</f>
        <v>112.1690625</v>
      </c>
      <c r="J2750" s="2" t="n">
        <f aca="false">((H2750 / 800) / (IF(ISBLANK(S2750), 100, IF(ISNA(VLOOKUP(S2750, Lives!$A$2:$C$35, 2, 0)), S2750, VLOOKUP(S2750, Lives!$A$2:$C$35, 2, 0))) * 12) + (IF(ISBLANK(Q2750), 0, IF(ISNA(VLOOKUP(Q2750, Wages!$A$2:$C$17, 2, 0)), Q2750, VLOOKUP(Q2750, Wages!$A$2:$C$17, 2, 0))) * IF(ISBLANK(N2750), 0, IF(ISNA(VLOOKUP(N2750, Crews!$A$2:$C$28, 2, 0)), N2750, VLOOKUP(N2750, Crews!$A$2:$C$28, 2, 0))))) * 400</f>
        <v>7408.854167</v>
      </c>
      <c r="K2750" s="1"/>
      <c r="L2750" s="1" t="s">
        <v>5323</v>
      </c>
      <c r="M2750" s="1" t="n">
        <v>0</v>
      </c>
      <c r="N2750" s="1" t="s">
        <v>1512</v>
      </c>
      <c r="O2750" s="1" t="n">
        <v>1</v>
      </c>
      <c r="P2750" s="1"/>
      <c r="Q2750" s="1" t="s">
        <v>1512</v>
      </c>
      <c r="R2750" s="1" t="s">
        <v>4747</v>
      </c>
      <c r="S2750" s="1" t="s">
        <v>4747</v>
      </c>
      <c r="T2750" s="1" t="s">
        <v>5292</v>
      </c>
    </row>
    <row r="2751" customFormat="false" ht="15" hidden="false" customHeight="true" outlineLevel="0" collapsed="false">
      <c r="A2751" s="1" t="s">
        <v>5324</v>
      </c>
      <c r="B2751" s="1" t="n">
        <v>2000</v>
      </c>
      <c r="C2751" s="1" t="n">
        <v>7</v>
      </c>
      <c r="D2751" s="1" t="s">
        <v>38</v>
      </c>
      <c r="E2751" s="1" t="s">
        <v>2039</v>
      </c>
      <c r="F2751" s="1" t="n">
        <v>560</v>
      </c>
      <c r="G2751" s="1" t="n">
        <v>200</v>
      </c>
      <c r="H2751" s="2" t="n">
        <v>2705000</v>
      </c>
      <c r="I2751" s="2" t="n">
        <f aca="false">(((H2751 / 800) / IF(ISBLANK(R2751), 1000000, IF(ISNA(VLOOKUP(R2751, Mileages!$A$2:$C$34, 2, 0)), R2751, VLOOKUP(R2751, Mileages!$A$2:$C$34, 2, 0)))) + (F2751 * IF(ISBLANK(P2751), 1, P2751) * IF(ISBLANK(T2751), 0, IF(ISNA(VLOOKUP(T2751, 'Fuel Costs'!$A$2:$C$42, 2, 0)), T2751, VLOOKUP(T2751, 'Fuel Costs'!$A$2:$C$42, 2, 0))) / IF(ISBLANK(O2751), 1, O2751))) * 100</f>
        <v>112.1690625</v>
      </c>
      <c r="J2751" s="2" t="n">
        <f aca="false">((H2751 / 800) / (IF(ISBLANK(S2751), 100, IF(ISNA(VLOOKUP(S2751, Lives!$A$2:$C$35, 2, 0)), S2751, VLOOKUP(S2751, Lives!$A$2:$C$35, 2, 0))) * 12) + (IF(ISBLANK(Q2751), 0, IF(ISNA(VLOOKUP(Q2751, Wages!$A$2:$C$17, 2, 0)), Q2751, VLOOKUP(Q2751, Wages!$A$2:$C$17, 2, 0))) * IF(ISBLANK(N2751), 0, IF(ISNA(VLOOKUP(N2751, Crews!$A$2:$C$28, 2, 0)), N2751, VLOOKUP(N2751, Crews!$A$2:$C$28, 2, 0))))) * 400</f>
        <v>1408.854167</v>
      </c>
      <c r="K2751" s="1" t="s">
        <v>5325</v>
      </c>
      <c r="L2751" s="1" t="s">
        <v>5323</v>
      </c>
      <c r="M2751" s="1" t="n">
        <v>1</v>
      </c>
      <c r="N2751" s="1"/>
      <c r="O2751" s="1" t="n">
        <v>1</v>
      </c>
      <c r="P2751" s="1"/>
      <c r="Q2751" s="1"/>
      <c r="R2751" s="1" t="s">
        <v>4747</v>
      </c>
      <c r="S2751" s="1" t="s">
        <v>4747</v>
      </c>
      <c r="T2751" s="1" t="s">
        <v>5292</v>
      </c>
    </row>
    <row r="2752" customFormat="false" ht="15" hidden="false" customHeight="true" outlineLevel="0" collapsed="false">
      <c r="A2752" s="1" t="s">
        <v>5326</v>
      </c>
      <c r="B2752" s="1" t="n">
        <v>2000</v>
      </c>
      <c r="C2752" s="1" t="n">
        <v>7</v>
      </c>
      <c r="D2752" s="1" t="s">
        <v>38</v>
      </c>
      <c r="E2752" s="1" t="s">
        <v>2039</v>
      </c>
      <c r="F2752" s="1" t="n">
        <v>560</v>
      </c>
      <c r="G2752" s="1" t="n">
        <v>200</v>
      </c>
      <c r="H2752" s="2" t="n">
        <v>2705000</v>
      </c>
      <c r="I2752" s="2" t="n">
        <f aca="false">(((H2752 / 800) / IF(ISBLANK(R2752), 1000000, IF(ISNA(VLOOKUP(R2752, Mileages!$A$2:$C$34, 2, 0)), R2752, VLOOKUP(R2752, Mileages!$A$2:$C$34, 2, 0)))) + (F2752 * IF(ISBLANK(P2752), 1, P2752) * IF(ISBLANK(T2752), 0, IF(ISNA(VLOOKUP(T2752, 'Fuel Costs'!$A$2:$C$42, 2, 0)), T2752, VLOOKUP(T2752, 'Fuel Costs'!$A$2:$C$42, 2, 0))) / IF(ISBLANK(O2752), 1, O2752))) * 100</f>
        <v>112.1690625</v>
      </c>
      <c r="J2752" s="2" t="n">
        <f aca="false">((H2752 / 800) / (IF(ISBLANK(S2752), 100, IF(ISNA(VLOOKUP(S2752, Lives!$A$2:$C$35, 2, 0)), S2752, VLOOKUP(S2752, Lives!$A$2:$C$35, 2, 0))) * 12) + (IF(ISBLANK(Q2752), 0, IF(ISNA(VLOOKUP(Q2752, Wages!$A$2:$C$17, 2, 0)), Q2752, VLOOKUP(Q2752, Wages!$A$2:$C$17, 2, 0))) * IF(ISBLANK(N2752), 0, IF(ISNA(VLOOKUP(N2752, Crews!$A$2:$C$28, 2, 0)), N2752, VLOOKUP(N2752, Crews!$A$2:$C$28, 2, 0))))) * 400</f>
        <v>1408.854167</v>
      </c>
      <c r="K2752" s="1" t="s">
        <v>5325</v>
      </c>
      <c r="L2752" s="1" t="s">
        <v>5323</v>
      </c>
      <c r="M2752" s="1" t="n">
        <v>2</v>
      </c>
      <c r="N2752" s="1"/>
      <c r="O2752" s="1" t="n">
        <v>1</v>
      </c>
      <c r="P2752" s="1"/>
      <c r="Q2752" s="1"/>
      <c r="R2752" s="1" t="s">
        <v>4747</v>
      </c>
      <c r="S2752" s="1" t="s">
        <v>4747</v>
      </c>
      <c r="T2752" s="1" t="s">
        <v>5292</v>
      </c>
    </row>
    <row r="2753" customFormat="false" ht="15" hidden="false" customHeight="true" outlineLevel="0" collapsed="false">
      <c r="A2753" s="1" t="s">
        <v>5327</v>
      </c>
      <c r="B2753" s="1" t="n">
        <v>2000</v>
      </c>
      <c r="C2753" s="1" t="n">
        <v>7</v>
      </c>
      <c r="D2753" s="1" t="s">
        <v>38</v>
      </c>
      <c r="E2753" s="1" t="s">
        <v>2039</v>
      </c>
      <c r="F2753" s="1" t="n">
        <v>560</v>
      </c>
      <c r="G2753" s="1" t="n">
        <v>200</v>
      </c>
      <c r="H2753" s="2" t="n">
        <v>2957000</v>
      </c>
      <c r="I2753" s="2" t="n">
        <f aca="false">(((H2753 / 800) / IF(ISBLANK(R2753), 1000000, IF(ISNA(VLOOKUP(R2753, Mileages!$A$2:$C$34, 2, 0)), R2753, VLOOKUP(R2753, Mileages!$A$2:$C$34, 2, 0)))) + (F2753 * IF(ISBLANK(P2753), 1, P2753) * IF(ISBLANK(T2753), 0, IF(ISNA(VLOOKUP(T2753, 'Fuel Costs'!$A$2:$C$42, 2, 0)), T2753, VLOOKUP(T2753, 'Fuel Costs'!$A$2:$C$42, 2, 0))) / IF(ISBLANK(O2753), 1, O2753))) * 100</f>
        <v>112.1848125</v>
      </c>
      <c r="J2753" s="2" t="n">
        <f aca="false">((H2753 / 800) / (IF(ISBLANK(S2753), 100, IF(ISNA(VLOOKUP(S2753, Lives!$A$2:$C$35, 2, 0)), S2753, VLOOKUP(S2753, Lives!$A$2:$C$35, 2, 0))) * 12) + (IF(ISBLANK(Q2753), 0, IF(ISNA(VLOOKUP(Q2753, Wages!$A$2:$C$17, 2, 0)), Q2753, VLOOKUP(Q2753, Wages!$A$2:$C$17, 2, 0))) * IF(ISBLANK(N2753), 0, IF(ISNA(VLOOKUP(N2753, Crews!$A$2:$C$28, 2, 0)), N2753, VLOOKUP(N2753, Crews!$A$2:$C$28, 2, 0))))) * 400</f>
        <v>19540.10417</v>
      </c>
      <c r="K2753" s="1"/>
      <c r="L2753" s="1" t="s">
        <v>5323</v>
      </c>
      <c r="M2753" s="1" t="n">
        <v>3</v>
      </c>
      <c r="N2753" s="1" t="s">
        <v>1481</v>
      </c>
      <c r="O2753" s="1" t="n">
        <v>1</v>
      </c>
      <c r="P2753" s="1"/>
      <c r="Q2753" s="1" t="s">
        <v>1481</v>
      </c>
      <c r="R2753" s="1" t="s">
        <v>4747</v>
      </c>
      <c r="S2753" s="1" t="s">
        <v>4747</v>
      </c>
      <c r="T2753" s="1" t="s">
        <v>5292</v>
      </c>
    </row>
    <row r="2754" customFormat="false" ht="15" hidden="false" customHeight="true" outlineLevel="0" collapsed="false">
      <c r="A2754" s="1" t="s">
        <v>5328</v>
      </c>
      <c r="B2754" s="1" t="n">
        <v>2000</v>
      </c>
      <c r="C2754" s="1" t="n">
        <v>7</v>
      </c>
      <c r="D2754" s="1" t="s">
        <v>38</v>
      </c>
      <c r="E2754" s="1" t="s">
        <v>2039</v>
      </c>
      <c r="F2754" s="1" t="n">
        <v>560</v>
      </c>
      <c r="G2754" s="1" t="n">
        <v>200</v>
      </c>
      <c r="H2754" s="2" t="n">
        <v>2705000</v>
      </c>
      <c r="I2754" s="2" t="n">
        <f aca="false">(((H2754 / 800) / IF(ISBLANK(R2754), 1000000, IF(ISNA(VLOOKUP(R2754, Mileages!$A$2:$C$34, 2, 0)), R2754, VLOOKUP(R2754, Mileages!$A$2:$C$34, 2, 0)))) + (F2754 * IF(ISBLANK(P2754), 1, P2754) * IF(ISBLANK(T2754), 0, IF(ISNA(VLOOKUP(T2754, 'Fuel Costs'!$A$2:$C$42, 2, 0)), T2754, VLOOKUP(T2754, 'Fuel Costs'!$A$2:$C$42, 2, 0))) / IF(ISBLANK(O2754), 1, O2754))) * 100</f>
        <v>112.1690625</v>
      </c>
      <c r="J2754" s="2" t="n">
        <f aca="false">((H2754 / 800) / (IF(ISBLANK(S2754), 100, IF(ISNA(VLOOKUP(S2754, Lives!$A$2:$C$35, 2, 0)), S2754, VLOOKUP(S2754, Lives!$A$2:$C$35, 2, 0))) * 12) + (IF(ISBLANK(Q2754), 0, IF(ISNA(VLOOKUP(Q2754, Wages!$A$2:$C$17, 2, 0)), Q2754, VLOOKUP(Q2754, Wages!$A$2:$C$17, 2, 0))) * IF(ISBLANK(N2754), 0, IF(ISNA(VLOOKUP(N2754, Crews!$A$2:$C$28, 2, 0)), N2754, VLOOKUP(N2754, Crews!$A$2:$C$28, 2, 0))))) * 400</f>
        <v>7408.854167</v>
      </c>
      <c r="K2754" s="1"/>
      <c r="L2754" s="1" t="s">
        <v>5323</v>
      </c>
      <c r="M2754" s="1" t="n">
        <v>4</v>
      </c>
      <c r="N2754" s="1" t="s">
        <v>1512</v>
      </c>
      <c r="O2754" s="1" t="n">
        <v>1</v>
      </c>
      <c r="P2754" s="1"/>
      <c r="Q2754" s="1" t="s">
        <v>1512</v>
      </c>
      <c r="R2754" s="1" t="s">
        <v>4747</v>
      </c>
      <c r="S2754" s="1" t="s">
        <v>4747</v>
      </c>
      <c r="T2754" s="1" t="s">
        <v>5292</v>
      </c>
    </row>
    <row r="2755" customFormat="false" ht="15" hidden="false" customHeight="true" outlineLevel="0" collapsed="false">
      <c r="A2755" s="1" t="s">
        <v>5329</v>
      </c>
      <c r="B2755" s="1" t="n">
        <v>2001</v>
      </c>
      <c r="C2755" s="1" t="n">
        <v>1</v>
      </c>
      <c r="D2755" s="1" t="s">
        <v>38</v>
      </c>
      <c r="E2755" s="1" t="s">
        <v>1346</v>
      </c>
      <c r="F2755" s="1" t="n">
        <v>855</v>
      </c>
      <c r="G2755" s="1" t="n">
        <v>225</v>
      </c>
      <c r="H2755" s="2" t="n">
        <v>2785000</v>
      </c>
      <c r="I2755" s="2" t="n">
        <f aca="false">(((H2755 / 800) / IF(ISBLANK(R2755), 1000000, IF(ISNA(VLOOKUP(R2755, Mileages!$A$2:$C$34, 2, 0)), R2755, VLOOKUP(R2755, Mileages!$A$2:$C$34, 2, 0)))) + (F2755 * IF(ISBLANK(P2755), 1, P2755) * IF(ISBLANK(T2755), 0, IF(ISNA(VLOOKUP(T2755, 'Fuel Costs'!$A$2:$C$42, 2, 0)), T2755, VLOOKUP(T2755, 'Fuel Costs'!$A$2:$C$42, 2, 0))) / IF(ISBLANK(O2755), 1, O2755))) * 100</f>
        <v>128.4240625</v>
      </c>
      <c r="J2755" s="2" t="n">
        <f aca="false">((H2755 / 800) / (IF(ISBLANK(S2755), 100, IF(ISNA(VLOOKUP(S2755, Lives!$A$2:$C$35, 2, 0)), S2755, VLOOKUP(S2755, Lives!$A$2:$C$35, 2, 0))) * 12) + (IF(ISBLANK(Q2755), 0, IF(ISNA(VLOOKUP(Q2755, Wages!$A$2:$C$17, 2, 0)), Q2755, VLOOKUP(Q2755, Wages!$A$2:$C$17, 2, 0))) * IF(ISBLANK(N2755), 0, IF(ISNA(VLOOKUP(N2755, Crews!$A$2:$C$28, 2, 0)), N2755, VLOOKUP(N2755, Crews!$A$2:$C$28, 2, 0))))) * 400</f>
        <v>8320.833333</v>
      </c>
      <c r="K2755" s="1"/>
      <c r="L2755" s="1" t="s">
        <v>5330</v>
      </c>
      <c r="M2755" s="1" t="n">
        <v>4</v>
      </c>
      <c r="N2755" s="1" t="s">
        <v>1512</v>
      </c>
      <c r="O2755" s="1" t="n">
        <v>1</v>
      </c>
      <c r="P2755" s="1"/>
      <c r="Q2755" s="1" t="str">
        <f aca="false">IF(ISBLANK('Pak128 Britain In'!$N2755),,'Pak128 Britain In'!$N2755)</f>
        <v>ElectricMultipleUnit</v>
      </c>
      <c r="R2755" s="1" t="s">
        <v>4696</v>
      </c>
      <c r="S2755" s="1" t="s">
        <v>1350</v>
      </c>
      <c r="T2755" s="1" t="s">
        <v>5303</v>
      </c>
    </row>
    <row r="2756" customFormat="false" ht="15" hidden="false" customHeight="true" outlineLevel="0" collapsed="false">
      <c r="A2756" s="1" t="s">
        <v>5331</v>
      </c>
      <c r="B2756" s="1" t="n">
        <v>2001</v>
      </c>
      <c r="C2756" s="1" t="n">
        <v>1</v>
      </c>
      <c r="D2756" s="1" t="s">
        <v>38</v>
      </c>
      <c r="E2756" s="1" t="s">
        <v>1346</v>
      </c>
      <c r="F2756" s="1" t="n">
        <v>855</v>
      </c>
      <c r="G2756" s="1" t="n">
        <v>225</v>
      </c>
      <c r="H2756" s="2" t="n">
        <v>2785000</v>
      </c>
      <c r="I2756" s="2" t="n">
        <f aca="false">(((H2756 / 800) / IF(ISBLANK(R2756), 1000000, IF(ISNA(VLOOKUP(R2756, Mileages!$A$2:$C$34, 2, 0)), R2756, VLOOKUP(R2756, Mileages!$A$2:$C$34, 2, 0)))) + (F2756 * IF(ISBLANK(P2756), 1, P2756) * IF(ISBLANK(T2756), 0, IF(ISNA(VLOOKUP(T2756, 'Fuel Costs'!$A$2:$C$42, 2, 0)), T2756, VLOOKUP(T2756, 'Fuel Costs'!$A$2:$C$42, 2, 0))) / IF(ISBLANK(O2756), 1, O2756))) * 100</f>
        <v>128.4240625</v>
      </c>
      <c r="J2756" s="2" t="n">
        <f aca="false">((H2756 / 800) / (IF(ISBLANK(S2756), 100, IF(ISNA(VLOOKUP(S2756, Lives!$A$2:$C$35, 2, 0)), S2756, VLOOKUP(S2756, Lives!$A$2:$C$35, 2, 0))) * 12) + (IF(ISBLANK(Q2756), 0, IF(ISNA(VLOOKUP(Q2756, Wages!$A$2:$C$17, 2, 0)), Q2756, VLOOKUP(Q2756, Wages!$A$2:$C$17, 2, 0))) * IF(ISBLANK(N2756), 0, IF(ISNA(VLOOKUP(N2756, Crews!$A$2:$C$28, 2, 0)), N2756, VLOOKUP(N2756, Crews!$A$2:$C$28, 2, 0))))) * 400</f>
        <v>8320.833333</v>
      </c>
      <c r="K2756" s="1"/>
      <c r="L2756" s="1" t="s">
        <v>5330</v>
      </c>
      <c r="M2756" s="1" t="n">
        <v>5</v>
      </c>
      <c r="N2756" s="1" t="s">
        <v>1512</v>
      </c>
      <c r="O2756" s="1" t="n">
        <v>1</v>
      </c>
      <c r="P2756" s="1"/>
      <c r="Q2756" s="1" t="str">
        <f aca="false">IF(ISBLANK('Pak128 Britain In'!$N2756),,'Pak128 Britain In'!$N2756)</f>
        <v>ElectricMultipleUnit</v>
      </c>
      <c r="R2756" s="1" t="s">
        <v>4696</v>
      </c>
      <c r="S2756" s="1" t="s">
        <v>1350</v>
      </c>
      <c r="T2756" s="1" t="s">
        <v>5303</v>
      </c>
    </row>
    <row r="2757" customFormat="false" ht="15" hidden="false" customHeight="true" outlineLevel="0" collapsed="false">
      <c r="A2757" s="1" t="s">
        <v>5332</v>
      </c>
      <c r="B2757" s="1" t="n">
        <v>2001</v>
      </c>
      <c r="C2757" s="1" t="n">
        <v>1</v>
      </c>
      <c r="D2757" s="1" t="s">
        <v>29</v>
      </c>
      <c r="E2757" s="1" t="s">
        <v>2039</v>
      </c>
      <c r="F2757" s="1" t="n">
        <v>1000</v>
      </c>
      <c r="G2757" s="1" t="n">
        <v>46</v>
      </c>
      <c r="H2757" s="2" t="n">
        <v>52000000</v>
      </c>
      <c r="I2757" s="2" t="n">
        <f aca="false">(((H2757 / 800) / IF(ISBLANK(R2757), 1000000, IF(ISNA(VLOOKUP(R2757, Mileages!$A$2:$C$34, 2, 0)), R2757, VLOOKUP(R2757, Mileages!$A$2:$C$34, 2, 0)))) + (F2757 * IF(ISBLANK(P2757), 1, P2757) * IF(ISBLANK(T2757), 0, IF(ISNA(VLOOKUP(T2757, 'Fuel Costs'!$A$2:$C$42, 2, 0)), T2757, VLOOKUP(T2757, 'Fuel Costs'!$A$2:$C$42, 2, 0))) / IF(ISBLANK(O2757), 1, O2757))) * 100</f>
        <v>41.08333333</v>
      </c>
      <c r="J2757" s="2" t="n">
        <f aca="false">((H2757 / 800) / (IF(ISBLANK(S2757), 100, IF(ISNA(VLOOKUP(S2757, Lives!$A$2:$C$35, 2, 0)), S2757, VLOOKUP(S2757, Lives!$A$2:$C$35, 2, 0))) * 12) + (IF(ISBLANK(Q2757), 0, IF(ISNA(VLOOKUP(Q2757, Wages!$A$2:$C$17, 2, 0)), Q2757, VLOOKUP(Q2757, Wages!$A$2:$C$17, 2, 0))) * IF(ISBLANK(N2757), 0, IF(ISNA(VLOOKUP(N2757, Crews!$A$2:$C$28, 2, 0)), N2757, VLOOKUP(N2757, Crews!$A$2:$C$28, 2, 0))))) * 400</f>
        <v>221666.6667</v>
      </c>
      <c r="K2757" s="1"/>
      <c r="L2757" s="1" t="s">
        <v>5333</v>
      </c>
      <c r="M2757" s="1" t="n">
        <v>0</v>
      </c>
      <c r="N2757" s="1" t="s">
        <v>323</v>
      </c>
      <c r="O2757" s="1" t="n">
        <v>1</v>
      </c>
      <c r="P2757" s="1" t="n">
        <v>0.2</v>
      </c>
      <c r="Q2757" s="1" t="s">
        <v>34</v>
      </c>
      <c r="R2757" s="1" t="s">
        <v>3933</v>
      </c>
      <c r="S2757" s="1" t="s">
        <v>574</v>
      </c>
      <c r="T2757" s="1" t="s">
        <v>5292</v>
      </c>
    </row>
    <row r="2758" customFormat="false" ht="15" hidden="false" customHeight="true" outlineLevel="0" collapsed="false">
      <c r="A2758" s="1" t="s">
        <v>5334</v>
      </c>
      <c r="B2758" s="1" t="n">
        <v>2001</v>
      </c>
      <c r="C2758" s="1" t="n">
        <v>2</v>
      </c>
      <c r="D2758" s="1" t="s">
        <v>38</v>
      </c>
      <c r="E2758" s="1" t="s">
        <v>2039</v>
      </c>
      <c r="F2758" s="1" t="n">
        <v>560</v>
      </c>
      <c r="G2758" s="1" t="n">
        <v>200</v>
      </c>
      <c r="H2758" s="2" t="n">
        <v>2415000</v>
      </c>
      <c r="I2758" s="2" t="n">
        <f aca="false">(((H2758 / 800) / IF(ISBLANK(R2758), 1000000, IF(ISNA(VLOOKUP(R2758, Mileages!$A$2:$C$34, 2, 0)), R2758, VLOOKUP(R2758, Mileages!$A$2:$C$34, 2, 0)))) + (F2758 * IF(ISBLANK(P2758), 1, P2758) * IF(ISBLANK(T2758), 0, IF(ISNA(VLOOKUP(T2758, 'Fuel Costs'!$A$2:$C$42, 2, 0)), T2758, VLOOKUP(T2758, 'Fuel Costs'!$A$2:$C$42, 2, 0))) / IF(ISBLANK(O2758), 1, O2758))) * 100</f>
        <v>112.1509375</v>
      </c>
      <c r="J2758" s="2" t="n">
        <f aca="false">((H2758 / 800) / (IF(ISBLANK(S2758), 100, IF(ISNA(VLOOKUP(S2758, Lives!$A$2:$C$35, 2, 0)), S2758, VLOOKUP(S2758, Lives!$A$2:$C$35, 2, 0))) * 12) + (IF(ISBLANK(Q2758), 0, IF(ISNA(VLOOKUP(Q2758, Wages!$A$2:$C$17, 2, 0)), Q2758, VLOOKUP(Q2758, Wages!$A$2:$C$17, 2, 0))) * IF(ISBLANK(N2758), 0, IF(ISNA(VLOOKUP(N2758, Crews!$A$2:$C$28, 2, 0)), N2758, VLOOKUP(N2758, Crews!$A$2:$C$28, 2, 0))))) * 400</f>
        <v>7257.8125</v>
      </c>
      <c r="K2758" s="1"/>
      <c r="L2758" s="1" t="s">
        <v>5335</v>
      </c>
      <c r="M2758" s="1" t="n">
        <v>0</v>
      </c>
      <c r="N2758" s="1" t="s">
        <v>1512</v>
      </c>
      <c r="O2758" s="1" t="n">
        <v>1</v>
      </c>
      <c r="P2758" s="1"/>
      <c r="Q2758" s="1" t="s">
        <v>1512</v>
      </c>
      <c r="R2758" s="1" t="s">
        <v>4747</v>
      </c>
      <c r="S2758" s="1" t="s">
        <v>4747</v>
      </c>
      <c r="T2758" s="1" t="s">
        <v>5292</v>
      </c>
    </row>
    <row r="2759" customFormat="false" ht="15" hidden="false" customHeight="true" outlineLevel="0" collapsed="false">
      <c r="A2759" s="1" t="s">
        <v>5336</v>
      </c>
      <c r="B2759" s="1" t="n">
        <v>2001</v>
      </c>
      <c r="C2759" s="1" t="n">
        <v>2</v>
      </c>
      <c r="D2759" s="1" t="s">
        <v>38</v>
      </c>
      <c r="E2759" s="1" t="s">
        <v>2039</v>
      </c>
      <c r="F2759" s="1" t="n">
        <v>560</v>
      </c>
      <c r="G2759" s="1" t="n">
        <v>200</v>
      </c>
      <c r="H2759" s="2" t="n">
        <v>2415000</v>
      </c>
      <c r="I2759" s="2" t="n">
        <f aca="false">(((H2759 / 800) / IF(ISBLANK(R2759), 1000000, IF(ISNA(VLOOKUP(R2759, Mileages!$A$2:$C$34, 2, 0)), R2759, VLOOKUP(R2759, Mileages!$A$2:$C$34, 2, 0)))) + (F2759 * IF(ISBLANK(P2759), 1, P2759) * IF(ISBLANK(T2759), 0, IF(ISNA(VLOOKUP(T2759, 'Fuel Costs'!$A$2:$C$42, 2, 0)), T2759, VLOOKUP(T2759, 'Fuel Costs'!$A$2:$C$42, 2, 0))) / IF(ISBLANK(O2759), 1, O2759))) * 100</f>
        <v>112.1509375</v>
      </c>
      <c r="J2759" s="2" t="n">
        <f aca="false">((H2759 / 800) / (IF(ISBLANK(S2759), 100, IF(ISNA(VLOOKUP(S2759, Lives!$A$2:$C$35, 2, 0)), S2759, VLOOKUP(S2759, Lives!$A$2:$C$35, 2, 0))) * 12) + (IF(ISBLANK(Q2759), 0, IF(ISNA(VLOOKUP(Q2759, Wages!$A$2:$C$17, 2, 0)), Q2759, VLOOKUP(Q2759, Wages!$A$2:$C$17, 2, 0))) * IF(ISBLANK(N2759), 0, IF(ISNA(VLOOKUP(N2759, Crews!$A$2:$C$28, 2, 0)), N2759, VLOOKUP(N2759, Crews!$A$2:$C$28, 2, 0))))) * 400</f>
        <v>1257.8125</v>
      </c>
      <c r="K2759" s="1" t="s">
        <v>5337</v>
      </c>
      <c r="L2759" s="1" t="s">
        <v>5335</v>
      </c>
      <c r="M2759" s="1" t="n">
        <v>1</v>
      </c>
      <c r="N2759" s="1"/>
      <c r="O2759" s="1" t="n">
        <v>1</v>
      </c>
      <c r="P2759" s="1"/>
      <c r="Q2759" s="1"/>
      <c r="R2759" s="1" t="s">
        <v>4747</v>
      </c>
      <c r="S2759" s="1" t="s">
        <v>4747</v>
      </c>
      <c r="T2759" s="1" t="s">
        <v>5292</v>
      </c>
    </row>
    <row r="2760" customFormat="false" ht="15" hidden="false" customHeight="true" outlineLevel="0" collapsed="false">
      <c r="A2760" s="1" t="s">
        <v>5338</v>
      </c>
      <c r="B2760" s="1" t="n">
        <v>2001</v>
      </c>
      <c r="C2760" s="1" t="n">
        <v>2</v>
      </c>
      <c r="D2760" s="1" t="s">
        <v>38</v>
      </c>
      <c r="E2760" s="1" t="s">
        <v>2039</v>
      </c>
      <c r="F2760" s="1" t="n">
        <v>560</v>
      </c>
      <c r="G2760" s="1" t="n">
        <v>200</v>
      </c>
      <c r="H2760" s="2" t="n">
        <v>2630000</v>
      </c>
      <c r="I2760" s="2" t="n">
        <f aca="false">(((H2760 / 800) / IF(ISBLANK(R2760), 1000000, IF(ISNA(VLOOKUP(R2760, Mileages!$A$2:$C$34, 2, 0)), R2760, VLOOKUP(R2760, Mileages!$A$2:$C$34, 2, 0)))) + (F2760 * IF(ISBLANK(P2760), 1, P2760) * IF(ISBLANK(T2760), 0, IF(ISNA(VLOOKUP(T2760, 'Fuel Costs'!$A$2:$C$42, 2, 0)), T2760, VLOOKUP(T2760, 'Fuel Costs'!$A$2:$C$42, 2, 0))) / IF(ISBLANK(O2760), 1, O2760))) * 100</f>
        <v>112.164375</v>
      </c>
      <c r="J2760" s="2" t="n">
        <f aca="false">((H2760 / 800) / (IF(ISBLANK(S2760), 100, IF(ISNA(VLOOKUP(S2760, Lives!$A$2:$C$35, 2, 0)), S2760, VLOOKUP(S2760, Lives!$A$2:$C$35, 2, 0))) * 12) + (IF(ISBLANK(Q2760), 0, IF(ISNA(VLOOKUP(Q2760, Wages!$A$2:$C$17, 2, 0)), Q2760, VLOOKUP(Q2760, Wages!$A$2:$C$17, 2, 0))) * IF(ISBLANK(N2760), 0, IF(ISNA(VLOOKUP(N2760, Crews!$A$2:$C$28, 2, 0)), N2760, VLOOKUP(N2760, Crews!$A$2:$C$28, 2, 0))))) * 400</f>
        <v>1369.791667</v>
      </c>
      <c r="K2760" s="1"/>
      <c r="L2760" s="1" t="s">
        <v>5335</v>
      </c>
      <c r="M2760" s="1" t="n">
        <v>2</v>
      </c>
      <c r="N2760" s="1"/>
      <c r="O2760" s="1" t="n">
        <v>1</v>
      </c>
      <c r="P2760" s="1"/>
      <c r="Q2760" s="1"/>
      <c r="R2760" s="1" t="s">
        <v>4747</v>
      </c>
      <c r="S2760" s="1" t="s">
        <v>4747</v>
      </c>
      <c r="T2760" s="1" t="s">
        <v>5292</v>
      </c>
    </row>
    <row r="2761" customFormat="false" ht="15" hidden="false" customHeight="true" outlineLevel="0" collapsed="false">
      <c r="A2761" s="1" t="s">
        <v>5339</v>
      </c>
      <c r="B2761" s="1" t="n">
        <v>2001</v>
      </c>
      <c r="C2761" s="1" t="n">
        <v>2</v>
      </c>
      <c r="D2761" s="1" t="s">
        <v>38</v>
      </c>
      <c r="E2761" s="1" t="s">
        <v>2039</v>
      </c>
      <c r="F2761" s="1" t="n">
        <v>560</v>
      </c>
      <c r="G2761" s="1" t="n">
        <v>200</v>
      </c>
      <c r="H2761" s="2" t="n">
        <v>2415000</v>
      </c>
      <c r="I2761" s="2" t="n">
        <f aca="false">(((H2761 / 800) / IF(ISBLANK(R2761), 1000000, IF(ISNA(VLOOKUP(R2761, Mileages!$A$2:$C$34, 2, 0)), R2761, VLOOKUP(R2761, Mileages!$A$2:$C$34, 2, 0)))) + (F2761 * IF(ISBLANK(P2761), 1, P2761) * IF(ISBLANK(T2761), 0, IF(ISNA(VLOOKUP(T2761, 'Fuel Costs'!$A$2:$C$42, 2, 0)), T2761, VLOOKUP(T2761, 'Fuel Costs'!$A$2:$C$42, 2, 0))) / IF(ISBLANK(O2761), 1, O2761))) * 100</f>
        <v>112.1509375</v>
      </c>
      <c r="J2761" s="2" t="n">
        <f aca="false">((H2761 / 800) / (IF(ISBLANK(S2761), 100, IF(ISNA(VLOOKUP(S2761, Lives!$A$2:$C$35, 2, 0)), S2761, VLOOKUP(S2761, Lives!$A$2:$C$35, 2, 0))) * 12) + (IF(ISBLANK(Q2761), 0, IF(ISNA(VLOOKUP(Q2761, Wages!$A$2:$C$17, 2, 0)), Q2761, VLOOKUP(Q2761, Wages!$A$2:$C$17, 2, 0))) * IF(ISBLANK(N2761), 0, IF(ISNA(VLOOKUP(N2761, Crews!$A$2:$C$28, 2, 0)), N2761, VLOOKUP(N2761, Crews!$A$2:$C$28, 2, 0))))) * 400</f>
        <v>7257.8125</v>
      </c>
      <c r="K2761" s="1"/>
      <c r="L2761" s="1" t="s">
        <v>5335</v>
      </c>
      <c r="M2761" s="1" t="n">
        <v>3</v>
      </c>
      <c r="N2761" s="1" t="s">
        <v>1512</v>
      </c>
      <c r="O2761" s="1" t="n">
        <v>1</v>
      </c>
      <c r="P2761" s="1"/>
      <c r="Q2761" s="1" t="s">
        <v>1512</v>
      </c>
      <c r="R2761" s="1" t="s">
        <v>4747</v>
      </c>
      <c r="S2761" s="1" t="s">
        <v>4747</v>
      </c>
      <c r="T2761" s="1" t="s">
        <v>5292</v>
      </c>
    </row>
    <row r="2762" customFormat="false" ht="15" hidden="false" customHeight="true" outlineLevel="0" collapsed="false">
      <c r="A2762" s="1" t="s">
        <v>5340</v>
      </c>
      <c r="B2762" s="1" t="n">
        <v>2001</v>
      </c>
      <c r="C2762" s="1" t="n">
        <v>3</v>
      </c>
      <c r="D2762" s="1" t="s">
        <v>29</v>
      </c>
      <c r="E2762" s="1" t="s">
        <v>2039</v>
      </c>
      <c r="F2762" s="1" t="n">
        <v>1200</v>
      </c>
      <c r="G2762" s="1" t="n">
        <v>52</v>
      </c>
      <c r="H2762" s="2" t="n">
        <v>59000000</v>
      </c>
      <c r="I2762" s="2" t="n">
        <f aca="false">(((H2762 / 800) / IF(ISBLANK(R2762), 1000000, IF(ISNA(VLOOKUP(R2762, Mileages!$A$2:$C$34, 2, 0)), R2762, VLOOKUP(R2762, Mileages!$A$2:$C$34, 2, 0)))) + (F2762 * IF(ISBLANK(P2762), 1, P2762) * IF(ISBLANK(T2762), 0, IF(ISNA(VLOOKUP(T2762, 'Fuel Costs'!$A$2:$C$42, 2, 0)), T2762, VLOOKUP(T2762, 'Fuel Costs'!$A$2:$C$42, 2, 0))) / IF(ISBLANK(O2762), 1, O2762))) * 100</f>
        <v>49.22916667</v>
      </c>
      <c r="J2762" s="2" t="n">
        <f aca="false">((H2762 / 800) / (IF(ISBLANK(S2762), 100, IF(ISNA(VLOOKUP(S2762, Lives!$A$2:$C$35, 2, 0)), S2762, VLOOKUP(S2762, Lives!$A$2:$C$35, 2, 0))) * 12) + (IF(ISBLANK(Q2762), 0, IF(ISNA(VLOOKUP(Q2762, Wages!$A$2:$C$17, 2, 0)), Q2762, VLOOKUP(Q2762, Wages!$A$2:$C$17, 2, 0))) * IF(ISBLANK(N2762), 0, IF(ISNA(VLOOKUP(N2762, Crews!$A$2:$C$28, 2, 0)), N2762, VLOOKUP(N2762, Crews!$A$2:$C$28, 2, 0))))) * 400</f>
        <v>224583.3333</v>
      </c>
      <c r="K2762" s="1"/>
      <c r="L2762" s="1" t="s">
        <v>5333</v>
      </c>
      <c r="M2762" s="1" t="n">
        <v>1</v>
      </c>
      <c r="N2762" s="1" t="s">
        <v>323</v>
      </c>
      <c r="O2762" s="1" t="n">
        <v>1</v>
      </c>
      <c r="P2762" s="1" t="n">
        <v>0.2</v>
      </c>
      <c r="Q2762" s="1" t="s">
        <v>34</v>
      </c>
      <c r="R2762" s="1" t="s">
        <v>3933</v>
      </c>
      <c r="S2762" s="1" t="s">
        <v>574</v>
      </c>
      <c r="T2762" s="1" t="s">
        <v>5292</v>
      </c>
    </row>
    <row r="2763" customFormat="false" ht="15" hidden="false" customHeight="true" outlineLevel="0" collapsed="false">
      <c r="A2763" s="1" t="s">
        <v>5341</v>
      </c>
      <c r="B2763" s="1" t="n">
        <v>2001</v>
      </c>
      <c r="C2763" s="1" t="n">
        <v>3</v>
      </c>
      <c r="D2763" s="1" t="s">
        <v>38</v>
      </c>
      <c r="E2763" s="1"/>
      <c r="F2763" s="1"/>
      <c r="G2763" s="1" t="n">
        <v>120</v>
      </c>
      <c r="H2763" s="2" t="n">
        <v>690000</v>
      </c>
      <c r="I2763" s="2" t="n">
        <f aca="false">(((H2763 / 800) / IF(ISBLANK(R2763), 1000000, IF(ISNA(VLOOKUP(R2763, Mileages!$A$2:$C$34, 2, 0)), R2763, VLOOKUP(R2763, Mileages!$A$2:$C$34, 2, 0)))) + (F2763 * IF(ISBLANK(P2763), 1, P2763) * IF(ISBLANK(T2763), 0, IF(ISNA(VLOOKUP(T2763, 'Fuel Costs'!$A$2:$C$42, 2, 0)), T2763, VLOOKUP(T2763, 'Fuel Costs'!$A$2:$C$42, 2, 0))) / IF(ISBLANK(O2763), 1, O2763))) * 100</f>
        <v>0.0359375</v>
      </c>
      <c r="J2763" s="2" t="n">
        <f aca="false">((H2763 / 800) / (IF(ISBLANK(S2763), 100, IF(ISNA(VLOOKUP(S2763, Lives!$A$2:$C$35, 2, 0)), S2763, VLOOKUP(S2763, Lives!$A$2:$C$35, 2, 0))) * 12) + (IF(ISBLANK(Q2763), 0, IF(ISNA(VLOOKUP(Q2763, Wages!$A$2:$C$17, 2, 0)), Q2763, VLOOKUP(Q2763, Wages!$A$2:$C$17, 2, 0))) * IF(ISBLANK(N2763), 0, IF(ISNA(VLOOKUP(N2763, Crews!$A$2:$C$28, 2, 0)), N2763, VLOOKUP(N2763, Crews!$A$2:$C$28, 2, 0))))) * 400</f>
        <v>287.5</v>
      </c>
      <c r="K2763" s="3" t="s">
        <v>5342</v>
      </c>
      <c r="L2763" s="1" t="s">
        <v>5343</v>
      </c>
      <c r="M2763" s="1" t="n">
        <v>0</v>
      </c>
      <c r="N2763" s="1"/>
      <c r="O2763" s="1"/>
      <c r="P2763" s="1"/>
      <c r="Q2763" s="1"/>
      <c r="R2763" s="1" t="s">
        <v>4419</v>
      </c>
      <c r="S2763" s="1" t="s">
        <v>4289</v>
      </c>
      <c r="T2763" s="1"/>
    </row>
    <row r="2764" customFormat="false" ht="15" hidden="false" customHeight="true" outlineLevel="0" collapsed="false">
      <c r="A2764" s="1" t="s">
        <v>5344</v>
      </c>
      <c r="B2764" s="1" t="n">
        <v>2001</v>
      </c>
      <c r="C2764" s="1" t="n">
        <v>3</v>
      </c>
      <c r="D2764" s="1" t="s">
        <v>21</v>
      </c>
      <c r="E2764" s="1" t="s">
        <v>2039</v>
      </c>
      <c r="F2764" s="1" t="n">
        <v>93</v>
      </c>
      <c r="G2764" s="1" t="n">
        <v>75</v>
      </c>
      <c r="H2764" s="2" t="n">
        <v>550000</v>
      </c>
      <c r="I2764" s="2" t="n">
        <f aca="false">(((H2764 / 800) / IF(ISBLANK(R2764), 1000000, IF(ISNA(VLOOKUP(R2764, Mileages!$A$2:$C$34, 2, 0)), R2764, VLOOKUP(R2764, Mileages!$A$2:$C$34, 2, 0)))) + (F2764 * IF(ISBLANK(P2764), 1, P2764) * IF(ISBLANK(T2764), 0, IF(ISNA(VLOOKUP(T2764, 'Fuel Costs'!$A$2:$C$42, 2, 0)), T2764, VLOOKUP(T2764, 'Fuel Costs'!$A$2:$C$42, 2, 0))) / IF(ISBLANK(O2764), 1, O2764))) * 100</f>
        <v>18.634375</v>
      </c>
      <c r="J2764" s="2" t="n">
        <f aca="false">((H2764 / 800) / (IF(ISBLANK(S2764), 100, IF(ISNA(VLOOKUP(S2764, Lives!$A$2:$C$35, 2, 0)), S2764, VLOOKUP(S2764, Lives!$A$2:$C$35, 2, 0))) * 12) + (IF(ISBLANK(Q2764), 0, IF(ISNA(VLOOKUP(Q2764, Wages!$A$2:$C$17, 2, 0)), Q2764, VLOOKUP(Q2764, Wages!$A$2:$C$17, 2, 0))) * IF(ISBLANK(N2764), 0, IF(ISNA(VLOOKUP(N2764, Crews!$A$2:$C$28, 2, 0)), N2764, VLOOKUP(N2764, Crews!$A$2:$C$28, 2, 0))))) * 400</f>
        <v>8286.458333</v>
      </c>
      <c r="K2764" s="3" t="s">
        <v>5345</v>
      </c>
      <c r="L2764" s="1" t="s">
        <v>5346</v>
      </c>
      <c r="M2764" s="1" t="n">
        <v>0</v>
      </c>
      <c r="N2764" s="1" t="s">
        <v>1815</v>
      </c>
      <c r="O2764" s="1" t="n">
        <v>1</v>
      </c>
      <c r="P2764" s="1"/>
      <c r="Q2764" s="1" t="s">
        <v>1815</v>
      </c>
      <c r="R2764" s="1" t="s">
        <v>4725</v>
      </c>
      <c r="S2764" s="1" t="s">
        <v>1843</v>
      </c>
      <c r="T2764" s="1" t="s">
        <v>5292</v>
      </c>
    </row>
    <row r="2765" customFormat="false" ht="15" hidden="false" customHeight="true" outlineLevel="0" collapsed="false">
      <c r="A2765" s="1" t="s">
        <v>5347</v>
      </c>
      <c r="B2765" s="1" t="n">
        <v>2001</v>
      </c>
      <c r="C2765" s="1" t="n">
        <v>4</v>
      </c>
      <c r="D2765" s="1" t="s">
        <v>38</v>
      </c>
      <c r="E2765" s="1" t="s">
        <v>1346</v>
      </c>
      <c r="F2765" s="1" t="n">
        <v>500</v>
      </c>
      <c r="G2765" s="1" t="n">
        <v>160</v>
      </c>
      <c r="H2765" s="2" t="n">
        <v>1512000</v>
      </c>
      <c r="I2765" s="2" t="n">
        <f aca="false">(((H2765 / 800) / IF(ISBLANK(R2765), 1000000, IF(ISNA(VLOOKUP(R2765, Mileages!$A$2:$C$34, 2, 0)), R2765, VLOOKUP(R2765, Mileages!$A$2:$C$34, 2, 0)))) + (F2765 * IF(ISBLANK(P2765), 1, P2765) * IF(ISBLANK(T2765), 0, IF(ISNA(VLOOKUP(T2765, 'Fuel Costs'!$A$2:$C$42, 2, 0)), T2765, VLOOKUP(T2765, 'Fuel Costs'!$A$2:$C$42, 2, 0))) / IF(ISBLANK(O2765), 1, O2765))) * 100</f>
        <v>75.0945</v>
      </c>
      <c r="J2765" s="2" t="n">
        <f aca="false">((H2765 / 800) / (IF(ISBLANK(S2765), 100, IF(ISNA(VLOOKUP(S2765, Lives!$A$2:$C$35, 2, 0)), S2765, VLOOKUP(S2765, Lives!$A$2:$C$35, 2, 0))) * 12) + (IF(ISBLANK(Q2765), 0, IF(ISNA(VLOOKUP(Q2765, Wages!$A$2:$C$17, 2, 0)), Q2765, VLOOKUP(Q2765, Wages!$A$2:$C$17, 2, 0))) * IF(ISBLANK(N2765), 0, IF(ISNA(VLOOKUP(N2765, Crews!$A$2:$C$28, 2, 0)), N2765, VLOOKUP(N2765, Crews!$A$2:$C$28, 2, 0))))) * 400</f>
        <v>7260</v>
      </c>
      <c r="K2765" s="1"/>
      <c r="L2765" s="1" t="s">
        <v>5348</v>
      </c>
      <c r="M2765" s="1" t="n">
        <v>0</v>
      </c>
      <c r="N2765" s="1" t="s">
        <v>1512</v>
      </c>
      <c r="O2765" s="1" t="n">
        <v>1</v>
      </c>
      <c r="P2765" s="1"/>
      <c r="Q2765" s="1" t="str">
        <f aca="false">IF(ISBLANK('Pak128 Britain In'!$N2765),,'Pak128 Britain In'!$N2765)</f>
        <v>ElectricMultipleUnit</v>
      </c>
      <c r="R2765" s="1" t="s">
        <v>4696</v>
      </c>
      <c r="S2765" s="1" t="s">
        <v>1350</v>
      </c>
      <c r="T2765" s="1" t="s">
        <v>5303</v>
      </c>
    </row>
    <row r="2766" customFormat="false" ht="15" hidden="false" customHeight="true" outlineLevel="0" collapsed="false">
      <c r="A2766" s="1" t="s">
        <v>5349</v>
      </c>
      <c r="B2766" s="1" t="n">
        <v>2001</v>
      </c>
      <c r="C2766" s="1" t="n">
        <v>4</v>
      </c>
      <c r="D2766" s="1" t="s">
        <v>38</v>
      </c>
      <c r="E2766" s="1" t="s">
        <v>1346</v>
      </c>
      <c r="F2766" s="1" t="n">
        <v>0</v>
      </c>
      <c r="G2766" s="1" t="n">
        <v>160</v>
      </c>
      <c r="H2766" s="2" t="n">
        <v>1512000</v>
      </c>
      <c r="I2766" s="2" t="n">
        <f aca="false">(((H2766 / 800) / IF(ISBLANK(R2766), 1000000, IF(ISNA(VLOOKUP(R2766, Mileages!$A$2:$C$34, 2, 0)), R2766, VLOOKUP(R2766, Mileages!$A$2:$C$34, 2, 0)))) + (F2766 * IF(ISBLANK(P2766), 1, P2766) * IF(ISBLANK(T2766), 0, IF(ISNA(VLOOKUP(T2766, 'Fuel Costs'!$A$2:$C$42, 2, 0)), T2766, VLOOKUP(T2766, 'Fuel Costs'!$A$2:$C$42, 2, 0))) / IF(ISBLANK(O2766), 1, O2766))) * 100</f>
        <v>0.07875</v>
      </c>
      <c r="J2766" s="2" t="n">
        <f aca="false">((H2766 / 800) / (IF(ISBLANK(S2766), 100, IF(ISNA(VLOOKUP(S2766, Lives!$A$2:$C$35, 2, 0)), S2766, VLOOKUP(S2766, Lives!$A$2:$C$35, 2, 0))) * 12) + (IF(ISBLANK(Q2766), 0, IF(ISNA(VLOOKUP(Q2766, Wages!$A$2:$C$17, 2, 0)), Q2766, VLOOKUP(Q2766, Wages!$A$2:$C$17, 2, 0))) * IF(ISBLANK(N2766), 0, IF(ISNA(VLOOKUP(N2766, Crews!$A$2:$C$28, 2, 0)), N2766, VLOOKUP(N2766, Crews!$A$2:$C$28, 2, 0))))) * 400</f>
        <v>3150</v>
      </c>
      <c r="K2766" s="1" t="s">
        <v>5350</v>
      </c>
      <c r="L2766" s="1" t="s">
        <v>5348</v>
      </c>
      <c r="M2766" s="1" t="n">
        <v>1</v>
      </c>
      <c r="N2766" s="1"/>
      <c r="O2766" s="1"/>
      <c r="P2766" s="1"/>
      <c r="Q2766" s="1"/>
      <c r="R2766" s="1" t="s">
        <v>4419</v>
      </c>
      <c r="S2766" s="1" t="s">
        <v>4470</v>
      </c>
      <c r="T2766" s="1"/>
    </row>
    <row r="2767" customFormat="false" ht="15" hidden="false" customHeight="true" outlineLevel="0" collapsed="false">
      <c r="A2767" s="1" t="s">
        <v>5351</v>
      </c>
      <c r="B2767" s="1" t="n">
        <v>2001</v>
      </c>
      <c r="C2767" s="1" t="n">
        <v>4</v>
      </c>
      <c r="D2767" s="1" t="s">
        <v>38</v>
      </c>
      <c r="E2767" s="1" t="s">
        <v>1346</v>
      </c>
      <c r="F2767" s="1" t="n">
        <v>500</v>
      </c>
      <c r="G2767" s="1" t="n">
        <v>160</v>
      </c>
      <c r="H2767" s="2" t="n">
        <v>1512000</v>
      </c>
      <c r="I2767" s="2" t="n">
        <f aca="false">(((H2767 / 800) / IF(ISBLANK(R2767), 1000000, IF(ISNA(VLOOKUP(R2767, Mileages!$A$2:$C$34, 2, 0)), R2767, VLOOKUP(R2767, Mileages!$A$2:$C$34, 2, 0)))) + (F2767 * IF(ISBLANK(P2767), 1, P2767) * IF(ISBLANK(T2767), 0, IF(ISNA(VLOOKUP(T2767, 'Fuel Costs'!$A$2:$C$42, 2, 0)), T2767, VLOOKUP(T2767, 'Fuel Costs'!$A$2:$C$42, 2, 0))) / IF(ISBLANK(O2767), 1, O2767))) * 100</f>
        <v>75.0945</v>
      </c>
      <c r="J2767" s="2" t="n">
        <f aca="false">((H2767 / 800) / (IF(ISBLANK(S2767), 100, IF(ISNA(VLOOKUP(S2767, Lives!$A$2:$C$35, 2, 0)), S2767, VLOOKUP(S2767, Lives!$A$2:$C$35, 2, 0))) * 12) + (IF(ISBLANK(Q2767), 0, IF(ISNA(VLOOKUP(Q2767, Wages!$A$2:$C$17, 2, 0)), Q2767, VLOOKUP(Q2767, Wages!$A$2:$C$17, 2, 0))) * IF(ISBLANK(N2767), 0, IF(ISNA(VLOOKUP(N2767, Crews!$A$2:$C$28, 2, 0)), N2767, VLOOKUP(N2767, Crews!$A$2:$C$28, 2, 0))))) * 400</f>
        <v>1260</v>
      </c>
      <c r="K2767" s="1" t="s">
        <v>5352</v>
      </c>
      <c r="L2767" s="1" t="s">
        <v>5348</v>
      </c>
      <c r="M2767" s="1" t="n">
        <v>2</v>
      </c>
      <c r="N2767" s="1"/>
      <c r="O2767" s="1" t="n">
        <v>1</v>
      </c>
      <c r="P2767" s="1"/>
      <c r="Q2767" s="1"/>
      <c r="R2767" s="1" t="s">
        <v>4696</v>
      </c>
      <c r="S2767" s="1" t="s">
        <v>1350</v>
      </c>
      <c r="T2767" s="1" t="s">
        <v>5303</v>
      </c>
    </row>
    <row r="2768" customFormat="false" ht="15" hidden="false" customHeight="true" outlineLevel="0" collapsed="false">
      <c r="A2768" s="1" t="s">
        <v>5353</v>
      </c>
      <c r="B2768" s="1" t="n">
        <v>2001</v>
      </c>
      <c r="C2768" s="1" t="n">
        <v>4</v>
      </c>
      <c r="D2768" s="1" t="s">
        <v>38</v>
      </c>
      <c r="E2768" s="1" t="s">
        <v>1346</v>
      </c>
      <c r="F2768" s="1" t="n">
        <v>500</v>
      </c>
      <c r="G2768" s="1" t="n">
        <v>160</v>
      </c>
      <c r="H2768" s="2" t="n">
        <v>1008000</v>
      </c>
      <c r="I2768" s="2" t="n">
        <f aca="false">(((H2768 / 800) / IF(ISBLANK(R2768), 1000000, IF(ISNA(VLOOKUP(R2768, Mileages!$A$2:$C$34, 2, 0)), R2768, VLOOKUP(R2768, Mileages!$A$2:$C$34, 2, 0)))) + (F2768 * IF(ISBLANK(P2768), 1, P2768) * IF(ISBLANK(T2768), 0, IF(ISNA(VLOOKUP(T2768, 'Fuel Costs'!$A$2:$C$42, 2, 0)), T2768, VLOOKUP(T2768, 'Fuel Costs'!$A$2:$C$42, 2, 0))) / IF(ISBLANK(O2768), 1, O2768))) * 100</f>
        <v>75.063</v>
      </c>
      <c r="J2768" s="2" t="n">
        <f aca="false">((H2768 / 800) / (IF(ISBLANK(S2768), 100, IF(ISNA(VLOOKUP(S2768, Lives!$A$2:$C$35, 2, 0)), S2768, VLOOKUP(S2768, Lives!$A$2:$C$35, 2, 0))) * 12) + (IF(ISBLANK(Q2768), 0, IF(ISNA(VLOOKUP(Q2768, Wages!$A$2:$C$17, 2, 0)), Q2768, VLOOKUP(Q2768, Wages!$A$2:$C$17, 2, 0))) * IF(ISBLANK(N2768), 0, IF(ISNA(VLOOKUP(N2768, Crews!$A$2:$C$28, 2, 0)), N2768, VLOOKUP(N2768, Crews!$A$2:$C$28, 2, 0))))) * 400</f>
        <v>6840</v>
      </c>
      <c r="K2768" s="1"/>
      <c r="L2768" s="1" t="s">
        <v>5348</v>
      </c>
      <c r="M2768" s="1" t="n">
        <v>3</v>
      </c>
      <c r="N2768" s="1" t="s">
        <v>1512</v>
      </c>
      <c r="O2768" s="1" t="n">
        <v>1</v>
      </c>
      <c r="P2768" s="1"/>
      <c r="Q2768" s="1" t="str">
        <f aca="false">IF(ISBLANK('Pak128 Britain In'!$N2768),,'Pak128 Britain In'!$N2768)</f>
        <v>ElectricMultipleUnit</v>
      </c>
      <c r="R2768" s="1" t="s">
        <v>4696</v>
      </c>
      <c r="S2768" s="1" t="s">
        <v>1350</v>
      </c>
      <c r="T2768" s="1" t="s">
        <v>5303</v>
      </c>
    </row>
    <row r="2769" customFormat="false" ht="15" hidden="false" customHeight="true" outlineLevel="0" collapsed="false">
      <c r="A2769" s="1" t="s">
        <v>5354</v>
      </c>
      <c r="B2769" s="1" t="n">
        <v>2001</v>
      </c>
      <c r="C2769" s="1" t="n">
        <v>4</v>
      </c>
      <c r="D2769" s="1" t="s">
        <v>38</v>
      </c>
      <c r="E2769" s="1" t="s">
        <v>1346</v>
      </c>
      <c r="F2769" s="1" t="n">
        <v>500</v>
      </c>
      <c r="G2769" s="1" t="n">
        <v>160</v>
      </c>
      <c r="H2769" s="2" t="n">
        <v>1008000</v>
      </c>
      <c r="I2769" s="2" t="n">
        <f aca="false">(((H2769 / 800) / IF(ISBLANK(R2769), 1000000, IF(ISNA(VLOOKUP(R2769, Mileages!$A$2:$C$34, 2, 0)), R2769, VLOOKUP(R2769, Mileages!$A$2:$C$34, 2, 0)))) + (F2769 * IF(ISBLANK(P2769), 1, P2769) * IF(ISBLANK(T2769), 0, IF(ISNA(VLOOKUP(T2769, 'Fuel Costs'!$A$2:$C$42, 2, 0)), T2769, VLOOKUP(T2769, 'Fuel Costs'!$A$2:$C$42, 2, 0))) / IF(ISBLANK(O2769), 1, O2769))) * 100</f>
        <v>75.063</v>
      </c>
      <c r="J2769" s="2" t="n">
        <f aca="false">((H2769 / 800) / (IF(ISBLANK(S2769), 100, IF(ISNA(VLOOKUP(S2769, Lives!$A$2:$C$35, 2, 0)), S2769, VLOOKUP(S2769, Lives!$A$2:$C$35, 2, 0))) * 12) + (IF(ISBLANK(Q2769), 0, IF(ISNA(VLOOKUP(Q2769, Wages!$A$2:$C$17, 2, 0)), Q2769, VLOOKUP(Q2769, Wages!$A$2:$C$17, 2, 0))) * IF(ISBLANK(N2769), 0, IF(ISNA(VLOOKUP(N2769, Crews!$A$2:$C$28, 2, 0)), N2769, VLOOKUP(N2769, Crews!$A$2:$C$28, 2, 0))))) * 400</f>
        <v>6840</v>
      </c>
      <c r="K2769" s="1"/>
      <c r="L2769" s="1" t="s">
        <v>5355</v>
      </c>
      <c r="M2769" s="1" t="n">
        <v>0</v>
      </c>
      <c r="N2769" s="1" t="s">
        <v>1512</v>
      </c>
      <c r="O2769" s="1" t="n">
        <v>1</v>
      </c>
      <c r="P2769" s="1"/>
      <c r="Q2769" s="1" t="str">
        <f aca="false">IF(ISBLANK('Pak128 Britain In'!$N2769),,'Pak128 Britain In'!$N2769)</f>
        <v>ElectricMultipleUnit</v>
      </c>
      <c r="R2769" s="1" t="s">
        <v>4696</v>
      </c>
      <c r="S2769" s="1" t="s">
        <v>1350</v>
      </c>
      <c r="T2769" s="1" t="s">
        <v>5303</v>
      </c>
    </row>
    <row r="2770" customFormat="false" ht="15" hidden="false" customHeight="true" outlineLevel="0" collapsed="false">
      <c r="A2770" s="1" t="s">
        <v>5356</v>
      </c>
      <c r="B2770" s="1" t="n">
        <v>2001</v>
      </c>
      <c r="C2770" s="1" t="n">
        <v>4</v>
      </c>
      <c r="D2770" s="1" t="s">
        <v>38</v>
      </c>
      <c r="E2770" s="1" t="s">
        <v>1346</v>
      </c>
      <c r="F2770" s="1" t="n">
        <v>0</v>
      </c>
      <c r="G2770" s="1" t="n">
        <v>160</v>
      </c>
      <c r="H2770" s="2" t="n">
        <v>1852000</v>
      </c>
      <c r="I2770" s="2" t="n">
        <f aca="false">(((H2770 / 800) / IF(ISBLANK(R2770), 1000000, IF(ISNA(VLOOKUP(R2770, Mileages!$A$2:$C$34, 2, 0)), R2770, VLOOKUP(R2770, Mileages!$A$2:$C$34, 2, 0)))) + (F2770 * IF(ISBLANK(P2770), 1, P2770) * IF(ISBLANK(T2770), 0, IF(ISNA(VLOOKUP(T2770, 'Fuel Costs'!$A$2:$C$42, 2, 0)), T2770, VLOOKUP(T2770, 'Fuel Costs'!$A$2:$C$42, 2, 0))) / IF(ISBLANK(O2770), 1, O2770))) * 100</f>
        <v>0.09645833333</v>
      </c>
      <c r="J2770" s="2" t="n">
        <f aca="false">((H2770 / 800) / (IF(ISBLANK(S2770), 100, IF(ISNA(VLOOKUP(S2770, Lives!$A$2:$C$35, 2, 0)), S2770, VLOOKUP(S2770, Lives!$A$2:$C$35, 2, 0))) * 12) + (IF(ISBLANK(Q2770), 0, IF(ISNA(VLOOKUP(Q2770, Wages!$A$2:$C$17, 2, 0)), Q2770, VLOOKUP(Q2770, Wages!$A$2:$C$17, 2, 0))) * IF(ISBLANK(N2770), 0, IF(ISNA(VLOOKUP(N2770, Crews!$A$2:$C$28, 2, 0)), N2770, VLOOKUP(N2770, Crews!$A$2:$C$28, 2, 0))))) * 400</f>
        <v>3858.333333</v>
      </c>
      <c r="K2770" s="1"/>
      <c r="L2770" s="1" t="s">
        <v>5355</v>
      </c>
      <c r="M2770" s="1" t="n">
        <v>1</v>
      </c>
      <c r="N2770" s="1"/>
      <c r="O2770" s="1"/>
      <c r="P2770" s="1"/>
      <c r="Q2770" s="1"/>
      <c r="R2770" s="1" t="s">
        <v>4419</v>
      </c>
      <c r="S2770" s="1" t="s">
        <v>4470</v>
      </c>
      <c r="T2770" s="1"/>
    </row>
    <row r="2771" customFormat="false" ht="15" hidden="false" customHeight="true" outlineLevel="0" collapsed="false">
      <c r="A2771" s="1" t="s">
        <v>5357</v>
      </c>
      <c r="B2771" s="1" t="n">
        <v>2001</v>
      </c>
      <c r="C2771" s="1" t="n">
        <v>4</v>
      </c>
      <c r="D2771" s="1" t="s">
        <v>38</v>
      </c>
      <c r="E2771" s="1" t="s">
        <v>1346</v>
      </c>
      <c r="F2771" s="1" t="n">
        <v>500</v>
      </c>
      <c r="G2771" s="1" t="n">
        <v>160</v>
      </c>
      <c r="H2771" s="2" t="n">
        <v>1008000</v>
      </c>
      <c r="I2771" s="2" t="n">
        <f aca="false">(((H2771 / 800) / IF(ISBLANK(R2771), 1000000, IF(ISNA(VLOOKUP(R2771, Mileages!$A$2:$C$34, 2, 0)), R2771, VLOOKUP(R2771, Mileages!$A$2:$C$34, 2, 0)))) + (F2771 * IF(ISBLANK(P2771), 1, P2771) * IF(ISBLANK(T2771), 0, IF(ISNA(VLOOKUP(T2771, 'Fuel Costs'!$A$2:$C$42, 2, 0)), T2771, VLOOKUP(T2771, 'Fuel Costs'!$A$2:$C$42, 2, 0))) / IF(ISBLANK(O2771), 1, O2771))) * 100</f>
        <v>75.063</v>
      </c>
      <c r="J2771" s="2" t="n">
        <f aca="false">((H2771 / 800) / (IF(ISBLANK(S2771), 100, IF(ISNA(VLOOKUP(S2771, Lives!$A$2:$C$35, 2, 0)), S2771, VLOOKUP(S2771, Lives!$A$2:$C$35, 2, 0))) * 12) + (IF(ISBLANK(Q2771), 0, IF(ISNA(VLOOKUP(Q2771, Wages!$A$2:$C$17, 2, 0)), Q2771, VLOOKUP(Q2771, Wages!$A$2:$C$17, 2, 0))) * IF(ISBLANK(N2771), 0, IF(ISNA(VLOOKUP(N2771, Crews!$A$2:$C$28, 2, 0)), N2771, VLOOKUP(N2771, Crews!$A$2:$C$28, 2, 0))))) * 400</f>
        <v>840</v>
      </c>
      <c r="K2771" s="1"/>
      <c r="L2771" s="1" t="s">
        <v>5355</v>
      </c>
      <c r="M2771" s="1" t="n">
        <v>2</v>
      </c>
      <c r="N2771" s="1"/>
      <c r="O2771" s="1" t="n">
        <v>1</v>
      </c>
      <c r="P2771" s="1"/>
      <c r="Q2771" s="1"/>
      <c r="R2771" s="1" t="s">
        <v>4696</v>
      </c>
      <c r="S2771" s="1" t="s">
        <v>1350</v>
      </c>
      <c r="T2771" s="1" t="s">
        <v>5303</v>
      </c>
    </row>
    <row r="2772" customFormat="false" ht="15" hidden="false" customHeight="true" outlineLevel="0" collapsed="false">
      <c r="A2772" s="1" t="s">
        <v>5358</v>
      </c>
      <c r="B2772" s="1" t="n">
        <v>2001</v>
      </c>
      <c r="C2772" s="1" t="n">
        <v>4</v>
      </c>
      <c r="D2772" s="1" t="s">
        <v>38</v>
      </c>
      <c r="E2772" s="1" t="s">
        <v>1346</v>
      </c>
      <c r="F2772" s="1" t="n">
        <v>500</v>
      </c>
      <c r="G2772" s="1" t="n">
        <v>160</v>
      </c>
      <c r="H2772" s="2" t="n">
        <v>1008000</v>
      </c>
      <c r="I2772" s="2" t="n">
        <f aca="false">(((H2772 / 800) / IF(ISBLANK(R2772), 1000000, IF(ISNA(VLOOKUP(R2772, Mileages!$A$2:$C$34, 2, 0)), R2772, VLOOKUP(R2772, Mileages!$A$2:$C$34, 2, 0)))) + (F2772 * IF(ISBLANK(P2772), 1, P2772) * IF(ISBLANK(T2772), 0, IF(ISNA(VLOOKUP(T2772, 'Fuel Costs'!$A$2:$C$42, 2, 0)), T2772, VLOOKUP(T2772, 'Fuel Costs'!$A$2:$C$42, 2, 0))) / IF(ISBLANK(O2772), 1, O2772))) * 100</f>
        <v>75.063</v>
      </c>
      <c r="J2772" s="2" t="n">
        <f aca="false">((H2772 / 800) / (IF(ISBLANK(S2772), 100, IF(ISNA(VLOOKUP(S2772, Lives!$A$2:$C$35, 2, 0)), S2772, VLOOKUP(S2772, Lives!$A$2:$C$35, 2, 0))) * 12) + (IF(ISBLANK(Q2772), 0, IF(ISNA(VLOOKUP(Q2772, Wages!$A$2:$C$17, 2, 0)), Q2772, VLOOKUP(Q2772, Wages!$A$2:$C$17, 2, 0))) * IF(ISBLANK(N2772), 0, IF(ISNA(VLOOKUP(N2772, Crews!$A$2:$C$28, 2, 0)), N2772, VLOOKUP(N2772, Crews!$A$2:$C$28, 2, 0))))) * 400</f>
        <v>6840</v>
      </c>
      <c r="K2772" s="1"/>
      <c r="L2772" s="1" t="s">
        <v>5355</v>
      </c>
      <c r="M2772" s="1" t="n">
        <v>4</v>
      </c>
      <c r="N2772" s="1" t="s">
        <v>1512</v>
      </c>
      <c r="O2772" s="1" t="n">
        <v>1</v>
      </c>
      <c r="P2772" s="1"/>
      <c r="Q2772" s="1" t="str">
        <f aca="false">IF(ISBLANK('Pak128 Britain In'!$N2772),,'Pak128 Britain In'!$N2772)</f>
        <v>ElectricMultipleUnit</v>
      </c>
      <c r="R2772" s="1" t="s">
        <v>4696</v>
      </c>
      <c r="S2772" s="1" t="s">
        <v>1350</v>
      </c>
      <c r="T2772" s="1" t="s">
        <v>5303</v>
      </c>
    </row>
    <row r="2773" customFormat="false" ht="15" hidden="false" customHeight="true" outlineLevel="0" collapsed="false">
      <c r="A2773" s="1" t="s">
        <v>5359</v>
      </c>
      <c r="B2773" s="1" t="n">
        <v>2001</v>
      </c>
      <c r="C2773" s="1" t="n">
        <v>12</v>
      </c>
      <c r="D2773" s="1" t="s">
        <v>38</v>
      </c>
      <c r="E2773" s="1" t="s">
        <v>1346</v>
      </c>
      <c r="F2773" s="1" t="n">
        <v>400</v>
      </c>
      <c r="G2773" s="1" t="n">
        <v>145</v>
      </c>
      <c r="H2773" s="2" t="n">
        <v>1930000</v>
      </c>
      <c r="I2773" s="2" t="n">
        <f aca="false">(((H2773 / 800) / IF(ISBLANK(R2773), 1000000, IF(ISNA(VLOOKUP(R2773, Mileages!$A$2:$C$34, 2, 0)), R2773, VLOOKUP(R2773, Mileages!$A$2:$C$34, 2, 0)))) + (F2773 * IF(ISBLANK(P2773), 1, P2773) * IF(ISBLANK(T2773), 0, IF(ISNA(VLOOKUP(T2773, 'Fuel Costs'!$A$2:$C$42, 2, 0)), T2773, VLOOKUP(T2773, 'Fuel Costs'!$A$2:$C$42, 2, 0))) / IF(ISBLANK(O2773), 1, O2773))) * 100</f>
        <v>60.120625</v>
      </c>
      <c r="J2773" s="2" t="n">
        <f aca="false">((H2773 / 800) / (IF(ISBLANK(S2773), 100, IF(ISNA(VLOOKUP(S2773, Lives!$A$2:$C$35, 2, 0)), S2773, VLOOKUP(S2773, Lives!$A$2:$C$35, 2, 0))) * 12) + (IF(ISBLANK(Q2773), 0, IF(ISNA(VLOOKUP(Q2773, Wages!$A$2:$C$17, 2, 0)), Q2773, VLOOKUP(Q2773, Wages!$A$2:$C$17, 2, 0))) * IF(ISBLANK(N2773), 0, IF(ISNA(VLOOKUP(N2773, Crews!$A$2:$C$28, 2, 0)), N2773, VLOOKUP(N2773, Crews!$A$2:$C$28, 2, 0))))) * 400</f>
        <v>7608.333333</v>
      </c>
      <c r="K2773" s="1"/>
      <c r="L2773" s="1" t="s">
        <v>5360</v>
      </c>
      <c r="M2773" s="1" t="n">
        <v>0</v>
      </c>
      <c r="N2773" s="1" t="s">
        <v>1512</v>
      </c>
      <c r="O2773" s="1" t="n">
        <v>1</v>
      </c>
      <c r="P2773" s="1"/>
      <c r="Q2773" s="1" t="str">
        <f aca="false">IF(ISBLANK('Pak128 Britain In'!$N2773),,'Pak128 Britain In'!$N2773)</f>
        <v>ElectricMultipleUnit</v>
      </c>
      <c r="R2773" s="1" t="s">
        <v>4696</v>
      </c>
      <c r="S2773" s="1" t="s">
        <v>1350</v>
      </c>
      <c r="T2773" s="1" t="s">
        <v>5303</v>
      </c>
    </row>
    <row r="2774" customFormat="false" ht="15" hidden="false" customHeight="true" outlineLevel="0" collapsed="false">
      <c r="A2774" s="1" t="s">
        <v>5361</v>
      </c>
      <c r="B2774" s="1" t="n">
        <v>2001</v>
      </c>
      <c r="C2774" s="1" t="n">
        <v>12</v>
      </c>
      <c r="D2774" s="1" t="s">
        <v>38</v>
      </c>
      <c r="E2774" s="1" t="s">
        <v>1346</v>
      </c>
      <c r="F2774" s="1" t="n">
        <v>400</v>
      </c>
      <c r="G2774" s="1" t="n">
        <v>145</v>
      </c>
      <c r="H2774" s="2" t="n">
        <v>1930000</v>
      </c>
      <c r="I2774" s="2" t="n">
        <f aca="false">(((H2774 / 800) / IF(ISBLANK(R2774), 1000000, IF(ISNA(VLOOKUP(R2774, Mileages!$A$2:$C$34, 2, 0)), R2774, VLOOKUP(R2774, Mileages!$A$2:$C$34, 2, 0)))) + (F2774 * IF(ISBLANK(P2774), 1, P2774) * IF(ISBLANK(T2774), 0, IF(ISNA(VLOOKUP(T2774, 'Fuel Costs'!$A$2:$C$42, 2, 0)), T2774, VLOOKUP(T2774, 'Fuel Costs'!$A$2:$C$42, 2, 0))) / IF(ISBLANK(O2774), 1, O2774))) * 100</f>
        <v>60.120625</v>
      </c>
      <c r="J2774" s="2" t="n">
        <f aca="false">((H2774 / 800) / (IF(ISBLANK(S2774), 100, IF(ISNA(VLOOKUP(S2774, Lives!$A$2:$C$35, 2, 0)), S2774, VLOOKUP(S2774, Lives!$A$2:$C$35, 2, 0))) * 12) + (IF(ISBLANK(Q2774), 0, IF(ISNA(VLOOKUP(Q2774, Wages!$A$2:$C$17, 2, 0)), Q2774, VLOOKUP(Q2774, Wages!$A$2:$C$17, 2, 0))) * IF(ISBLANK(N2774), 0, IF(ISNA(VLOOKUP(N2774, Crews!$A$2:$C$28, 2, 0)), N2774, VLOOKUP(N2774, Crews!$A$2:$C$28, 2, 0))))) * 400</f>
        <v>7608.333333</v>
      </c>
      <c r="K2774" s="1"/>
      <c r="L2774" s="1" t="s">
        <v>5360</v>
      </c>
      <c r="M2774" s="1" t="n">
        <v>1</v>
      </c>
      <c r="N2774" s="1" t="s">
        <v>1512</v>
      </c>
      <c r="O2774" s="1" t="n">
        <v>1</v>
      </c>
      <c r="P2774" s="1"/>
      <c r="Q2774" s="1" t="str">
        <f aca="false">IF(ISBLANK('Pak128 Britain In'!$N2774),,'Pak128 Britain In'!$N2774)</f>
        <v>ElectricMultipleUnit</v>
      </c>
      <c r="R2774" s="1" t="s">
        <v>4696</v>
      </c>
      <c r="S2774" s="1" t="s">
        <v>1350</v>
      </c>
      <c r="T2774" s="1" t="s">
        <v>5303</v>
      </c>
    </row>
    <row r="2775" customFormat="false" ht="15" hidden="false" customHeight="true" outlineLevel="0" collapsed="false">
      <c r="A2775" s="1" t="s">
        <v>5362</v>
      </c>
      <c r="B2775" s="1" t="n">
        <v>2001</v>
      </c>
      <c r="C2775" s="1" t="n">
        <v>12</v>
      </c>
      <c r="D2775" s="1" t="s">
        <v>38</v>
      </c>
      <c r="E2775" s="1" t="s">
        <v>1346</v>
      </c>
      <c r="F2775" s="1" t="n">
        <v>400</v>
      </c>
      <c r="G2775" s="1" t="n">
        <v>145</v>
      </c>
      <c r="H2775" s="2" t="n">
        <v>1930000</v>
      </c>
      <c r="I2775" s="2" t="n">
        <f aca="false">(((H2775 / 800) / IF(ISBLANK(R2775), 1000000, IF(ISNA(VLOOKUP(R2775, Mileages!$A$2:$C$34, 2, 0)), R2775, VLOOKUP(R2775, Mileages!$A$2:$C$34, 2, 0)))) + (F2775 * IF(ISBLANK(P2775), 1, P2775) * IF(ISBLANK(T2775), 0, IF(ISNA(VLOOKUP(T2775, 'Fuel Costs'!$A$2:$C$42, 2, 0)), T2775, VLOOKUP(T2775, 'Fuel Costs'!$A$2:$C$42, 2, 0))) / IF(ISBLANK(O2775), 1, O2775))) * 100</f>
        <v>60.120625</v>
      </c>
      <c r="J2775" s="2" t="n">
        <f aca="false">((H2775 / 800) / (IF(ISBLANK(S2775), 100, IF(ISNA(VLOOKUP(S2775, Lives!$A$2:$C$35, 2, 0)), S2775, VLOOKUP(S2775, Lives!$A$2:$C$35, 2, 0))) * 12) + (IF(ISBLANK(Q2775), 0, IF(ISNA(VLOOKUP(Q2775, Wages!$A$2:$C$17, 2, 0)), Q2775, VLOOKUP(Q2775, Wages!$A$2:$C$17, 2, 0))) * IF(ISBLANK(N2775), 0, IF(ISNA(VLOOKUP(N2775, Crews!$A$2:$C$28, 2, 0)), N2775, VLOOKUP(N2775, Crews!$A$2:$C$28, 2, 0))))) * 400</f>
        <v>1608.333333</v>
      </c>
      <c r="K2775" s="1"/>
      <c r="L2775" s="1" t="s">
        <v>5360</v>
      </c>
      <c r="M2775" s="1" t="n">
        <v>2</v>
      </c>
      <c r="N2775" s="1"/>
      <c r="O2775" s="1" t="n">
        <v>1</v>
      </c>
      <c r="P2775" s="1"/>
      <c r="Q2775" s="1"/>
      <c r="R2775" s="1" t="s">
        <v>4696</v>
      </c>
      <c r="S2775" s="1" t="s">
        <v>1350</v>
      </c>
      <c r="T2775" s="1" t="s">
        <v>5303</v>
      </c>
    </row>
    <row r="2776" customFormat="false" ht="15" hidden="false" customHeight="true" outlineLevel="0" collapsed="false">
      <c r="A2776" s="1" t="s">
        <v>5363</v>
      </c>
      <c r="B2776" s="1" t="n">
        <v>2002</v>
      </c>
      <c r="C2776" s="1" t="n">
        <v>1</v>
      </c>
      <c r="D2776" s="1" t="s">
        <v>21</v>
      </c>
      <c r="E2776" s="1" t="s">
        <v>2039</v>
      </c>
      <c r="F2776" s="1" t="n">
        <v>44</v>
      </c>
      <c r="G2776" s="1" t="n">
        <v>110</v>
      </c>
      <c r="H2776" s="2" t="n">
        <v>97500</v>
      </c>
      <c r="I2776" s="2" t="n">
        <f aca="false">(((H2776 / 800) / IF(ISBLANK(R2776), 1000000, IF(ISNA(VLOOKUP(R2776, Mileages!$A$2:$C$34, 2, 0)), R2776, VLOOKUP(R2776, Mileages!$A$2:$C$34, 2, 0)))) + (F2776 * IF(ISBLANK(P2776), 1, P2776) * IF(ISBLANK(T2776), 0, IF(ISNA(VLOOKUP(T2776, 'Fuel Costs'!$A$2:$C$42, 2, 0)), T2776, VLOOKUP(T2776, 'Fuel Costs'!$A$2:$C$42, 2, 0))) / IF(ISBLANK(O2776), 1, O2776))) * 100</f>
        <v>8.80609375</v>
      </c>
      <c r="J2776" s="2" t="n">
        <f aca="false">((H2776 / 800) / (IF(ISBLANK(S2776), 100, IF(ISNA(VLOOKUP(S2776, Lives!$A$2:$C$35, 2, 0)), S2776, VLOOKUP(S2776, Lives!$A$2:$C$35, 2, 0))) * 12) + (IF(ISBLANK(Q2776), 0, IF(ISNA(VLOOKUP(Q2776, Wages!$A$2:$C$17, 2, 0)), Q2776, VLOOKUP(Q2776, Wages!$A$2:$C$17, 2, 0))) * IF(ISBLANK(N2776), 0, IF(ISNA(VLOOKUP(N2776, Crews!$A$2:$C$28, 2, 0)), N2776, VLOOKUP(N2776, Crews!$A$2:$C$28, 2, 0))))) * 400</f>
        <v>8050.78125</v>
      </c>
      <c r="K2776" s="3" t="s">
        <v>5364</v>
      </c>
      <c r="L2776" s="1" t="s">
        <v>5365</v>
      </c>
      <c r="M2776" s="1" t="n">
        <v>0</v>
      </c>
      <c r="N2776" s="1" t="s">
        <v>1815</v>
      </c>
      <c r="O2776" s="1" t="n">
        <v>1</v>
      </c>
      <c r="P2776" s="1"/>
      <c r="Q2776" s="1" t="s">
        <v>1815</v>
      </c>
      <c r="R2776" s="1" t="s">
        <v>4725</v>
      </c>
      <c r="S2776" s="1" t="s">
        <v>1843</v>
      </c>
      <c r="T2776" s="1" t="s">
        <v>5292</v>
      </c>
    </row>
    <row r="2777" customFormat="false" ht="15" hidden="false" customHeight="true" outlineLevel="0" collapsed="false">
      <c r="A2777" s="1" t="s">
        <v>5366</v>
      </c>
      <c r="B2777" s="1" t="n">
        <v>2002</v>
      </c>
      <c r="C2777" s="1" t="n">
        <v>1</v>
      </c>
      <c r="D2777" s="1" t="s">
        <v>21</v>
      </c>
      <c r="E2777" s="1" t="s">
        <v>2039</v>
      </c>
      <c r="F2777" s="1" t="n">
        <v>44</v>
      </c>
      <c r="G2777" s="1" t="n">
        <v>110</v>
      </c>
      <c r="H2777" s="2" t="n">
        <v>97500</v>
      </c>
      <c r="I2777" s="2" t="n">
        <f aca="false">(((H2777 / 800) / IF(ISBLANK(R2777), 1000000, IF(ISNA(VLOOKUP(R2777, Mileages!$A$2:$C$34, 2, 0)), R2777, VLOOKUP(R2777, Mileages!$A$2:$C$34, 2, 0)))) + (F2777 * IF(ISBLANK(P2777), 1, P2777) * IF(ISBLANK(T2777), 0, IF(ISNA(VLOOKUP(T2777, 'Fuel Costs'!$A$2:$C$42, 2, 0)), T2777, VLOOKUP(T2777, 'Fuel Costs'!$A$2:$C$42, 2, 0))) / IF(ISBLANK(O2777), 1, O2777))) * 100</f>
        <v>8.80609375</v>
      </c>
      <c r="J2777" s="2" t="n">
        <f aca="false">((H2777 / 800) / (IF(ISBLANK(S2777), 100, IF(ISNA(VLOOKUP(S2777, Lives!$A$2:$C$35, 2, 0)), S2777, VLOOKUP(S2777, Lives!$A$2:$C$35, 2, 0))) * 12) + (IF(ISBLANK(Q2777), 0, IF(ISNA(VLOOKUP(Q2777, Wages!$A$2:$C$17, 2, 0)), Q2777, VLOOKUP(Q2777, Wages!$A$2:$C$17, 2, 0))) * IF(ISBLANK(N2777), 0, IF(ISNA(VLOOKUP(N2777, Crews!$A$2:$C$28, 2, 0)), N2777, VLOOKUP(N2777, Crews!$A$2:$C$28, 2, 0))))) * 400</f>
        <v>8050.78125</v>
      </c>
      <c r="K2777" s="1"/>
      <c r="L2777" s="1" t="s">
        <v>5365</v>
      </c>
      <c r="M2777" s="1" t="n">
        <v>1</v>
      </c>
      <c r="N2777" s="1" t="s">
        <v>1815</v>
      </c>
      <c r="O2777" s="1" t="n">
        <v>1</v>
      </c>
      <c r="P2777" s="1"/>
      <c r="Q2777" s="1" t="s">
        <v>1815</v>
      </c>
      <c r="R2777" s="1" t="s">
        <v>4725</v>
      </c>
      <c r="S2777" s="1" t="s">
        <v>1843</v>
      </c>
      <c r="T2777" s="1" t="s">
        <v>5292</v>
      </c>
    </row>
    <row r="2778" customFormat="false" ht="15" hidden="false" customHeight="true" outlineLevel="0" collapsed="false">
      <c r="A2778" s="1" t="s">
        <v>5367</v>
      </c>
      <c r="B2778" s="1" t="n">
        <v>2002</v>
      </c>
      <c r="C2778" s="1" t="n">
        <v>1</v>
      </c>
      <c r="D2778" s="1" t="s">
        <v>21</v>
      </c>
      <c r="E2778" s="1" t="s">
        <v>2039</v>
      </c>
      <c r="F2778" s="1" t="n">
        <v>44</v>
      </c>
      <c r="G2778" s="1" t="n">
        <v>110</v>
      </c>
      <c r="H2778" s="2" t="n">
        <v>97500</v>
      </c>
      <c r="I2778" s="2" t="n">
        <f aca="false">(((H2778 / 800) / IF(ISBLANK(R2778), 1000000, IF(ISNA(VLOOKUP(R2778, Mileages!$A$2:$C$34, 2, 0)), R2778, VLOOKUP(R2778, Mileages!$A$2:$C$34, 2, 0)))) + (F2778 * IF(ISBLANK(P2778), 1, P2778) * IF(ISBLANK(T2778), 0, IF(ISNA(VLOOKUP(T2778, 'Fuel Costs'!$A$2:$C$42, 2, 0)), T2778, VLOOKUP(T2778, 'Fuel Costs'!$A$2:$C$42, 2, 0))) / IF(ISBLANK(O2778), 1, O2778))) * 100</f>
        <v>8.80609375</v>
      </c>
      <c r="J2778" s="2" t="n">
        <f aca="false">((H2778 / 800) / (IF(ISBLANK(S2778), 100, IF(ISNA(VLOOKUP(S2778, Lives!$A$2:$C$35, 2, 0)), S2778, VLOOKUP(S2778, Lives!$A$2:$C$35, 2, 0))) * 12) + (IF(ISBLANK(Q2778), 0, IF(ISNA(VLOOKUP(Q2778, Wages!$A$2:$C$17, 2, 0)), Q2778, VLOOKUP(Q2778, Wages!$A$2:$C$17, 2, 0))) * IF(ISBLANK(N2778), 0, IF(ISNA(VLOOKUP(N2778, Crews!$A$2:$C$28, 2, 0)), N2778, VLOOKUP(N2778, Crews!$A$2:$C$28, 2, 0))))) * 400</f>
        <v>8050.78125</v>
      </c>
      <c r="K2778" s="1"/>
      <c r="L2778" s="1" t="s">
        <v>5365</v>
      </c>
      <c r="M2778" s="1" t="n">
        <v>2</v>
      </c>
      <c r="N2778" s="1" t="s">
        <v>1815</v>
      </c>
      <c r="O2778" s="1" t="n">
        <v>1</v>
      </c>
      <c r="P2778" s="1"/>
      <c r="Q2778" s="1" t="s">
        <v>1815</v>
      </c>
      <c r="R2778" s="1" t="s">
        <v>4725</v>
      </c>
      <c r="S2778" s="1" t="s">
        <v>1843</v>
      </c>
      <c r="T2778" s="1" t="s">
        <v>5292</v>
      </c>
    </row>
    <row r="2779" customFormat="false" ht="15" hidden="false" customHeight="true" outlineLevel="0" collapsed="false">
      <c r="A2779" s="1" t="s">
        <v>5368</v>
      </c>
      <c r="B2779" s="1" t="n">
        <v>2002</v>
      </c>
      <c r="C2779" s="1" t="n">
        <v>2</v>
      </c>
      <c r="D2779" s="1" t="s">
        <v>21</v>
      </c>
      <c r="E2779" s="1" t="s">
        <v>2039</v>
      </c>
      <c r="F2779" s="1" t="n">
        <v>175</v>
      </c>
      <c r="G2779" s="1" t="n">
        <v>70</v>
      </c>
      <c r="H2779" s="2" t="n">
        <v>5100000</v>
      </c>
      <c r="I2779" s="2" t="n">
        <f aca="false">(((H2779 / 800) / IF(ISBLANK(R2779), 1000000, IF(ISNA(VLOOKUP(R2779, Mileages!$A$2:$C$34, 2, 0)), R2779, VLOOKUP(R2779, Mileages!$A$2:$C$34, 2, 0)))) + (F2779 * IF(ISBLANK(P2779), 1, P2779) * IF(ISBLANK(T2779), 0, IF(ISNA(VLOOKUP(T2779, 'Fuel Costs'!$A$2:$C$42, 2, 0)), T2779, VLOOKUP(T2779, 'Fuel Costs'!$A$2:$C$42, 2, 0))) / IF(ISBLANK(O2779), 1, O2779))) * 100</f>
        <v>35.31875</v>
      </c>
      <c r="J2779" s="2" t="n">
        <f aca="false">((H2779 / 800) / (IF(ISBLANK(S2779), 100, IF(ISNA(VLOOKUP(S2779, Lives!$A$2:$C$35, 2, 0)), S2779, VLOOKUP(S2779, Lives!$A$2:$C$35, 2, 0))) * 12) + (IF(ISBLANK(Q2779), 0, IF(ISNA(VLOOKUP(Q2779, Wages!$A$2:$C$17, 2, 0)), Q2779, VLOOKUP(Q2779, Wages!$A$2:$C$17, 2, 0))) * IF(ISBLANK(N2779), 0, IF(ISNA(VLOOKUP(N2779, Crews!$A$2:$C$28, 2, 0)), N2779, VLOOKUP(N2779, Crews!$A$2:$C$28, 2, 0))))) * 400</f>
        <v>10656.25</v>
      </c>
      <c r="K2779" s="3" t="s">
        <v>5369</v>
      </c>
      <c r="L2779" s="1" t="s">
        <v>5370</v>
      </c>
      <c r="M2779" s="1" t="n">
        <v>0</v>
      </c>
      <c r="N2779" s="1" t="s">
        <v>1815</v>
      </c>
      <c r="O2779" s="1" t="n">
        <v>1</v>
      </c>
      <c r="P2779" s="1"/>
      <c r="Q2779" s="1" t="s">
        <v>1815</v>
      </c>
      <c r="R2779" s="1" t="s">
        <v>4725</v>
      </c>
      <c r="S2779" s="1" t="s">
        <v>1843</v>
      </c>
      <c r="T2779" s="1" t="s">
        <v>5292</v>
      </c>
    </row>
    <row r="2780" customFormat="false" ht="15" hidden="false" customHeight="true" outlineLevel="0" collapsed="false">
      <c r="A2780" s="1" t="s">
        <v>5371</v>
      </c>
      <c r="B2780" s="1" t="n">
        <v>2002</v>
      </c>
      <c r="C2780" s="1" t="n">
        <v>4</v>
      </c>
      <c r="D2780" s="1" t="s">
        <v>38</v>
      </c>
      <c r="E2780" s="1" t="s">
        <v>2039</v>
      </c>
      <c r="F2780" s="1" t="n">
        <v>560</v>
      </c>
      <c r="G2780" s="1" t="n">
        <v>200</v>
      </c>
      <c r="H2780" s="2" t="n">
        <v>2640000</v>
      </c>
      <c r="I2780" s="2" t="n">
        <f aca="false">(((H2780 / 800) / IF(ISBLANK(R2780), 1000000, IF(ISNA(VLOOKUP(R2780, Mileages!$A$2:$C$34, 2, 0)), R2780, VLOOKUP(R2780, Mileages!$A$2:$C$34, 2, 0)))) + (F2780 * IF(ISBLANK(P2780), 1, P2780) * IF(ISBLANK(T2780), 0, IF(ISNA(VLOOKUP(T2780, 'Fuel Costs'!$A$2:$C$42, 2, 0)), T2780, VLOOKUP(T2780, 'Fuel Costs'!$A$2:$C$42, 2, 0))) / IF(ISBLANK(O2780), 1, O2780))) * 100</f>
        <v>112.165</v>
      </c>
      <c r="J2780" s="2" t="n">
        <f aca="false">((H2780 / 800) / (IF(ISBLANK(S2780), 100, IF(ISNA(VLOOKUP(S2780, Lives!$A$2:$C$35, 2, 0)), S2780, VLOOKUP(S2780, Lives!$A$2:$C$35, 2, 0))) * 12) + (IF(ISBLANK(Q2780), 0, IF(ISNA(VLOOKUP(Q2780, Wages!$A$2:$C$17, 2, 0)), Q2780, VLOOKUP(Q2780, Wages!$A$2:$C$17, 2, 0))) * IF(ISBLANK(N2780), 0, IF(ISNA(VLOOKUP(N2780, Crews!$A$2:$C$28, 2, 0)), N2780, VLOOKUP(N2780, Crews!$A$2:$C$28, 2, 0))))) * 400</f>
        <v>7375</v>
      </c>
      <c r="K2780" s="1" t="s">
        <v>5372</v>
      </c>
      <c r="L2780" s="1" t="s">
        <v>5373</v>
      </c>
      <c r="M2780" s="1" t="n">
        <v>0</v>
      </c>
      <c r="N2780" s="1" t="s">
        <v>1512</v>
      </c>
      <c r="O2780" s="1" t="n">
        <v>1</v>
      </c>
      <c r="P2780" s="1"/>
      <c r="Q2780" s="1" t="s">
        <v>1512</v>
      </c>
      <c r="R2780" s="1" t="s">
        <v>4747</v>
      </c>
      <c r="S2780" s="1" t="s">
        <v>4747</v>
      </c>
      <c r="T2780" s="1" t="s">
        <v>5292</v>
      </c>
    </row>
    <row r="2781" customFormat="false" ht="15" hidden="false" customHeight="true" outlineLevel="0" collapsed="false">
      <c r="A2781" s="1" t="s">
        <v>5374</v>
      </c>
      <c r="B2781" s="1" t="n">
        <v>2002</v>
      </c>
      <c r="C2781" s="1" t="n">
        <v>4</v>
      </c>
      <c r="D2781" s="1" t="s">
        <v>38</v>
      </c>
      <c r="E2781" s="1" t="s">
        <v>2039</v>
      </c>
      <c r="F2781" s="1" t="n">
        <v>560</v>
      </c>
      <c r="G2781" s="1" t="n">
        <v>200</v>
      </c>
      <c r="H2781" s="2" t="n">
        <v>2650000</v>
      </c>
      <c r="I2781" s="2" t="n">
        <f aca="false">(((H2781 / 800) / IF(ISBLANK(R2781), 1000000, IF(ISNA(VLOOKUP(R2781, Mileages!$A$2:$C$34, 2, 0)), R2781, VLOOKUP(R2781, Mileages!$A$2:$C$34, 2, 0)))) + (F2781 * IF(ISBLANK(P2781), 1, P2781) * IF(ISBLANK(T2781), 0, IF(ISNA(VLOOKUP(T2781, 'Fuel Costs'!$A$2:$C$42, 2, 0)), T2781, VLOOKUP(T2781, 'Fuel Costs'!$A$2:$C$42, 2, 0))) / IF(ISBLANK(O2781), 1, O2781))) * 100</f>
        <v>112.165625</v>
      </c>
      <c r="J2781" s="2" t="n">
        <f aca="false">((H2781 / 800) / (IF(ISBLANK(S2781), 100, IF(ISNA(VLOOKUP(S2781, Lives!$A$2:$C$35, 2, 0)), S2781, VLOOKUP(S2781, Lives!$A$2:$C$35, 2, 0))) * 12) + (IF(ISBLANK(Q2781), 0, IF(ISNA(VLOOKUP(Q2781, Wages!$A$2:$C$17, 2, 0)), Q2781, VLOOKUP(Q2781, Wages!$A$2:$C$17, 2, 0))) * IF(ISBLANK(N2781), 0, IF(ISNA(VLOOKUP(N2781, Crews!$A$2:$C$28, 2, 0)), N2781, VLOOKUP(N2781, Crews!$A$2:$C$28, 2, 0))))) * 400</f>
        <v>7380.208333</v>
      </c>
      <c r="K2781" s="1" t="s">
        <v>5337</v>
      </c>
      <c r="L2781" s="1" t="s">
        <v>5373</v>
      </c>
      <c r="M2781" s="1" t="n">
        <v>1</v>
      </c>
      <c r="N2781" s="1" t="s">
        <v>2131</v>
      </c>
      <c r="O2781" s="1" t="n">
        <v>1</v>
      </c>
      <c r="P2781" s="1"/>
      <c r="Q2781" s="1" t="s">
        <v>1481</v>
      </c>
      <c r="R2781" s="1" t="s">
        <v>4747</v>
      </c>
      <c r="S2781" s="1" t="s">
        <v>4747</v>
      </c>
      <c r="T2781" s="1" t="s">
        <v>5292</v>
      </c>
    </row>
    <row r="2782" customFormat="false" ht="15" hidden="false" customHeight="true" outlineLevel="0" collapsed="false">
      <c r="A2782" s="1" t="s">
        <v>5375</v>
      </c>
      <c r="B2782" s="1" t="n">
        <v>2002</v>
      </c>
      <c r="C2782" s="1" t="n">
        <v>4</v>
      </c>
      <c r="D2782" s="1" t="s">
        <v>38</v>
      </c>
      <c r="E2782" s="1" t="s">
        <v>2039</v>
      </c>
      <c r="F2782" s="1" t="n">
        <v>560</v>
      </c>
      <c r="G2782" s="1" t="n">
        <v>200</v>
      </c>
      <c r="H2782" s="2" t="n">
        <v>2865000</v>
      </c>
      <c r="I2782" s="2" t="n">
        <f aca="false">(((H2782 / 800) / IF(ISBLANK(R2782), 1000000, IF(ISNA(VLOOKUP(R2782, Mileages!$A$2:$C$34, 2, 0)), R2782, VLOOKUP(R2782, Mileages!$A$2:$C$34, 2, 0)))) + (F2782 * IF(ISBLANK(P2782), 1, P2782) * IF(ISBLANK(T2782), 0, IF(ISNA(VLOOKUP(T2782, 'Fuel Costs'!$A$2:$C$42, 2, 0)), T2782, VLOOKUP(T2782, 'Fuel Costs'!$A$2:$C$42, 2, 0))) / IF(ISBLANK(O2782), 1, O2782))) * 100</f>
        <v>112.1790625</v>
      </c>
      <c r="J2782" s="2" t="n">
        <f aca="false">((H2782 / 800) / (IF(ISBLANK(S2782), 100, IF(ISNA(VLOOKUP(S2782, Lives!$A$2:$C$35, 2, 0)), S2782, VLOOKUP(S2782, Lives!$A$2:$C$35, 2, 0))) * 12) + (IF(ISBLANK(Q2782), 0, IF(ISNA(VLOOKUP(Q2782, Wages!$A$2:$C$17, 2, 0)), Q2782, VLOOKUP(Q2782, Wages!$A$2:$C$17, 2, 0))) * IF(ISBLANK(N2782), 0, IF(ISNA(VLOOKUP(N2782, Crews!$A$2:$C$28, 2, 0)), N2782, VLOOKUP(N2782, Crews!$A$2:$C$28, 2, 0))))) * 400</f>
        <v>7492.1875</v>
      </c>
      <c r="K2782" s="1"/>
      <c r="L2782" s="1" t="s">
        <v>5373</v>
      </c>
      <c r="M2782" s="1" t="n">
        <v>2</v>
      </c>
      <c r="N2782" s="1" t="s">
        <v>2131</v>
      </c>
      <c r="O2782" s="1" t="n">
        <v>1</v>
      </c>
      <c r="P2782" s="1"/>
      <c r="Q2782" s="1" t="s">
        <v>1481</v>
      </c>
      <c r="R2782" s="1" t="s">
        <v>4747</v>
      </c>
      <c r="S2782" s="1" t="s">
        <v>4747</v>
      </c>
      <c r="T2782" s="1" t="s">
        <v>5292</v>
      </c>
    </row>
    <row r="2783" customFormat="false" ht="15" hidden="false" customHeight="true" outlineLevel="0" collapsed="false">
      <c r="A2783" s="1" t="s">
        <v>5376</v>
      </c>
      <c r="B2783" s="1" t="n">
        <v>2002</v>
      </c>
      <c r="C2783" s="1" t="n">
        <v>4</v>
      </c>
      <c r="D2783" s="1" t="s">
        <v>38</v>
      </c>
      <c r="E2783" s="1" t="s">
        <v>2039</v>
      </c>
      <c r="F2783" s="1" t="n">
        <v>560</v>
      </c>
      <c r="G2783" s="1" t="n">
        <v>200</v>
      </c>
      <c r="H2783" s="2" t="n">
        <v>2640000</v>
      </c>
      <c r="I2783" s="2" t="n">
        <f aca="false">(((H2783 / 800) / IF(ISBLANK(R2783), 1000000, IF(ISNA(VLOOKUP(R2783, Mileages!$A$2:$C$34, 2, 0)), R2783, VLOOKUP(R2783, Mileages!$A$2:$C$34, 2, 0)))) + (F2783 * IF(ISBLANK(P2783), 1, P2783) * IF(ISBLANK(T2783), 0, IF(ISNA(VLOOKUP(T2783, 'Fuel Costs'!$A$2:$C$42, 2, 0)), T2783, VLOOKUP(T2783, 'Fuel Costs'!$A$2:$C$42, 2, 0))) / IF(ISBLANK(O2783), 1, O2783))) * 100</f>
        <v>112.165</v>
      </c>
      <c r="J2783" s="2" t="n">
        <f aca="false">((H2783 / 800) / (IF(ISBLANK(S2783), 100, IF(ISNA(VLOOKUP(S2783, Lives!$A$2:$C$35, 2, 0)), S2783, VLOOKUP(S2783, Lives!$A$2:$C$35, 2, 0))) * 12) + (IF(ISBLANK(Q2783), 0, IF(ISNA(VLOOKUP(Q2783, Wages!$A$2:$C$17, 2, 0)), Q2783, VLOOKUP(Q2783, Wages!$A$2:$C$17, 2, 0))) * IF(ISBLANK(N2783), 0, IF(ISNA(VLOOKUP(N2783, Crews!$A$2:$C$28, 2, 0)), N2783, VLOOKUP(N2783, Crews!$A$2:$C$28, 2, 0))))) * 400</f>
        <v>7375</v>
      </c>
      <c r="K2783" s="1"/>
      <c r="L2783" s="1" t="s">
        <v>5373</v>
      </c>
      <c r="M2783" s="1" t="n">
        <v>3</v>
      </c>
      <c r="N2783" s="1" t="s">
        <v>1512</v>
      </c>
      <c r="O2783" s="1" t="n">
        <v>1</v>
      </c>
      <c r="P2783" s="1"/>
      <c r="Q2783" s="1" t="s">
        <v>1512</v>
      </c>
      <c r="R2783" s="1" t="s">
        <v>4747</v>
      </c>
      <c r="S2783" s="1" t="s">
        <v>4747</v>
      </c>
      <c r="T2783" s="1" t="s">
        <v>5292</v>
      </c>
    </row>
    <row r="2784" customFormat="false" ht="15" hidden="false" customHeight="true" outlineLevel="0" collapsed="false">
      <c r="A2784" s="1" t="s">
        <v>5377</v>
      </c>
      <c r="B2784" s="1" t="n">
        <v>2002</v>
      </c>
      <c r="C2784" s="1" t="n">
        <v>5</v>
      </c>
      <c r="D2784" s="1" t="s">
        <v>21</v>
      </c>
      <c r="E2784" s="1" t="s">
        <v>2039</v>
      </c>
      <c r="F2784" s="1" t="n">
        <v>87</v>
      </c>
      <c r="G2784" s="1" t="n">
        <v>100</v>
      </c>
      <c r="H2784" s="2" t="n">
        <v>100000</v>
      </c>
      <c r="I2784" s="2" t="n">
        <f aca="false">(((H2784 / 800) / IF(ISBLANK(R2784), 1000000, IF(ISNA(VLOOKUP(R2784, Mileages!$A$2:$C$34, 2, 0)), R2784, VLOOKUP(R2784, Mileages!$A$2:$C$34, 2, 0)))) + (F2784 * IF(ISBLANK(P2784), 1, P2784) * IF(ISBLANK(T2784), 0, IF(ISNA(VLOOKUP(T2784, 'Fuel Costs'!$A$2:$C$42, 2, 0)), T2784, VLOOKUP(T2784, 'Fuel Costs'!$A$2:$C$42, 2, 0))) / IF(ISBLANK(O2784), 1, O2784))) * 100</f>
        <v>17.40625</v>
      </c>
      <c r="J2784" s="2" t="n">
        <f aca="false">((H2784 / 800) / (IF(ISBLANK(S2784), 100, IF(ISNA(VLOOKUP(S2784, Lives!$A$2:$C$35, 2, 0)), S2784, VLOOKUP(S2784, Lives!$A$2:$C$35, 2, 0))) * 12) + (IF(ISBLANK(Q2784), 0, IF(ISNA(VLOOKUP(Q2784, Wages!$A$2:$C$17, 2, 0)), Q2784, VLOOKUP(Q2784, Wages!$A$2:$C$17, 2, 0))) * IF(ISBLANK(N2784), 0, IF(ISNA(VLOOKUP(N2784, Crews!$A$2:$C$28, 2, 0)), N2784, VLOOKUP(N2784, Crews!$A$2:$C$28, 2, 0))))) * 400</f>
        <v>8052.083333</v>
      </c>
      <c r="K2784" s="1" t="s">
        <v>5378</v>
      </c>
      <c r="L2784" s="1" t="s">
        <v>5379</v>
      </c>
      <c r="M2784" s="1" t="n">
        <v>0</v>
      </c>
      <c r="N2784" s="1" t="s">
        <v>1815</v>
      </c>
      <c r="O2784" s="1" t="n">
        <v>1</v>
      </c>
      <c r="P2784" s="1"/>
      <c r="Q2784" s="1" t="s">
        <v>1815</v>
      </c>
      <c r="R2784" s="1" t="s">
        <v>4725</v>
      </c>
      <c r="S2784" s="1" t="s">
        <v>1843</v>
      </c>
      <c r="T2784" s="1" t="s">
        <v>5292</v>
      </c>
    </row>
    <row r="2785" customFormat="false" ht="15" hidden="false" customHeight="true" outlineLevel="0" collapsed="false">
      <c r="A2785" s="1" t="s">
        <v>5380</v>
      </c>
      <c r="B2785" s="1" t="n">
        <v>2002</v>
      </c>
      <c r="C2785" s="1" t="n">
        <v>5</v>
      </c>
      <c r="D2785" s="1" t="s">
        <v>21</v>
      </c>
      <c r="E2785" s="1" t="s">
        <v>2039</v>
      </c>
      <c r="F2785" s="1" t="n">
        <v>87</v>
      </c>
      <c r="G2785" s="1" t="n">
        <v>100</v>
      </c>
      <c r="H2785" s="2" t="n">
        <v>100000</v>
      </c>
      <c r="I2785" s="2" t="n">
        <f aca="false">(((H2785 / 800) / IF(ISBLANK(R2785), 1000000, IF(ISNA(VLOOKUP(R2785, Mileages!$A$2:$C$34, 2, 0)), R2785, VLOOKUP(R2785, Mileages!$A$2:$C$34, 2, 0)))) + (F2785 * IF(ISBLANK(P2785), 1, P2785) * IF(ISBLANK(T2785), 0, IF(ISNA(VLOOKUP(T2785, 'Fuel Costs'!$A$2:$C$42, 2, 0)), T2785, VLOOKUP(T2785, 'Fuel Costs'!$A$2:$C$42, 2, 0))) / IF(ISBLANK(O2785), 1, O2785))) * 100</f>
        <v>17.40625</v>
      </c>
      <c r="J2785" s="2" t="n">
        <f aca="false">((H2785 / 800) / (IF(ISBLANK(S2785), 100, IF(ISNA(VLOOKUP(S2785, Lives!$A$2:$C$35, 2, 0)), S2785, VLOOKUP(S2785, Lives!$A$2:$C$35, 2, 0))) * 12) + (IF(ISBLANK(Q2785), 0, IF(ISNA(VLOOKUP(Q2785, Wages!$A$2:$C$17, 2, 0)), Q2785, VLOOKUP(Q2785, Wages!$A$2:$C$17, 2, 0))) * IF(ISBLANK(N2785), 0, IF(ISNA(VLOOKUP(N2785, Crews!$A$2:$C$28, 2, 0)), N2785, VLOOKUP(N2785, Crews!$A$2:$C$28, 2, 0))))) * 400</f>
        <v>8052.083333</v>
      </c>
      <c r="K2785" s="1"/>
      <c r="L2785" s="1" t="s">
        <v>5379</v>
      </c>
      <c r="M2785" s="1" t="n">
        <v>1</v>
      </c>
      <c r="N2785" s="1" t="s">
        <v>1815</v>
      </c>
      <c r="O2785" s="1" t="n">
        <v>1</v>
      </c>
      <c r="P2785" s="1"/>
      <c r="Q2785" s="1" t="s">
        <v>1815</v>
      </c>
      <c r="R2785" s="1" t="s">
        <v>4725</v>
      </c>
      <c r="S2785" s="1" t="s">
        <v>1843</v>
      </c>
      <c r="T2785" s="1" t="s">
        <v>5292</v>
      </c>
    </row>
    <row r="2786" customFormat="false" ht="15" hidden="false" customHeight="true" outlineLevel="0" collapsed="false">
      <c r="A2786" s="1" t="s">
        <v>5381</v>
      </c>
      <c r="B2786" s="1" t="n">
        <v>2002</v>
      </c>
      <c r="C2786" s="1" t="n">
        <v>5</v>
      </c>
      <c r="D2786" s="1" t="s">
        <v>21</v>
      </c>
      <c r="E2786" s="1" t="s">
        <v>2039</v>
      </c>
      <c r="F2786" s="1" t="n">
        <v>87</v>
      </c>
      <c r="G2786" s="1" t="n">
        <v>100</v>
      </c>
      <c r="H2786" s="2" t="n">
        <v>100000</v>
      </c>
      <c r="I2786" s="2" t="n">
        <f aca="false">(((H2786 / 800) / IF(ISBLANK(R2786), 1000000, IF(ISNA(VLOOKUP(R2786, Mileages!$A$2:$C$34, 2, 0)), R2786, VLOOKUP(R2786, Mileages!$A$2:$C$34, 2, 0)))) + (F2786 * IF(ISBLANK(P2786), 1, P2786) * IF(ISBLANK(T2786), 0, IF(ISNA(VLOOKUP(T2786, 'Fuel Costs'!$A$2:$C$42, 2, 0)), T2786, VLOOKUP(T2786, 'Fuel Costs'!$A$2:$C$42, 2, 0))) / IF(ISBLANK(O2786), 1, O2786))) * 100</f>
        <v>17.40625</v>
      </c>
      <c r="J2786" s="2" t="n">
        <f aca="false">((H2786 / 800) / (IF(ISBLANK(S2786), 100, IF(ISNA(VLOOKUP(S2786, Lives!$A$2:$C$35, 2, 0)), S2786, VLOOKUP(S2786, Lives!$A$2:$C$35, 2, 0))) * 12) + (IF(ISBLANK(Q2786), 0, IF(ISNA(VLOOKUP(Q2786, Wages!$A$2:$C$17, 2, 0)), Q2786, VLOOKUP(Q2786, Wages!$A$2:$C$17, 2, 0))) * IF(ISBLANK(N2786), 0, IF(ISNA(VLOOKUP(N2786, Crews!$A$2:$C$28, 2, 0)), N2786, VLOOKUP(N2786, Crews!$A$2:$C$28, 2, 0))))) * 400</f>
        <v>8052.083333</v>
      </c>
      <c r="K2786" s="1"/>
      <c r="L2786" s="1" t="s">
        <v>5379</v>
      </c>
      <c r="M2786" s="1" t="n">
        <v>2</v>
      </c>
      <c r="N2786" s="1" t="s">
        <v>1815</v>
      </c>
      <c r="O2786" s="1" t="n">
        <v>1</v>
      </c>
      <c r="P2786" s="1"/>
      <c r="Q2786" s="1" t="s">
        <v>1815</v>
      </c>
      <c r="R2786" s="1" t="s">
        <v>4725</v>
      </c>
      <c r="S2786" s="1" t="s">
        <v>1843</v>
      </c>
      <c r="T2786" s="1" t="s">
        <v>5292</v>
      </c>
    </row>
    <row r="2787" customFormat="false" ht="15" hidden="false" customHeight="true" outlineLevel="0" collapsed="false">
      <c r="A2787" s="1" t="s">
        <v>5382</v>
      </c>
      <c r="B2787" s="1" t="n">
        <v>2002</v>
      </c>
      <c r="C2787" s="1" t="n">
        <v>5</v>
      </c>
      <c r="D2787" s="1" t="s">
        <v>21</v>
      </c>
      <c r="E2787" s="1" t="s">
        <v>2039</v>
      </c>
      <c r="F2787" s="1" t="n">
        <v>87</v>
      </c>
      <c r="G2787" s="1" t="n">
        <v>100</v>
      </c>
      <c r="H2787" s="2" t="n">
        <v>100000</v>
      </c>
      <c r="I2787" s="2" t="n">
        <f aca="false">(((H2787 / 800) / IF(ISBLANK(R2787), 1000000, IF(ISNA(VLOOKUP(R2787, Mileages!$A$2:$C$34, 2, 0)), R2787, VLOOKUP(R2787, Mileages!$A$2:$C$34, 2, 0)))) + (F2787 * IF(ISBLANK(P2787), 1, P2787) * IF(ISBLANK(T2787), 0, IF(ISNA(VLOOKUP(T2787, 'Fuel Costs'!$A$2:$C$42, 2, 0)), T2787, VLOOKUP(T2787, 'Fuel Costs'!$A$2:$C$42, 2, 0))) / IF(ISBLANK(O2787), 1, O2787))) * 100</f>
        <v>17.40625</v>
      </c>
      <c r="J2787" s="2" t="n">
        <f aca="false">((H2787 / 800) / (IF(ISBLANK(S2787), 100, IF(ISNA(VLOOKUP(S2787, Lives!$A$2:$C$35, 2, 0)), S2787, VLOOKUP(S2787, Lives!$A$2:$C$35, 2, 0))) * 12) + (IF(ISBLANK(Q2787), 0, IF(ISNA(VLOOKUP(Q2787, Wages!$A$2:$C$17, 2, 0)), Q2787, VLOOKUP(Q2787, Wages!$A$2:$C$17, 2, 0))) * IF(ISBLANK(N2787), 0, IF(ISNA(VLOOKUP(N2787, Crews!$A$2:$C$28, 2, 0)), N2787, VLOOKUP(N2787, Crews!$A$2:$C$28, 2, 0))))) * 400</f>
        <v>8052.083333</v>
      </c>
      <c r="K2787" s="1"/>
      <c r="L2787" s="1" t="s">
        <v>5379</v>
      </c>
      <c r="M2787" s="1" t="n">
        <v>3</v>
      </c>
      <c r="N2787" s="1" t="s">
        <v>1815</v>
      </c>
      <c r="O2787" s="1" t="n">
        <v>1</v>
      </c>
      <c r="P2787" s="1"/>
      <c r="Q2787" s="1" t="s">
        <v>1815</v>
      </c>
      <c r="R2787" s="1" t="s">
        <v>4725</v>
      </c>
      <c r="S2787" s="1" t="s">
        <v>1843</v>
      </c>
      <c r="T2787" s="1" t="s">
        <v>5292</v>
      </c>
    </row>
    <row r="2788" customFormat="false" ht="15" hidden="false" customHeight="true" outlineLevel="0" collapsed="false">
      <c r="A2788" s="1" t="s">
        <v>5383</v>
      </c>
      <c r="B2788" s="1" t="n">
        <v>2002</v>
      </c>
      <c r="C2788" s="1" t="n">
        <v>5</v>
      </c>
      <c r="D2788" s="1" t="s">
        <v>21</v>
      </c>
      <c r="E2788" s="1" t="s">
        <v>2039</v>
      </c>
      <c r="F2788" s="1" t="n">
        <v>87</v>
      </c>
      <c r="G2788" s="1" t="n">
        <v>100</v>
      </c>
      <c r="H2788" s="2" t="n">
        <v>100000</v>
      </c>
      <c r="I2788" s="2" t="n">
        <f aca="false">(((H2788 / 800) / IF(ISBLANK(R2788), 1000000, IF(ISNA(VLOOKUP(R2788, Mileages!$A$2:$C$34, 2, 0)), R2788, VLOOKUP(R2788, Mileages!$A$2:$C$34, 2, 0)))) + (F2788 * IF(ISBLANK(P2788), 1, P2788) * IF(ISBLANK(T2788), 0, IF(ISNA(VLOOKUP(T2788, 'Fuel Costs'!$A$2:$C$42, 2, 0)), T2788, VLOOKUP(T2788, 'Fuel Costs'!$A$2:$C$42, 2, 0))) / IF(ISBLANK(O2788), 1, O2788))) * 100</f>
        <v>17.40625</v>
      </c>
      <c r="J2788" s="2" t="n">
        <f aca="false">((H2788 / 800) / (IF(ISBLANK(S2788), 100, IF(ISNA(VLOOKUP(S2788, Lives!$A$2:$C$35, 2, 0)), S2788, VLOOKUP(S2788, Lives!$A$2:$C$35, 2, 0))) * 12) + (IF(ISBLANK(Q2788), 0, IF(ISNA(VLOOKUP(Q2788, Wages!$A$2:$C$17, 2, 0)), Q2788, VLOOKUP(Q2788, Wages!$A$2:$C$17, 2, 0))) * IF(ISBLANK(N2788), 0, IF(ISNA(VLOOKUP(N2788, Crews!$A$2:$C$28, 2, 0)), N2788, VLOOKUP(N2788, Crews!$A$2:$C$28, 2, 0))))) * 400</f>
        <v>8052.083333</v>
      </c>
      <c r="K2788" s="1"/>
      <c r="L2788" s="1" t="s">
        <v>5379</v>
      </c>
      <c r="M2788" s="1" t="n">
        <v>4</v>
      </c>
      <c r="N2788" s="1" t="s">
        <v>1815</v>
      </c>
      <c r="O2788" s="1" t="n">
        <v>1</v>
      </c>
      <c r="P2788" s="1"/>
      <c r="Q2788" s="1" t="s">
        <v>1815</v>
      </c>
      <c r="R2788" s="1" t="s">
        <v>4725</v>
      </c>
      <c r="S2788" s="1" t="s">
        <v>1843</v>
      </c>
      <c r="T2788" s="1" t="s">
        <v>5292</v>
      </c>
    </row>
    <row r="2789" customFormat="false" ht="15" hidden="false" customHeight="true" outlineLevel="0" collapsed="false">
      <c r="A2789" s="1" t="s">
        <v>5384</v>
      </c>
      <c r="B2789" s="1" t="n">
        <v>2002</v>
      </c>
      <c r="C2789" s="1" t="n">
        <v>5</v>
      </c>
      <c r="D2789" s="1" t="s">
        <v>21</v>
      </c>
      <c r="E2789" s="1" t="s">
        <v>2039</v>
      </c>
      <c r="F2789" s="1" t="n">
        <v>87</v>
      </c>
      <c r="G2789" s="1" t="n">
        <v>100</v>
      </c>
      <c r="H2789" s="2" t="n">
        <v>100000</v>
      </c>
      <c r="I2789" s="2" t="n">
        <f aca="false">(((H2789 / 800) / IF(ISBLANK(R2789), 1000000, IF(ISNA(VLOOKUP(R2789, Mileages!$A$2:$C$34, 2, 0)), R2789, VLOOKUP(R2789, Mileages!$A$2:$C$34, 2, 0)))) + (F2789 * IF(ISBLANK(P2789), 1, P2789) * IF(ISBLANK(T2789), 0, IF(ISNA(VLOOKUP(T2789, 'Fuel Costs'!$A$2:$C$42, 2, 0)), T2789, VLOOKUP(T2789, 'Fuel Costs'!$A$2:$C$42, 2, 0))) / IF(ISBLANK(O2789), 1, O2789))) * 100</f>
        <v>17.40625</v>
      </c>
      <c r="J2789" s="2" t="n">
        <f aca="false">((H2789 / 800) / (IF(ISBLANK(S2789), 100, IF(ISNA(VLOOKUP(S2789, Lives!$A$2:$C$35, 2, 0)), S2789, VLOOKUP(S2789, Lives!$A$2:$C$35, 2, 0))) * 12) + (IF(ISBLANK(Q2789), 0, IF(ISNA(VLOOKUP(Q2789, Wages!$A$2:$C$17, 2, 0)), Q2789, VLOOKUP(Q2789, Wages!$A$2:$C$17, 2, 0))) * IF(ISBLANK(N2789), 0, IF(ISNA(VLOOKUP(N2789, Crews!$A$2:$C$28, 2, 0)), N2789, VLOOKUP(N2789, Crews!$A$2:$C$28, 2, 0))))) * 400</f>
        <v>8052.083333</v>
      </c>
      <c r="K2789" s="1"/>
      <c r="L2789" s="1" t="s">
        <v>5379</v>
      </c>
      <c r="M2789" s="1" t="n">
        <v>5</v>
      </c>
      <c r="N2789" s="1" t="s">
        <v>1815</v>
      </c>
      <c r="O2789" s="1" t="n">
        <v>1</v>
      </c>
      <c r="P2789" s="1"/>
      <c r="Q2789" s="1" t="s">
        <v>1815</v>
      </c>
      <c r="R2789" s="1" t="s">
        <v>4725</v>
      </c>
      <c r="S2789" s="1" t="s">
        <v>1843</v>
      </c>
      <c r="T2789" s="1" t="s">
        <v>5292</v>
      </c>
    </row>
    <row r="2790" customFormat="false" ht="15" hidden="false" customHeight="true" outlineLevel="0" collapsed="false">
      <c r="A2790" s="1" t="s">
        <v>5385</v>
      </c>
      <c r="B2790" s="1" t="n">
        <v>2002</v>
      </c>
      <c r="C2790" s="1" t="n">
        <v>11</v>
      </c>
      <c r="D2790" s="1" t="s">
        <v>38</v>
      </c>
      <c r="E2790" s="1" t="s">
        <v>1346</v>
      </c>
      <c r="F2790" s="1" t="n">
        <v>750</v>
      </c>
      <c r="G2790" s="1" t="n">
        <v>160</v>
      </c>
      <c r="H2790" s="2" t="n">
        <v>1057500</v>
      </c>
      <c r="I2790" s="2" t="n">
        <f aca="false">(((H2790 / 800) / IF(ISBLANK(R2790), 1000000, IF(ISNA(VLOOKUP(R2790, Mileages!$A$2:$C$34, 2, 0)), R2790, VLOOKUP(R2790, Mileages!$A$2:$C$34, 2, 0)))) + (F2790 * IF(ISBLANK(P2790), 1, P2790) * IF(ISBLANK(T2790), 0, IF(ISNA(VLOOKUP(T2790, 'Fuel Costs'!$A$2:$C$42, 2, 0)), T2790, VLOOKUP(T2790, 'Fuel Costs'!$A$2:$C$42, 2, 0))) / IF(ISBLANK(O2790), 1, O2790))) * 100</f>
        <v>112.5660938</v>
      </c>
      <c r="J2790" s="2" t="n">
        <f aca="false">((H2790 / 800) / (IF(ISBLANK(S2790), 100, IF(ISNA(VLOOKUP(S2790, Lives!$A$2:$C$35, 2, 0)), S2790, VLOOKUP(S2790, Lives!$A$2:$C$35, 2, 0))) * 12) + (IF(ISBLANK(Q2790), 0, IF(ISNA(VLOOKUP(Q2790, Wages!$A$2:$C$17, 2, 0)), Q2790, VLOOKUP(Q2790, Wages!$A$2:$C$17, 2, 0))) * IF(ISBLANK(N2790), 0, IF(ISNA(VLOOKUP(N2790, Crews!$A$2:$C$28, 2, 0)), N2790, VLOOKUP(N2790, Crews!$A$2:$C$28, 2, 0))))) * 400</f>
        <v>6881.25</v>
      </c>
      <c r="K2790" s="1"/>
      <c r="L2790" s="1" t="s">
        <v>5386</v>
      </c>
      <c r="M2790" s="1" t="n">
        <v>0</v>
      </c>
      <c r="N2790" s="1" t="s">
        <v>1512</v>
      </c>
      <c r="O2790" s="1" t="n">
        <v>1</v>
      </c>
      <c r="P2790" s="1"/>
      <c r="Q2790" s="1" t="str">
        <f aca="false">IF(ISBLANK('Pak128 Britain In'!$N2790),,'Pak128 Britain In'!$N2790)</f>
        <v>ElectricMultipleUnit</v>
      </c>
      <c r="R2790" s="1" t="s">
        <v>4696</v>
      </c>
      <c r="S2790" s="1" t="s">
        <v>1350</v>
      </c>
      <c r="T2790" s="1" t="s">
        <v>5303</v>
      </c>
    </row>
    <row r="2791" customFormat="false" ht="15" hidden="false" customHeight="true" outlineLevel="0" collapsed="false">
      <c r="A2791" s="1" t="s">
        <v>5387</v>
      </c>
      <c r="B2791" s="1" t="n">
        <v>2002</v>
      </c>
      <c r="C2791" s="1" t="n">
        <v>11</v>
      </c>
      <c r="D2791" s="1" t="s">
        <v>38</v>
      </c>
      <c r="E2791" s="1" t="s">
        <v>1346</v>
      </c>
      <c r="F2791" s="1" t="n">
        <v>0</v>
      </c>
      <c r="G2791" s="1" t="n">
        <v>160</v>
      </c>
      <c r="H2791" s="2" t="n">
        <v>1899100</v>
      </c>
      <c r="I2791" s="2" t="n">
        <f aca="false">(((H2791 / 800) / IF(ISBLANK(R2791), 1000000, IF(ISNA(VLOOKUP(R2791, Mileages!$A$2:$C$34, 2, 0)), R2791, VLOOKUP(R2791, Mileages!$A$2:$C$34, 2, 0)))) + (F2791 * IF(ISBLANK(P2791), 1, P2791) * IF(ISBLANK(T2791), 0, IF(ISNA(VLOOKUP(T2791, 'Fuel Costs'!$A$2:$C$42, 2, 0)), T2791, VLOOKUP(T2791, 'Fuel Costs'!$A$2:$C$42, 2, 0))) / IF(ISBLANK(O2791), 1, O2791))) * 100</f>
        <v>0.09891145833</v>
      </c>
      <c r="J2791" s="2" t="n">
        <f aca="false">((H2791 / 800) / (IF(ISBLANK(S2791), 100, IF(ISNA(VLOOKUP(S2791, Lives!$A$2:$C$35, 2, 0)), S2791, VLOOKUP(S2791, Lives!$A$2:$C$35, 2, 0))) * 12) + (IF(ISBLANK(Q2791), 0, IF(ISNA(VLOOKUP(Q2791, Wages!$A$2:$C$17, 2, 0)), Q2791, VLOOKUP(Q2791, Wages!$A$2:$C$17, 2, 0))) * IF(ISBLANK(N2791), 0, IF(ISNA(VLOOKUP(N2791, Crews!$A$2:$C$28, 2, 0)), N2791, VLOOKUP(N2791, Crews!$A$2:$C$28, 2, 0))))) * 400</f>
        <v>3956.458333</v>
      </c>
      <c r="K2791" s="1"/>
      <c r="L2791" s="1" t="s">
        <v>5386</v>
      </c>
      <c r="M2791" s="1" t="n">
        <v>1</v>
      </c>
      <c r="N2791" s="1"/>
      <c r="O2791" s="1"/>
      <c r="P2791" s="1"/>
      <c r="Q2791" s="1"/>
      <c r="R2791" s="1" t="s">
        <v>4419</v>
      </c>
      <c r="S2791" s="1" t="s">
        <v>4470</v>
      </c>
      <c r="T2791" s="1"/>
    </row>
    <row r="2792" customFormat="false" ht="15" hidden="false" customHeight="true" outlineLevel="0" collapsed="false">
      <c r="A2792" s="1" t="s">
        <v>5388</v>
      </c>
      <c r="B2792" s="1" t="n">
        <v>2002</v>
      </c>
      <c r="C2792" s="1" t="n">
        <v>11</v>
      </c>
      <c r="D2792" s="1" t="s">
        <v>38</v>
      </c>
      <c r="E2792" s="1" t="s">
        <v>1346</v>
      </c>
      <c r="F2792" s="1" t="n">
        <v>0</v>
      </c>
      <c r="G2792" s="1" t="n">
        <v>160</v>
      </c>
      <c r="H2792" s="2" t="n">
        <v>1899100</v>
      </c>
      <c r="I2792" s="2" t="n">
        <f aca="false">(((H2792 / 800) / IF(ISBLANK(R2792), 1000000, IF(ISNA(VLOOKUP(R2792, Mileages!$A$2:$C$34, 2, 0)), R2792, VLOOKUP(R2792, Mileages!$A$2:$C$34, 2, 0)))) + (F2792 * IF(ISBLANK(P2792), 1, P2792) * IF(ISBLANK(T2792), 0, IF(ISNA(VLOOKUP(T2792, 'Fuel Costs'!$A$2:$C$42, 2, 0)), T2792, VLOOKUP(T2792, 'Fuel Costs'!$A$2:$C$42, 2, 0))) / IF(ISBLANK(O2792), 1, O2792))) * 100</f>
        <v>0.09891145833</v>
      </c>
      <c r="J2792" s="2" t="n">
        <f aca="false">((H2792 / 800) / (IF(ISBLANK(S2792), 100, IF(ISNA(VLOOKUP(S2792, Lives!$A$2:$C$35, 2, 0)), S2792, VLOOKUP(S2792, Lives!$A$2:$C$35, 2, 0))) * 12) + (IF(ISBLANK(Q2792), 0, IF(ISNA(VLOOKUP(Q2792, Wages!$A$2:$C$17, 2, 0)), Q2792, VLOOKUP(Q2792, Wages!$A$2:$C$17, 2, 0))) * IF(ISBLANK(N2792), 0, IF(ISNA(VLOOKUP(N2792, Crews!$A$2:$C$28, 2, 0)), N2792, VLOOKUP(N2792, Crews!$A$2:$C$28, 2, 0))))) * 400</f>
        <v>3956.458333</v>
      </c>
      <c r="K2792" s="1"/>
      <c r="L2792" s="1" t="s">
        <v>5386</v>
      </c>
      <c r="M2792" s="1" t="n">
        <v>2</v>
      </c>
      <c r="N2792" s="1"/>
      <c r="O2792" s="1"/>
      <c r="P2792" s="1"/>
      <c r="Q2792" s="1"/>
      <c r="R2792" s="1" t="s">
        <v>4419</v>
      </c>
      <c r="S2792" s="1" t="s">
        <v>4470</v>
      </c>
      <c r="T2792" s="1"/>
    </row>
    <row r="2793" customFormat="false" ht="15" hidden="false" customHeight="true" outlineLevel="0" collapsed="false">
      <c r="A2793" s="1" t="s">
        <v>5389</v>
      </c>
      <c r="B2793" s="1" t="n">
        <v>2002</v>
      </c>
      <c r="C2793" s="1" t="n">
        <v>11</v>
      </c>
      <c r="D2793" s="1" t="s">
        <v>38</v>
      </c>
      <c r="E2793" s="1" t="s">
        <v>1346</v>
      </c>
      <c r="F2793" s="1" t="n">
        <v>750</v>
      </c>
      <c r="G2793" s="1" t="n">
        <v>160</v>
      </c>
      <c r="H2793" s="2" t="n">
        <v>1057500</v>
      </c>
      <c r="I2793" s="2" t="n">
        <f aca="false">(((H2793 / 800) / IF(ISBLANK(R2793), 1000000, IF(ISNA(VLOOKUP(R2793, Mileages!$A$2:$C$34, 2, 0)), R2793, VLOOKUP(R2793, Mileages!$A$2:$C$34, 2, 0)))) + (F2793 * IF(ISBLANK(P2793), 1, P2793) * IF(ISBLANK(T2793), 0, IF(ISNA(VLOOKUP(T2793, 'Fuel Costs'!$A$2:$C$42, 2, 0)), T2793, VLOOKUP(T2793, 'Fuel Costs'!$A$2:$C$42, 2, 0))) / IF(ISBLANK(O2793), 1, O2793))) * 100</f>
        <v>112.5660938</v>
      </c>
      <c r="J2793" s="2" t="n">
        <f aca="false">((H2793 / 800) / (IF(ISBLANK(S2793), 100, IF(ISNA(VLOOKUP(S2793, Lives!$A$2:$C$35, 2, 0)), S2793, VLOOKUP(S2793, Lives!$A$2:$C$35, 2, 0))) * 12) + (IF(ISBLANK(Q2793), 0, IF(ISNA(VLOOKUP(Q2793, Wages!$A$2:$C$17, 2, 0)), Q2793, VLOOKUP(Q2793, Wages!$A$2:$C$17, 2, 0))) * IF(ISBLANK(N2793), 0, IF(ISNA(VLOOKUP(N2793, Crews!$A$2:$C$28, 2, 0)), N2793, VLOOKUP(N2793, Crews!$A$2:$C$28, 2, 0))))) * 400</f>
        <v>6881.25</v>
      </c>
      <c r="K2793" s="1"/>
      <c r="L2793" s="1" t="s">
        <v>5386</v>
      </c>
      <c r="M2793" s="1" t="n">
        <v>3</v>
      </c>
      <c r="N2793" s="1" t="s">
        <v>1512</v>
      </c>
      <c r="O2793" s="1" t="n">
        <v>1</v>
      </c>
      <c r="P2793" s="1"/>
      <c r="Q2793" s="1" t="str">
        <f aca="false">IF(ISBLANK('Pak128 Britain In'!$N2793),,'Pak128 Britain In'!$N2793)</f>
        <v>ElectricMultipleUnit</v>
      </c>
      <c r="R2793" s="1" t="s">
        <v>4696</v>
      </c>
      <c r="S2793" s="1" t="s">
        <v>1350</v>
      </c>
      <c r="T2793" s="1" t="s">
        <v>5303</v>
      </c>
    </row>
    <row r="2794" customFormat="false" ht="15" hidden="false" customHeight="true" outlineLevel="0" collapsed="false">
      <c r="A2794" s="1" t="s">
        <v>5390</v>
      </c>
      <c r="B2794" s="1" t="n">
        <v>2003</v>
      </c>
      <c r="C2794" s="1" t="n">
        <v>3</v>
      </c>
      <c r="D2794" s="1" t="s">
        <v>21</v>
      </c>
      <c r="E2794" s="1" t="s">
        <v>2039</v>
      </c>
      <c r="F2794" s="1" t="n">
        <v>260</v>
      </c>
      <c r="G2794" s="1" t="n">
        <v>65</v>
      </c>
      <c r="H2794" s="2" t="n">
        <v>7850000</v>
      </c>
      <c r="I2794" s="2" t="n">
        <f aca="false">(((H2794 / 800) / IF(ISBLANK(R2794), 1000000, IF(ISNA(VLOOKUP(R2794, Mileages!$A$2:$C$34, 2, 0)), R2794, VLOOKUP(R2794, Mileages!$A$2:$C$34, 2, 0)))) + (F2794 * IF(ISBLANK(P2794), 1, P2794) * IF(ISBLANK(T2794), 0, IF(ISNA(VLOOKUP(T2794, 'Fuel Costs'!$A$2:$C$42, 2, 0)), T2794, VLOOKUP(T2794, 'Fuel Costs'!$A$2:$C$42, 2, 0))) / IF(ISBLANK(O2794), 1, O2794))) * 100</f>
        <v>52.490625</v>
      </c>
      <c r="J2794" s="2" t="n">
        <f aca="false">((H2794 / 800) / (IF(ISBLANK(S2794), 100, IF(ISNA(VLOOKUP(S2794, Lives!$A$2:$C$35, 2, 0)), S2794, VLOOKUP(S2794, Lives!$A$2:$C$35, 2, 0))) * 12) + (IF(ISBLANK(Q2794), 0, IF(ISNA(VLOOKUP(Q2794, Wages!$A$2:$C$17, 2, 0)), Q2794, VLOOKUP(Q2794, Wages!$A$2:$C$17, 2, 0))) * IF(ISBLANK(N2794), 0, IF(ISNA(VLOOKUP(N2794, Crews!$A$2:$C$28, 2, 0)), N2794, VLOOKUP(N2794, Crews!$A$2:$C$28, 2, 0))))) * 400</f>
        <v>12088.54167</v>
      </c>
      <c r="K2794" s="3" t="s">
        <v>5391</v>
      </c>
      <c r="L2794" s="1" t="s">
        <v>5392</v>
      </c>
      <c r="M2794" s="1" t="n">
        <v>0</v>
      </c>
      <c r="N2794" s="1" t="s">
        <v>1815</v>
      </c>
      <c r="O2794" s="1" t="n">
        <v>1</v>
      </c>
      <c r="P2794" s="1"/>
      <c r="Q2794" s="1" t="s">
        <v>1815</v>
      </c>
      <c r="R2794" s="1" t="s">
        <v>4725</v>
      </c>
      <c r="S2794" s="1" t="s">
        <v>1843</v>
      </c>
      <c r="T2794" s="1" t="s">
        <v>5292</v>
      </c>
    </row>
    <row r="2795" customFormat="false" ht="15" hidden="false" customHeight="true" outlineLevel="0" collapsed="false">
      <c r="A2795" s="1" t="s">
        <v>5393</v>
      </c>
      <c r="B2795" s="1" t="n">
        <v>2003</v>
      </c>
      <c r="C2795" s="1" t="n">
        <v>3</v>
      </c>
      <c r="D2795" s="1" t="s">
        <v>21</v>
      </c>
      <c r="E2795" s="1" t="s">
        <v>2039</v>
      </c>
      <c r="F2795" s="1" t="n">
        <v>0</v>
      </c>
      <c r="G2795" s="1" t="n">
        <v>65</v>
      </c>
      <c r="H2795" s="2" t="n">
        <v>0</v>
      </c>
      <c r="I2795" s="2" t="n">
        <f aca="false">(((H2795 / 800) / IF(ISBLANK(R2795), 1000000, IF(ISNA(VLOOKUP(R2795, Mileages!$A$2:$C$34, 2, 0)), R2795, VLOOKUP(R2795, Mileages!$A$2:$C$34, 2, 0)))) + (F2795 * IF(ISBLANK(P2795), 1, P2795) * IF(ISBLANK(T2795), 0, IF(ISNA(VLOOKUP(T2795, 'Fuel Costs'!$A$2:$C$42, 2, 0)), T2795, VLOOKUP(T2795, 'Fuel Costs'!$A$2:$C$42, 2, 0))) / IF(ISBLANK(O2795), 1, O2795))) * 100</f>
        <v>0</v>
      </c>
      <c r="J2795" s="2" t="n">
        <f aca="false">((H2795 / 800) / (IF(ISBLANK(S2795), 100, IF(ISNA(VLOOKUP(S2795, Lives!$A$2:$C$35, 2, 0)), S2795, VLOOKUP(S2795, Lives!$A$2:$C$35, 2, 0))) * 12) + (IF(ISBLANK(Q2795), 0, IF(ISNA(VLOOKUP(Q2795, Wages!$A$2:$C$17, 2, 0)), Q2795, VLOOKUP(Q2795, Wages!$A$2:$C$17, 2, 0))) * IF(ISBLANK(N2795), 0, IF(ISNA(VLOOKUP(N2795, Crews!$A$2:$C$28, 2, 0)), N2795, VLOOKUP(N2795, Crews!$A$2:$C$28, 2, 0))))) * 400</f>
        <v>0</v>
      </c>
      <c r="K2795" s="1" t="s">
        <v>5394</v>
      </c>
      <c r="L2795" s="1" t="s">
        <v>5392</v>
      </c>
      <c r="M2795" s="1" t="n">
        <v>1</v>
      </c>
      <c r="N2795" s="1"/>
      <c r="O2795" s="1"/>
      <c r="P2795" s="1"/>
      <c r="Q2795" s="1"/>
      <c r="R2795" s="1" t="s">
        <v>4730</v>
      </c>
      <c r="S2795" s="1" t="s">
        <v>3064</v>
      </c>
      <c r="T2795" s="1"/>
    </row>
    <row r="2796" customFormat="false" ht="15" hidden="false" customHeight="true" outlineLevel="0" collapsed="false">
      <c r="A2796" s="1" t="s">
        <v>5395</v>
      </c>
      <c r="B2796" s="1" t="n">
        <v>2003</v>
      </c>
      <c r="C2796" s="1" t="n">
        <v>3</v>
      </c>
      <c r="D2796" s="1" t="s">
        <v>29</v>
      </c>
      <c r="E2796" s="1" t="s">
        <v>2039</v>
      </c>
      <c r="F2796" s="1" t="n">
        <v>27000</v>
      </c>
      <c r="G2796" s="1" t="n">
        <v>40</v>
      </c>
      <c r="H2796" s="2" t="n">
        <v>91000000</v>
      </c>
      <c r="I2796" s="2" t="n">
        <f aca="false">(((H2796 / 800) / IF(ISBLANK(R2796), 1000000, IF(ISNA(VLOOKUP(R2796, Mileages!$A$2:$C$34, 2, 0)), R2796, VLOOKUP(R2796, Mileages!$A$2:$C$34, 2, 0)))) + (F2796 * IF(ISBLANK(P2796), 1, P2796) * IF(ISBLANK(T2796), 0, IF(ISNA(VLOOKUP(T2796, 'Fuel Costs'!$A$2:$C$42, 2, 0)), T2796, VLOOKUP(T2796, 'Fuel Costs'!$A$2:$C$42, 2, 0))) / IF(ISBLANK(O2796), 1, O2796))) * 100</f>
        <v>541.8958333</v>
      </c>
      <c r="J2796" s="2" t="n">
        <f aca="false">((H2796 / 800) / (IF(ISBLANK(S2796), 100, IF(ISNA(VLOOKUP(S2796, Lives!$A$2:$C$35, 2, 0)), S2796, VLOOKUP(S2796, Lives!$A$2:$C$35, 2, 0))) * 12) + (IF(ISBLANK(Q2796), 0, IF(ISNA(VLOOKUP(Q2796, Wages!$A$2:$C$17, 2, 0)), Q2796, VLOOKUP(Q2796, Wages!$A$2:$C$17, 2, 0))) * IF(ISBLANK(N2796), 0, IF(ISNA(VLOOKUP(N2796, Crews!$A$2:$C$28, 2, 0)), N2796, VLOOKUP(N2796, Crews!$A$2:$C$28, 2, 0))))) * 400</f>
        <v>237916.6667</v>
      </c>
      <c r="K2796" s="1" t="s">
        <v>321</v>
      </c>
      <c r="L2796" s="1" t="s">
        <v>5396</v>
      </c>
      <c r="M2796" s="1" t="n">
        <v>0</v>
      </c>
      <c r="N2796" s="1" t="s">
        <v>323</v>
      </c>
      <c r="O2796" s="1" t="n">
        <v>1</v>
      </c>
      <c r="P2796" s="1" t="n">
        <v>0.1</v>
      </c>
      <c r="Q2796" s="1" t="s">
        <v>34</v>
      </c>
      <c r="R2796" s="1" t="s">
        <v>3933</v>
      </c>
      <c r="S2796" s="1" t="s">
        <v>574</v>
      </c>
      <c r="T2796" s="1" t="s">
        <v>5292</v>
      </c>
    </row>
    <row r="2797" customFormat="false" ht="15" hidden="false" customHeight="true" outlineLevel="0" collapsed="false">
      <c r="A2797" s="1" t="s">
        <v>5397</v>
      </c>
      <c r="B2797" s="1" t="n">
        <v>2003</v>
      </c>
      <c r="C2797" s="1" t="n">
        <v>3</v>
      </c>
      <c r="D2797" s="1" t="s">
        <v>29</v>
      </c>
      <c r="E2797" s="1"/>
      <c r="F2797" s="1"/>
      <c r="G2797" s="1" t="n">
        <v>40</v>
      </c>
      <c r="H2797" s="2"/>
      <c r="I2797" s="2"/>
      <c r="J2797" s="2"/>
      <c r="K2797" s="1"/>
      <c r="L2797" s="1" t="s">
        <v>5398</v>
      </c>
      <c r="M2797" s="1" t="n">
        <v>0</v>
      </c>
      <c r="N2797" s="1"/>
      <c r="O2797" s="1"/>
      <c r="P2797" s="1"/>
      <c r="Q2797" s="1"/>
      <c r="R2797" s="1"/>
      <c r="S2797" s="1"/>
      <c r="T2797" s="1"/>
    </row>
    <row r="2798" customFormat="false" ht="15" hidden="false" customHeight="true" outlineLevel="0" collapsed="false">
      <c r="A2798" s="1" t="s">
        <v>5399</v>
      </c>
      <c r="B2798" s="1" t="n">
        <v>2003</v>
      </c>
      <c r="C2798" s="1" t="n">
        <v>3</v>
      </c>
      <c r="D2798" s="1" t="s">
        <v>29</v>
      </c>
      <c r="E2798" s="1"/>
      <c r="F2798" s="1"/>
      <c r="G2798" s="1" t="n">
        <v>40</v>
      </c>
      <c r="H2798" s="2"/>
      <c r="I2798" s="2"/>
      <c r="J2798" s="2"/>
      <c r="K2798" s="1"/>
      <c r="L2798" s="1" t="s">
        <v>5398</v>
      </c>
      <c r="M2798" s="1" t="n">
        <v>1</v>
      </c>
      <c r="N2798" s="1"/>
      <c r="O2798" s="1"/>
      <c r="P2798" s="1"/>
      <c r="Q2798" s="1"/>
      <c r="R2798" s="1"/>
      <c r="S2798" s="1"/>
      <c r="T2798" s="1"/>
    </row>
    <row r="2799" customFormat="false" ht="15" hidden="false" customHeight="true" outlineLevel="0" collapsed="false">
      <c r="A2799" s="1" t="s">
        <v>5400</v>
      </c>
      <c r="B2799" s="1" t="n">
        <v>2003</v>
      </c>
      <c r="C2799" s="1" t="n">
        <v>3</v>
      </c>
      <c r="D2799" s="1" t="s">
        <v>29</v>
      </c>
      <c r="E2799" s="1"/>
      <c r="F2799" s="1"/>
      <c r="G2799" s="1" t="n">
        <v>40</v>
      </c>
      <c r="H2799" s="2"/>
      <c r="I2799" s="2"/>
      <c r="J2799" s="2"/>
      <c r="K2799" s="1"/>
      <c r="L2799" s="1" t="s">
        <v>5398</v>
      </c>
      <c r="M2799" s="1" t="n">
        <v>2</v>
      </c>
      <c r="N2799" s="1"/>
      <c r="O2799" s="1"/>
      <c r="P2799" s="1"/>
      <c r="Q2799" s="1"/>
      <c r="R2799" s="1"/>
      <c r="S2799" s="1"/>
      <c r="T2799" s="1"/>
    </row>
    <row r="2800" customFormat="false" ht="15" hidden="false" customHeight="true" outlineLevel="0" collapsed="false">
      <c r="A2800" s="1" t="s">
        <v>5401</v>
      </c>
      <c r="B2800" s="1" t="n">
        <v>2003</v>
      </c>
      <c r="C2800" s="1" t="n">
        <v>6</v>
      </c>
      <c r="D2800" s="1" t="s">
        <v>38</v>
      </c>
      <c r="E2800" s="1" t="s">
        <v>1346</v>
      </c>
      <c r="F2800" s="1" t="n">
        <v>855</v>
      </c>
      <c r="G2800" s="1" t="n">
        <v>225</v>
      </c>
      <c r="H2800" s="2" t="n">
        <v>2785000</v>
      </c>
      <c r="I2800" s="2" t="n">
        <f aca="false">(((H2800 / 800) / IF(ISBLANK(R2800), 1000000, IF(ISNA(VLOOKUP(R2800, Mileages!$A$2:$C$34, 2, 0)), R2800, VLOOKUP(R2800, Mileages!$A$2:$C$34, 2, 0)))) + (F2800 * IF(ISBLANK(P2800), 1, P2800) * IF(ISBLANK(T2800), 0, IF(ISNA(VLOOKUP(T2800, 'Fuel Costs'!$A$2:$C$42, 2, 0)), T2800, VLOOKUP(T2800, 'Fuel Costs'!$A$2:$C$42, 2, 0))) / IF(ISBLANK(O2800), 1, O2800))) * 100</f>
        <v>128.4240625</v>
      </c>
      <c r="J2800" s="2" t="n">
        <f aca="false">((H2800 / 800) / (IF(ISBLANK(S2800), 100, IF(ISNA(VLOOKUP(S2800, Lives!$A$2:$C$35, 2, 0)), S2800, VLOOKUP(S2800, Lives!$A$2:$C$35, 2, 0))) * 12) + (IF(ISBLANK(Q2800), 0, IF(ISNA(VLOOKUP(Q2800, Wages!$A$2:$C$17, 2, 0)), Q2800, VLOOKUP(Q2800, Wages!$A$2:$C$17, 2, 0))) * IF(ISBLANK(N2800), 0, IF(ISNA(VLOOKUP(N2800, Crews!$A$2:$C$28, 2, 0)), N2800, VLOOKUP(N2800, Crews!$A$2:$C$28, 2, 0))))) * 400</f>
        <v>8320.833333</v>
      </c>
      <c r="K2800" s="1"/>
      <c r="L2800" s="1" t="s">
        <v>5330</v>
      </c>
      <c r="M2800" s="1" t="n">
        <v>0</v>
      </c>
      <c r="N2800" s="1" t="s">
        <v>1512</v>
      </c>
      <c r="O2800" s="1" t="n">
        <v>1</v>
      </c>
      <c r="P2800" s="1"/>
      <c r="Q2800" s="1" t="str">
        <f aca="false">IF(ISBLANK('Pak128 Britain In'!$N2800),,'Pak128 Britain In'!$N2800)</f>
        <v>ElectricMultipleUnit</v>
      </c>
      <c r="R2800" s="1" t="s">
        <v>4696</v>
      </c>
      <c r="S2800" s="1" t="s">
        <v>1350</v>
      </c>
      <c r="T2800" s="1" t="s">
        <v>5303</v>
      </c>
    </row>
    <row r="2801" customFormat="false" ht="15" hidden="false" customHeight="true" outlineLevel="0" collapsed="false">
      <c r="A2801" s="1" t="s">
        <v>5402</v>
      </c>
      <c r="B2801" s="1" t="n">
        <v>2003</v>
      </c>
      <c r="C2801" s="1" t="n">
        <v>6</v>
      </c>
      <c r="D2801" s="1" t="s">
        <v>38</v>
      </c>
      <c r="E2801" s="1" t="s">
        <v>1346</v>
      </c>
      <c r="F2801" s="1" t="n">
        <v>855</v>
      </c>
      <c r="G2801" s="1" t="n">
        <v>225</v>
      </c>
      <c r="H2801" s="2" t="n">
        <v>1200000</v>
      </c>
      <c r="I2801" s="2" t="n">
        <f aca="false">(((H2801 / 800) / IF(ISBLANK(R2801), 1000000, IF(ISNA(VLOOKUP(R2801, Mileages!$A$2:$C$34, 2, 0)), R2801, VLOOKUP(R2801, Mileages!$A$2:$C$34, 2, 0)))) + (F2801 * IF(ISBLANK(P2801), 1, P2801) * IF(ISBLANK(T2801), 0, IF(ISNA(VLOOKUP(T2801, 'Fuel Costs'!$A$2:$C$42, 2, 0)), T2801, VLOOKUP(T2801, 'Fuel Costs'!$A$2:$C$42, 2, 0))) / IF(ISBLANK(O2801), 1, O2801))) * 100</f>
        <v>128.325</v>
      </c>
      <c r="J2801" s="2" t="n">
        <f aca="false">((H2801 / 800) / (IF(ISBLANK(S2801), 100, IF(ISNA(VLOOKUP(S2801, Lives!$A$2:$C$35, 2, 0)), S2801, VLOOKUP(S2801, Lives!$A$2:$C$35, 2, 0))) * 12) + (IF(ISBLANK(Q2801), 0, IF(ISNA(VLOOKUP(Q2801, Wages!$A$2:$C$17, 2, 0)), Q2801, VLOOKUP(Q2801, Wages!$A$2:$C$17, 2, 0))) * IF(ISBLANK(N2801), 0, IF(ISNA(VLOOKUP(N2801, Crews!$A$2:$C$28, 2, 0)), N2801, VLOOKUP(N2801, Crews!$A$2:$C$28, 2, 0))))) * 400</f>
        <v>7000</v>
      </c>
      <c r="K2801" s="1"/>
      <c r="L2801" s="1" t="s">
        <v>5330</v>
      </c>
      <c r="M2801" s="1" t="n">
        <v>1</v>
      </c>
      <c r="N2801" s="1" t="s">
        <v>1512</v>
      </c>
      <c r="O2801" s="1" t="n">
        <v>1</v>
      </c>
      <c r="P2801" s="1"/>
      <c r="Q2801" s="1" t="str">
        <f aca="false">IF(ISBLANK('Pak128 Britain In'!$N2801),,'Pak128 Britain In'!$N2801)</f>
        <v>ElectricMultipleUnit</v>
      </c>
      <c r="R2801" s="1" t="s">
        <v>4696</v>
      </c>
      <c r="S2801" s="1" t="s">
        <v>1350</v>
      </c>
      <c r="T2801" s="1" t="s">
        <v>5303</v>
      </c>
    </row>
    <row r="2802" customFormat="false" ht="15" hidden="false" customHeight="true" outlineLevel="0" collapsed="false">
      <c r="A2802" s="1" t="s">
        <v>5403</v>
      </c>
      <c r="B2802" s="1" t="n">
        <v>2003</v>
      </c>
      <c r="C2802" s="1" t="n">
        <v>6</v>
      </c>
      <c r="D2802" s="1" t="s">
        <v>38</v>
      </c>
      <c r="E2802" s="1" t="s">
        <v>1346</v>
      </c>
      <c r="F2802" s="1" t="n">
        <v>0</v>
      </c>
      <c r="G2802" s="1" t="n">
        <v>225</v>
      </c>
      <c r="H2802" s="2" t="n">
        <v>2785000</v>
      </c>
      <c r="I2802" s="2" t="n">
        <f aca="false">(((H2802 / 800) / IF(ISBLANK(R2802), 1000000, IF(ISNA(VLOOKUP(R2802, Mileages!$A$2:$C$34, 2, 0)), R2802, VLOOKUP(R2802, Mileages!$A$2:$C$34, 2, 0)))) + (F2802 * IF(ISBLANK(P2802), 1, P2802) * IF(ISBLANK(T2802), 0, IF(ISNA(VLOOKUP(T2802, 'Fuel Costs'!$A$2:$C$42, 2, 0)), T2802, VLOOKUP(T2802, 'Fuel Costs'!$A$2:$C$42, 2, 0))) / IF(ISBLANK(O2802), 1, O2802))) * 100</f>
        <v>0.1450520833</v>
      </c>
      <c r="J2802" s="2" t="n">
        <f aca="false">((H2802 / 800) / (IF(ISBLANK(S2802), 100, IF(ISNA(VLOOKUP(S2802, Lives!$A$2:$C$35, 2, 0)), S2802, VLOOKUP(S2802, Lives!$A$2:$C$35, 2, 0))) * 12) + (IF(ISBLANK(Q2802), 0, IF(ISNA(VLOOKUP(Q2802, Wages!$A$2:$C$17, 2, 0)), Q2802, VLOOKUP(Q2802, Wages!$A$2:$C$17, 2, 0))) * IF(ISBLANK(N2802), 0, IF(ISNA(VLOOKUP(N2802, Crews!$A$2:$C$28, 2, 0)), N2802, VLOOKUP(N2802, Crews!$A$2:$C$28, 2, 0))))) * 400</f>
        <v>5802.083333</v>
      </c>
      <c r="K2802" s="1"/>
      <c r="L2802" s="1" t="s">
        <v>5330</v>
      </c>
      <c r="M2802" s="1" t="n">
        <v>2</v>
      </c>
      <c r="N2802" s="1"/>
      <c r="O2802" s="1"/>
      <c r="P2802" s="1"/>
      <c r="Q2802" s="1"/>
      <c r="R2802" s="1" t="s">
        <v>4419</v>
      </c>
      <c r="S2802" s="1" t="s">
        <v>4470</v>
      </c>
      <c r="T2802" s="1"/>
    </row>
    <row r="2803" customFormat="false" ht="15" hidden="false" customHeight="true" outlineLevel="0" collapsed="false">
      <c r="A2803" s="1" t="s">
        <v>5404</v>
      </c>
      <c r="B2803" s="1" t="n">
        <v>2003</v>
      </c>
      <c r="C2803" s="1" t="n">
        <v>6</v>
      </c>
      <c r="D2803" s="1" t="s">
        <v>38</v>
      </c>
      <c r="E2803" s="1" t="s">
        <v>1346</v>
      </c>
      <c r="F2803" s="1" t="n">
        <v>0</v>
      </c>
      <c r="G2803" s="1" t="n">
        <v>225</v>
      </c>
      <c r="H2803" s="2" t="n">
        <v>1200000</v>
      </c>
      <c r="I2803" s="2" t="n">
        <f aca="false">(((H2803 / 800) / IF(ISBLANK(R2803), 1000000, IF(ISNA(VLOOKUP(R2803, Mileages!$A$2:$C$34, 2, 0)), R2803, VLOOKUP(R2803, Mileages!$A$2:$C$34, 2, 0)))) + (F2803 * IF(ISBLANK(P2803), 1, P2803) * IF(ISBLANK(T2803), 0, IF(ISNA(VLOOKUP(T2803, 'Fuel Costs'!$A$2:$C$42, 2, 0)), T2803, VLOOKUP(T2803, 'Fuel Costs'!$A$2:$C$42, 2, 0))) / IF(ISBLANK(O2803), 1, O2803))) * 100</f>
        <v>0.0625</v>
      </c>
      <c r="J2803" s="2" t="n">
        <f aca="false">((H2803 / 800) / (IF(ISBLANK(S2803), 100, IF(ISNA(VLOOKUP(S2803, Lives!$A$2:$C$35, 2, 0)), S2803, VLOOKUP(S2803, Lives!$A$2:$C$35, 2, 0))) * 12) + (IF(ISBLANK(Q2803), 0, IF(ISNA(VLOOKUP(Q2803, Wages!$A$2:$C$17, 2, 0)), Q2803, VLOOKUP(Q2803, Wages!$A$2:$C$17, 2, 0))) * IF(ISBLANK(N2803), 0, IF(ISNA(VLOOKUP(N2803, Crews!$A$2:$C$28, 2, 0)), N2803, VLOOKUP(N2803, Crews!$A$2:$C$28, 2, 0))))) * 400</f>
        <v>2500</v>
      </c>
      <c r="K2803" s="1"/>
      <c r="L2803" s="1" t="s">
        <v>5330</v>
      </c>
      <c r="M2803" s="1" t="n">
        <v>3</v>
      </c>
      <c r="N2803" s="1"/>
      <c r="O2803" s="1"/>
      <c r="P2803" s="1"/>
      <c r="Q2803" s="1"/>
      <c r="R2803" s="1" t="s">
        <v>4419</v>
      </c>
      <c r="S2803" s="1" t="s">
        <v>4470</v>
      </c>
      <c r="T2803" s="1"/>
    </row>
    <row r="2804" customFormat="false" ht="15" hidden="false" customHeight="true" outlineLevel="0" collapsed="false">
      <c r="A2804" s="1" t="s">
        <v>5405</v>
      </c>
      <c r="B2804" s="1" t="n">
        <v>2003</v>
      </c>
      <c r="C2804" s="1" t="n">
        <v>6</v>
      </c>
      <c r="D2804" s="1" t="s">
        <v>38</v>
      </c>
      <c r="E2804" s="1" t="s">
        <v>1346</v>
      </c>
      <c r="F2804" s="1" t="n">
        <v>0</v>
      </c>
      <c r="G2804" s="1" t="n">
        <v>225</v>
      </c>
      <c r="H2804" s="2" t="n">
        <v>2785000</v>
      </c>
      <c r="I2804" s="2" t="n">
        <f aca="false">(((H2804 / 800) / IF(ISBLANK(R2804), 1000000, IF(ISNA(VLOOKUP(R2804, Mileages!$A$2:$C$34, 2, 0)), R2804, VLOOKUP(R2804, Mileages!$A$2:$C$34, 2, 0)))) + (F2804 * IF(ISBLANK(P2804), 1, P2804) * IF(ISBLANK(T2804), 0, IF(ISNA(VLOOKUP(T2804, 'Fuel Costs'!$A$2:$C$42, 2, 0)), T2804, VLOOKUP(T2804, 'Fuel Costs'!$A$2:$C$42, 2, 0))) / IF(ISBLANK(O2804), 1, O2804))) * 100</f>
        <v>0.1450520833</v>
      </c>
      <c r="J2804" s="2" t="n">
        <f aca="false">((H2804 / 800) / (IF(ISBLANK(S2804), 100, IF(ISNA(VLOOKUP(S2804, Lives!$A$2:$C$35, 2, 0)), S2804, VLOOKUP(S2804, Lives!$A$2:$C$35, 2, 0))) * 12) + (IF(ISBLANK(Q2804), 0, IF(ISNA(VLOOKUP(Q2804, Wages!$A$2:$C$17, 2, 0)), Q2804, VLOOKUP(Q2804, Wages!$A$2:$C$17, 2, 0))) * IF(ISBLANK(N2804), 0, IF(ISNA(VLOOKUP(N2804, Crews!$A$2:$C$28, 2, 0)), N2804, VLOOKUP(N2804, Crews!$A$2:$C$28, 2, 0))))) * 400</f>
        <v>5802.083333</v>
      </c>
      <c r="K2804" s="1"/>
      <c r="L2804" s="1" t="s">
        <v>5330</v>
      </c>
      <c r="M2804" s="1" t="n">
        <v>6</v>
      </c>
      <c r="N2804" s="1"/>
      <c r="O2804" s="1"/>
      <c r="P2804" s="1"/>
      <c r="Q2804" s="1"/>
      <c r="R2804" s="1" t="s">
        <v>4419</v>
      </c>
      <c r="S2804" s="1" t="s">
        <v>4470</v>
      </c>
      <c r="T2804" s="1"/>
    </row>
    <row r="2805" customFormat="false" ht="15" hidden="false" customHeight="true" outlineLevel="0" collapsed="false">
      <c r="A2805" s="1" t="s">
        <v>5406</v>
      </c>
      <c r="B2805" s="1" t="n">
        <v>2003</v>
      </c>
      <c r="C2805" s="1" t="n">
        <v>6</v>
      </c>
      <c r="D2805" s="1" t="s">
        <v>38</v>
      </c>
      <c r="E2805" s="1" t="s">
        <v>1346</v>
      </c>
      <c r="F2805" s="1" t="n">
        <v>855</v>
      </c>
      <c r="G2805" s="1" t="n">
        <v>225</v>
      </c>
      <c r="H2805" s="2" t="n">
        <v>1200000</v>
      </c>
      <c r="I2805" s="2" t="n">
        <f aca="false">(((H2805 / 800) / IF(ISBLANK(R2805), 1000000, IF(ISNA(VLOOKUP(R2805, Mileages!$A$2:$C$34, 2, 0)), R2805, VLOOKUP(R2805, Mileages!$A$2:$C$34, 2, 0)))) + (F2805 * IF(ISBLANK(P2805), 1, P2805) * IF(ISBLANK(T2805), 0, IF(ISNA(VLOOKUP(T2805, 'Fuel Costs'!$A$2:$C$42, 2, 0)), T2805, VLOOKUP(T2805, 'Fuel Costs'!$A$2:$C$42, 2, 0))) / IF(ISBLANK(O2805), 1, O2805))) * 100</f>
        <v>128.325</v>
      </c>
      <c r="J2805" s="2" t="n">
        <f aca="false">((H2805 / 800) / (IF(ISBLANK(S2805), 100, IF(ISNA(VLOOKUP(S2805, Lives!$A$2:$C$35, 2, 0)), S2805, VLOOKUP(S2805, Lives!$A$2:$C$35, 2, 0))) * 12) + (IF(ISBLANK(Q2805), 0, IF(ISNA(VLOOKUP(Q2805, Wages!$A$2:$C$17, 2, 0)), Q2805, VLOOKUP(Q2805, Wages!$A$2:$C$17, 2, 0))) * IF(ISBLANK(N2805), 0, IF(ISNA(VLOOKUP(N2805, Crews!$A$2:$C$28, 2, 0)), N2805, VLOOKUP(N2805, Crews!$A$2:$C$28, 2, 0))))) * 400</f>
        <v>7000</v>
      </c>
      <c r="K2805" s="1"/>
      <c r="L2805" s="1" t="s">
        <v>5330</v>
      </c>
      <c r="M2805" s="1" t="n">
        <v>7</v>
      </c>
      <c r="N2805" s="1" t="s">
        <v>1512</v>
      </c>
      <c r="O2805" s="1" t="n">
        <v>1</v>
      </c>
      <c r="P2805" s="1"/>
      <c r="Q2805" s="1" t="str">
        <f aca="false">IF(ISBLANK('Pak128 Britain In'!$N2805),,'Pak128 Britain In'!$N2805)</f>
        <v>ElectricMultipleUnit</v>
      </c>
      <c r="R2805" s="1" t="s">
        <v>4696</v>
      </c>
      <c r="S2805" s="1" t="s">
        <v>1350</v>
      </c>
      <c r="T2805" s="1" t="s">
        <v>5303</v>
      </c>
    </row>
    <row r="2806" customFormat="false" ht="15" hidden="false" customHeight="true" outlineLevel="0" collapsed="false">
      <c r="A2806" s="1" t="s">
        <v>5407</v>
      </c>
      <c r="B2806" s="1" t="n">
        <v>2003</v>
      </c>
      <c r="C2806" s="1" t="n">
        <v>6</v>
      </c>
      <c r="D2806" s="1" t="s">
        <v>38</v>
      </c>
      <c r="E2806" s="1" t="s">
        <v>1346</v>
      </c>
      <c r="F2806" s="1" t="n">
        <v>855</v>
      </c>
      <c r="G2806" s="1" t="n">
        <v>225</v>
      </c>
      <c r="H2806" s="2" t="n">
        <v>2785000</v>
      </c>
      <c r="I2806" s="2" t="n">
        <f aca="false">(((H2806 / 800) / IF(ISBLANK(R2806), 1000000, IF(ISNA(VLOOKUP(R2806, Mileages!$A$2:$C$34, 2, 0)), R2806, VLOOKUP(R2806, Mileages!$A$2:$C$34, 2, 0)))) + (F2806 * IF(ISBLANK(P2806), 1, P2806) * IF(ISBLANK(T2806), 0, IF(ISNA(VLOOKUP(T2806, 'Fuel Costs'!$A$2:$C$42, 2, 0)), T2806, VLOOKUP(T2806, 'Fuel Costs'!$A$2:$C$42, 2, 0))) / IF(ISBLANK(O2806), 1, O2806))) * 100</f>
        <v>128.4240625</v>
      </c>
      <c r="J2806" s="2" t="n">
        <f aca="false">((H2806 / 800) / (IF(ISBLANK(S2806), 100, IF(ISNA(VLOOKUP(S2806, Lives!$A$2:$C$35, 2, 0)), S2806, VLOOKUP(S2806, Lives!$A$2:$C$35, 2, 0))) * 12) + (IF(ISBLANK(Q2806), 0, IF(ISNA(VLOOKUP(Q2806, Wages!$A$2:$C$17, 2, 0)), Q2806, VLOOKUP(Q2806, Wages!$A$2:$C$17, 2, 0))) * IF(ISBLANK(N2806), 0, IF(ISNA(VLOOKUP(N2806, Crews!$A$2:$C$28, 2, 0)), N2806, VLOOKUP(N2806, Crews!$A$2:$C$28, 2, 0))))) * 400</f>
        <v>8320.833333</v>
      </c>
      <c r="K2806" s="1"/>
      <c r="L2806" s="1" t="s">
        <v>5330</v>
      </c>
      <c r="M2806" s="1" t="n">
        <v>8</v>
      </c>
      <c r="N2806" s="1" t="s">
        <v>1512</v>
      </c>
      <c r="O2806" s="1" t="n">
        <v>1</v>
      </c>
      <c r="P2806" s="1"/>
      <c r="Q2806" s="1" t="str">
        <f aca="false">IF(ISBLANK('Pak128 Britain In'!$N2806),,'Pak128 Britain In'!$N2806)</f>
        <v>ElectricMultipleUnit</v>
      </c>
      <c r="R2806" s="1" t="s">
        <v>4696</v>
      </c>
      <c r="S2806" s="1" t="s">
        <v>1350</v>
      </c>
      <c r="T2806" s="1" t="s">
        <v>5303</v>
      </c>
    </row>
    <row r="2807" customFormat="false" ht="15" hidden="false" customHeight="true" outlineLevel="0" collapsed="false">
      <c r="A2807" s="1" t="s">
        <v>5408</v>
      </c>
      <c r="B2807" s="1" t="n">
        <v>2003</v>
      </c>
      <c r="C2807" s="1" t="n">
        <v>7</v>
      </c>
      <c r="D2807" s="1" t="s">
        <v>2225</v>
      </c>
      <c r="E2807" s="1" t="s">
        <v>3660</v>
      </c>
      <c r="F2807" s="1" t="n">
        <v>36000</v>
      </c>
      <c r="G2807" s="1" t="n">
        <v>828</v>
      </c>
      <c r="H2807" s="2" t="n">
        <v>30000000</v>
      </c>
      <c r="I2807" s="2" t="n">
        <f aca="false">(((H2807 / 800) / IF(ISBLANK(R2807), 1000000, IF(ISNA(VLOOKUP(R2807, Mileages!$A$2:$C$34, 2, 0)), R2807, VLOOKUP(R2807, Mileages!$A$2:$C$34, 2, 0)))) + (F2807 * IF(ISBLANK(P2807), 1, P2807) * IF(ISBLANK(T2807), 0, IF(ISNA(VLOOKUP(T2807, 'Fuel Costs'!$A$2:$C$42, 2, 0)), T2807, VLOOKUP(T2807, 'Fuel Costs'!$A$2:$C$42, 2, 0))) / IF(ISBLANK(O2807), 1, O2807))) * 100</f>
        <v>90.125</v>
      </c>
      <c r="J2807" s="2" t="n">
        <f aca="false">((H2807 / 800) / (IF(ISBLANK(S2807), 100, IF(ISNA(VLOOKUP(S2807, Lives!$A$2:$C$35, 2, 0)), S2807, VLOOKUP(S2807, Lives!$A$2:$C$35, 2, 0))) * 12) + (IF(ISBLANK(Q2807), 0, IF(ISNA(VLOOKUP(Q2807, Wages!$A$2:$C$17, 2, 0)), Q2807, VLOOKUP(Q2807, Wages!$A$2:$C$17, 2, 0))) * IF(ISBLANK(N2807), 0, IF(ISNA(VLOOKUP(N2807, Crews!$A$2:$C$28, 2, 0)), N2807, VLOOKUP(N2807, Crews!$A$2:$C$28, 2, 0))))) * 400</f>
        <v>70833.33333</v>
      </c>
      <c r="K2807" s="3" t="s">
        <v>5409</v>
      </c>
      <c r="L2807" s="1" t="s">
        <v>5410</v>
      </c>
      <c r="M2807" s="1" t="n">
        <v>0</v>
      </c>
      <c r="N2807" s="1" t="s">
        <v>2342</v>
      </c>
      <c r="O2807" s="1"/>
      <c r="P2807" s="1" t="n">
        <v>0.02</v>
      </c>
      <c r="Q2807" s="1" t="s">
        <v>2229</v>
      </c>
      <c r="R2807" s="1" t="s">
        <v>4413</v>
      </c>
      <c r="S2807" s="1" t="s">
        <v>2229</v>
      </c>
      <c r="T2807" s="1" t="s">
        <v>5411</v>
      </c>
    </row>
    <row r="2808" customFormat="false" ht="15" hidden="false" customHeight="true" outlineLevel="0" collapsed="false">
      <c r="A2808" s="1" t="s">
        <v>5412</v>
      </c>
      <c r="B2808" s="1" t="n">
        <v>2003</v>
      </c>
      <c r="C2808" s="1" t="n">
        <v>7</v>
      </c>
      <c r="D2808" s="1" t="s">
        <v>2225</v>
      </c>
      <c r="E2808" s="1" t="s">
        <v>3660</v>
      </c>
      <c r="F2808" s="1" t="n">
        <v>36000</v>
      </c>
      <c r="G2808" s="1" t="n">
        <v>828</v>
      </c>
      <c r="H2808" s="2" t="n">
        <v>30000000</v>
      </c>
      <c r="I2808" s="2" t="n">
        <f aca="false">(((H2808 / 800) / IF(ISBLANK(R2808), 1000000, IF(ISNA(VLOOKUP(R2808, Mileages!$A$2:$C$34, 2, 0)), R2808, VLOOKUP(R2808, Mileages!$A$2:$C$34, 2, 0)))) + (F2808 * IF(ISBLANK(P2808), 1, P2808) * IF(ISBLANK(T2808), 0, IF(ISNA(VLOOKUP(T2808, 'Fuel Costs'!$A$2:$C$42, 2, 0)), T2808, VLOOKUP(T2808, 'Fuel Costs'!$A$2:$C$42, 2, 0))) / IF(ISBLANK(O2808), 1, O2808))) * 100</f>
        <v>90.125</v>
      </c>
      <c r="J2808" s="2" t="n">
        <f aca="false">((H2808 / 800) / (IF(ISBLANK(S2808), 100, IF(ISNA(VLOOKUP(S2808, Lives!$A$2:$C$35, 2, 0)), S2808, VLOOKUP(S2808, Lives!$A$2:$C$35, 2, 0))) * 12) + (IF(ISBLANK(Q2808), 0, IF(ISNA(VLOOKUP(Q2808, Wages!$A$2:$C$17, 2, 0)), Q2808, VLOOKUP(Q2808, Wages!$A$2:$C$17, 2, 0))) * IF(ISBLANK(N2808), 0, IF(ISNA(VLOOKUP(N2808, Crews!$A$2:$C$28, 2, 0)), N2808, VLOOKUP(N2808, Crews!$A$2:$C$28, 2, 0))))) * 400</f>
        <v>70833.33333</v>
      </c>
      <c r="K2808" s="3" t="s">
        <v>5409</v>
      </c>
      <c r="L2808" s="1" t="s">
        <v>5410</v>
      </c>
      <c r="M2808" s="1" t="n">
        <v>1</v>
      </c>
      <c r="N2808" s="1" t="s">
        <v>2342</v>
      </c>
      <c r="O2808" s="1"/>
      <c r="P2808" s="1" t="n">
        <v>0.02</v>
      </c>
      <c r="Q2808" s="1" t="s">
        <v>2229</v>
      </c>
      <c r="R2808" s="1" t="s">
        <v>4413</v>
      </c>
      <c r="S2808" s="1" t="s">
        <v>2229</v>
      </c>
      <c r="T2808" s="1" t="s">
        <v>5411</v>
      </c>
    </row>
    <row r="2809" customFormat="false" ht="15" hidden="false" customHeight="true" outlineLevel="0" collapsed="false">
      <c r="A2809" s="1" t="s">
        <v>5413</v>
      </c>
      <c r="B2809" s="1" t="n">
        <v>2003</v>
      </c>
      <c r="C2809" s="1" t="n">
        <v>8</v>
      </c>
      <c r="D2809" s="1" t="s">
        <v>38</v>
      </c>
      <c r="E2809" s="1" t="s">
        <v>1346</v>
      </c>
      <c r="F2809" s="1" t="n">
        <v>750</v>
      </c>
      <c r="G2809" s="1" t="n">
        <v>160</v>
      </c>
      <c r="H2809" s="2" t="n">
        <v>1057500</v>
      </c>
      <c r="I2809" s="2" t="n">
        <f aca="false">(((H2809 / 800) / IF(ISBLANK(R2809), 1000000, IF(ISNA(VLOOKUP(R2809, Mileages!$A$2:$C$34, 2, 0)), R2809, VLOOKUP(R2809, Mileages!$A$2:$C$34, 2, 0)))) + (F2809 * IF(ISBLANK(P2809), 1, P2809) * IF(ISBLANK(T2809), 0, IF(ISNA(VLOOKUP(T2809, 'Fuel Costs'!$A$2:$C$42, 2, 0)), T2809, VLOOKUP(T2809, 'Fuel Costs'!$A$2:$C$42, 2, 0))) / IF(ISBLANK(O2809), 1, O2809))) * 100</f>
        <v>112.5660938</v>
      </c>
      <c r="J2809" s="2" t="n">
        <f aca="false">((H2809 / 800) / (IF(ISBLANK(S2809), 100, IF(ISNA(VLOOKUP(S2809, Lives!$A$2:$C$35, 2, 0)), S2809, VLOOKUP(S2809, Lives!$A$2:$C$35, 2, 0))) * 12) + (IF(ISBLANK(Q2809), 0, IF(ISNA(VLOOKUP(Q2809, Wages!$A$2:$C$17, 2, 0)), Q2809, VLOOKUP(Q2809, Wages!$A$2:$C$17, 2, 0))) * IF(ISBLANK(N2809), 0, IF(ISNA(VLOOKUP(N2809, Crews!$A$2:$C$28, 2, 0)), N2809, VLOOKUP(N2809, Crews!$A$2:$C$28, 2, 0))))) * 400</f>
        <v>6881.25</v>
      </c>
      <c r="K2809" s="1" t="s">
        <v>5414</v>
      </c>
      <c r="L2809" s="1" t="s">
        <v>5415</v>
      </c>
      <c r="M2809" s="1" t="n">
        <v>0</v>
      </c>
      <c r="N2809" s="1" t="s">
        <v>1512</v>
      </c>
      <c r="O2809" s="1" t="n">
        <v>1</v>
      </c>
      <c r="P2809" s="1"/>
      <c r="Q2809" s="1" t="str">
        <f aca="false">IF(ISBLANK('Pak128 Britain In'!$N2809),,'Pak128 Britain In'!$N2809)</f>
        <v>ElectricMultipleUnit</v>
      </c>
      <c r="R2809" s="1" t="s">
        <v>4696</v>
      </c>
      <c r="S2809" s="1" t="s">
        <v>1350</v>
      </c>
      <c r="T2809" s="1" t="s">
        <v>5303</v>
      </c>
    </row>
    <row r="2810" customFormat="false" ht="15" hidden="false" customHeight="true" outlineLevel="0" collapsed="false">
      <c r="A2810" s="1" t="s">
        <v>5416</v>
      </c>
      <c r="B2810" s="1" t="n">
        <v>2003</v>
      </c>
      <c r="C2810" s="1" t="n">
        <v>8</v>
      </c>
      <c r="D2810" s="1" t="s">
        <v>38</v>
      </c>
      <c r="E2810" s="1" t="s">
        <v>1346</v>
      </c>
      <c r="F2810" s="1" t="n">
        <v>0</v>
      </c>
      <c r="G2810" s="1" t="n">
        <v>160</v>
      </c>
      <c r="H2810" s="2" t="n">
        <v>1899100</v>
      </c>
      <c r="I2810" s="2" t="n">
        <f aca="false">(((H2810 / 800) / IF(ISBLANK(R2810), 1000000, IF(ISNA(VLOOKUP(R2810, Mileages!$A$2:$C$34, 2, 0)), R2810, VLOOKUP(R2810, Mileages!$A$2:$C$34, 2, 0)))) + (F2810 * IF(ISBLANK(P2810), 1, P2810) * IF(ISBLANK(T2810), 0, IF(ISNA(VLOOKUP(T2810, 'Fuel Costs'!$A$2:$C$42, 2, 0)), T2810, VLOOKUP(T2810, 'Fuel Costs'!$A$2:$C$42, 2, 0))) / IF(ISBLANK(O2810), 1, O2810))) * 100</f>
        <v>0.09891145833</v>
      </c>
      <c r="J2810" s="2" t="n">
        <f aca="false">((H2810 / 800) / (IF(ISBLANK(S2810), 100, IF(ISNA(VLOOKUP(S2810, Lives!$A$2:$C$35, 2, 0)), S2810, VLOOKUP(S2810, Lives!$A$2:$C$35, 2, 0))) * 12) + (IF(ISBLANK(Q2810), 0, IF(ISNA(VLOOKUP(Q2810, Wages!$A$2:$C$17, 2, 0)), Q2810, VLOOKUP(Q2810, Wages!$A$2:$C$17, 2, 0))) * IF(ISBLANK(N2810), 0, IF(ISNA(VLOOKUP(N2810, Crews!$A$2:$C$28, 2, 0)), N2810, VLOOKUP(N2810, Crews!$A$2:$C$28, 2, 0))))) * 400</f>
        <v>3956.458333</v>
      </c>
      <c r="K2810" s="1"/>
      <c r="L2810" s="1" t="s">
        <v>5415</v>
      </c>
      <c r="M2810" s="1" t="n">
        <v>1</v>
      </c>
      <c r="N2810" s="1"/>
      <c r="O2810" s="1"/>
      <c r="P2810" s="1"/>
      <c r="Q2810" s="1"/>
      <c r="R2810" s="1" t="s">
        <v>4419</v>
      </c>
      <c r="S2810" s="1" t="s">
        <v>4470</v>
      </c>
      <c r="T2810" s="1"/>
    </row>
    <row r="2811" customFormat="false" ht="15" hidden="false" customHeight="true" outlineLevel="0" collapsed="false">
      <c r="A2811" s="1" t="s">
        <v>5417</v>
      </c>
      <c r="B2811" s="1" t="n">
        <v>2003</v>
      </c>
      <c r="C2811" s="1" t="n">
        <v>8</v>
      </c>
      <c r="D2811" s="1" t="s">
        <v>38</v>
      </c>
      <c r="E2811" s="1" t="s">
        <v>1346</v>
      </c>
      <c r="F2811" s="1" t="n">
        <v>0</v>
      </c>
      <c r="G2811" s="1" t="n">
        <v>160</v>
      </c>
      <c r="H2811" s="2" t="n">
        <v>1899100</v>
      </c>
      <c r="I2811" s="2" t="n">
        <f aca="false">(((H2811 / 800) / IF(ISBLANK(R2811), 1000000, IF(ISNA(VLOOKUP(R2811, Mileages!$A$2:$C$34, 2, 0)), R2811, VLOOKUP(R2811, Mileages!$A$2:$C$34, 2, 0)))) + (F2811 * IF(ISBLANK(P2811), 1, P2811) * IF(ISBLANK(T2811), 0, IF(ISNA(VLOOKUP(T2811, 'Fuel Costs'!$A$2:$C$42, 2, 0)), T2811, VLOOKUP(T2811, 'Fuel Costs'!$A$2:$C$42, 2, 0))) / IF(ISBLANK(O2811), 1, O2811))) * 100</f>
        <v>0.09891145833</v>
      </c>
      <c r="J2811" s="2" t="n">
        <f aca="false">((H2811 / 800) / (IF(ISBLANK(S2811), 100, IF(ISNA(VLOOKUP(S2811, Lives!$A$2:$C$35, 2, 0)), S2811, VLOOKUP(S2811, Lives!$A$2:$C$35, 2, 0))) * 12) + (IF(ISBLANK(Q2811), 0, IF(ISNA(VLOOKUP(Q2811, Wages!$A$2:$C$17, 2, 0)), Q2811, VLOOKUP(Q2811, Wages!$A$2:$C$17, 2, 0))) * IF(ISBLANK(N2811), 0, IF(ISNA(VLOOKUP(N2811, Crews!$A$2:$C$28, 2, 0)), N2811, VLOOKUP(N2811, Crews!$A$2:$C$28, 2, 0))))) * 400</f>
        <v>3956.458333</v>
      </c>
      <c r="K2811" s="1"/>
      <c r="L2811" s="1" t="s">
        <v>5415</v>
      </c>
      <c r="M2811" s="1" t="n">
        <v>2</v>
      </c>
      <c r="N2811" s="1"/>
      <c r="O2811" s="1"/>
      <c r="P2811" s="1"/>
      <c r="Q2811" s="1"/>
      <c r="R2811" s="1" t="s">
        <v>4419</v>
      </c>
      <c r="S2811" s="1" t="s">
        <v>4470</v>
      </c>
      <c r="T2811" s="1"/>
    </row>
    <row r="2812" customFormat="false" ht="15" hidden="false" customHeight="true" outlineLevel="0" collapsed="false">
      <c r="A2812" s="1" t="s">
        <v>5418</v>
      </c>
      <c r="B2812" s="1" t="n">
        <v>2003</v>
      </c>
      <c r="C2812" s="1" t="n">
        <v>8</v>
      </c>
      <c r="D2812" s="1" t="s">
        <v>38</v>
      </c>
      <c r="E2812" s="1" t="s">
        <v>1346</v>
      </c>
      <c r="F2812" s="1" t="n">
        <v>0</v>
      </c>
      <c r="G2812" s="1" t="n">
        <v>160</v>
      </c>
      <c r="H2812" s="2" t="n">
        <v>1899100</v>
      </c>
      <c r="I2812" s="2" t="n">
        <f aca="false">(((H2812 / 800) / IF(ISBLANK(R2812), 1000000, IF(ISNA(VLOOKUP(R2812, Mileages!$A$2:$C$34, 2, 0)), R2812, VLOOKUP(R2812, Mileages!$A$2:$C$34, 2, 0)))) + (F2812 * IF(ISBLANK(P2812), 1, P2812) * IF(ISBLANK(T2812), 0, IF(ISNA(VLOOKUP(T2812, 'Fuel Costs'!$A$2:$C$42, 2, 0)), T2812, VLOOKUP(T2812, 'Fuel Costs'!$A$2:$C$42, 2, 0))) / IF(ISBLANK(O2812), 1, O2812))) * 100</f>
        <v>0.09891145833</v>
      </c>
      <c r="J2812" s="2" t="n">
        <f aca="false">((H2812 / 800) / (IF(ISBLANK(S2812), 100, IF(ISNA(VLOOKUP(S2812, Lives!$A$2:$C$35, 2, 0)), S2812, VLOOKUP(S2812, Lives!$A$2:$C$35, 2, 0))) * 12) + (IF(ISBLANK(Q2812), 0, IF(ISNA(VLOOKUP(Q2812, Wages!$A$2:$C$17, 2, 0)), Q2812, VLOOKUP(Q2812, Wages!$A$2:$C$17, 2, 0))) * IF(ISBLANK(N2812), 0, IF(ISNA(VLOOKUP(N2812, Crews!$A$2:$C$28, 2, 0)), N2812, VLOOKUP(N2812, Crews!$A$2:$C$28, 2, 0))))) * 400</f>
        <v>3956.458333</v>
      </c>
      <c r="K2812" s="1"/>
      <c r="L2812" s="1" t="s">
        <v>5415</v>
      </c>
      <c r="M2812" s="1" t="n">
        <v>3</v>
      </c>
      <c r="N2812" s="1"/>
      <c r="O2812" s="1"/>
      <c r="P2812" s="1"/>
      <c r="Q2812" s="1"/>
      <c r="R2812" s="1" t="s">
        <v>4419</v>
      </c>
      <c r="S2812" s="1" t="s">
        <v>4470</v>
      </c>
      <c r="T2812" s="1"/>
    </row>
    <row r="2813" customFormat="false" ht="15" hidden="false" customHeight="true" outlineLevel="0" collapsed="false">
      <c r="A2813" s="1" t="s">
        <v>5419</v>
      </c>
      <c r="B2813" s="1" t="n">
        <v>2003</v>
      </c>
      <c r="C2813" s="1" t="n">
        <v>8</v>
      </c>
      <c r="D2813" s="1" t="s">
        <v>38</v>
      </c>
      <c r="E2813" s="1" t="s">
        <v>1346</v>
      </c>
      <c r="F2813" s="1" t="n">
        <v>750</v>
      </c>
      <c r="G2813" s="1" t="n">
        <v>160</v>
      </c>
      <c r="H2813" s="2" t="n">
        <v>1057500</v>
      </c>
      <c r="I2813" s="2" t="n">
        <f aca="false">(((H2813 / 800) / IF(ISBLANK(R2813), 1000000, IF(ISNA(VLOOKUP(R2813, Mileages!$A$2:$C$34, 2, 0)), R2813, VLOOKUP(R2813, Mileages!$A$2:$C$34, 2, 0)))) + (F2813 * IF(ISBLANK(P2813), 1, P2813) * IF(ISBLANK(T2813), 0, IF(ISNA(VLOOKUP(T2813, 'Fuel Costs'!$A$2:$C$42, 2, 0)), T2813, VLOOKUP(T2813, 'Fuel Costs'!$A$2:$C$42, 2, 0))) / IF(ISBLANK(O2813), 1, O2813))) * 100</f>
        <v>112.5660938</v>
      </c>
      <c r="J2813" s="2" t="n">
        <f aca="false">((H2813 / 800) / (IF(ISBLANK(S2813), 100, IF(ISNA(VLOOKUP(S2813, Lives!$A$2:$C$35, 2, 0)), S2813, VLOOKUP(S2813, Lives!$A$2:$C$35, 2, 0))) * 12) + (IF(ISBLANK(Q2813), 0, IF(ISNA(VLOOKUP(Q2813, Wages!$A$2:$C$17, 2, 0)), Q2813, VLOOKUP(Q2813, Wages!$A$2:$C$17, 2, 0))) * IF(ISBLANK(N2813), 0, IF(ISNA(VLOOKUP(N2813, Crews!$A$2:$C$28, 2, 0)), N2813, VLOOKUP(N2813, Crews!$A$2:$C$28, 2, 0))))) * 400</f>
        <v>6881.25</v>
      </c>
      <c r="K2813" s="1"/>
      <c r="L2813" s="1" t="s">
        <v>5415</v>
      </c>
      <c r="M2813" s="1" t="n">
        <v>4</v>
      </c>
      <c r="N2813" s="1" t="s">
        <v>1512</v>
      </c>
      <c r="O2813" s="1" t="n">
        <v>1</v>
      </c>
      <c r="P2813" s="1"/>
      <c r="Q2813" s="1" t="str">
        <f aca="false">IF(ISBLANK('Pak128 Britain In'!$N2813),,'Pak128 Britain In'!$N2813)</f>
        <v>ElectricMultipleUnit</v>
      </c>
      <c r="R2813" s="1" t="s">
        <v>4696</v>
      </c>
      <c r="S2813" s="1" t="s">
        <v>1350</v>
      </c>
      <c r="T2813" s="1" t="s">
        <v>5303</v>
      </c>
    </row>
    <row r="2814" customFormat="false" ht="15" hidden="false" customHeight="true" outlineLevel="0" collapsed="false">
      <c r="A2814" s="1" t="s">
        <v>5420</v>
      </c>
      <c r="B2814" s="1" t="n">
        <v>2003</v>
      </c>
      <c r="C2814" s="1" t="n">
        <v>8</v>
      </c>
      <c r="D2814" s="1" t="s">
        <v>38</v>
      </c>
      <c r="E2814" s="1" t="s">
        <v>1346</v>
      </c>
      <c r="F2814" s="1" t="n">
        <v>775</v>
      </c>
      <c r="G2814" s="1" t="n">
        <v>160</v>
      </c>
      <c r="H2814" s="2" t="n">
        <v>1057500</v>
      </c>
      <c r="I2814" s="2" t="n">
        <f aca="false">(((H2814 / 800) / IF(ISBLANK(R2814), 1000000, IF(ISNA(VLOOKUP(R2814, Mileages!$A$2:$C$34, 2, 0)), R2814, VLOOKUP(R2814, Mileages!$A$2:$C$34, 2, 0)))) + (F2814 * IF(ISBLANK(P2814), 1, P2814) * IF(ISBLANK(T2814), 0, IF(ISNA(VLOOKUP(T2814, 'Fuel Costs'!$A$2:$C$42, 2, 0)), T2814, VLOOKUP(T2814, 'Fuel Costs'!$A$2:$C$42, 2, 0))) / IF(ISBLANK(O2814), 1, O2814))) * 100</f>
        <v>116.3160938</v>
      </c>
      <c r="J2814" s="2" t="n">
        <f aca="false">((H2814 / 800) / (IF(ISBLANK(S2814), 100, IF(ISNA(VLOOKUP(S2814, Lives!$A$2:$C$35, 2, 0)), S2814, VLOOKUP(S2814, Lives!$A$2:$C$35, 2, 0))) * 12) + (IF(ISBLANK(Q2814), 0, IF(ISNA(VLOOKUP(Q2814, Wages!$A$2:$C$17, 2, 0)), Q2814, VLOOKUP(Q2814, Wages!$A$2:$C$17, 2, 0))) * IF(ISBLANK(N2814), 0, IF(ISNA(VLOOKUP(N2814, Crews!$A$2:$C$28, 2, 0)), N2814, VLOOKUP(N2814, Crews!$A$2:$C$28, 2, 0))))) * 400</f>
        <v>6881.25</v>
      </c>
      <c r="K2814" s="1"/>
      <c r="L2814" s="1" t="s">
        <v>5421</v>
      </c>
      <c r="M2814" s="1" t="n">
        <v>0</v>
      </c>
      <c r="N2814" s="1" t="s">
        <v>1512</v>
      </c>
      <c r="O2814" s="1" t="n">
        <v>1</v>
      </c>
      <c r="P2814" s="1"/>
      <c r="Q2814" s="1" t="str">
        <f aca="false">IF(ISBLANK('Pak128 Britain In'!$N2814),,'Pak128 Britain In'!$N2814)</f>
        <v>ElectricMultipleUnit</v>
      </c>
      <c r="R2814" s="1" t="s">
        <v>4696</v>
      </c>
      <c r="S2814" s="1" t="s">
        <v>1350</v>
      </c>
      <c r="T2814" s="1" t="s">
        <v>5303</v>
      </c>
    </row>
    <row r="2815" customFormat="false" ht="15" hidden="false" customHeight="true" outlineLevel="0" collapsed="false">
      <c r="A2815" s="1" t="s">
        <v>5422</v>
      </c>
      <c r="B2815" s="1" t="n">
        <v>2003</v>
      </c>
      <c r="C2815" s="1" t="n">
        <v>8</v>
      </c>
      <c r="D2815" s="1" t="s">
        <v>38</v>
      </c>
      <c r="E2815" s="1" t="s">
        <v>1346</v>
      </c>
      <c r="F2815" s="1" t="n">
        <v>0</v>
      </c>
      <c r="G2815" s="1" t="n">
        <v>160</v>
      </c>
      <c r="H2815" s="2" t="n">
        <v>1899100</v>
      </c>
      <c r="I2815" s="2" t="n">
        <f aca="false">(((H2815 / 800) / IF(ISBLANK(R2815), 1000000, IF(ISNA(VLOOKUP(R2815, Mileages!$A$2:$C$34, 2, 0)), R2815, VLOOKUP(R2815, Mileages!$A$2:$C$34, 2, 0)))) + (F2815 * IF(ISBLANK(P2815), 1, P2815) * IF(ISBLANK(T2815), 0, IF(ISNA(VLOOKUP(T2815, 'Fuel Costs'!$A$2:$C$42, 2, 0)), T2815, VLOOKUP(T2815, 'Fuel Costs'!$A$2:$C$42, 2, 0))) / IF(ISBLANK(O2815), 1, O2815))) * 100</f>
        <v>0.09891145833</v>
      </c>
      <c r="J2815" s="2" t="n">
        <f aca="false">((H2815 / 800) / (IF(ISBLANK(S2815), 100, IF(ISNA(VLOOKUP(S2815, Lives!$A$2:$C$35, 2, 0)), S2815, VLOOKUP(S2815, Lives!$A$2:$C$35, 2, 0))) * 12) + (IF(ISBLANK(Q2815), 0, IF(ISNA(VLOOKUP(Q2815, Wages!$A$2:$C$17, 2, 0)), Q2815, VLOOKUP(Q2815, Wages!$A$2:$C$17, 2, 0))) * IF(ISBLANK(N2815), 0, IF(ISNA(VLOOKUP(N2815, Crews!$A$2:$C$28, 2, 0)), N2815, VLOOKUP(N2815, Crews!$A$2:$C$28, 2, 0))))) * 400</f>
        <v>3956.458333</v>
      </c>
      <c r="K2815" s="1"/>
      <c r="L2815" s="1" t="s">
        <v>5421</v>
      </c>
      <c r="M2815" s="1" t="n">
        <v>1</v>
      </c>
      <c r="N2815" s="1"/>
      <c r="O2815" s="1"/>
      <c r="P2815" s="1"/>
      <c r="Q2815" s="1"/>
      <c r="R2815" s="1" t="s">
        <v>4419</v>
      </c>
      <c r="S2815" s="1" t="s">
        <v>4470</v>
      </c>
      <c r="T2815" s="1"/>
    </row>
    <row r="2816" customFormat="false" ht="15" hidden="false" customHeight="true" outlineLevel="0" collapsed="false">
      <c r="A2816" s="1" t="s">
        <v>5423</v>
      </c>
      <c r="B2816" s="1" t="n">
        <v>2003</v>
      </c>
      <c r="C2816" s="1" t="n">
        <v>8</v>
      </c>
      <c r="D2816" s="1" t="s">
        <v>38</v>
      </c>
      <c r="E2816" s="1" t="s">
        <v>1346</v>
      </c>
      <c r="F2816" s="1" t="n">
        <v>0</v>
      </c>
      <c r="G2816" s="1" t="n">
        <v>160</v>
      </c>
      <c r="H2816" s="2" t="n">
        <v>1899100</v>
      </c>
      <c r="I2816" s="2" t="n">
        <f aca="false">(((H2816 / 800) / IF(ISBLANK(R2816), 1000000, IF(ISNA(VLOOKUP(R2816, Mileages!$A$2:$C$34, 2, 0)), R2816, VLOOKUP(R2816, Mileages!$A$2:$C$34, 2, 0)))) + (F2816 * IF(ISBLANK(P2816), 1, P2816) * IF(ISBLANK(T2816), 0, IF(ISNA(VLOOKUP(T2816, 'Fuel Costs'!$A$2:$C$42, 2, 0)), T2816, VLOOKUP(T2816, 'Fuel Costs'!$A$2:$C$42, 2, 0))) / IF(ISBLANK(O2816), 1, O2816))) * 100</f>
        <v>0.09891145833</v>
      </c>
      <c r="J2816" s="2" t="n">
        <f aca="false">((H2816 / 800) / (IF(ISBLANK(S2816), 100, IF(ISNA(VLOOKUP(S2816, Lives!$A$2:$C$35, 2, 0)), S2816, VLOOKUP(S2816, Lives!$A$2:$C$35, 2, 0))) * 12) + (IF(ISBLANK(Q2816), 0, IF(ISNA(VLOOKUP(Q2816, Wages!$A$2:$C$17, 2, 0)), Q2816, VLOOKUP(Q2816, Wages!$A$2:$C$17, 2, 0))) * IF(ISBLANK(N2816), 0, IF(ISNA(VLOOKUP(N2816, Crews!$A$2:$C$28, 2, 0)), N2816, VLOOKUP(N2816, Crews!$A$2:$C$28, 2, 0))))) * 400</f>
        <v>3956.458333</v>
      </c>
      <c r="K2816" s="1"/>
      <c r="L2816" s="1" t="s">
        <v>5421</v>
      </c>
      <c r="M2816" s="1" t="n">
        <v>2</v>
      </c>
      <c r="N2816" s="1"/>
      <c r="O2816" s="1"/>
      <c r="P2816" s="1"/>
      <c r="Q2816" s="1"/>
      <c r="R2816" s="1" t="s">
        <v>4419</v>
      </c>
      <c r="S2816" s="1" t="s">
        <v>4470</v>
      </c>
      <c r="T2816" s="1"/>
    </row>
    <row r="2817" customFormat="false" ht="15" hidden="false" customHeight="true" outlineLevel="0" collapsed="false">
      <c r="A2817" s="1" t="s">
        <v>5424</v>
      </c>
      <c r="B2817" s="1" t="n">
        <v>2003</v>
      </c>
      <c r="C2817" s="1" t="n">
        <v>8</v>
      </c>
      <c r="D2817" s="1" t="s">
        <v>38</v>
      </c>
      <c r="E2817" s="1" t="s">
        <v>1346</v>
      </c>
      <c r="F2817" s="1" t="n">
        <v>775</v>
      </c>
      <c r="G2817" s="1" t="n">
        <v>160</v>
      </c>
      <c r="H2817" s="2" t="n">
        <v>1057500</v>
      </c>
      <c r="I2817" s="2" t="n">
        <f aca="false">(((H2817 / 800) / IF(ISBLANK(R2817), 1000000, IF(ISNA(VLOOKUP(R2817, Mileages!$A$2:$C$34, 2, 0)), R2817, VLOOKUP(R2817, Mileages!$A$2:$C$34, 2, 0)))) + (F2817 * IF(ISBLANK(P2817), 1, P2817) * IF(ISBLANK(T2817), 0, IF(ISNA(VLOOKUP(T2817, 'Fuel Costs'!$A$2:$C$42, 2, 0)), T2817, VLOOKUP(T2817, 'Fuel Costs'!$A$2:$C$42, 2, 0))) / IF(ISBLANK(O2817), 1, O2817))) * 100</f>
        <v>116.3160938</v>
      </c>
      <c r="J2817" s="2" t="n">
        <f aca="false">((H2817 / 800) / (IF(ISBLANK(S2817), 100, IF(ISNA(VLOOKUP(S2817, Lives!$A$2:$C$35, 2, 0)), S2817, VLOOKUP(S2817, Lives!$A$2:$C$35, 2, 0))) * 12) + (IF(ISBLANK(Q2817), 0, IF(ISNA(VLOOKUP(Q2817, Wages!$A$2:$C$17, 2, 0)), Q2817, VLOOKUP(Q2817, Wages!$A$2:$C$17, 2, 0))) * IF(ISBLANK(N2817), 0, IF(ISNA(VLOOKUP(N2817, Crews!$A$2:$C$28, 2, 0)), N2817, VLOOKUP(N2817, Crews!$A$2:$C$28, 2, 0))))) * 400</f>
        <v>6881.25</v>
      </c>
      <c r="K2817" s="1"/>
      <c r="L2817" s="1" t="s">
        <v>5421</v>
      </c>
      <c r="M2817" s="1" t="n">
        <v>3</v>
      </c>
      <c r="N2817" s="1" t="s">
        <v>1512</v>
      </c>
      <c r="O2817" s="1" t="n">
        <v>1</v>
      </c>
      <c r="P2817" s="1"/>
      <c r="Q2817" s="1" t="str">
        <f aca="false">IF(ISBLANK('Pak128 Britain In'!$N2817),,'Pak128 Britain In'!$N2817)</f>
        <v>ElectricMultipleUnit</v>
      </c>
      <c r="R2817" s="1" t="s">
        <v>4696</v>
      </c>
      <c r="S2817" s="1" t="s">
        <v>1350</v>
      </c>
      <c r="T2817" s="1" t="s">
        <v>5303</v>
      </c>
    </row>
    <row r="2818" customFormat="false" ht="15" hidden="false" customHeight="true" outlineLevel="0" collapsed="false">
      <c r="A2818" s="1" t="s">
        <v>5425</v>
      </c>
      <c r="B2818" s="1" t="n">
        <v>2004</v>
      </c>
      <c r="C2818" s="1" t="n">
        <v>1</v>
      </c>
      <c r="D2818" s="1" t="s">
        <v>5426</v>
      </c>
      <c r="E2818" s="1" t="s">
        <v>5427</v>
      </c>
      <c r="F2818" s="1" t="n">
        <v>3400</v>
      </c>
      <c r="G2818" s="1" t="n">
        <v>430</v>
      </c>
      <c r="H2818" s="2" t="n">
        <v>24000000</v>
      </c>
      <c r="I2818" s="2" t="n">
        <f aca="false">(((H2818 / 800) / IF(ISBLANK(R2818), 1000000, IF(ISNA(VLOOKUP(R2818, Mileages!$A$2:$C$34, 2, 0)), R2818, VLOOKUP(R2818, Mileages!$A$2:$C$34, 2, 0)))) + (F2818 * IF(ISBLANK(P2818), 1, P2818) * IF(ISBLANK(T2818), 0, IF(ISNA(VLOOKUP(T2818, 'Fuel Costs'!$A$2:$C$42, 2, 0)), T2818, VLOOKUP(T2818, 'Fuel Costs'!$A$2:$C$42, 2, 0))) / IF(ISBLANK(O2818), 1, O2818))) * 100</f>
        <v>170.12</v>
      </c>
      <c r="J2818" s="2" t="n">
        <f aca="false">((H2818 / 800) / (IF(ISBLANK(S2818), 100, IF(ISNA(VLOOKUP(S2818, Lives!$A$2:$C$35, 2, 0)), S2818, VLOOKUP(S2818, Lives!$A$2:$C$35, 2, 0))) * 12) + (IF(ISBLANK(Q2818), 0, IF(ISNA(VLOOKUP(Q2818, Wages!$A$2:$C$17, 2, 0)), Q2818, VLOOKUP(Q2818, Wages!$A$2:$C$17, 2, 0))) * IF(ISBLANK(N2818), 0, IF(ISNA(VLOOKUP(N2818, Crews!$A$2:$C$28, 2, 0)), N2818, VLOOKUP(N2818, Crews!$A$2:$C$28, 2, 0))))) * 400</f>
        <v>18500</v>
      </c>
      <c r="K2818" s="1"/>
      <c r="L2818" s="1" t="s">
        <v>5428</v>
      </c>
      <c r="M2818" s="1" t="n">
        <v>0</v>
      </c>
      <c r="N2818" s="1" t="s">
        <v>1512</v>
      </c>
      <c r="O2818" s="1" t="n">
        <v>3</v>
      </c>
      <c r="P2818" s="1"/>
      <c r="Q2818" s="1" t="s">
        <v>1512</v>
      </c>
      <c r="R2818" s="1" t="s">
        <v>5429</v>
      </c>
      <c r="S2818" s="1" t="s">
        <v>5429</v>
      </c>
      <c r="T2818" s="1" t="s">
        <v>5303</v>
      </c>
    </row>
    <row r="2819" customFormat="false" ht="15" hidden="false" customHeight="true" outlineLevel="0" collapsed="false">
      <c r="A2819" s="1" t="s">
        <v>5430</v>
      </c>
      <c r="B2819" s="1" t="n">
        <v>2004</v>
      </c>
      <c r="C2819" s="1" t="n">
        <v>1</v>
      </c>
      <c r="D2819" s="1" t="s">
        <v>5426</v>
      </c>
      <c r="E2819" s="1" t="s">
        <v>5427</v>
      </c>
      <c r="F2819" s="1" t="n">
        <v>3400</v>
      </c>
      <c r="G2819" s="1" t="n">
        <v>430</v>
      </c>
      <c r="H2819" s="2" t="n">
        <v>24000000</v>
      </c>
      <c r="I2819" s="2" t="n">
        <f aca="false">(((H2819 / 800) / IF(ISBLANK(R2819), 1000000, IF(ISNA(VLOOKUP(R2819, Mileages!$A$2:$C$34, 2, 0)), R2819, VLOOKUP(R2819, Mileages!$A$2:$C$34, 2, 0)))) + (F2819 * IF(ISBLANK(P2819), 1, P2819) * IF(ISBLANK(T2819), 0, IF(ISNA(VLOOKUP(T2819, 'Fuel Costs'!$A$2:$C$42, 2, 0)), T2819, VLOOKUP(T2819, 'Fuel Costs'!$A$2:$C$42, 2, 0))) / IF(ISBLANK(O2819), 1, O2819))) * 100</f>
        <v>170.12</v>
      </c>
      <c r="J2819" s="2" t="n">
        <f aca="false">((H2819 / 800) / (IF(ISBLANK(S2819), 100, IF(ISNA(VLOOKUP(S2819, Lives!$A$2:$C$35, 2, 0)), S2819, VLOOKUP(S2819, Lives!$A$2:$C$35, 2, 0))) * 12) + (IF(ISBLANK(Q2819), 0, IF(ISNA(VLOOKUP(Q2819, Wages!$A$2:$C$17, 2, 0)), Q2819, VLOOKUP(Q2819, Wages!$A$2:$C$17, 2, 0))) * IF(ISBLANK(N2819), 0, IF(ISNA(VLOOKUP(N2819, Crews!$A$2:$C$28, 2, 0)), N2819, VLOOKUP(N2819, Crews!$A$2:$C$28, 2, 0))))) * 400</f>
        <v>12500</v>
      </c>
      <c r="K2819" s="1"/>
      <c r="L2819" s="1" t="s">
        <v>5428</v>
      </c>
      <c r="M2819" s="1" t="n">
        <v>1</v>
      </c>
      <c r="N2819" s="1"/>
      <c r="O2819" s="1" t="n">
        <v>3</v>
      </c>
      <c r="P2819" s="1"/>
      <c r="Q2819" s="1"/>
      <c r="R2819" s="1" t="s">
        <v>5429</v>
      </c>
      <c r="S2819" s="1" t="s">
        <v>5429</v>
      </c>
      <c r="T2819" s="1" t="s">
        <v>5303</v>
      </c>
    </row>
    <row r="2820" customFormat="false" ht="15" hidden="false" customHeight="true" outlineLevel="0" collapsed="false">
      <c r="A2820" s="1" t="s">
        <v>5431</v>
      </c>
      <c r="B2820" s="1" t="n">
        <v>2004</v>
      </c>
      <c r="C2820" s="1" t="n">
        <v>1</v>
      </c>
      <c r="D2820" s="1" t="s">
        <v>5426</v>
      </c>
      <c r="E2820" s="1" t="s">
        <v>5427</v>
      </c>
      <c r="F2820" s="1" t="n">
        <v>3400</v>
      </c>
      <c r="G2820" s="1" t="n">
        <v>430</v>
      </c>
      <c r="H2820" s="2" t="n">
        <v>26200000</v>
      </c>
      <c r="I2820" s="2" t="n">
        <f aca="false">(((H2820 / 800) / IF(ISBLANK(R2820), 1000000, IF(ISNA(VLOOKUP(R2820, Mileages!$A$2:$C$34, 2, 0)), R2820, VLOOKUP(R2820, Mileages!$A$2:$C$34, 2, 0)))) + (F2820 * IF(ISBLANK(P2820), 1, P2820) * IF(ISBLANK(T2820), 0, IF(ISNA(VLOOKUP(T2820, 'Fuel Costs'!$A$2:$C$42, 2, 0)), T2820, VLOOKUP(T2820, 'Fuel Costs'!$A$2:$C$42, 2, 0))) / IF(ISBLANK(O2820), 1, O2820))) * 100</f>
        <v>170.131</v>
      </c>
      <c r="J2820" s="2" t="n">
        <f aca="false">((H2820 / 800) / (IF(ISBLANK(S2820), 100, IF(ISNA(VLOOKUP(S2820, Lives!$A$2:$C$35, 2, 0)), S2820, VLOOKUP(S2820, Lives!$A$2:$C$35, 2, 0))) * 12) + (IF(ISBLANK(Q2820), 0, IF(ISNA(VLOOKUP(Q2820, Wages!$A$2:$C$17, 2, 0)), Q2820, VLOOKUP(Q2820, Wages!$A$2:$C$17, 2, 0))) * IF(ISBLANK(N2820), 0, IF(ISNA(VLOOKUP(N2820, Crews!$A$2:$C$28, 2, 0)), N2820, VLOOKUP(N2820, Crews!$A$2:$C$28, 2, 0))))) * 400</f>
        <v>31645.83333</v>
      </c>
      <c r="K2820" s="1"/>
      <c r="L2820" s="1" t="s">
        <v>5428</v>
      </c>
      <c r="M2820" s="1" t="n">
        <v>2</v>
      </c>
      <c r="N2820" s="1" t="s">
        <v>1481</v>
      </c>
      <c r="O2820" s="1" t="n">
        <v>3</v>
      </c>
      <c r="P2820" s="1"/>
      <c r="Q2820" s="1" t="s">
        <v>1481</v>
      </c>
      <c r="R2820" s="1" t="s">
        <v>5429</v>
      </c>
      <c r="S2820" s="1" t="s">
        <v>5429</v>
      </c>
      <c r="T2820" s="1" t="s">
        <v>5303</v>
      </c>
    </row>
    <row r="2821" customFormat="false" ht="15" hidden="false" customHeight="true" outlineLevel="0" collapsed="false">
      <c r="A2821" s="1" t="s">
        <v>5432</v>
      </c>
      <c r="B2821" s="1" t="n">
        <v>2004</v>
      </c>
      <c r="C2821" s="1" t="n">
        <v>1</v>
      </c>
      <c r="D2821" s="1" t="s">
        <v>5426</v>
      </c>
      <c r="E2821" s="1" t="s">
        <v>5427</v>
      </c>
      <c r="F2821" s="1" t="n">
        <v>3400</v>
      </c>
      <c r="G2821" s="1" t="n">
        <v>430</v>
      </c>
      <c r="H2821" s="2" t="n">
        <v>24000000</v>
      </c>
      <c r="I2821" s="2" t="n">
        <f aca="false">(((H2821 / 800) / IF(ISBLANK(R2821), 1000000, IF(ISNA(VLOOKUP(R2821, Mileages!$A$2:$C$34, 2, 0)), R2821, VLOOKUP(R2821, Mileages!$A$2:$C$34, 2, 0)))) + (F2821 * IF(ISBLANK(P2821), 1, P2821) * IF(ISBLANK(T2821), 0, IF(ISNA(VLOOKUP(T2821, 'Fuel Costs'!$A$2:$C$42, 2, 0)), T2821, VLOOKUP(T2821, 'Fuel Costs'!$A$2:$C$42, 2, 0))) / IF(ISBLANK(O2821), 1, O2821))) * 100</f>
        <v>170.12</v>
      </c>
      <c r="J2821" s="2" t="n">
        <f aca="false">((H2821 / 800) / (IF(ISBLANK(S2821), 100, IF(ISNA(VLOOKUP(S2821, Lives!$A$2:$C$35, 2, 0)), S2821, VLOOKUP(S2821, Lives!$A$2:$C$35, 2, 0))) * 12) + (IF(ISBLANK(Q2821), 0, IF(ISNA(VLOOKUP(Q2821, Wages!$A$2:$C$17, 2, 0)), Q2821, VLOOKUP(Q2821, Wages!$A$2:$C$17, 2, 0))) * IF(ISBLANK(N2821), 0, IF(ISNA(VLOOKUP(N2821, Crews!$A$2:$C$28, 2, 0)), N2821, VLOOKUP(N2821, Crews!$A$2:$C$28, 2, 0))))) * 400</f>
        <v>18500</v>
      </c>
      <c r="K2821" s="1"/>
      <c r="L2821" s="1" t="s">
        <v>5428</v>
      </c>
      <c r="M2821" s="1" t="n">
        <v>3</v>
      </c>
      <c r="N2821" s="1" t="s">
        <v>1512</v>
      </c>
      <c r="O2821" s="1" t="n">
        <v>3</v>
      </c>
      <c r="P2821" s="1"/>
      <c r="Q2821" s="1" t="s">
        <v>1512</v>
      </c>
      <c r="R2821" s="1" t="s">
        <v>5429</v>
      </c>
      <c r="S2821" s="1" t="s">
        <v>5429</v>
      </c>
      <c r="T2821" s="1" t="s">
        <v>5303</v>
      </c>
    </row>
    <row r="2822" customFormat="false" ht="15" hidden="false" customHeight="true" outlineLevel="0" collapsed="false">
      <c r="A2822" s="1" t="s">
        <v>5433</v>
      </c>
      <c r="B2822" s="1" t="n">
        <v>2004</v>
      </c>
      <c r="C2822" s="1" t="n">
        <v>1</v>
      </c>
      <c r="D2822" s="1" t="s">
        <v>21</v>
      </c>
      <c r="E2822" s="1" t="s">
        <v>2039</v>
      </c>
      <c r="F2822" s="1" t="n">
        <v>205</v>
      </c>
      <c r="G2822" s="1" t="n">
        <v>74</v>
      </c>
      <c r="H2822" s="2" t="n">
        <v>2700000</v>
      </c>
      <c r="I2822" s="2" t="n">
        <f aca="false">(((H2822 / 800) / IF(ISBLANK(R2822), 1000000, IF(ISNA(VLOOKUP(R2822, Mileages!$A$2:$C$34, 2, 0)), R2822, VLOOKUP(R2822, Mileages!$A$2:$C$34, 2, 0)))) + (F2822 * IF(ISBLANK(P2822), 1, P2822) * IF(ISBLANK(T2822), 0, IF(ISNA(VLOOKUP(T2822, 'Fuel Costs'!$A$2:$C$42, 2, 0)), T2822, VLOOKUP(T2822, 'Fuel Costs'!$A$2:$C$42, 2, 0))) / IF(ISBLANK(O2822), 1, O2822))) * 100</f>
        <v>41.16875</v>
      </c>
      <c r="J2822" s="2" t="n">
        <f aca="false">((H2822 / 800) / (IF(ISBLANK(S2822), 100, IF(ISNA(VLOOKUP(S2822, Lives!$A$2:$C$35, 2, 0)), S2822, VLOOKUP(S2822, Lives!$A$2:$C$35, 2, 0))) * 12) + (IF(ISBLANK(Q2822), 0, IF(ISNA(VLOOKUP(Q2822, Wages!$A$2:$C$17, 2, 0)), Q2822, VLOOKUP(Q2822, Wages!$A$2:$C$17, 2, 0))) * IF(ISBLANK(N2822), 0, IF(ISNA(VLOOKUP(N2822, Crews!$A$2:$C$28, 2, 0)), N2822, VLOOKUP(N2822, Crews!$A$2:$C$28, 2, 0))))) * 400</f>
        <v>9406.25</v>
      </c>
      <c r="K2822" s="3" t="s">
        <v>5434</v>
      </c>
      <c r="L2822" s="1" t="s">
        <v>5435</v>
      </c>
      <c r="M2822" s="1" t="n">
        <v>0</v>
      </c>
      <c r="N2822" s="1" t="s">
        <v>1815</v>
      </c>
      <c r="O2822" s="1" t="n">
        <v>1</v>
      </c>
      <c r="P2822" s="1"/>
      <c r="Q2822" s="1" t="s">
        <v>1815</v>
      </c>
      <c r="R2822" s="1" t="s">
        <v>4725</v>
      </c>
      <c r="S2822" s="1" t="s">
        <v>1843</v>
      </c>
      <c r="T2822" s="1" t="s">
        <v>5292</v>
      </c>
    </row>
    <row r="2823" customFormat="false" ht="15" hidden="false" customHeight="true" outlineLevel="0" collapsed="false">
      <c r="A2823" s="1" t="s">
        <v>5436</v>
      </c>
      <c r="B2823" s="1" t="n">
        <v>2004</v>
      </c>
      <c r="C2823" s="1" t="n">
        <v>3</v>
      </c>
      <c r="D2823" s="1" t="s">
        <v>876</v>
      </c>
      <c r="E2823" s="1" t="s">
        <v>1346</v>
      </c>
      <c r="F2823" s="1" t="n">
        <v>180</v>
      </c>
      <c r="G2823" s="1" t="n">
        <v>80</v>
      </c>
      <c r="H2823" s="2" t="n">
        <v>620000</v>
      </c>
      <c r="I2823" s="2" t="n">
        <f aca="false">(((H2823 / 800) / IF(ISBLANK(R2823), 1000000, IF(ISNA(VLOOKUP(R2823, Mileages!$A$2:$C$34, 2, 0)), R2823, VLOOKUP(R2823, Mileages!$A$2:$C$34, 2, 0)))) + (F2823 * IF(ISBLANK(P2823), 1, P2823) * IF(ISBLANK(T2823), 0, IF(ISNA(VLOOKUP(T2823, 'Fuel Costs'!$A$2:$C$42, 2, 0)), T2823, VLOOKUP(T2823, 'Fuel Costs'!$A$2:$C$42, 2, 0))) / IF(ISBLANK(O2823), 1, O2823))) * 100</f>
        <v>27.03875</v>
      </c>
      <c r="J2823" s="2" t="n">
        <f aca="false">((H2823 / 800) / (IF(ISBLANK(S2823), 100, IF(ISNA(VLOOKUP(S2823, Lives!$A$2:$C$35, 2, 0)), S2823, VLOOKUP(S2823, Lives!$A$2:$C$35, 2, 0))) * 12) + (IF(ISBLANK(Q2823), 0, IF(ISNA(VLOOKUP(Q2823, Wages!$A$2:$C$17, 2, 0)), Q2823, VLOOKUP(Q2823, Wages!$A$2:$C$17, 2, 0))) * IF(ISBLANK(N2823), 0, IF(ISNA(VLOOKUP(N2823, Crews!$A$2:$C$28, 2, 0)), N2823, VLOOKUP(N2823, Crews!$A$2:$C$28, 2, 0))))) * 400</f>
        <v>6516.666667</v>
      </c>
      <c r="K2823" s="1" t="s">
        <v>5437</v>
      </c>
      <c r="L2823" s="1" t="s">
        <v>5438</v>
      </c>
      <c r="M2823" s="1" t="n">
        <v>0</v>
      </c>
      <c r="N2823" s="1" t="s">
        <v>1512</v>
      </c>
      <c r="O2823" s="1"/>
      <c r="P2823" s="1"/>
      <c r="Q2823" s="1" t="s">
        <v>1512</v>
      </c>
      <c r="R2823" s="1" t="s">
        <v>4696</v>
      </c>
      <c r="S2823" s="1" t="s">
        <v>1350</v>
      </c>
      <c r="T2823" s="1" t="s">
        <v>5303</v>
      </c>
    </row>
    <row r="2824" customFormat="false" ht="15" hidden="false" customHeight="true" outlineLevel="0" collapsed="false">
      <c r="A2824" s="1" t="s">
        <v>5439</v>
      </c>
      <c r="B2824" s="1" t="n">
        <v>2004</v>
      </c>
      <c r="C2824" s="1" t="n">
        <v>3</v>
      </c>
      <c r="D2824" s="1" t="s">
        <v>876</v>
      </c>
      <c r="E2824" s="1" t="s">
        <v>1346</v>
      </c>
      <c r="F2824" s="1"/>
      <c r="G2824" s="1" t="n">
        <v>80</v>
      </c>
      <c r="H2824" s="2" t="n">
        <v>620000</v>
      </c>
      <c r="I2824" s="2" t="n">
        <f aca="false">(((H2824 / 800) / IF(ISBLANK(R2824), 1000000, IF(ISNA(VLOOKUP(R2824, Mileages!$A$2:$C$34, 2, 0)), R2824, VLOOKUP(R2824, Mileages!$A$2:$C$34, 2, 0)))) + (F2824 * IF(ISBLANK(P2824), 1, P2824) * IF(ISBLANK(T2824), 0, IF(ISNA(VLOOKUP(T2824, 'Fuel Costs'!$A$2:$C$42, 2, 0)), T2824, VLOOKUP(T2824, 'Fuel Costs'!$A$2:$C$42, 2, 0))) / IF(ISBLANK(O2824), 1, O2824))) * 100</f>
        <v>0.03229166667</v>
      </c>
      <c r="J2824" s="2" t="n">
        <f aca="false">((H2824 / 800) / (IF(ISBLANK(S2824), 100, IF(ISNA(VLOOKUP(S2824, Lives!$A$2:$C$35, 2, 0)), S2824, VLOOKUP(S2824, Lives!$A$2:$C$35, 2, 0))) * 12) + (IF(ISBLANK(Q2824), 0, IF(ISNA(VLOOKUP(Q2824, Wages!$A$2:$C$17, 2, 0)), Q2824, VLOOKUP(Q2824, Wages!$A$2:$C$17, 2, 0))) * IF(ISBLANK(N2824), 0, IF(ISNA(VLOOKUP(N2824, Crews!$A$2:$C$28, 2, 0)), N2824, VLOOKUP(N2824, Crews!$A$2:$C$28, 2, 0))))) * 400</f>
        <v>1291.666667</v>
      </c>
      <c r="K2824" s="1"/>
      <c r="L2824" s="1" t="s">
        <v>5438</v>
      </c>
      <c r="M2824" s="1" t="n">
        <v>1</v>
      </c>
      <c r="N2824" s="1"/>
      <c r="O2824" s="1"/>
      <c r="P2824" s="1"/>
      <c r="Q2824" s="1"/>
      <c r="R2824" s="1" t="s">
        <v>4419</v>
      </c>
      <c r="S2824" s="1" t="s">
        <v>4470</v>
      </c>
      <c r="T2824" s="1"/>
    </row>
    <row r="2825" customFormat="false" ht="15" hidden="false" customHeight="true" outlineLevel="0" collapsed="false">
      <c r="A2825" s="1" t="s">
        <v>5440</v>
      </c>
      <c r="B2825" s="1" t="n">
        <v>2004</v>
      </c>
      <c r="C2825" s="1" t="n">
        <v>3</v>
      </c>
      <c r="D2825" s="1" t="s">
        <v>876</v>
      </c>
      <c r="E2825" s="1" t="s">
        <v>1346</v>
      </c>
      <c r="F2825" s="1"/>
      <c r="G2825" s="1" t="n">
        <v>80</v>
      </c>
      <c r="H2825" s="2" t="n">
        <v>620000</v>
      </c>
      <c r="I2825" s="2" t="n">
        <f aca="false">(((H2825 / 800) / IF(ISBLANK(R2825), 1000000, IF(ISNA(VLOOKUP(R2825, Mileages!$A$2:$C$34, 2, 0)), R2825, VLOOKUP(R2825, Mileages!$A$2:$C$34, 2, 0)))) + (F2825 * IF(ISBLANK(P2825), 1, P2825) * IF(ISBLANK(T2825), 0, IF(ISNA(VLOOKUP(T2825, 'Fuel Costs'!$A$2:$C$42, 2, 0)), T2825, VLOOKUP(T2825, 'Fuel Costs'!$A$2:$C$42, 2, 0))) / IF(ISBLANK(O2825), 1, O2825))) * 100</f>
        <v>0.03229166667</v>
      </c>
      <c r="J2825" s="2" t="n">
        <f aca="false">((H2825 / 800) / (IF(ISBLANK(S2825), 100, IF(ISNA(VLOOKUP(S2825, Lives!$A$2:$C$35, 2, 0)), S2825, VLOOKUP(S2825, Lives!$A$2:$C$35, 2, 0))) * 12) + (IF(ISBLANK(Q2825), 0, IF(ISNA(VLOOKUP(Q2825, Wages!$A$2:$C$17, 2, 0)), Q2825, VLOOKUP(Q2825, Wages!$A$2:$C$17, 2, 0))) * IF(ISBLANK(N2825), 0, IF(ISNA(VLOOKUP(N2825, Crews!$A$2:$C$28, 2, 0)), N2825, VLOOKUP(N2825, Crews!$A$2:$C$28, 2, 0))))) * 400</f>
        <v>1291.666667</v>
      </c>
      <c r="K2825" s="1"/>
      <c r="L2825" s="1" t="s">
        <v>5438</v>
      </c>
      <c r="M2825" s="1" t="n">
        <v>2</v>
      </c>
      <c r="N2825" s="1"/>
      <c r="O2825" s="1"/>
      <c r="P2825" s="1"/>
      <c r="Q2825" s="1"/>
      <c r="R2825" s="1" t="s">
        <v>4419</v>
      </c>
      <c r="S2825" s="1" t="s">
        <v>4470</v>
      </c>
      <c r="T2825" s="1"/>
    </row>
    <row r="2826" customFormat="false" ht="15" hidden="false" customHeight="true" outlineLevel="0" collapsed="false">
      <c r="A2826" s="1" t="s">
        <v>5441</v>
      </c>
      <c r="B2826" s="1" t="n">
        <v>2004</v>
      </c>
      <c r="C2826" s="1" t="n">
        <v>3</v>
      </c>
      <c r="D2826" s="1" t="s">
        <v>876</v>
      </c>
      <c r="E2826" s="1" t="s">
        <v>1346</v>
      </c>
      <c r="F2826" s="1" t="n">
        <v>160</v>
      </c>
      <c r="G2826" s="1" t="n">
        <v>80</v>
      </c>
      <c r="H2826" s="2" t="n">
        <v>620000</v>
      </c>
      <c r="I2826" s="2" t="n">
        <f aca="false">(((H2826 / 800) / IF(ISBLANK(R2826), 1000000, IF(ISNA(VLOOKUP(R2826, Mileages!$A$2:$C$34, 2, 0)), R2826, VLOOKUP(R2826, Mileages!$A$2:$C$34, 2, 0)))) + (F2826 * IF(ISBLANK(P2826), 1, P2826) * IF(ISBLANK(T2826), 0, IF(ISNA(VLOOKUP(T2826, 'Fuel Costs'!$A$2:$C$42, 2, 0)), T2826, VLOOKUP(T2826, 'Fuel Costs'!$A$2:$C$42, 2, 0))) / IF(ISBLANK(O2826), 1, O2826))) * 100</f>
        <v>24.03875</v>
      </c>
      <c r="J2826" s="2" t="n">
        <f aca="false">((H2826 / 800) / (IF(ISBLANK(S2826), 100, IF(ISNA(VLOOKUP(S2826, Lives!$A$2:$C$35, 2, 0)), S2826, VLOOKUP(S2826, Lives!$A$2:$C$35, 2, 0))) * 12) + (IF(ISBLANK(Q2826), 0, IF(ISNA(VLOOKUP(Q2826, Wages!$A$2:$C$17, 2, 0)), Q2826, VLOOKUP(Q2826, Wages!$A$2:$C$17, 2, 0))) * IF(ISBLANK(N2826), 0, IF(ISNA(VLOOKUP(N2826, Crews!$A$2:$C$28, 2, 0)), N2826, VLOOKUP(N2826, Crews!$A$2:$C$28, 2, 0))))) * 400</f>
        <v>516.6666667</v>
      </c>
      <c r="K2826" s="1"/>
      <c r="L2826" s="1" t="s">
        <v>5438</v>
      </c>
      <c r="M2826" s="1" t="n">
        <v>3</v>
      </c>
      <c r="N2826" s="1"/>
      <c r="O2826" s="1"/>
      <c r="P2826" s="1"/>
      <c r="Q2826" s="1"/>
      <c r="R2826" s="1" t="s">
        <v>4696</v>
      </c>
      <c r="S2826" s="1" t="s">
        <v>1350</v>
      </c>
      <c r="T2826" s="1" t="s">
        <v>5303</v>
      </c>
    </row>
    <row r="2827" customFormat="false" ht="15" hidden="false" customHeight="true" outlineLevel="0" collapsed="false">
      <c r="A2827" s="1" t="s">
        <v>5442</v>
      </c>
      <c r="B2827" s="1" t="n">
        <v>2004</v>
      </c>
      <c r="C2827" s="1" t="n">
        <v>3</v>
      </c>
      <c r="D2827" s="1" t="s">
        <v>876</v>
      </c>
      <c r="E2827" s="1" t="s">
        <v>1346</v>
      </c>
      <c r="F2827" s="1" t="n">
        <v>160</v>
      </c>
      <c r="G2827" s="1" t="n">
        <v>80</v>
      </c>
      <c r="H2827" s="2" t="n">
        <v>0</v>
      </c>
      <c r="I2827" s="2" t="n">
        <f aca="false">(((H2827 / 800) / IF(ISBLANK(R2827), 1000000, IF(ISNA(VLOOKUP(R2827, Mileages!$A$2:$C$34, 2, 0)), R2827, VLOOKUP(R2827, Mileages!$A$2:$C$34, 2, 0)))) + (F2827 * IF(ISBLANK(P2827), 1, P2827) * IF(ISBLANK(T2827), 0, IF(ISNA(VLOOKUP(T2827, 'Fuel Costs'!$A$2:$C$42, 2, 0)), T2827, VLOOKUP(T2827, 'Fuel Costs'!$A$2:$C$42, 2, 0))) / IF(ISBLANK(O2827), 1, O2827))) * 100</f>
        <v>24</v>
      </c>
      <c r="J2827" s="2" t="n">
        <f aca="false">((H2827 / 800) / (IF(ISBLANK(S2827), 100, IF(ISNA(VLOOKUP(S2827, Lives!$A$2:$C$35, 2, 0)), S2827, VLOOKUP(S2827, Lives!$A$2:$C$35, 2, 0))) * 12) + (IF(ISBLANK(Q2827), 0, IF(ISNA(VLOOKUP(Q2827, Wages!$A$2:$C$17, 2, 0)), Q2827, VLOOKUP(Q2827, Wages!$A$2:$C$17, 2, 0))) * IF(ISBLANK(N2827), 0, IF(ISNA(VLOOKUP(N2827, Crews!$A$2:$C$28, 2, 0)), N2827, VLOOKUP(N2827, Crews!$A$2:$C$28, 2, 0))))) * 400</f>
        <v>6000</v>
      </c>
      <c r="K2827" s="1"/>
      <c r="L2827" s="1" t="s">
        <v>5438</v>
      </c>
      <c r="M2827" s="1" t="n">
        <v>4</v>
      </c>
      <c r="N2827" s="1" t="s">
        <v>1512</v>
      </c>
      <c r="O2827" s="1"/>
      <c r="P2827" s="1"/>
      <c r="Q2827" s="1" t="s">
        <v>1512</v>
      </c>
      <c r="R2827" s="1" t="s">
        <v>4696</v>
      </c>
      <c r="S2827" s="1" t="s">
        <v>1350</v>
      </c>
      <c r="T2827" s="1" t="s">
        <v>5303</v>
      </c>
    </row>
    <row r="2828" customFormat="false" ht="15" hidden="false" customHeight="true" outlineLevel="0" collapsed="false">
      <c r="A2828" s="1" t="s">
        <v>5443</v>
      </c>
      <c r="B2828" s="1" t="n">
        <v>2004</v>
      </c>
      <c r="C2828" s="1" t="n">
        <v>8</v>
      </c>
      <c r="D2828" s="1" t="s">
        <v>38</v>
      </c>
      <c r="E2828" s="1" t="s">
        <v>1346</v>
      </c>
      <c r="F2828" s="1" t="n">
        <v>600</v>
      </c>
      <c r="G2828" s="1" t="n">
        <v>120</v>
      </c>
      <c r="H2828" s="2" t="n">
        <v>1814400</v>
      </c>
      <c r="I2828" s="2" t="n">
        <f aca="false">(((H2828 / 800) / IF(ISBLANK(R2828), 1000000, IF(ISNA(VLOOKUP(R2828, Mileages!$A$2:$C$34, 2, 0)), R2828, VLOOKUP(R2828, Mileages!$A$2:$C$34, 2, 0)))) + (F2828 * IF(ISBLANK(P2828), 1, P2828) * IF(ISBLANK(T2828), 0, IF(ISNA(VLOOKUP(T2828, 'Fuel Costs'!$A$2:$C$42, 2, 0)), T2828, VLOOKUP(T2828, 'Fuel Costs'!$A$2:$C$42, 2, 0))) / IF(ISBLANK(O2828), 1, O2828))) * 100</f>
        <v>90.1134</v>
      </c>
      <c r="J2828" s="2" t="n">
        <f aca="false">((H2828 / 800) / (IF(ISBLANK(S2828), 100, IF(ISNA(VLOOKUP(S2828, Lives!$A$2:$C$35, 2, 0)), S2828, VLOOKUP(S2828, Lives!$A$2:$C$35, 2, 0))) * 12) + (IF(ISBLANK(Q2828), 0, IF(ISNA(VLOOKUP(Q2828, Wages!$A$2:$C$17, 2, 0)), Q2828, VLOOKUP(Q2828, Wages!$A$2:$C$17, 2, 0))) * IF(ISBLANK(N2828), 0, IF(ISNA(VLOOKUP(N2828, Crews!$A$2:$C$28, 2, 0)), N2828, VLOOKUP(N2828, Crews!$A$2:$C$28, 2, 0))))) * 400</f>
        <v>7512</v>
      </c>
      <c r="K2828" s="1"/>
      <c r="L2828" s="1" t="s">
        <v>5444</v>
      </c>
      <c r="M2828" s="1" t="n">
        <v>0</v>
      </c>
      <c r="N2828" s="1" t="s">
        <v>1512</v>
      </c>
      <c r="O2828" s="1" t="n">
        <v>1</v>
      </c>
      <c r="P2828" s="1"/>
      <c r="Q2828" s="1" t="str">
        <f aca="false">IF(ISBLANK('Pak128 Britain In'!$N2828),,'Pak128 Britain In'!$N2828)</f>
        <v>ElectricMultipleUnit</v>
      </c>
      <c r="R2828" s="1" t="s">
        <v>4696</v>
      </c>
      <c r="S2828" s="1" t="s">
        <v>1350</v>
      </c>
      <c r="T2828" s="1" t="s">
        <v>5303</v>
      </c>
    </row>
    <row r="2829" customFormat="false" ht="15" hidden="false" customHeight="true" outlineLevel="0" collapsed="false">
      <c r="A2829" s="1" t="s">
        <v>5445</v>
      </c>
      <c r="B2829" s="1" t="n">
        <v>2004</v>
      </c>
      <c r="C2829" s="1" t="n">
        <v>8</v>
      </c>
      <c r="D2829" s="1" t="s">
        <v>38</v>
      </c>
      <c r="E2829" s="1" t="s">
        <v>1346</v>
      </c>
      <c r="F2829" s="1" t="n">
        <v>600</v>
      </c>
      <c r="G2829" s="1" t="n">
        <v>120</v>
      </c>
      <c r="H2829" s="2" t="n">
        <v>1814400</v>
      </c>
      <c r="I2829" s="2" t="n">
        <f aca="false">(((H2829 / 800) / IF(ISBLANK(R2829), 1000000, IF(ISNA(VLOOKUP(R2829, Mileages!$A$2:$C$34, 2, 0)), R2829, VLOOKUP(R2829, Mileages!$A$2:$C$34, 2, 0)))) + (F2829 * IF(ISBLANK(P2829), 1, P2829) * IF(ISBLANK(T2829), 0, IF(ISNA(VLOOKUP(T2829, 'Fuel Costs'!$A$2:$C$42, 2, 0)), T2829, VLOOKUP(T2829, 'Fuel Costs'!$A$2:$C$42, 2, 0))) / IF(ISBLANK(O2829), 1, O2829))) * 100</f>
        <v>90.1134</v>
      </c>
      <c r="J2829" s="2" t="n">
        <f aca="false">((H2829 / 800) / (IF(ISBLANK(S2829), 100, IF(ISNA(VLOOKUP(S2829, Lives!$A$2:$C$35, 2, 0)), S2829, VLOOKUP(S2829, Lives!$A$2:$C$35, 2, 0))) * 12) + (IF(ISBLANK(Q2829), 0, IF(ISNA(VLOOKUP(Q2829, Wages!$A$2:$C$17, 2, 0)), Q2829, VLOOKUP(Q2829, Wages!$A$2:$C$17, 2, 0))) * IF(ISBLANK(N2829), 0, IF(ISNA(VLOOKUP(N2829, Crews!$A$2:$C$28, 2, 0)), N2829, VLOOKUP(N2829, Crews!$A$2:$C$28, 2, 0))))) * 400</f>
        <v>7512</v>
      </c>
      <c r="K2829" s="1"/>
      <c r="L2829" s="1" t="s">
        <v>5444</v>
      </c>
      <c r="M2829" s="1" t="n">
        <v>1</v>
      </c>
      <c r="N2829" s="1" t="s">
        <v>1512</v>
      </c>
      <c r="O2829" s="1" t="n">
        <v>1</v>
      </c>
      <c r="P2829" s="1"/>
      <c r="Q2829" s="1" t="str">
        <f aca="false">IF(ISBLANK('Pak128 Britain In'!$N2829),,'Pak128 Britain In'!$N2829)</f>
        <v>ElectricMultipleUnit</v>
      </c>
      <c r="R2829" s="1" t="s">
        <v>4696</v>
      </c>
      <c r="S2829" s="1" t="s">
        <v>1350</v>
      </c>
      <c r="T2829" s="1" t="s">
        <v>5303</v>
      </c>
    </row>
    <row r="2830" customFormat="false" ht="15" hidden="false" customHeight="true" outlineLevel="0" collapsed="false">
      <c r="A2830" s="1" t="s">
        <v>5446</v>
      </c>
      <c r="B2830" s="1" t="n">
        <v>2004</v>
      </c>
      <c r="C2830" s="1" t="n">
        <v>8</v>
      </c>
      <c r="D2830" s="1" t="s">
        <v>38</v>
      </c>
      <c r="E2830" s="1" t="s">
        <v>1346</v>
      </c>
      <c r="F2830" s="1" t="n">
        <v>0</v>
      </c>
      <c r="G2830" s="1" t="n">
        <v>120</v>
      </c>
      <c r="H2830" s="2" t="n">
        <v>2721000</v>
      </c>
      <c r="I2830" s="2" t="n">
        <f aca="false">(((H2830 / 800) / IF(ISBLANK(R2830), 1000000, IF(ISNA(VLOOKUP(R2830, Mileages!$A$2:$C$34, 2, 0)), R2830, VLOOKUP(R2830, Mileages!$A$2:$C$34, 2, 0)))) + (F2830 * IF(ISBLANK(P2830), 1, P2830) * IF(ISBLANK(T2830), 0, IF(ISNA(VLOOKUP(T2830, 'Fuel Costs'!$A$2:$C$42, 2, 0)), T2830, VLOOKUP(T2830, 'Fuel Costs'!$A$2:$C$42, 2, 0))) / IF(ISBLANK(O2830), 1, O2830))) * 100</f>
        <v>0.14171875</v>
      </c>
      <c r="J2830" s="2" t="n">
        <f aca="false">((H2830 / 800) / (IF(ISBLANK(S2830), 100, IF(ISNA(VLOOKUP(S2830, Lives!$A$2:$C$35, 2, 0)), S2830, VLOOKUP(S2830, Lives!$A$2:$C$35, 2, 0))) * 12) + (IF(ISBLANK(Q2830), 0, IF(ISNA(VLOOKUP(Q2830, Wages!$A$2:$C$17, 2, 0)), Q2830, VLOOKUP(Q2830, Wages!$A$2:$C$17, 2, 0))) * IF(ISBLANK(N2830), 0, IF(ISNA(VLOOKUP(N2830, Crews!$A$2:$C$28, 2, 0)), N2830, VLOOKUP(N2830, Crews!$A$2:$C$28, 2, 0))))) * 400</f>
        <v>5668.75</v>
      </c>
      <c r="K2830" s="1"/>
      <c r="L2830" s="1" t="s">
        <v>5444</v>
      </c>
      <c r="M2830" s="1" t="n">
        <v>2</v>
      </c>
      <c r="N2830" s="1"/>
      <c r="O2830" s="1"/>
      <c r="P2830" s="1"/>
      <c r="Q2830" s="1"/>
      <c r="R2830" s="1" t="s">
        <v>4419</v>
      </c>
      <c r="S2830" s="1" t="s">
        <v>4470</v>
      </c>
      <c r="T2830" s="1"/>
    </row>
    <row r="2831" customFormat="false" ht="15" hidden="false" customHeight="true" outlineLevel="0" collapsed="false">
      <c r="A2831" s="1" t="s">
        <v>5447</v>
      </c>
      <c r="B2831" s="1" t="n">
        <v>2004</v>
      </c>
      <c r="C2831" s="1" t="n">
        <v>8</v>
      </c>
      <c r="D2831" s="1" t="s">
        <v>38</v>
      </c>
      <c r="E2831" s="1" t="s">
        <v>1346</v>
      </c>
      <c r="F2831" s="1" t="n">
        <v>600</v>
      </c>
      <c r="G2831" s="1" t="n">
        <v>120</v>
      </c>
      <c r="H2831" s="2" t="n">
        <v>2721000</v>
      </c>
      <c r="I2831" s="2" t="n">
        <f aca="false">(((H2831 / 800) / IF(ISBLANK(R2831), 1000000, IF(ISNA(VLOOKUP(R2831, Mileages!$A$2:$C$34, 2, 0)), R2831, VLOOKUP(R2831, Mileages!$A$2:$C$34, 2, 0)))) + (F2831 * IF(ISBLANK(P2831), 1, P2831) * IF(ISBLANK(T2831), 0, IF(ISNA(VLOOKUP(T2831, 'Fuel Costs'!$A$2:$C$42, 2, 0)), T2831, VLOOKUP(T2831, 'Fuel Costs'!$A$2:$C$42, 2, 0))) / IF(ISBLANK(O2831), 1, O2831))) * 100</f>
        <v>90.1700625</v>
      </c>
      <c r="J2831" s="2" t="n">
        <f aca="false">((H2831 / 800) / (IF(ISBLANK(S2831), 100, IF(ISNA(VLOOKUP(S2831, Lives!$A$2:$C$35, 2, 0)), S2831, VLOOKUP(S2831, Lives!$A$2:$C$35, 2, 0))) * 12) + (IF(ISBLANK(Q2831), 0, IF(ISNA(VLOOKUP(Q2831, Wages!$A$2:$C$17, 2, 0)), Q2831, VLOOKUP(Q2831, Wages!$A$2:$C$17, 2, 0))) * IF(ISBLANK(N2831), 0, IF(ISNA(VLOOKUP(N2831, Crews!$A$2:$C$28, 2, 0)), N2831, VLOOKUP(N2831, Crews!$A$2:$C$28, 2, 0))))) * 400</f>
        <v>2267.5</v>
      </c>
      <c r="K2831" s="1"/>
      <c r="L2831" s="1" t="s">
        <v>5444</v>
      </c>
      <c r="M2831" s="1" t="n">
        <v>3</v>
      </c>
      <c r="N2831" s="1"/>
      <c r="O2831" s="1" t="n">
        <v>1</v>
      </c>
      <c r="P2831" s="1"/>
      <c r="Q2831" s="1"/>
      <c r="R2831" s="1" t="s">
        <v>4696</v>
      </c>
      <c r="S2831" s="1" t="s">
        <v>1350</v>
      </c>
      <c r="T2831" s="1" t="s">
        <v>5303</v>
      </c>
    </row>
    <row r="2832" customFormat="false" ht="15" hidden="false" customHeight="true" outlineLevel="0" collapsed="false">
      <c r="A2832" s="1" t="s">
        <v>5448</v>
      </c>
      <c r="B2832" s="1" t="n">
        <v>2005</v>
      </c>
      <c r="C2832" s="1" t="n">
        <v>6</v>
      </c>
      <c r="D2832" s="1" t="s">
        <v>21</v>
      </c>
      <c r="E2832" s="1" t="s">
        <v>2039</v>
      </c>
      <c r="F2832" s="1" t="n">
        <v>210</v>
      </c>
      <c r="G2832" s="1" t="n">
        <v>75</v>
      </c>
      <c r="H2832" s="2" t="n">
        <v>4850000</v>
      </c>
      <c r="I2832" s="2" t="n">
        <f aca="false">(((H2832 / 800) / IF(ISBLANK(R2832), 1000000, IF(ISNA(VLOOKUP(R2832, Mileages!$A$2:$C$34, 2, 0)), R2832, VLOOKUP(R2832, Mileages!$A$2:$C$34, 2, 0)))) + (F2832 * IF(ISBLANK(P2832), 1, P2832) * IF(ISBLANK(T2832), 0, IF(ISNA(VLOOKUP(T2832, 'Fuel Costs'!$A$2:$C$42, 2, 0)), T2832, VLOOKUP(T2832, 'Fuel Costs'!$A$2:$C$42, 2, 0))) / IF(ISBLANK(O2832), 1, O2832))) * 100</f>
        <v>42.303125</v>
      </c>
      <c r="J2832" s="2" t="n">
        <f aca="false">((H2832 / 800) / (IF(ISBLANK(S2832), 100, IF(ISNA(VLOOKUP(S2832, Lives!$A$2:$C$35, 2, 0)), S2832, VLOOKUP(S2832, Lives!$A$2:$C$35, 2, 0))) * 12) + (IF(ISBLANK(Q2832), 0, IF(ISNA(VLOOKUP(Q2832, Wages!$A$2:$C$17, 2, 0)), Q2832, VLOOKUP(Q2832, Wages!$A$2:$C$17, 2, 0))) * IF(ISBLANK(N2832), 0, IF(ISNA(VLOOKUP(N2832, Crews!$A$2:$C$28, 2, 0)), N2832, VLOOKUP(N2832, Crews!$A$2:$C$28, 2, 0))))) * 400</f>
        <v>10526.04167</v>
      </c>
      <c r="K2832" s="3" t="s">
        <v>5449</v>
      </c>
      <c r="L2832" s="1" t="s">
        <v>5450</v>
      </c>
      <c r="M2832" s="1" t="n">
        <v>0</v>
      </c>
      <c r="N2832" s="1" t="s">
        <v>1815</v>
      </c>
      <c r="O2832" s="1" t="n">
        <v>1</v>
      </c>
      <c r="P2832" s="1"/>
      <c r="Q2832" s="1" t="s">
        <v>1815</v>
      </c>
      <c r="R2832" s="1" t="s">
        <v>4725</v>
      </c>
      <c r="S2832" s="1" t="s">
        <v>1843</v>
      </c>
      <c r="T2832" s="1" t="s">
        <v>5292</v>
      </c>
    </row>
    <row r="2833" customFormat="false" ht="15" hidden="false" customHeight="true" outlineLevel="0" collapsed="false">
      <c r="A2833" s="1" t="s">
        <v>5451</v>
      </c>
      <c r="B2833" s="1" t="n">
        <v>2005</v>
      </c>
      <c r="C2833" s="1" t="n">
        <v>9</v>
      </c>
      <c r="D2833" s="1" t="s">
        <v>21</v>
      </c>
      <c r="E2833" s="1" t="s">
        <v>2039</v>
      </c>
      <c r="F2833" s="1" t="n">
        <v>254</v>
      </c>
      <c r="G2833" s="1" t="n">
        <v>96</v>
      </c>
      <c r="H2833" s="2" t="n">
        <v>7760000</v>
      </c>
      <c r="I2833" s="2" t="n">
        <f aca="false">(((H2833 / 800) / IF(ISBLANK(R2833), 1000000, IF(ISNA(VLOOKUP(R2833, Mileages!$A$2:$C$34, 2, 0)), R2833, VLOOKUP(R2833, Mileages!$A$2:$C$34, 2, 0)))) + (F2833 * IF(ISBLANK(P2833), 1, P2833) * IF(ISBLANK(T2833), 0, IF(ISNA(VLOOKUP(T2833, 'Fuel Costs'!$A$2:$C$42, 2, 0)), T2833, VLOOKUP(T2833, 'Fuel Costs'!$A$2:$C$42, 2, 0))) / IF(ISBLANK(O2833), 1, O2833))) * 100</f>
        <v>51.285</v>
      </c>
      <c r="J2833" s="2" t="n">
        <f aca="false">((H2833 / 800) / (IF(ISBLANK(S2833), 100, IF(ISNA(VLOOKUP(S2833, Lives!$A$2:$C$35, 2, 0)), S2833, VLOOKUP(S2833, Lives!$A$2:$C$35, 2, 0))) * 12) + (IF(ISBLANK(Q2833), 0, IF(ISNA(VLOOKUP(Q2833, Wages!$A$2:$C$17, 2, 0)), Q2833, VLOOKUP(Q2833, Wages!$A$2:$C$17, 2, 0))) * IF(ISBLANK(N2833), 0, IF(ISNA(VLOOKUP(N2833, Crews!$A$2:$C$28, 2, 0)), N2833, VLOOKUP(N2833, Crews!$A$2:$C$28, 2, 0))))) * 400</f>
        <v>12041.66667</v>
      </c>
      <c r="K2833" s="3" t="s">
        <v>5452</v>
      </c>
      <c r="L2833" s="1" t="s">
        <v>5453</v>
      </c>
      <c r="M2833" s="1" t="n">
        <v>0</v>
      </c>
      <c r="N2833" s="1" t="s">
        <v>1815</v>
      </c>
      <c r="O2833" s="1" t="n">
        <v>1</v>
      </c>
      <c r="P2833" s="1"/>
      <c r="Q2833" s="1" t="s">
        <v>1815</v>
      </c>
      <c r="R2833" s="1" t="s">
        <v>4725</v>
      </c>
      <c r="S2833" s="1" t="s">
        <v>1843</v>
      </c>
      <c r="T2833" s="1" t="s">
        <v>5292</v>
      </c>
    </row>
    <row r="2834" customFormat="false" ht="15" hidden="false" customHeight="true" outlineLevel="0" collapsed="false">
      <c r="A2834" s="1" t="s">
        <v>5454</v>
      </c>
      <c r="B2834" s="1" t="n">
        <v>2005</v>
      </c>
      <c r="C2834" s="1" t="n">
        <v>11</v>
      </c>
      <c r="D2834" s="1" t="s">
        <v>29</v>
      </c>
      <c r="E2834" s="1" t="s">
        <v>1839</v>
      </c>
      <c r="F2834" s="1" t="n">
        <v>900</v>
      </c>
      <c r="G2834" s="1" t="n">
        <v>90</v>
      </c>
      <c r="H2834" s="2" t="n">
        <v>17500000</v>
      </c>
      <c r="I2834" s="2" t="n">
        <f aca="false">(((H2834 / 800) / IF(ISBLANK(R2834), 1000000, IF(ISNA(VLOOKUP(R2834, Mileages!$A$2:$C$34, 2, 0)), R2834, VLOOKUP(R2834, Mileages!$A$2:$C$34, 2, 0)))) + (F2834 * IF(ISBLANK(P2834), 1, P2834) * IF(ISBLANK(T2834), 0, IF(ISNA(VLOOKUP(T2834, 'Fuel Costs'!$A$2:$C$42, 2, 0)), T2834, VLOOKUP(T2834, 'Fuel Costs'!$A$2:$C$42, 2, 0))) / IF(ISBLANK(O2834), 1, O2834))) * 100</f>
        <v>56.61458333</v>
      </c>
      <c r="J2834" s="2" t="n">
        <f aca="false">((H2834 / 800) / (IF(ISBLANK(S2834), 100, IF(ISNA(VLOOKUP(S2834, Lives!$A$2:$C$35, 2, 0)), S2834, VLOOKUP(S2834, Lives!$A$2:$C$35, 2, 0))) * 12) + (IF(ISBLANK(Q2834), 0, IF(ISNA(VLOOKUP(Q2834, Wages!$A$2:$C$17, 2, 0)), Q2834, VLOOKUP(Q2834, Wages!$A$2:$C$17, 2, 0))) * IF(ISBLANK(N2834), 0, IF(ISNA(VLOOKUP(N2834, Crews!$A$2:$C$28, 2, 0)), N2834, VLOOKUP(N2834, Crews!$A$2:$C$28, 2, 0))))) * 400</f>
        <v>47291.66667</v>
      </c>
      <c r="K2834" s="3" t="s">
        <v>4787</v>
      </c>
      <c r="L2834" s="1" t="s">
        <v>5455</v>
      </c>
      <c r="M2834" s="1" t="n">
        <v>0</v>
      </c>
      <c r="N2834" s="1" t="s">
        <v>4273</v>
      </c>
      <c r="O2834" s="1" t="n">
        <v>0.1</v>
      </c>
      <c r="P2834" s="1" t="n">
        <v>0.05</v>
      </c>
      <c r="Q2834" s="1" t="s">
        <v>34</v>
      </c>
      <c r="R2834" s="1" t="s">
        <v>3933</v>
      </c>
      <c r="S2834" s="1" t="s">
        <v>574</v>
      </c>
      <c r="T2834" s="1" t="s">
        <v>5411</v>
      </c>
    </row>
    <row r="2835" customFormat="false" ht="15" hidden="false" customHeight="true" outlineLevel="0" collapsed="false">
      <c r="A2835" s="1" t="s">
        <v>5456</v>
      </c>
      <c r="B2835" s="1" t="n">
        <v>2005</v>
      </c>
      <c r="C2835" s="1" t="n">
        <v>11</v>
      </c>
      <c r="D2835" s="1" t="s">
        <v>29</v>
      </c>
      <c r="E2835" s="1" t="s">
        <v>1839</v>
      </c>
      <c r="F2835" s="1" t="n">
        <v>900</v>
      </c>
      <c r="G2835" s="1" t="n">
        <v>90</v>
      </c>
      <c r="H2835" s="2" t="n">
        <v>175000000</v>
      </c>
      <c r="I2835" s="2" t="n">
        <f aca="false">(((H2835 / 800) / IF(ISBLANK(R2835), 1000000, IF(ISNA(VLOOKUP(R2835, Mileages!$A$2:$C$34, 2, 0)), R2835, VLOOKUP(R2835, Mileages!$A$2:$C$34, 2, 0)))) + (F2835 * IF(ISBLANK(P2835), 1, P2835) * IF(ISBLANK(T2835), 0, IF(ISNA(VLOOKUP(T2835, 'Fuel Costs'!$A$2:$C$42, 2, 0)), T2835, VLOOKUP(T2835, 'Fuel Costs'!$A$2:$C$42, 2, 0))) / IF(ISBLANK(O2835), 1, O2835))) * 100</f>
        <v>59.89583333</v>
      </c>
      <c r="J2835" s="2" t="n">
        <f aca="false">((H2835 / 800) / (IF(ISBLANK(S2835), 100, IF(ISNA(VLOOKUP(S2835, Lives!$A$2:$C$35, 2, 0)), S2835, VLOOKUP(S2835, Lives!$A$2:$C$35, 2, 0))) * 12) + (IF(ISBLANK(Q2835), 0, IF(ISNA(VLOOKUP(Q2835, Wages!$A$2:$C$17, 2, 0)), Q2835, VLOOKUP(Q2835, Wages!$A$2:$C$17, 2, 0))) * IF(ISBLANK(N2835), 0, IF(ISNA(VLOOKUP(N2835, Crews!$A$2:$C$28, 2, 0)), N2835, VLOOKUP(N2835, Crews!$A$2:$C$28, 2, 0))))) * 400</f>
        <v>112916.6667</v>
      </c>
      <c r="K2835" s="3" t="s">
        <v>4787</v>
      </c>
      <c r="L2835" s="1" t="s">
        <v>5455</v>
      </c>
      <c r="M2835" s="1" t="n">
        <v>1</v>
      </c>
      <c r="N2835" s="1" t="s">
        <v>4273</v>
      </c>
      <c r="O2835" s="1" t="n">
        <v>0.1</v>
      </c>
      <c r="P2835" s="1" t="n">
        <v>0.05</v>
      </c>
      <c r="Q2835" s="1" t="s">
        <v>34</v>
      </c>
      <c r="R2835" s="1" t="s">
        <v>3933</v>
      </c>
      <c r="S2835" s="1" t="s">
        <v>574</v>
      </c>
      <c r="T2835" s="1" t="s">
        <v>5411</v>
      </c>
    </row>
    <row r="2836" customFormat="false" ht="15" hidden="false" customHeight="true" outlineLevel="0" collapsed="false">
      <c r="A2836" s="1" t="s">
        <v>5457</v>
      </c>
      <c r="B2836" s="1" t="n">
        <v>2005</v>
      </c>
      <c r="C2836" s="1" t="n">
        <v>11</v>
      </c>
      <c r="D2836" s="1" t="s">
        <v>29</v>
      </c>
      <c r="E2836" s="1" t="s">
        <v>1839</v>
      </c>
      <c r="F2836" s="1" t="n">
        <v>900</v>
      </c>
      <c r="G2836" s="1" t="n">
        <v>90</v>
      </c>
      <c r="H2836" s="2" t="n">
        <v>175000000</v>
      </c>
      <c r="I2836" s="2" t="n">
        <f aca="false">(((H2836 / 800) / IF(ISBLANK(R2836), 1000000, IF(ISNA(VLOOKUP(R2836, Mileages!$A$2:$C$34, 2, 0)), R2836, VLOOKUP(R2836, Mileages!$A$2:$C$34, 2, 0)))) + (F2836 * IF(ISBLANK(P2836), 1, P2836) * IF(ISBLANK(T2836), 0, IF(ISNA(VLOOKUP(T2836, 'Fuel Costs'!$A$2:$C$42, 2, 0)), T2836, VLOOKUP(T2836, 'Fuel Costs'!$A$2:$C$42, 2, 0))) / IF(ISBLANK(O2836), 1, O2836))) * 100</f>
        <v>59.89583333</v>
      </c>
      <c r="J2836" s="2" t="n">
        <f aca="false">((H2836 / 800) / (IF(ISBLANK(S2836), 100, IF(ISNA(VLOOKUP(S2836, Lives!$A$2:$C$35, 2, 0)), S2836, VLOOKUP(S2836, Lives!$A$2:$C$35, 2, 0))) * 12) + (IF(ISBLANK(Q2836), 0, IF(ISNA(VLOOKUP(Q2836, Wages!$A$2:$C$17, 2, 0)), Q2836, VLOOKUP(Q2836, Wages!$A$2:$C$17, 2, 0))) * IF(ISBLANK(N2836), 0, IF(ISNA(VLOOKUP(N2836, Crews!$A$2:$C$28, 2, 0)), N2836, VLOOKUP(N2836, Crews!$A$2:$C$28, 2, 0))))) * 400</f>
        <v>112916.6667</v>
      </c>
      <c r="K2836" s="3" t="s">
        <v>4787</v>
      </c>
      <c r="L2836" s="1" t="s">
        <v>5458</v>
      </c>
      <c r="M2836" s="1" t="n">
        <v>0</v>
      </c>
      <c r="N2836" s="1" t="s">
        <v>4273</v>
      </c>
      <c r="O2836" s="1" t="n">
        <v>0.1</v>
      </c>
      <c r="P2836" s="1" t="n">
        <v>0.05</v>
      </c>
      <c r="Q2836" s="1" t="s">
        <v>34</v>
      </c>
      <c r="R2836" s="1" t="s">
        <v>3933</v>
      </c>
      <c r="S2836" s="1" t="s">
        <v>574</v>
      </c>
      <c r="T2836" s="1" t="s">
        <v>5411</v>
      </c>
    </row>
    <row r="2837" customFormat="false" ht="15" hidden="false" customHeight="true" outlineLevel="0" collapsed="false">
      <c r="A2837" s="1" t="s">
        <v>5459</v>
      </c>
      <c r="B2837" s="1" t="n">
        <v>2006</v>
      </c>
      <c r="C2837" s="1" t="n">
        <v>1</v>
      </c>
      <c r="D2837" s="1" t="s">
        <v>21</v>
      </c>
      <c r="E2837" s="1" t="s">
        <v>2039</v>
      </c>
      <c r="F2837" s="1" t="n">
        <v>230</v>
      </c>
      <c r="G2837" s="1" t="n">
        <v>75</v>
      </c>
      <c r="H2837" s="2" t="n">
        <v>5680000</v>
      </c>
      <c r="I2837" s="2" t="n">
        <f aca="false">(((H2837 / 800) / IF(ISBLANK(R2837), 1000000, IF(ISNA(VLOOKUP(R2837, Mileages!$A$2:$C$34, 2, 0)), R2837, VLOOKUP(R2837, Mileages!$A$2:$C$34, 2, 0)))) + (F2837 * IF(ISBLANK(P2837), 1, P2837) * IF(ISBLANK(T2837), 0, IF(ISNA(VLOOKUP(T2837, 'Fuel Costs'!$A$2:$C$42, 2, 0)), T2837, VLOOKUP(T2837, 'Fuel Costs'!$A$2:$C$42, 2, 0))) / IF(ISBLANK(O2837), 1, O2837))) * 100</f>
        <v>46.355</v>
      </c>
      <c r="J2837" s="2" t="n">
        <f aca="false">((H2837 / 800) / (IF(ISBLANK(S2837), 100, IF(ISNA(VLOOKUP(S2837, Lives!$A$2:$C$35, 2, 0)), S2837, VLOOKUP(S2837, Lives!$A$2:$C$35, 2, 0))) * 12) + (IF(ISBLANK(Q2837), 0, IF(ISNA(VLOOKUP(Q2837, Wages!$A$2:$C$17, 2, 0)), Q2837, VLOOKUP(Q2837, Wages!$A$2:$C$17, 2, 0))) * IF(ISBLANK(N2837), 0, IF(ISNA(VLOOKUP(N2837, Crews!$A$2:$C$28, 2, 0)), N2837, VLOOKUP(N2837, Crews!$A$2:$C$28, 2, 0))))) * 400</f>
        <v>10958.33333</v>
      </c>
      <c r="K2837" s="3" t="s">
        <v>5460</v>
      </c>
      <c r="L2837" s="1" t="s">
        <v>5461</v>
      </c>
      <c r="M2837" s="1" t="n">
        <v>0</v>
      </c>
      <c r="N2837" s="1" t="s">
        <v>1815</v>
      </c>
      <c r="O2837" s="1" t="n">
        <v>1</v>
      </c>
      <c r="P2837" s="1"/>
      <c r="Q2837" s="1" t="s">
        <v>1815</v>
      </c>
      <c r="R2837" s="1" t="s">
        <v>4725</v>
      </c>
      <c r="S2837" s="1" t="s">
        <v>1843</v>
      </c>
      <c r="T2837" s="1" t="s">
        <v>5292</v>
      </c>
    </row>
    <row r="2838" customFormat="false" ht="15" hidden="false" customHeight="true" outlineLevel="0" collapsed="false">
      <c r="A2838" s="1" t="s">
        <v>5462</v>
      </c>
      <c r="B2838" s="1" t="n">
        <v>2006</v>
      </c>
      <c r="C2838" s="1" t="n">
        <v>1</v>
      </c>
      <c r="D2838" s="1" t="s">
        <v>21</v>
      </c>
      <c r="E2838" s="1" t="s">
        <v>2039</v>
      </c>
      <c r="F2838" s="1" t="n">
        <v>230</v>
      </c>
      <c r="G2838" s="1" t="n">
        <v>75</v>
      </c>
      <c r="H2838" s="2" t="n">
        <v>5700000</v>
      </c>
      <c r="I2838" s="2" t="n">
        <f aca="false">(((H2838 / 800) / IF(ISBLANK(R2838), 1000000, IF(ISNA(VLOOKUP(R2838, Mileages!$A$2:$C$34, 2, 0)), R2838, VLOOKUP(R2838, Mileages!$A$2:$C$34, 2, 0)))) + (F2838 * IF(ISBLANK(P2838), 1, P2838) * IF(ISBLANK(T2838), 0, IF(ISNA(VLOOKUP(T2838, 'Fuel Costs'!$A$2:$C$42, 2, 0)), T2838, VLOOKUP(T2838, 'Fuel Costs'!$A$2:$C$42, 2, 0))) / IF(ISBLANK(O2838), 1, O2838))) * 100</f>
        <v>46.475</v>
      </c>
      <c r="J2838" s="2" t="n">
        <f aca="false">((H2838 / 800) / (IF(ISBLANK(S2838), 100, IF(ISNA(VLOOKUP(S2838, Lives!$A$2:$C$35, 2, 0)), S2838, VLOOKUP(S2838, Lives!$A$2:$C$35, 2, 0))) * 12) + (IF(ISBLANK(Q2838), 0, IF(ISNA(VLOOKUP(Q2838, Wages!$A$2:$C$17, 2, 0)), Q2838, VLOOKUP(Q2838, Wages!$A$2:$C$17, 2, 0))) * IF(ISBLANK(N2838), 0, IF(ISNA(VLOOKUP(N2838, Crews!$A$2:$C$28, 2, 0)), N2838, VLOOKUP(N2838, Crews!$A$2:$C$28, 2, 0))))) * 400</f>
        <v>11937.5</v>
      </c>
      <c r="K2838" s="3" t="s">
        <v>5463</v>
      </c>
      <c r="L2838" s="1" t="s">
        <v>5461</v>
      </c>
      <c r="M2838" s="1" t="n">
        <v>1</v>
      </c>
      <c r="N2838" s="1" t="s">
        <v>3064</v>
      </c>
      <c r="O2838" s="1" t="n">
        <v>1</v>
      </c>
      <c r="P2838" s="1"/>
      <c r="Q2838" s="1" t="s">
        <v>3064</v>
      </c>
      <c r="R2838" s="1" t="s">
        <v>4730</v>
      </c>
      <c r="S2838" s="1" t="s">
        <v>3064</v>
      </c>
      <c r="T2838" s="1" t="s">
        <v>5292</v>
      </c>
    </row>
    <row r="2839" customFormat="false" ht="15" hidden="false" customHeight="true" outlineLevel="0" collapsed="false">
      <c r="A2839" s="1" t="s">
        <v>5464</v>
      </c>
      <c r="B2839" s="1" t="n">
        <v>2006</v>
      </c>
      <c r="C2839" s="1" t="n">
        <v>3</v>
      </c>
      <c r="D2839" s="1" t="s">
        <v>38</v>
      </c>
      <c r="E2839" s="1" t="s">
        <v>2039</v>
      </c>
      <c r="F2839" s="1" t="n">
        <v>560</v>
      </c>
      <c r="G2839" s="1" t="n">
        <v>160</v>
      </c>
      <c r="H2839" s="2" t="n">
        <v>1930000</v>
      </c>
      <c r="I2839" s="2" t="n">
        <f aca="false">(((H2839 / 800) / IF(ISBLANK(R2839), 1000000, IF(ISNA(VLOOKUP(R2839, Mileages!$A$2:$C$34, 2, 0)), R2839, VLOOKUP(R2839, Mileages!$A$2:$C$34, 2, 0)))) + (F2839 * IF(ISBLANK(P2839), 1, P2839) * IF(ISBLANK(T2839), 0, IF(ISNA(VLOOKUP(T2839, 'Fuel Costs'!$A$2:$C$42, 2, 0)), T2839, VLOOKUP(T2839, 'Fuel Costs'!$A$2:$C$42, 2, 0))) / IF(ISBLANK(O2839), 1, O2839))) * 100</f>
        <v>112.120625</v>
      </c>
      <c r="J2839" s="2" t="n">
        <f aca="false">((H2839 / 800) / (IF(ISBLANK(S2839), 100, IF(ISNA(VLOOKUP(S2839, Lives!$A$2:$C$35, 2, 0)), S2839, VLOOKUP(S2839, Lives!$A$2:$C$35, 2, 0))) * 12) + (IF(ISBLANK(Q2839), 0, IF(ISNA(VLOOKUP(Q2839, Wages!$A$2:$C$17, 2, 0)), Q2839, VLOOKUP(Q2839, Wages!$A$2:$C$17, 2, 0))) * IF(ISBLANK(N2839), 0, IF(ISNA(VLOOKUP(N2839, Crews!$A$2:$C$28, 2, 0)), N2839, VLOOKUP(N2839, Crews!$A$2:$C$28, 2, 0))))) * 400</f>
        <v>7005.208333</v>
      </c>
      <c r="K2839" s="1"/>
      <c r="L2839" s="1" t="s">
        <v>5465</v>
      </c>
      <c r="M2839" s="1" t="n">
        <v>0</v>
      </c>
      <c r="N2839" s="1" t="s">
        <v>1512</v>
      </c>
      <c r="O2839" s="1" t="n">
        <v>1</v>
      </c>
      <c r="P2839" s="1"/>
      <c r="Q2839" s="1" t="s">
        <v>1512</v>
      </c>
      <c r="R2839" s="1" t="s">
        <v>4747</v>
      </c>
      <c r="S2839" s="1" t="s">
        <v>4747</v>
      </c>
      <c r="T2839" s="1" t="s">
        <v>5292</v>
      </c>
    </row>
    <row r="2840" customFormat="false" ht="15" hidden="false" customHeight="true" outlineLevel="0" collapsed="false">
      <c r="A2840" s="1" t="s">
        <v>5466</v>
      </c>
      <c r="B2840" s="1" t="n">
        <v>2006</v>
      </c>
      <c r="C2840" s="1" t="n">
        <v>3</v>
      </c>
      <c r="D2840" s="1" t="s">
        <v>38</v>
      </c>
      <c r="E2840" s="1" t="s">
        <v>2039</v>
      </c>
      <c r="F2840" s="1" t="n">
        <v>560</v>
      </c>
      <c r="G2840" s="1" t="n">
        <v>160</v>
      </c>
      <c r="H2840" s="2" t="n">
        <v>1930000</v>
      </c>
      <c r="I2840" s="2" t="n">
        <f aca="false">(((H2840 / 800) / IF(ISBLANK(R2840), 1000000, IF(ISNA(VLOOKUP(R2840, Mileages!$A$2:$C$34, 2, 0)), R2840, VLOOKUP(R2840, Mileages!$A$2:$C$34, 2, 0)))) + (F2840 * IF(ISBLANK(P2840), 1, P2840) * IF(ISBLANK(T2840), 0, IF(ISNA(VLOOKUP(T2840, 'Fuel Costs'!$A$2:$C$42, 2, 0)), T2840, VLOOKUP(T2840, 'Fuel Costs'!$A$2:$C$42, 2, 0))) / IF(ISBLANK(O2840), 1, O2840))) * 100</f>
        <v>112.120625</v>
      </c>
      <c r="J2840" s="2" t="n">
        <f aca="false">((H2840 / 800) / (IF(ISBLANK(S2840), 100, IF(ISNA(VLOOKUP(S2840, Lives!$A$2:$C$35, 2, 0)), S2840, VLOOKUP(S2840, Lives!$A$2:$C$35, 2, 0))) * 12) + (IF(ISBLANK(Q2840), 0, IF(ISNA(VLOOKUP(Q2840, Wages!$A$2:$C$17, 2, 0)), Q2840, VLOOKUP(Q2840, Wages!$A$2:$C$17, 2, 0))) * IF(ISBLANK(N2840), 0, IF(ISNA(VLOOKUP(N2840, Crews!$A$2:$C$28, 2, 0)), N2840, VLOOKUP(N2840, Crews!$A$2:$C$28, 2, 0))))) * 400</f>
        <v>7005.208333</v>
      </c>
      <c r="K2840" s="1"/>
      <c r="L2840" s="1" t="s">
        <v>5465</v>
      </c>
      <c r="M2840" s="1" t="n">
        <v>1</v>
      </c>
      <c r="N2840" s="1" t="s">
        <v>1512</v>
      </c>
      <c r="O2840" s="1" t="n">
        <v>1</v>
      </c>
      <c r="P2840" s="1"/>
      <c r="Q2840" s="1" t="s">
        <v>1512</v>
      </c>
      <c r="R2840" s="1" t="s">
        <v>4747</v>
      </c>
      <c r="S2840" s="1" t="s">
        <v>4747</v>
      </c>
      <c r="T2840" s="1" t="s">
        <v>5292</v>
      </c>
    </row>
    <row r="2841" customFormat="false" ht="15" hidden="false" customHeight="true" outlineLevel="0" collapsed="false">
      <c r="A2841" s="1" t="s">
        <v>5467</v>
      </c>
      <c r="B2841" s="1" t="n">
        <v>2006</v>
      </c>
      <c r="C2841" s="1" t="n">
        <v>3</v>
      </c>
      <c r="D2841" s="1" t="s">
        <v>38</v>
      </c>
      <c r="E2841" s="1" t="s">
        <v>2039</v>
      </c>
      <c r="F2841" s="1" t="n">
        <v>560</v>
      </c>
      <c r="G2841" s="1" t="n">
        <v>160</v>
      </c>
      <c r="H2841" s="2" t="n">
        <v>1930000</v>
      </c>
      <c r="I2841" s="2" t="n">
        <f aca="false">(((H2841 / 800) / IF(ISBLANK(R2841), 1000000, IF(ISNA(VLOOKUP(R2841, Mileages!$A$2:$C$34, 2, 0)), R2841, VLOOKUP(R2841, Mileages!$A$2:$C$34, 2, 0)))) + (F2841 * IF(ISBLANK(P2841), 1, P2841) * IF(ISBLANK(T2841), 0, IF(ISNA(VLOOKUP(T2841, 'Fuel Costs'!$A$2:$C$42, 2, 0)), T2841, VLOOKUP(T2841, 'Fuel Costs'!$A$2:$C$42, 2, 0))) / IF(ISBLANK(O2841), 1, O2841))) * 100</f>
        <v>112.120625</v>
      </c>
      <c r="J2841" s="2" t="n">
        <f aca="false">((H2841 / 800) / (IF(ISBLANK(S2841), 100, IF(ISNA(VLOOKUP(S2841, Lives!$A$2:$C$35, 2, 0)), S2841, VLOOKUP(S2841, Lives!$A$2:$C$35, 2, 0))) * 12) + (IF(ISBLANK(Q2841), 0, IF(ISNA(VLOOKUP(Q2841, Wages!$A$2:$C$17, 2, 0)), Q2841, VLOOKUP(Q2841, Wages!$A$2:$C$17, 2, 0))) * IF(ISBLANK(N2841), 0, IF(ISNA(VLOOKUP(N2841, Crews!$A$2:$C$28, 2, 0)), N2841, VLOOKUP(N2841, Crews!$A$2:$C$28, 2, 0))))) * 400</f>
        <v>1005.208333</v>
      </c>
      <c r="K2841" s="1"/>
      <c r="L2841" s="1" t="s">
        <v>5465</v>
      </c>
      <c r="M2841" s="1" t="n">
        <v>2</v>
      </c>
      <c r="N2841" s="1"/>
      <c r="O2841" s="1" t="n">
        <v>1</v>
      </c>
      <c r="P2841" s="1"/>
      <c r="Q2841" s="1"/>
      <c r="R2841" s="1" t="s">
        <v>4747</v>
      </c>
      <c r="S2841" s="1" t="s">
        <v>4747</v>
      </c>
      <c r="T2841" s="1" t="s">
        <v>5292</v>
      </c>
    </row>
    <row r="2842" customFormat="false" ht="15" hidden="false" customHeight="true" outlineLevel="0" collapsed="false">
      <c r="A2842" s="1" t="s">
        <v>5468</v>
      </c>
      <c r="B2842" s="1" t="n">
        <v>2006</v>
      </c>
      <c r="C2842" s="1" t="n">
        <v>5</v>
      </c>
      <c r="D2842" s="1" t="s">
        <v>21</v>
      </c>
      <c r="E2842" s="1" t="s">
        <v>2039</v>
      </c>
      <c r="F2842" s="1" t="n">
        <v>298</v>
      </c>
      <c r="G2842" s="1" t="n">
        <v>84</v>
      </c>
      <c r="H2842" s="2" t="n">
        <v>3950000</v>
      </c>
      <c r="I2842" s="2" t="n">
        <f aca="false">(((H2842 / 800) / IF(ISBLANK(R2842), 1000000, IF(ISNA(VLOOKUP(R2842, Mileages!$A$2:$C$34, 2, 0)), R2842, VLOOKUP(R2842, Mileages!$A$2:$C$34, 2, 0)))) + (F2842 * IF(ISBLANK(P2842), 1, P2842) * IF(ISBLANK(T2842), 0, IF(ISNA(VLOOKUP(T2842, 'Fuel Costs'!$A$2:$C$42, 2, 0)), T2842, VLOOKUP(T2842, 'Fuel Costs'!$A$2:$C$42, 2, 0))) / IF(ISBLANK(O2842), 1, O2842))) * 100</f>
        <v>59.846875</v>
      </c>
      <c r="J2842" s="2" t="n">
        <f aca="false">((H2842 / 800) / (IF(ISBLANK(S2842), 100, IF(ISNA(VLOOKUP(S2842, Lives!$A$2:$C$35, 2, 0)), S2842, VLOOKUP(S2842, Lives!$A$2:$C$35, 2, 0))) * 12) + (IF(ISBLANK(Q2842), 0, IF(ISNA(VLOOKUP(Q2842, Wages!$A$2:$C$17, 2, 0)), Q2842, VLOOKUP(Q2842, Wages!$A$2:$C$17, 2, 0))) * IF(ISBLANK(N2842), 0, IF(ISNA(VLOOKUP(N2842, Crews!$A$2:$C$28, 2, 0)), N2842, VLOOKUP(N2842, Crews!$A$2:$C$28, 2, 0))))) * 400</f>
        <v>10057.29167</v>
      </c>
      <c r="K2842" s="3" t="s">
        <v>5469</v>
      </c>
      <c r="L2842" s="1" t="s">
        <v>5470</v>
      </c>
      <c r="M2842" s="1" t="n">
        <v>0</v>
      </c>
      <c r="N2842" s="1" t="s">
        <v>1815</v>
      </c>
      <c r="O2842" s="1" t="n">
        <v>1</v>
      </c>
      <c r="P2842" s="1"/>
      <c r="Q2842" s="1" t="s">
        <v>1815</v>
      </c>
      <c r="R2842" s="1" t="s">
        <v>4725</v>
      </c>
      <c r="S2842" s="1" t="s">
        <v>1843</v>
      </c>
      <c r="T2842" s="1" t="s">
        <v>5292</v>
      </c>
    </row>
    <row r="2843" customFormat="false" ht="15" hidden="false" customHeight="true" outlineLevel="0" collapsed="false">
      <c r="A2843" s="1" t="s">
        <v>5471</v>
      </c>
      <c r="B2843" s="1" t="n">
        <v>2006</v>
      </c>
      <c r="C2843" s="1" t="n">
        <v>5</v>
      </c>
      <c r="D2843" s="1" t="s">
        <v>21</v>
      </c>
      <c r="E2843" s="1" t="s">
        <v>2039</v>
      </c>
      <c r="F2843" s="1" t="n">
        <v>0</v>
      </c>
      <c r="G2843" s="1" t="n">
        <v>84</v>
      </c>
      <c r="H2843" s="2" t="n">
        <v>0</v>
      </c>
      <c r="I2843" s="2" t="n">
        <f aca="false">(((H2843 / 800) / IF(ISBLANK(R2843), 1000000, IF(ISNA(VLOOKUP(R2843, Mileages!$A$2:$C$34, 2, 0)), R2843, VLOOKUP(R2843, Mileages!$A$2:$C$34, 2, 0)))) + (F2843 * IF(ISBLANK(P2843), 1, P2843) * IF(ISBLANK(T2843), 0, IF(ISNA(VLOOKUP(T2843, 'Fuel Costs'!$A$2:$C$42, 2, 0)), T2843, VLOOKUP(T2843, 'Fuel Costs'!$A$2:$C$42, 2, 0))) / IF(ISBLANK(O2843), 1, O2843))) * 100</f>
        <v>0</v>
      </c>
      <c r="J2843" s="2" t="n">
        <f aca="false">((H2843 / 800) / (IF(ISBLANK(S2843), 100, IF(ISNA(VLOOKUP(S2843, Lives!$A$2:$C$35, 2, 0)), S2843, VLOOKUP(S2843, Lives!$A$2:$C$35, 2, 0))) * 12) + (IF(ISBLANK(Q2843), 0, IF(ISNA(VLOOKUP(Q2843, Wages!$A$2:$C$17, 2, 0)), Q2843, VLOOKUP(Q2843, Wages!$A$2:$C$17, 2, 0))) * IF(ISBLANK(N2843), 0, IF(ISNA(VLOOKUP(N2843, Crews!$A$2:$C$28, 2, 0)), N2843, VLOOKUP(N2843, Crews!$A$2:$C$28, 2, 0))))) * 400</f>
        <v>0</v>
      </c>
      <c r="K2843" s="1" t="s">
        <v>5472</v>
      </c>
      <c r="L2843" s="1" t="s">
        <v>5470</v>
      </c>
      <c r="M2843" s="1" t="n">
        <v>1</v>
      </c>
      <c r="N2843" s="1"/>
      <c r="O2843" s="1"/>
      <c r="P2843" s="1"/>
      <c r="Q2843" s="1"/>
      <c r="R2843" s="1" t="s">
        <v>4730</v>
      </c>
      <c r="S2843" s="1" t="s">
        <v>3064</v>
      </c>
      <c r="T2843" s="1"/>
    </row>
    <row r="2844" customFormat="false" ht="15" hidden="false" customHeight="true" outlineLevel="0" collapsed="false">
      <c r="A2844" s="1" t="s">
        <v>5473</v>
      </c>
      <c r="B2844" s="1" t="n">
        <v>2006</v>
      </c>
      <c r="C2844" s="1" t="n">
        <v>6</v>
      </c>
      <c r="D2844" s="1" t="s">
        <v>21</v>
      </c>
      <c r="E2844" s="1" t="s">
        <v>2039</v>
      </c>
      <c r="F2844" s="1" t="n">
        <v>166</v>
      </c>
      <c r="G2844" s="1" t="n">
        <v>75</v>
      </c>
      <c r="H2844" s="2" t="n">
        <v>5100000</v>
      </c>
      <c r="I2844" s="2" t="n">
        <f aca="false">(((H2844 / 800) / IF(ISBLANK(R2844), 1000000, IF(ISNA(VLOOKUP(R2844, Mileages!$A$2:$C$34, 2, 0)), R2844, VLOOKUP(R2844, Mileages!$A$2:$C$34, 2, 0)))) + (F2844 * IF(ISBLANK(P2844), 1, P2844) * IF(ISBLANK(T2844), 0, IF(ISNA(VLOOKUP(T2844, 'Fuel Costs'!$A$2:$C$42, 2, 0)), T2844, VLOOKUP(T2844, 'Fuel Costs'!$A$2:$C$42, 2, 0))) / IF(ISBLANK(O2844), 1, O2844))) * 100</f>
        <v>33.51875</v>
      </c>
      <c r="J2844" s="2" t="n">
        <f aca="false">((H2844 / 800) / (IF(ISBLANK(S2844), 100, IF(ISNA(VLOOKUP(S2844, Lives!$A$2:$C$35, 2, 0)), S2844, VLOOKUP(S2844, Lives!$A$2:$C$35, 2, 0))) * 12) + (IF(ISBLANK(Q2844), 0, IF(ISNA(VLOOKUP(Q2844, Wages!$A$2:$C$17, 2, 0)), Q2844, VLOOKUP(Q2844, Wages!$A$2:$C$17, 2, 0))) * IF(ISBLANK(N2844), 0, IF(ISNA(VLOOKUP(N2844, Crews!$A$2:$C$28, 2, 0)), N2844, VLOOKUP(N2844, Crews!$A$2:$C$28, 2, 0))))) * 400</f>
        <v>10656.25</v>
      </c>
      <c r="K2844" s="3" t="s">
        <v>5474</v>
      </c>
      <c r="L2844" s="1" t="s">
        <v>5475</v>
      </c>
      <c r="M2844" s="1" t="n">
        <v>0</v>
      </c>
      <c r="N2844" s="1" t="s">
        <v>1815</v>
      </c>
      <c r="O2844" s="1" t="n">
        <v>1</v>
      </c>
      <c r="P2844" s="1"/>
      <c r="Q2844" s="1" t="s">
        <v>1815</v>
      </c>
      <c r="R2844" s="1" t="s">
        <v>4725</v>
      </c>
      <c r="S2844" s="1" t="s">
        <v>1843</v>
      </c>
      <c r="T2844" s="1" t="s">
        <v>5292</v>
      </c>
    </row>
    <row r="2845" customFormat="false" ht="15" hidden="false" customHeight="true" outlineLevel="0" collapsed="false">
      <c r="A2845" s="1" t="s">
        <v>5476</v>
      </c>
      <c r="B2845" s="1" t="n">
        <v>2006</v>
      </c>
      <c r="C2845" s="1" t="n">
        <v>6</v>
      </c>
      <c r="D2845" s="1" t="s">
        <v>38</v>
      </c>
      <c r="E2845" s="1" t="s">
        <v>1346</v>
      </c>
      <c r="F2845" s="1" t="n">
        <v>750</v>
      </c>
      <c r="G2845" s="1" t="n">
        <v>177</v>
      </c>
      <c r="H2845" s="2" t="n">
        <v>1216125</v>
      </c>
      <c r="I2845" s="2" t="n">
        <f aca="false">(((H2845 / 800) / IF(ISBLANK(R2845), 1000000, IF(ISNA(VLOOKUP(R2845, Mileages!$A$2:$C$34, 2, 0)), R2845, VLOOKUP(R2845, Mileages!$A$2:$C$34, 2, 0)))) + (F2845 * IF(ISBLANK(P2845), 1, P2845) * IF(ISBLANK(T2845), 0, IF(ISNA(VLOOKUP(T2845, 'Fuel Costs'!$A$2:$C$42, 2, 0)), T2845, VLOOKUP(T2845, 'Fuel Costs'!$A$2:$C$42, 2, 0))) / IF(ISBLANK(O2845), 1, O2845))) * 100</f>
        <v>112.5760078</v>
      </c>
      <c r="J2845" s="2" t="n">
        <f aca="false">((H2845 / 800) / (IF(ISBLANK(S2845), 100, IF(ISNA(VLOOKUP(S2845, Lives!$A$2:$C$35, 2, 0)), S2845, VLOOKUP(S2845, Lives!$A$2:$C$35, 2, 0))) * 12) + (IF(ISBLANK(Q2845), 0, IF(ISNA(VLOOKUP(Q2845, Wages!$A$2:$C$17, 2, 0)), Q2845, VLOOKUP(Q2845, Wages!$A$2:$C$17, 2, 0))) * IF(ISBLANK(N2845), 0, IF(ISNA(VLOOKUP(N2845, Crews!$A$2:$C$28, 2, 0)), N2845, VLOOKUP(N2845, Crews!$A$2:$C$28, 2, 0))))) * 400</f>
        <v>7013.4375</v>
      </c>
      <c r="K2845" s="1" t="s">
        <v>5477</v>
      </c>
      <c r="L2845" s="1" t="s">
        <v>5478</v>
      </c>
      <c r="M2845" s="1" t="n">
        <v>0</v>
      </c>
      <c r="N2845" s="1" t="s">
        <v>1512</v>
      </c>
      <c r="O2845" s="1" t="n">
        <v>1</v>
      </c>
      <c r="P2845" s="1"/>
      <c r="Q2845" s="1" t="str">
        <f aca="false">IF(ISBLANK('Pak128 Britain In'!$N2845),,'Pak128 Britain In'!$N2845)</f>
        <v>ElectricMultipleUnit</v>
      </c>
      <c r="R2845" s="1" t="s">
        <v>4696</v>
      </c>
      <c r="S2845" s="1" t="s">
        <v>1350</v>
      </c>
      <c r="T2845" s="1" t="s">
        <v>5303</v>
      </c>
    </row>
    <row r="2846" customFormat="false" ht="15" hidden="false" customHeight="true" outlineLevel="0" collapsed="false">
      <c r="A2846" s="1" t="s">
        <v>5479</v>
      </c>
      <c r="B2846" s="1" t="n">
        <v>2006</v>
      </c>
      <c r="C2846" s="1" t="n">
        <v>6</v>
      </c>
      <c r="D2846" s="1" t="s">
        <v>38</v>
      </c>
      <c r="E2846" s="1" t="s">
        <v>1346</v>
      </c>
      <c r="F2846" s="1" t="n">
        <v>0</v>
      </c>
      <c r="G2846" s="1" t="n">
        <v>177</v>
      </c>
      <c r="H2846" s="2" t="n">
        <v>2183965</v>
      </c>
      <c r="I2846" s="2" t="n">
        <f aca="false">(((H2846 / 800) / IF(ISBLANK(R2846), 1000000, IF(ISNA(VLOOKUP(R2846, Mileages!$A$2:$C$34, 2, 0)), R2846, VLOOKUP(R2846, Mileages!$A$2:$C$34, 2, 0)))) + (F2846 * IF(ISBLANK(P2846), 1, P2846) * IF(ISBLANK(T2846), 0, IF(ISNA(VLOOKUP(T2846, 'Fuel Costs'!$A$2:$C$42, 2, 0)), T2846, VLOOKUP(T2846, 'Fuel Costs'!$A$2:$C$42, 2, 0))) / IF(ISBLANK(O2846), 1, O2846))) * 100</f>
        <v>0.1137481771</v>
      </c>
      <c r="J2846" s="2" t="n">
        <f aca="false">((H2846 / 800) / (IF(ISBLANK(S2846), 100, IF(ISNA(VLOOKUP(S2846, Lives!$A$2:$C$35, 2, 0)), S2846, VLOOKUP(S2846, Lives!$A$2:$C$35, 2, 0))) * 12) + (IF(ISBLANK(Q2846), 0, IF(ISNA(VLOOKUP(Q2846, Wages!$A$2:$C$17, 2, 0)), Q2846, VLOOKUP(Q2846, Wages!$A$2:$C$17, 2, 0))) * IF(ISBLANK(N2846), 0, IF(ISNA(VLOOKUP(N2846, Crews!$A$2:$C$28, 2, 0)), N2846, VLOOKUP(N2846, Crews!$A$2:$C$28, 2, 0))))) * 400</f>
        <v>4549.927083</v>
      </c>
      <c r="K2846" s="1"/>
      <c r="L2846" s="1" t="s">
        <v>5478</v>
      </c>
      <c r="M2846" s="1" t="n">
        <v>1</v>
      </c>
      <c r="N2846" s="1"/>
      <c r="O2846" s="1"/>
      <c r="P2846" s="1"/>
      <c r="Q2846" s="1"/>
      <c r="R2846" s="1" t="s">
        <v>4419</v>
      </c>
      <c r="S2846" s="1" t="s">
        <v>4470</v>
      </c>
      <c r="T2846" s="1"/>
    </row>
    <row r="2847" customFormat="false" ht="15" hidden="false" customHeight="true" outlineLevel="0" collapsed="false">
      <c r="A2847" s="1" t="s">
        <v>5480</v>
      </c>
      <c r="B2847" s="1" t="n">
        <v>2006</v>
      </c>
      <c r="C2847" s="1" t="n">
        <v>6</v>
      </c>
      <c r="D2847" s="1" t="s">
        <v>38</v>
      </c>
      <c r="E2847" s="1" t="s">
        <v>1346</v>
      </c>
      <c r="F2847" s="1" t="n">
        <v>0</v>
      </c>
      <c r="G2847" s="1" t="n">
        <v>177</v>
      </c>
      <c r="H2847" s="2" t="n">
        <v>2183965</v>
      </c>
      <c r="I2847" s="2" t="n">
        <f aca="false">(((H2847 / 800) / IF(ISBLANK(R2847), 1000000, IF(ISNA(VLOOKUP(R2847, Mileages!$A$2:$C$34, 2, 0)), R2847, VLOOKUP(R2847, Mileages!$A$2:$C$34, 2, 0)))) + (F2847 * IF(ISBLANK(P2847), 1, P2847) * IF(ISBLANK(T2847), 0, IF(ISNA(VLOOKUP(T2847, 'Fuel Costs'!$A$2:$C$42, 2, 0)), T2847, VLOOKUP(T2847, 'Fuel Costs'!$A$2:$C$42, 2, 0))) / IF(ISBLANK(O2847), 1, O2847))) * 100</f>
        <v>0.1137481771</v>
      </c>
      <c r="J2847" s="2" t="n">
        <f aca="false">((H2847 / 800) / (IF(ISBLANK(S2847), 100, IF(ISNA(VLOOKUP(S2847, Lives!$A$2:$C$35, 2, 0)), S2847, VLOOKUP(S2847, Lives!$A$2:$C$35, 2, 0))) * 12) + (IF(ISBLANK(Q2847), 0, IF(ISNA(VLOOKUP(Q2847, Wages!$A$2:$C$17, 2, 0)), Q2847, VLOOKUP(Q2847, Wages!$A$2:$C$17, 2, 0))) * IF(ISBLANK(N2847), 0, IF(ISNA(VLOOKUP(N2847, Crews!$A$2:$C$28, 2, 0)), N2847, VLOOKUP(N2847, Crews!$A$2:$C$28, 2, 0))))) * 400</f>
        <v>4549.927083</v>
      </c>
      <c r="K2847" s="1"/>
      <c r="L2847" s="1" t="s">
        <v>5478</v>
      </c>
      <c r="M2847" s="1" t="n">
        <v>2</v>
      </c>
      <c r="N2847" s="1"/>
      <c r="O2847" s="1"/>
      <c r="P2847" s="1"/>
      <c r="Q2847" s="1"/>
      <c r="R2847" s="1" t="s">
        <v>4419</v>
      </c>
      <c r="S2847" s="1" t="s">
        <v>4470</v>
      </c>
      <c r="T2847" s="1"/>
    </row>
    <row r="2848" customFormat="false" ht="15" hidden="false" customHeight="true" outlineLevel="0" collapsed="false">
      <c r="A2848" s="1" t="s">
        <v>5481</v>
      </c>
      <c r="B2848" s="1" t="n">
        <v>2006</v>
      </c>
      <c r="C2848" s="1" t="n">
        <v>6</v>
      </c>
      <c r="D2848" s="1" t="s">
        <v>38</v>
      </c>
      <c r="E2848" s="1" t="s">
        <v>1346</v>
      </c>
      <c r="F2848" s="1" t="n">
        <v>750</v>
      </c>
      <c r="G2848" s="1" t="n">
        <v>177</v>
      </c>
      <c r="H2848" s="2" t="n">
        <v>1216125</v>
      </c>
      <c r="I2848" s="2" t="n">
        <f aca="false">(((H2848 / 800) / IF(ISBLANK(R2848), 1000000, IF(ISNA(VLOOKUP(R2848, Mileages!$A$2:$C$34, 2, 0)), R2848, VLOOKUP(R2848, Mileages!$A$2:$C$34, 2, 0)))) + (F2848 * IF(ISBLANK(P2848), 1, P2848) * IF(ISBLANK(T2848), 0, IF(ISNA(VLOOKUP(T2848, 'Fuel Costs'!$A$2:$C$42, 2, 0)), T2848, VLOOKUP(T2848, 'Fuel Costs'!$A$2:$C$42, 2, 0))) / IF(ISBLANK(O2848), 1, O2848))) * 100</f>
        <v>112.5760078</v>
      </c>
      <c r="J2848" s="2" t="n">
        <f aca="false">((H2848 / 800) / (IF(ISBLANK(S2848), 100, IF(ISNA(VLOOKUP(S2848, Lives!$A$2:$C$35, 2, 0)), S2848, VLOOKUP(S2848, Lives!$A$2:$C$35, 2, 0))) * 12) + (IF(ISBLANK(Q2848), 0, IF(ISNA(VLOOKUP(Q2848, Wages!$A$2:$C$17, 2, 0)), Q2848, VLOOKUP(Q2848, Wages!$A$2:$C$17, 2, 0))) * IF(ISBLANK(N2848), 0, IF(ISNA(VLOOKUP(N2848, Crews!$A$2:$C$28, 2, 0)), N2848, VLOOKUP(N2848, Crews!$A$2:$C$28, 2, 0))))) * 400</f>
        <v>7013.4375</v>
      </c>
      <c r="K2848" s="1"/>
      <c r="L2848" s="1" t="s">
        <v>5478</v>
      </c>
      <c r="M2848" s="1" t="n">
        <v>3</v>
      </c>
      <c r="N2848" s="1" t="s">
        <v>1512</v>
      </c>
      <c r="O2848" s="1" t="n">
        <v>1</v>
      </c>
      <c r="P2848" s="1"/>
      <c r="Q2848" s="1" t="str">
        <f aca="false">IF(ISBLANK('Pak128 Britain In'!$N2848),,'Pak128 Britain In'!$N2848)</f>
        <v>ElectricMultipleUnit</v>
      </c>
      <c r="R2848" s="1" t="s">
        <v>4696</v>
      </c>
      <c r="S2848" s="1" t="s">
        <v>1350</v>
      </c>
      <c r="T2848" s="1" t="s">
        <v>5303</v>
      </c>
    </row>
    <row r="2849" customFormat="false" ht="15" hidden="false" customHeight="true" outlineLevel="0" collapsed="false">
      <c r="A2849" s="1" t="s">
        <v>5482</v>
      </c>
      <c r="B2849" s="1" t="n">
        <v>2006</v>
      </c>
      <c r="C2849" s="1" t="n">
        <v>8</v>
      </c>
      <c r="D2849" s="1" t="s">
        <v>21</v>
      </c>
      <c r="E2849" s="1" t="s">
        <v>2039</v>
      </c>
      <c r="F2849" s="1" t="n">
        <v>103</v>
      </c>
      <c r="G2849" s="1" t="n">
        <v>76</v>
      </c>
      <c r="H2849" s="2" t="n">
        <v>4400000</v>
      </c>
      <c r="I2849" s="2" t="n">
        <f aca="false">(((H2849 / 800) / IF(ISBLANK(R2849), 1000000, IF(ISNA(VLOOKUP(R2849, Mileages!$A$2:$C$34, 2, 0)), R2849, VLOOKUP(R2849, Mileages!$A$2:$C$34, 2, 0)))) + (F2849 * IF(ISBLANK(P2849), 1, P2849) * IF(ISBLANK(T2849), 0, IF(ISNA(VLOOKUP(T2849, 'Fuel Costs'!$A$2:$C$42, 2, 0)), T2849, VLOOKUP(T2849, 'Fuel Costs'!$A$2:$C$42, 2, 0))) / IF(ISBLANK(O2849), 1, O2849))) * 100</f>
        <v>20.875</v>
      </c>
      <c r="J2849" s="2" t="n">
        <f aca="false">((H2849 / 800) / (IF(ISBLANK(S2849), 100, IF(ISNA(VLOOKUP(S2849, Lives!$A$2:$C$35, 2, 0)), S2849, VLOOKUP(S2849, Lives!$A$2:$C$35, 2, 0))) * 12) + (IF(ISBLANK(Q2849), 0, IF(ISNA(VLOOKUP(Q2849, Wages!$A$2:$C$17, 2, 0)), Q2849, VLOOKUP(Q2849, Wages!$A$2:$C$17, 2, 0))) * IF(ISBLANK(N2849), 0, IF(ISNA(VLOOKUP(N2849, Crews!$A$2:$C$28, 2, 0)), N2849, VLOOKUP(N2849, Crews!$A$2:$C$28, 2, 0))))) * 400</f>
        <v>10291.66667</v>
      </c>
      <c r="K2849" s="3" t="s">
        <v>5483</v>
      </c>
      <c r="L2849" s="1" t="s">
        <v>5484</v>
      </c>
      <c r="M2849" s="1" t="n">
        <v>0</v>
      </c>
      <c r="N2849" s="1" t="s">
        <v>1815</v>
      </c>
      <c r="O2849" s="1" t="n">
        <v>1</v>
      </c>
      <c r="P2849" s="1"/>
      <c r="Q2849" s="1" t="s">
        <v>1815</v>
      </c>
      <c r="R2849" s="1" t="s">
        <v>4725</v>
      </c>
      <c r="S2849" s="1" t="s">
        <v>1843</v>
      </c>
      <c r="T2849" s="1" t="s">
        <v>5292</v>
      </c>
    </row>
    <row r="2850" customFormat="false" ht="15" hidden="false" customHeight="true" outlineLevel="0" collapsed="false">
      <c r="A2850" s="1" t="s">
        <v>5485</v>
      </c>
      <c r="B2850" s="1" t="n">
        <v>2006</v>
      </c>
      <c r="C2850" s="1" t="n">
        <v>8</v>
      </c>
      <c r="D2850" s="1" t="s">
        <v>21</v>
      </c>
      <c r="E2850" s="1" t="s">
        <v>2039</v>
      </c>
      <c r="F2850" s="1" t="n">
        <v>103</v>
      </c>
      <c r="G2850" s="1" t="n">
        <v>76</v>
      </c>
      <c r="H2850" s="2" t="n">
        <v>4300000</v>
      </c>
      <c r="I2850" s="2" t="n">
        <f aca="false">(((H2850 / 800) / IF(ISBLANK(R2850), 1000000, IF(ISNA(VLOOKUP(R2850, Mileages!$A$2:$C$34, 2, 0)), R2850, VLOOKUP(R2850, Mileages!$A$2:$C$34, 2, 0)))) + (F2850 * IF(ISBLANK(P2850), 1, P2850) * IF(ISBLANK(T2850), 0, IF(ISNA(VLOOKUP(T2850, 'Fuel Costs'!$A$2:$C$42, 2, 0)), T2850, VLOOKUP(T2850, 'Fuel Costs'!$A$2:$C$42, 2, 0))) / IF(ISBLANK(O2850), 1, O2850))) * 100</f>
        <v>20.86875</v>
      </c>
      <c r="J2850" s="2" t="n">
        <f aca="false">((H2850 / 800) / (IF(ISBLANK(S2850), 100, IF(ISNA(VLOOKUP(S2850, Lives!$A$2:$C$35, 2, 0)), S2850, VLOOKUP(S2850, Lives!$A$2:$C$35, 2, 0))) * 12) + (IF(ISBLANK(Q2850), 0, IF(ISNA(VLOOKUP(Q2850, Wages!$A$2:$C$17, 2, 0)), Q2850, VLOOKUP(Q2850, Wages!$A$2:$C$17, 2, 0))) * IF(ISBLANK(N2850), 0, IF(ISNA(VLOOKUP(N2850, Crews!$A$2:$C$28, 2, 0)), N2850, VLOOKUP(N2850, Crews!$A$2:$C$28, 2, 0))))) * 400</f>
        <v>10239.58333</v>
      </c>
      <c r="K2850" s="3" t="s">
        <v>5486</v>
      </c>
      <c r="L2850" s="1" t="s">
        <v>5487</v>
      </c>
      <c r="M2850" s="1" t="n">
        <v>0</v>
      </c>
      <c r="N2850" s="1" t="s">
        <v>1815</v>
      </c>
      <c r="O2850" s="1" t="n">
        <v>1</v>
      </c>
      <c r="P2850" s="1"/>
      <c r="Q2850" s="1" t="s">
        <v>1815</v>
      </c>
      <c r="R2850" s="1" t="s">
        <v>4725</v>
      </c>
      <c r="S2850" s="1" t="s">
        <v>1843</v>
      </c>
      <c r="T2850" s="1" t="s">
        <v>5292</v>
      </c>
    </row>
    <row r="2851" customFormat="false" ht="15" hidden="false" customHeight="true" outlineLevel="0" collapsed="false">
      <c r="A2851" s="1" t="s">
        <v>5488</v>
      </c>
      <c r="B2851" s="1" t="n">
        <v>2006</v>
      </c>
      <c r="C2851" s="1" t="n">
        <v>8</v>
      </c>
      <c r="D2851" s="1" t="s">
        <v>21</v>
      </c>
      <c r="E2851" s="1" t="s">
        <v>2039</v>
      </c>
      <c r="F2851" s="1" t="n">
        <v>103</v>
      </c>
      <c r="G2851" s="1" t="n">
        <v>76</v>
      </c>
      <c r="H2851" s="2" t="n">
        <v>4560000</v>
      </c>
      <c r="I2851" s="2" t="n">
        <f aca="false">(((H2851 / 800) / IF(ISBLANK(R2851), 1000000, IF(ISNA(VLOOKUP(R2851, Mileages!$A$2:$C$34, 2, 0)), R2851, VLOOKUP(R2851, Mileages!$A$2:$C$34, 2, 0)))) + (F2851 * IF(ISBLANK(P2851), 1, P2851) * IF(ISBLANK(T2851), 0, IF(ISNA(VLOOKUP(T2851, 'Fuel Costs'!$A$2:$C$42, 2, 0)), T2851, VLOOKUP(T2851, 'Fuel Costs'!$A$2:$C$42, 2, 0))) / IF(ISBLANK(O2851), 1, O2851))) * 100</f>
        <v>20.98</v>
      </c>
      <c r="J2851" s="2" t="n">
        <f aca="false">((H2851 / 800) / (IF(ISBLANK(S2851), 100, IF(ISNA(VLOOKUP(S2851, Lives!$A$2:$C$35, 2, 0)), S2851, VLOOKUP(S2851, Lives!$A$2:$C$35, 2, 0))) * 12) + (IF(ISBLANK(Q2851), 0, IF(ISNA(VLOOKUP(Q2851, Wages!$A$2:$C$17, 2, 0)), Q2851, VLOOKUP(Q2851, Wages!$A$2:$C$17, 2, 0))) * IF(ISBLANK(N2851), 0, IF(ISNA(VLOOKUP(N2851, Crews!$A$2:$C$28, 2, 0)), N2851, VLOOKUP(N2851, Crews!$A$2:$C$28, 2, 0))))) * 400</f>
        <v>10750</v>
      </c>
      <c r="K2851" s="3" t="s">
        <v>5489</v>
      </c>
      <c r="L2851" s="1" t="s">
        <v>5490</v>
      </c>
      <c r="M2851" s="1" t="n">
        <v>0</v>
      </c>
      <c r="N2851" s="1" t="s">
        <v>3064</v>
      </c>
      <c r="O2851" s="1" t="n">
        <v>1</v>
      </c>
      <c r="P2851" s="1"/>
      <c r="Q2851" s="1" t="s">
        <v>3064</v>
      </c>
      <c r="R2851" s="1" t="s">
        <v>4730</v>
      </c>
      <c r="S2851" s="1" t="s">
        <v>3064</v>
      </c>
      <c r="T2851" s="1" t="s">
        <v>5292</v>
      </c>
    </row>
    <row r="2852" customFormat="false" ht="15" hidden="false" customHeight="true" outlineLevel="0" collapsed="false">
      <c r="A2852" s="1" t="s">
        <v>5491</v>
      </c>
      <c r="B2852" s="1" t="n">
        <v>2006</v>
      </c>
      <c r="C2852" s="1" t="n">
        <v>8</v>
      </c>
      <c r="D2852" s="1" t="s">
        <v>21</v>
      </c>
      <c r="E2852" s="1" t="s">
        <v>2039</v>
      </c>
      <c r="F2852" s="1" t="n">
        <v>103</v>
      </c>
      <c r="G2852" s="1" t="n">
        <v>76</v>
      </c>
      <c r="H2852" s="2" t="n">
        <v>4500000</v>
      </c>
      <c r="I2852" s="2" t="n">
        <f aca="false">(((H2852 / 800) / IF(ISBLANK(R2852), 1000000, IF(ISNA(VLOOKUP(R2852, Mileages!$A$2:$C$34, 2, 0)), R2852, VLOOKUP(R2852, Mileages!$A$2:$C$34, 2, 0)))) + (F2852 * IF(ISBLANK(P2852), 1, P2852) * IF(ISBLANK(T2852), 0, IF(ISNA(VLOOKUP(T2852, 'Fuel Costs'!$A$2:$C$42, 2, 0)), T2852, VLOOKUP(T2852, 'Fuel Costs'!$A$2:$C$42, 2, 0))) / IF(ISBLANK(O2852), 1, O2852))) * 100</f>
        <v>20.975</v>
      </c>
      <c r="J2852" s="2" t="n">
        <f aca="false">((H2852 / 800) / (IF(ISBLANK(S2852), 100, IF(ISNA(VLOOKUP(S2852, Lives!$A$2:$C$35, 2, 0)), S2852, VLOOKUP(S2852, Lives!$A$2:$C$35, 2, 0))) * 12) + (IF(ISBLANK(Q2852), 0, IF(ISNA(VLOOKUP(Q2852, Wages!$A$2:$C$17, 2, 0)), Q2852, VLOOKUP(Q2852, Wages!$A$2:$C$17, 2, 0))) * IF(ISBLANK(N2852), 0, IF(ISNA(VLOOKUP(N2852, Crews!$A$2:$C$28, 2, 0)), N2852, VLOOKUP(N2852, Crews!$A$2:$C$28, 2, 0))))) * 400</f>
        <v>10687.5</v>
      </c>
      <c r="K2852" s="3" t="s">
        <v>5492</v>
      </c>
      <c r="L2852" s="1" t="s">
        <v>5490</v>
      </c>
      <c r="M2852" s="1" t="n">
        <v>1</v>
      </c>
      <c r="N2852" s="1" t="s">
        <v>3064</v>
      </c>
      <c r="O2852" s="1" t="n">
        <v>1</v>
      </c>
      <c r="P2852" s="1"/>
      <c r="Q2852" s="1" t="s">
        <v>3064</v>
      </c>
      <c r="R2852" s="1" t="s">
        <v>4730</v>
      </c>
      <c r="S2852" s="1" t="s">
        <v>3064</v>
      </c>
      <c r="T2852" s="1" t="s">
        <v>5292</v>
      </c>
    </row>
    <row r="2853" customFormat="false" ht="15" hidden="false" customHeight="true" outlineLevel="0" collapsed="false">
      <c r="A2853" s="1" t="s">
        <v>5493</v>
      </c>
      <c r="B2853" s="1" t="n">
        <v>2007</v>
      </c>
      <c r="C2853" s="1" t="n">
        <v>4</v>
      </c>
      <c r="D2853" s="1" t="s">
        <v>38</v>
      </c>
      <c r="E2853" s="1" t="s">
        <v>1346</v>
      </c>
      <c r="F2853" s="1" t="n">
        <v>150</v>
      </c>
      <c r="G2853" s="1" t="n">
        <v>85</v>
      </c>
      <c r="H2853" s="2" t="n">
        <v>650000</v>
      </c>
      <c r="I2853" s="2" t="n">
        <f aca="false">(((H2853 / 800) / IF(ISBLANK(R2853), 1000000, IF(ISNA(VLOOKUP(R2853, Mileages!$A$2:$C$34, 2, 0)), R2853, VLOOKUP(R2853, Mileages!$A$2:$C$34, 2, 0)))) + (F2853 * IF(ISBLANK(P2853), 1, P2853) * IF(ISBLANK(T2853), 0, IF(ISNA(VLOOKUP(T2853, 'Fuel Costs'!$A$2:$C$42, 2, 0)), T2853, VLOOKUP(T2853, 'Fuel Costs'!$A$2:$C$42, 2, 0))) / IF(ISBLANK(O2853), 1, O2853))) * 100</f>
        <v>22.540625</v>
      </c>
      <c r="J2853" s="2" t="n">
        <f aca="false">((H2853 / 800) / (IF(ISBLANK(S2853), 100, IF(ISNA(VLOOKUP(S2853, Lives!$A$2:$C$35, 2, 0)), S2853, VLOOKUP(S2853, Lives!$A$2:$C$35, 2, 0))) * 12) + (IF(ISBLANK(Q2853), 0, IF(ISNA(VLOOKUP(Q2853, Wages!$A$2:$C$17, 2, 0)), Q2853, VLOOKUP(Q2853, Wages!$A$2:$C$17, 2, 0))) * IF(ISBLANK(N2853), 0, IF(ISNA(VLOOKUP(N2853, Crews!$A$2:$C$28, 2, 0)), N2853, VLOOKUP(N2853, Crews!$A$2:$C$28, 2, 0))))) * 400</f>
        <v>6541.666667</v>
      </c>
      <c r="K2853" s="3" t="s">
        <v>5494</v>
      </c>
      <c r="L2853" s="1" t="s">
        <v>5495</v>
      </c>
      <c r="M2853" s="1" t="n">
        <v>0</v>
      </c>
      <c r="N2853" s="1" t="s">
        <v>1512</v>
      </c>
      <c r="O2853" s="1" t="n">
        <v>1</v>
      </c>
      <c r="P2853" s="1"/>
      <c r="Q2853" s="1" t="str">
        <f aca="false">IF(ISBLANK('Pak128 Britain In'!$N2853),,'Pak128 Britain In'!$N2853)</f>
        <v>ElectricMultipleUnit</v>
      </c>
      <c r="R2853" s="1" t="s">
        <v>4696</v>
      </c>
      <c r="S2853" s="1" t="s">
        <v>1350</v>
      </c>
      <c r="T2853" s="1" t="s">
        <v>5303</v>
      </c>
    </row>
    <row r="2854" customFormat="false" ht="15" hidden="false" customHeight="true" outlineLevel="0" collapsed="false">
      <c r="A2854" s="1" t="s">
        <v>5496</v>
      </c>
      <c r="B2854" s="1" t="n">
        <v>2007</v>
      </c>
      <c r="C2854" s="1" t="n">
        <v>4</v>
      </c>
      <c r="D2854" s="1" t="s">
        <v>38</v>
      </c>
      <c r="E2854" s="1" t="s">
        <v>1346</v>
      </c>
      <c r="F2854" s="1" t="n">
        <v>150</v>
      </c>
      <c r="G2854" s="1" t="n">
        <v>85</v>
      </c>
      <c r="H2854" s="2" t="n">
        <v>650000</v>
      </c>
      <c r="I2854" s="2" t="n">
        <f aca="false">(((H2854 / 800) / IF(ISBLANK(R2854), 1000000, IF(ISNA(VLOOKUP(R2854, Mileages!$A$2:$C$34, 2, 0)), R2854, VLOOKUP(R2854, Mileages!$A$2:$C$34, 2, 0)))) + (F2854 * IF(ISBLANK(P2854), 1, P2854) * IF(ISBLANK(T2854), 0, IF(ISNA(VLOOKUP(T2854, 'Fuel Costs'!$A$2:$C$42, 2, 0)), T2854, VLOOKUP(T2854, 'Fuel Costs'!$A$2:$C$42, 2, 0))) / IF(ISBLANK(O2854), 1, O2854))) * 100</f>
        <v>22.540625</v>
      </c>
      <c r="J2854" s="2" t="n">
        <f aca="false">((H2854 / 800) / (IF(ISBLANK(S2854), 100, IF(ISNA(VLOOKUP(S2854, Lives!$A$2:$C$35, 2, 0)), S2854, VLOOKUP(S2854, Lives!$A$2:$C$35, 2, 0))) * 12) + (IF(ISBLANK(Q2854), 0, IF(ISNA(VLOOKUP(Q2854, Wages!$A$2:$C$17, 2, 0)), Q2854, VLOOKUP(Q2854, Wages!$A$2:$C$17, 2, 0))) * IF(ISBLANK(N2854), 0, IF(ISNA(VLOOKUP(N2854, Crews!$A$2:$C$28, 2, 0)), N2854, VLOOKUP(N2854, Crews!$A$2:$C$28, 2, 0))))) * 400</f>
        <v>6541.666667</v>
      </c>
      <c r="K2854" s="3" t="s">
        <v>5494</v>
      </c>
      <c r="L2854" s="1" t="s">
        <v>5495</v>
      </c>
      <c r="M2854" s="1" t="n">
        <v>1</v>
      </c>
      <c r="N2854" s="1" t="s">
        <v>1512</v>
      </c>
      <c r="O2854" s="1" t="n">
        <v>1</v>
      </c>
      <c r="P2854" s="1"/>
      <c r="Q2854" s="1" t="str">
        <f aca="false">IF(ISBLANK('Pak128 Britain In'!$N2854),,'Pak128 Britain In'!$N2854)</f>
        <v>ElectricMultipleUnit</v>
      </c>
      <c r="R2854" s="1" t="s">
        <v>4696</v>
      </c>
      <c r="S2854" s="1" t="s">
        <v>1350</v>
      </c>
      <c r="T2854" s="1" t="s">
        <v>5303</v>
      </c>
    </row>
    <row r="2855" customFormat="false" ht="15" hidden="false" customHeight="true" outlineLevel="0" collapsed="false">
      <c r="A2855" s="1" t="s">
        <v>5497</v>
      </c>
      <c r="B2855" s="1" t="n">
        <v>2007</v>
      </c>
      <c r="C2855" s="1" t="n">
        <v>6</v>
      </c>
      <c r="D2855" s="1" t="s">
        <v>29</v>
      </c>
      <c r="E2855" s="1" t="s">
        <v>2039</v>
      </c>
      <c r="F2855" s="1" t="n">
        <v>1200</v>
      </c>
      <c r="G2855" s="1" t="n">
        <v>20</v>
      </c>
      <c r="H2855" s="2" t="n">
        <v>114000000</v>
      </c>
      <c r="I2855" s="2" t="n">
        <f aca="false">(((H2855 / 800) / IF(ISBLANK(R2855), 1000000, IF(ISNA(VLOOKUP(R2855, Mileages!$A$2:$C$34, 2, 0)), R2855, VLOOKUP(R2855, Mileages!$A$2:$C$34, 2, 0)))) + (F2855 * IF(ISBLANK(P2855), 1, P2855) * IF(ISBLANK(T2855), 0, IF(ISNA(VLOOKUP(T2855, 'Fuel Costs'!$A$2:$C$42, 2, 0)), T2855, VLOOKUP(T2855, 'Fuel Costs'!$A$2:$C$42, 2, 0))) / IF(ISBLANK(O2855), 1, O2855))) * 100</f>
        <v>38.375</v>
      </c>
      <c r="J2855" s="2" t="n">
        <f aca="false">((H2855 / 800) / (IF(ISBLANK(S2855), 100, IF(ISNA(VLOOKUP(S2855, Lives!$A$2:$C$35, 2, 0)), S2855, VLOOKUP(S2855, Lives!$A$2:$C$35, 2, 0))) * 12) + (IF(ISBLANK(Q2855), 0, IF(ISNA(VLOOKUP(Q2855, Wages!$A$2:$C$17, 2, 0)), Q2855, VLOOKUP(Q2855, Wages!$A$2:$C$17, 2, 0))) * IF(ISBLANK(N2855), 0, IF(ISNA(VLOOKUP(N2855, Crews!$A$2:$C$28, 2, 0)), N2855, VLOOKUP(N2855, Crews!$A$2:$C$28, 2, 0))))) * 400</f>
        <v>247500</v>
      </c>
      <c r="K2855" s="1" t="s">
        <v>4489</v>
      </c>
      <c r="L2855" s="1" t="s">
        <v>5498</v>
      </c>
      <c r="M2855" s="1" t="n">
        <v>0</v>
      </c>
      <c r="N2855" s="1" t="s">
        <v>323</v>
      </c>
      <c r="O2855" s="1" t="n">
        <v>1</v>
      </c>
      <c r="P2855" s="1" t="n">
        <v>0.2</v>
      </c>
      <c r="Q2855" s="1" t="s">
        <v>34</v>
      </c>
      <c r="R2855" s="1" t="s">
        <v>3933</v>
      </c>
      <c r="S2855" s="1" t="s">
        <v>574</v>
      </c>
      <c r="T2855" s="1" t="s">
        <v>5499</v>
      </c>
    </row>
    <row r="2856" customFormat="false" ht="15" hidden="false" customHeight="true" outlineLevel="0" collapsed="false">
      <c r="A2856" s="1" t="s">
        <v>5500</v>
      </c>
      <c r="B2856" s="1" t="n">
        <v>2007</v>
      </c>
      <c r="C2856" s="1" t="n">
        <v>10</v>
      </c>
      <c r="D2856" s="1" t="s">
        <v>21</v>
      </c>
      <c r="E2856" s="1" t="s">
        <v>2039</v>
      </c>
      <c r="F2856" s="1" t="n">
        <v>110</v>
      </c>
      <c r="G2856" s="1" t="n">
        <v>70</v>
      </c>
      <c r="H2856" s="2" t="n">
        <v>4250000</v>
      </c>
      <c r="I2856" s="2" t="n">
        <f aca="false">(((H2856 / 800) / IF(ISBLANK(R2856), 1000000, IF(ISNA(VLOOKUP(R2856, Mileages!$A$2:$C$34, 2, 0)), R2856, VLOOKUP(R2856, Mileages!$A$2:$C$34, 2, 0)))) + (F2856 * IF(ISBLANK(P2856), 1, P2856) * IF(ISBLANK(T2856), 0, IF(ISNA(VLOOKUP(T2856, 'Fuel Costs'!$A$2:$C$42, 2, 0)), T2856, VLOOKUP(T2856, 'Fuel Costs'!$A$2:$C$42, 2, 0))) / IF(ISBLANK(O2856), 1, O2856))) * 100</f>
        <v>22.265625</v>
      </c>
      <c r="J2856" s="2" t="n">
        <f aca="false">((H2856 / 800) / (IF(ISBLANK(S2856), 100, IF(ISNA(VLOOKUP(S2856, Lives!$A$2:$C$35, 2, 0)), S2856, VLOOKUP(S2856, Lives!$A$2:$C$35, 2, 0))) * 12) + (IF(ISBLANK(Q2856), 0, IF(ISNA(VLOOKUP(Q2856, Wages!$A$2:$C$17, 2, 0)), Q2856, VLOOKUP(Q2856, Wages!$A$2:$C$17, 2, 0))) * IF(ISBLANK(N2856), 0, IF(ISNA(VLOOKUP(N2856, Crews!$A$2:$C$28, 2, 0)), N2856, VLOOKUP(N2856, Crews!$A$2:$C$28, 2, 0))))) * 400</f>
        <v>10213.54167</v>
      </c>
      <c r="K2856" s="3" t="s">
        <v>5501</v>
      </c>
      <c r="L2856" s="1" t="s">
        <v>5502</v>
      </c>
      <c r="M2856" s="1" t="n">
        <v>0</v>
      </c>
      <c r="N2856" s="1" t="s">
        <v>1815</v>
      </c>
      <c r="O2856" s="1" t="n">
        <v>1</v>
      </c>
      <c r="P2856" s="1"/>
      <c r="Q2856" s="1" t="s">
        <v>1815</v>
      </c>
      <c r="R2856" s="1" t="s">
        <v>4725</v>
      </c>
      <c r="S2856" s="1" t="s">
        <v>1843</v>
      </c>
      <c r="T2856" s="1" t="s">
        <v>5292</v>
      </c>
    </row>
    <row r="2857" customFormat="false" ht="15" hidden="false" customHeight="true" outlineLevel="0" collapsed="false">
      <c r="A2857" s="1" t="s">
        <v>5503</v>
      </c>
      <c r="B2857" s="1" t="n">
        <v>2008</v>
      </c>
      <c r="C2857" s="1" t="n">
        <v>12</v>
      </c>
      <c r="D2857" s="1" t="s">
        <v>38</v>
      </c>
      <c r="E2857" s="1" t="s">
        <v>1346</v>
      </c>
      <c r="F2857" s="1" t="n">
        <v>750</v>
      </c>
      <c r="G2857" s="1" t="n">
        <v>160</v>
      </c>
      <c r="H2857" s="2" t="n">
        <v>1057500</v>
      </c>
      <c r="I2857" s="2" t="n">
        <f aca="false">(((H2857 / 800) / IF(ISBLANK(R2857), 1000000, IF(ISNA(VLOOKUP(R2857, Mileages!$A$2:$C$34, 2, 0)), R2857, VLOOKUP(R2857, Mileages!$A$2:$C$34, 2, 0)))) + (F2857 * IF(ISBLANK(P2857), 1, P2857) * IF(ISBLANK(T2857), 0, IF(ISNA(VLOOKUP(T2857, 'Fuel Costs'!$A$2:$C$42, 2, 0)), T2857, VLOOKUP(T2857, 'Fuel Costs'!$A$2:$C$42, 2, 0))) / IF(ISBLANK(O2857), 1, O2857))) * 100</f>
        <v>112.5660938</v>
      </c>
      <c r="J2857" s="2" t="n">
        <f aca="false">((H2857 / 800) / (IF(ISBLANK(S2857), 100, IF(ISNA(VLOOKUP(S2857, Lives!$A$2:$C$35, 2, 0)), S2857, VLOOKUP(S2857, Lives!$A$2:$C$35, 2, 0))) * 12) + (IF(ISBLANK(Q2857), 0, IF(ISNA(VLOOKUP(Q2857, Wages!$A$2:$C$17, 2, 0)), Q2857, VLOOKUP(Q2857, Wages!$A$2:$C$17, 2, 0))) * IF(ISBLANK(N2857), 0, IF(ISNA(VLOOKUP(N2857, Crews!$A$2:$C$28, 2, 0)), N2857, VLOOKUP(N2857, Crews!$A$2:$C$28, 2, 0))))) * 400</f>
        <v>6881.25</v>
      </c>
      <c r="K2857" s="1"/>
      <c r="L2857" s="1" t="s">
        <v>5504</v>
      </c>
      <c r="M2857" s="1" t="n">
        <v>0</v>
      </c>
      <c r="N2857" s="1" t="s">
        <v>1512</v>
      </c>
      <c r="O2857" s="1" t="n">
        <v>1</v>
      </c>
      <c r="P2857" s="1"/>
      <c r="Q2857" s="1" t="str">
        <f aca="false">IF(ISBLANK('Pak128 Britain In'!$N2857),,'Pak128 Britain In'!$N2857)</f>
        <v>ElectricMultipleUnit</v>
      </c>
      <c r="R2857" s="1" t="s">
        <v>4696</v>
      </c>
      <c r="S2857" s="1" t="s">
        <v>1350</v>
      </c>
      <c r="T2857" s="1" t="s">
        <v>5303</v>
      </c>
    </row>
    <row r="2858" customFormat="false" ht="15" hidden="false" customHeight="true" outlineLevel="0" collapsed="false">
      <c r="A2858" s="1" t="s">
        <v>5505</v>
      </c>
      <c r="B2858" s="1" t="n">
        <v>2008</v>
      </c>
      <c r="C2858" s="1" t="n">
        <v>12</v>
      </c>
      <c r="D2858" s="1" t="s">
        <v>38</v>
      </c>
      <c r="E2858" s="1" t="s">
        <v>1346</v>
      </c>
      <c r="F2858" s="1" t="n">
        <v>0</v>
      </c>
      <c r="G2858" s="1" t="n">
        <v>160</v>
      </c>
      <c r="H2858" s="2" t="n">
        <v>1899100</v>
      </c>
      <c r="I2858" s="2" t="n">
        <f aca="false">(((H2858 / 800) / IF(ISBLANK(R2858), 1000000, IF(ISNA(VLOOKUP(R2858, Mileages!$A$2:$C$34, 2, 0)), R2858, VLOOKUP(R2858, Mileages!$A$2:$C$34, 2, 0)))) + (F2858 * IF(ISBLANK(P2858), 1, P2858) * IF(ISBLANK(T2858), 0, IF(ISNA(VLOOKUP(T2858, 'Fuel Costs'!$A$2:$C$42, 2, 0)), T2858, VLOOKUP(T2858, 'Fuel Costs'!$A$2:$C$42, 2, 0))) / IF(ISBLANK(O2858), 1, O2858))) * 100</f>
        <v>0.09891145833</v>
      </c>
      <c r="J2858" s="2" t="n">
        <f aca="false">((H2858 / 800) / (IF(ISBLANK(S2858), 100, IF(ISNA(VLOOKUP(S2858, Lives!$A$2:$C$35, 2, 0)), S2858, VLOOKUP(S2858, Lives!$A$2:$C$35, 2, 0))) * 12) + (IF(ISBLANK(Q2858), 0, IF(ISNA(VLOOKUP(Q2858, Wages!$A$2:$C$17, 2, 0)), Q2858, VLOOKUP(Q2858, Wages!$A$2:$C$17, 2, 0))) * IF(ISBLANK(N2858), 0, IF(ISNA(VLOOKUP(N2858, Crews!$A$2:$C$28, 2, 0)), N2858, VLOOKUP(N2858, Crews!$A$2:$C$28, 2, 0))))) * 400</f>
        <v>3956.458333</v>
      </c>
      <c r="K2858" s="1"/>
      <c r="L2858" s="1" t="s">
        <v>5504</v>
      </c>
      <c r="M2858" s="1" t="n">
        <v>1</v>
      </c>
      <c r="N2858" s="1"/>
      <c r="O2858" s="1"/>
      <c r="P2858" s="1"/>
      <c r="Q2858" s="1"/>
      <c r="R2858" s="1" t="s">
        <v>4419</v>
      </c>
      <c r="S2858" s="1" t="s">
        <v>4470</v>
      </c>
      <c r="T2858" s="1"/>
    </row>
    <row r="2859" customFormat="false" ht="15" hidden="false" customHeight="true" outlineLevel="0" collapsed="false">
      <c r="A2859" s="1" t="s">
        <v>5506</v>
      </c>
      <c r="B2859" s="1" t="n">
        <v>2008</v>
      </c>
      <c r="C2859" s="1" t="n">
        <v>12</v>
      </c>
      <c r="D2859" s="1" t="s">
        <v>38</v>
      </c>
      <c r="E2859" s="1" t="s">
        <v>1346</v>
      </c>
      <c r="F2859" s="1" t="n">
        <v>0</v>
      </c>
      <c r="G2859" s="1" t="n">
        <v>160</v>
      </c>
      <c r="H2859" s="2" t="n">
        <v>1899100</v>
      </c>
      <c r="I2859" s="2" t="n">
        <f aca="false">(((H2859 / 800) / IF(ISBLANK(R2859), 1000000, IF(ISNA(VLOOKUP(R2859, Mileages!$A$2:$C$34, 2, 0)), R2859, VLOOKUP(R2859, Mileages!$A$2:$C$34, 2, 0)))) + (F2859 * IF(ISBLANK(P2859), 1, P2859) * IF(ISBLANK(T2859), 0, IF(ISNA(VLOOKUP(T2859, 'Fuel Costs'!$A$2:$C$42, 2, 0)), T2859, VLOOKUP(T2859, 'Fuel Costs'!$A$2:$C$42, 2, 0))) / IF(ISBLANK(O2859), 1, O2859))) * 100</f>
        <v>0.09891145833</v>
      </c>
      <c r="J2859" s="2" t="n">
        <f aca="false">((H2859 / 800) / (IF(ISBLANK(S2859), 100, IF(ISNA(VLOOKUP(S2859, Lives!$A$2:$C$35, 2, 0)), S2859, VLOOKUP(S2859, Lives!$A$2:$C$35, 2, 0))) * 12) + (IF(ISBLANK(Q2859), 0, IF(ISNA(VLOOKUP(Q2859, Wages!$A$2:$C$17, 2, 0)), Q2859, VLOOKUP(Q2859, Wages!$A$2:$C$17, 2, 0))) * IF(ISBLANK(N2859), 0, IF(ISNA(VLOOKUP(N2859, Crews!$A$2:$C$28, 2, 0)), N2859, VLOOKUP(N2859, Crews!$A$2:$C$28, 2, 0))))) * 400</f>
        <v>3956.458333</v>
      </c>
      <c r="K2859" s="1"/>
      <c r="L2859" s="1" t="s">
        <v>5504</v>
      </c>
      <c r="M2859" s="1" t="n">
        <v>2</v>
      </c>
      <c r="N2859" s="1"/>
      <c r="O2859" s="1"/>
      <c r="P2859" s="1"/>
      <c r="Q2859" s="1"/>
      <c r="R2859" s="1" t="s">
        <v>4419</v>
      </c>
      <c r="S2859" s="1" t="s">
        <v>4470</v>
      </c>
      <c r="T2859" s="1"/>
    </row>
    <row r="2860" customFormat="false" ht="15" hidden="false" customHeight="true" outlineLevel="0" collapsed="false">
      <c r="A2860" s="1" t="s">
        <v>5507</v>
      </c>
      <c r="B2860" s="1" t="n">
        <v>2008</v>
      </c>
      <c r="C2860" s="1" t="n">
        <v>12</v>
      </c>
      <c r="D2860" s="1" t="s">
        <v>38</v>
      </c>
      <c r="E2860" s="1" t="s">
        <v>1346</v>
      </c>
      <c r="F2860" s="1" t="n">
        <v>750</v>
      </c>
      <c r="G2860" s="1" t="n">
        <v>160</v>
      </c>
      <c r="H2860" s="2" t="n">
        <v>1057500</v>
      </c>
      <c r="I2860" s="2" t="n">
        <f aca="false">(((H2860 / 800) / IF(ISBLANK(R2860), 1000000, IF(ISNA(VLOOKUP(R2860, Mileages!$A$2:$C$34, 2, 0)), R2860, VLOOKUP(R2860, Mileages!$A$2:$C$34, 2, 0)))) + (F2860 * IF(ISBLANK(P2860), 1, P2860) * IF(ISBLANK(T2860), 0, IF(ISNA(VLOOKUP(T2860, 'Fuel Costs'!$A$2:$C$42, 2, 0)), T2860, VLOOKUP(T2860, 'Fuel Costs'!$A$2:$C$42, 2, 0))) / IF(ISBLANK(O2860), 1, O2860))) * 100</f>
        <v>112.5660938</v>
      </c>
      <c r="J2860" s="2" t="n">
        <f aca="false">((H2860 / 800) / (IF(ISBLANK(S2860), 100, IF(ISNA(VLOOKUP(S2860, Lives!$A$2:$C$35, 2, 0)), S2860, VLOOKUP(S2860, Lives!$A$2:$C$35, 2, 0))) * 12) + (IF(ISBLANK(Q2860), 0, IF(ISNA(VLOOKUP(Q2860, Wages!$A$2:$C$17, 2, 0)), Q2860, VLOOKUP(Q2860, Wages!$A$2:$C$17, 2, 0))) * IF(ISBLANK(N2860), 0, IF(ISNA(VLOOKUP(N2860, Crews!$A$2:$C$28, 2, 0)), N2860, VLOOKUP(N2860, Crews!$A$2:$C$28, 2, 0))))) * 400</f>
        <v>6881.25</v>
      </c>
      <c r="K2860" s="1"/>
      <c r="L2860" s="1" t="s">
        <v>5504</v>
      </c>
      <c r="M2860" s="1" t="n">
        <v>3</v>
      </c>
      <c r="N2860" s="1" t="s">
        <v>1512</v>
      </c>
      <c r="O2860" s="1" t="n">
        <v>1</v>
      </c>
      <c r="P2860" s="1"/>
      <c r="Q2860" s="1" t="str">
        <f aca="false">IF(ISBLANK('Pak128 Britain In'!$N2860),,'Pak128 Britain In'!$N2860)</f>
        <v>ElectricMultipleUnit</v>
      </c>
      <c r="R2860" s="1" t="s">
        <v>4696</v>
      </c>
      <c r="S2860" s="1" t="s">
        <v>1350</v>
      </c>
      <c r="T2860" s="1" t="s">
        <v>5303</v>
      </c>
    </row>
    <row r="2861" customFormat="false" ht="15" hidden="false" customHeight="true" outlineLevel="0" collapsed="false">
      <c r="A2861" s="1" t="s">
        <v>5508</v>
      </c>
      <c r="B2861" s="1" t="n">
        <v>2009</v>
      </c>
      <c r="C2861" s="1" t="n">
        <v>1</v>
      </c>
      <c r="D2861" s="1" t="s">
        <v>29</v>
      </c>
      <c r="E2861" s="1"/>
      <c r="F2861" s="1"/>
      <c r="G2861" s="1" t="n">
        <v>80</v>
      </c>
      <c r="H2861" s="2"/>
      <c r="I2861" s="2"/>
      <c r="J2861" s="2"/>
      <c r="K2861" s="1"/>
      <c r="L2861" s="1" t="s">
        <v>5509</v>
      </c>
      <c r="M2861" s="1" t="n">
        <v>1</v>
      </c>
      <c r="N2861" s="1"/>
      <c r="O2861" s="1"/>
      <c r="P2861" s="1"/>
      <c r="Q2861" s="1"/>
      <c r="R2861" s="1"/>
      <c r="S2861" s="1"/>
      <c r="T2861" s="1"/>
    </row>
    <row r="2862" customFormat="false" ht="15" hidden="false" customHeight="true" outlineLevel="0" collapsed="false">
      <c r="A2862" s="1" t="s">
        <v>5510</v>
      </c>
      <c r="B2862" s="1" t="n">
        <v>2009</v>
      </c>
      <c r="C2862" s="1" t="n">
        <v>2</v>
      </c>
      <c r="D2862" s="1" t="s">
        <v>29</v>
      </c>
      <c r="E2862" s="1" t="s">
        <v>2039</v>
      </c>
      <c r="F2862" s="1" t="n">
        <v>32000</v>
      </c>
      <c r="G2862" s="1" t="n">
        <v>80</v>
      </c>
      <c r="H2862" s="2" t="n">
        <v>162500000</v>
      </c>
      <c r="I2862" s="2" t="n">
        <f aca="false">(((H2862 / 800) / IF(ISBLANK(R2862), 1000000, IF(ISNA(VLOOKUP(R2862, Mileages!$A$2:$C$34, 2, 0)), R2862, VLOOKUP(R2862, Mileages!$A$2:$C$34, 2, 0)))) + (F2862 * IF(ISBLANK(P2862), 1, P2862) * IF(ISBLANK(T2862), 0, IF(ISNA(VLOOKUP(T2862, 'Fuel Costs'!$A$2:$C$42, 2, 0)), T2862, VLOOKUP(T2862, 'Fuel Costs'!$A$2:$C$42, 2, 0))) / IF(ISBLANK(O2862), 1, O2862))) * 100</f>
        <v>963.3854167</v>
      </c>
      <c r="J2862" s="2" t="n">
        <f aca="false">((H2862 / 800) / (IF(ISBLANK(S2862), 100, IF(ISNA(VLOOKUP(S2862, Lives!$A$2:$C$35, 2, 0)), S2862, VLOOKUP(S2862, Lives!$A$2:$C$35, 2, 0))) * 12) + (IF(ISBLANK(Q2862), 0, IF(ISNA(VLOOKUP(Q2862, Wages!$A$2:$C$17, 2, 0)), Q2862, VLOOKUP(Q2862, Wages!$A$2:$C$17, 2, 0))) * IF(ISBLANK(N2862), 0, IF(ISNA(VLOOKUP(N2862, Crews!$A$2:$C$28, 2, 0)), N2862, VLOOKUP(N2862, Crews!$A$2:$C$28, 2, 0))))) * 400</f>
        <v>267708.3333</v>
      </c>
      <c r="K2862" s="3" t="s">
        <v>5511</v>
      </c>
      <c r="L2862" s="1" t="s">
        <v>5509</v>
      </c>
      <c r="M2862" s="1" t="n">
        <v>0</v>
      </c>
      <c r="N2862" s="1" t="s">
        <v>323</v>
      </c>
      <c r="O2862" s="1" t="n">
        <v>1</v>
      </c>
      <c r="P2862" s="1" t="n">
        <v>0.2</v>
      </c>
      <c r="Q2862" s="1" t="s">
        <v>34</v>
      </c>
      <c r="R2862" s="1" t="s">
        <v>3933</v>
      </c>
      <c r="S2862" s="1" t="s">
        <v>574</v>
      </c>
      <c r="T2862" s="1" t="s">
        <v>5499</v>
      </c>
    </row>
    <row r="2863" customFormat="false" ht="15" hidden="false" customHeight="true" outlineLevel="0" collapsed="false">
      <c r="A2863" s="1" t="s">
        <v>5512</v>
      </c>
      <c r="B2863" s="1" t="n">
        <v>2009</v>
      </c>
      <c r="C2863" s="1" t="n">
        <v>3</v>
      </c>
      <c r="D2863" s="1" t="s">
        <v>21</v>
      </c>
      <c r="E2863" s="1" t="s">
        <v>5513</v>
      </c>
      <c r="F2863" s="1" t="n">
        <v>85</v>
      </c>
      <c r="G2863" s="1" t="n">
        <v>70</v>
      </c>
      <c r="H2863" s="2" t="n">
        <v>5760000</v>
      </c>
      <c r="I2863" s="2" t="n">
        <f aca="false">(((H2863 / 800) / IF(ISBLANK(R2863), 1000000, IF(ISNA(VLOOKUP(R2863, Mileages!$A$2:$C$34, 2, 0)), R2863, VLOOKUP(R2863, Mileages!$A$2:$C$34, 2, 0)))) + (F2863 * IF(ISBLANK(P2863), 1, P2863) * IF(ISBLANK(T2863), 0, IF(ISNA(VLOOKUP(T2863, 'Fuel Costs'!$A$2:$C$42, 2, 0)), T2863, VLOOKUP(T2863, 'Fuel Costs'!$A$2:$C$42, 2, 0))) / IF(ISBLANK(O2863), 1, O2863))) * 100</f>
        <v>13.23</v>
      </c>
      <c r="J2863" s="2" t="n">
        <f aca="false">((H2863 / 800) / (IF(ISBLANK(S2863), 100, IF(ISNA(VLOOKUP(S2863, Lives!$A$2:$C$35, 2, 0)), S2863, VLOOKUP(S2863, Lives!$A$2:$C$35, 2, 0))) * 12) + (IF(ISBLANK(Q2863), 0, IF(ISNA(VLOOKUP(Q2863, Wages!$A$2:$C$17, 2, 0)), Q2863, VLOOKUP(Q2863, Wages!$A$2:$C$17, 2, 0))) * IF(ISBLANK(N2863), 0, IF(ISNA(VLOOKUP(N2863, Crews!$A$2:$C$28, 2, 0)), N2863, VLOOKUP(N2863, Crews!$A$2:$C$28, 2, 0))))) * 400</f>
        <v>12000</v>
      </c>
      <c r="K2863" s="3" t="s">
        <v>5501</v>
      </c>
      <c r="L2863" s="1" t="s">
        <v>5514</v>
      </c>
      <c r="M2863" s="1" t="n">
        <v>0</v>
      </c>
      <c r="N2863" s="1" t="s">
        <v>3064</v>
      </c>
      <c r="O2863" s="1"/>
      <c r="P2863" s="1"/>
      <c r="Q2863" s="1" t="s">
        <v>3064</v>
      </c>
      <c r="R2863" s="1" t="s">
        <v>4730</v>
      </c>
      <c r="S2863" s="1" t="s">
        <v>3064</v>
      </c>
      <c r="T2863" s="1" t="s">
        <v>5303</v>
      </c>
    </row>
    <row r="2864" customFormat="false" ht="15" hidden="false" customHeight="true" outlineLevel="0" collapsed="false">
      <c r="A2864" s="1" t="s">
        <v>5515</v>
      </c>
      <c r="B2864" s="1" t="n">
        <v>2009</v>
      </c>
      <c r="C2864" s="1" t="n">
        <v>6</v>
      </c>
      <c r="D2864" s="1" t="s">
        <v>38</v>
      </c>
      <c r="E2864" s="1" t="s">
        <v>2039</v>
      </c>
      <c r="F2864" s="1" t="n">
        <v>64</v>
      </c>
      <c r="G2864" s="1" t="n">
        <v>65</v>
      </c>
      <c r="H2864" s="2" t="n">
        <v>1296000</v>
      </c>
      <c r="I2864" s="2" t="n">
        <f aca="false">(((H2864 / 800) / IF(ISBLANK(R2864), 1000000, IF(ISNA(VLOOKUP(R2864, Mileages!$A$2:$C$34, 2, 0)), R2864, VLOOKUP(R2864, Mileages!$A$2:$C$34, 2, 0)))) + (F2864 * IF(ISBLANK(P2864), 1, P2864) * IF(ISBLANK(T2864), 0, IF(ISNA(VLOOKUP(T2864, 'Fuel Costs'!$A$2:$C$42, 2, 0)), T2864, VLOOKUP(T2864, 'Fuel Costs'!$A$2:$C$42, 2, 0))) / IF(ISBLANK(O2864), 1, O2864))) * 100</f>
        <v>12.881</v>
      </c>
      <c r="J2864" s="2" t="n">
        <f aca="false">((H2864 / 800) / (IF(ISBLANK(S2864), 100, IF(ISNA(VLOOKUP(S2864, Lives!$A$2:$C$35, 2, 0)), S2864, VLOOKUP(S2864, Lives!$A$2:$C$35, 2, 0))) * 12) + (IF(ISBLANK(Q2864), 0, IF(ISNA(VLOOKUP(Q2864, Wages!$A$2:$C$17, 2, 0)), Q2864, VLOOKUP(Q2864, Wages!$A$2:$C$17, 2, 0))) * IF(ISBLANK(N2864), 0, IF(ISNA(VLOOKUP(N2864, Crews!$A$2:$C$28, 2, 0)), N2864, VLOOKUP(N2864, Crews!$A$2:$C$28, 2, 0))))) * 400</f>
        <v>10675</v>
      </c>
      <c r="K2864" s="1"/>
      <c r="L2864" s="1" t="s">
        <v>5516</v>
      </c>
      <c r="M2864" s="1" t="n">
        <v>0</v>
      </c>
      <c r="N2864" s="1" t="s">
        <v>1488</v>
      </c>
      <c r="O2864" s="1" t="n">
        <v>1</v>
      </c>
      <c r="P2864" s="1"/>
      <c r="Q2864" s="1" t="s">
        <v>1488</v>
      </c>
      <c r="R2864" s="1" t="s">
        <v>4747</v>
      </c>
      <c r="S2864" s="1" t="s">
        <v>4747</v>
      </c>
      <c r="T2864" s="1" t="s">
        <v>5292</v>
      </c>
    </row>
    <row r="2865" customFormat="false" ht="15" hidden="false" customHeight="true" outlineLevel="0" collapsed="false">
      <c r="A2865" s="1" t="s">
        <v>5517</v>
      </c>
      <c r="B2865" s="1" t="n">
        <v>2009</v>
      </c>
      <c r="C2865" s="1" t="n">
        <v>6</v>
      </c>
      <c r="D2865" s="1" t="s">
        <v>38</v>
      </c>
      <c r="E2865" s="1" t="s">
        <v>1346</v>
      </c>
      <c r="F2865" s="1" t="n">
        <v>0</v>
      </c>
      <c r="G2865" s="1" t="n">
        <v>225</v>
      </c>
      <c r="H2865" s="2" t="n">
        <v>2067000</v>
      </c>
      <c r="I2865" s="2" t="n">
        <f aca="false">(((H2865 / 800) / IF(ISBLANK(R2865), 1000000, IF(ISNA(VLOOKUP(R2865, Mileages!$A$2:$C$34, 2, 0)), R2865, VLOOKUP(R2865, Mileages!$A$2:$C$34, 2, 0)))) + (F2865 * IF(ISBLANK(P2865), 1, P2865) * IF(ISBLANK(T2865), 0, IF(ISNA(VLOOKUP(T2865, 'Fuel Costs'!$A$2:$C$42, 2, 0)), T2865, VLOOKUP(T2865, 'Fuel Costs'!$A$2:$C$42, 2, 0))) / IF(ISBLANK(O2865), 1, O2865))) * 100</f>
        <v>0.10765625</v>
      </c>
      <c r="J2865" s="2" t="n">
        <f aca="false">((H2865 / 800) / (IF(ISBLANK(S2865), 100, IF(ISNA(VLOOKUP(S2865, Lives!$A$2:$C$35, 2, 0)), S2865, VLOOKUP(S2865, Lives!$A$2:$C$35, 2, 0))) * 12) + (IF(ISBLANK(Q2865), 0, IF(ISNA(VLOOKUP(Q2865, Wages!$A$2:$C$17, 2, 0)), Q2865, VLOOKUP(Q2865, Wages!$A$2:$C$17, 2, 0))) * IF(ISBLANK(N2865), 0, IF(ISNA(VLOOKUP(N2865, Crews!$A$2:$C$28, 2, 0)), N2865, VLOOKUP(N2865, Crews!$A$2:$C$28, 2, 0))))) * 400</f>
        <v>4306.25</v>
      </c>
      <c r="K2865" s="1"/>
      <c r="L2865" s="1" t="s">
        <v>5518</v>
      </c>
      <c r="M2865" s="1" t="n">
        <v>0</v>
      </c>
      <c r="N2865" s="1"/>
      <c r="O2865" s="1"/>
      <c r="P2865" s="1"/>
      <c r="Q2865" s="1"/>
      <c r="R2865" s="1" t="s">
        <v>4419</v>
      </c>
      <c r="S2865" s="1" t="s">
        <v>4470</v>
      </c>
      <c r="T2865" s="1"/>
    </row>
    <row r="2866" customFormat="false" ht="15" hidden="false" customHeight="true" outlineLevel="0" collapsed="false">
      <c r="A2866" s="1" t="s">
        <v>5519</v>
      </c>
      <c r="B2866" s="1" t="n">
        <v>2009</v>
      </c>
      <c r="C2866" s="1" t="n">
        <v>6</v>
      </c>
      <c r="D2866" s="1" t="s">
        <v>38</v>
      </c>
      <c r="E2866" s="1" t="s">
        <v>1346</v>
      </c>
      <c r="F2866" s="1" t="n">
        <v>840</v>
      </c>
      <c r="G2866" s="1" t="n">
        <v>225</v>
      </c>
      <c r="H2866" s="2" t="n">
        <v>2067000</v>
      </c>
      <c r="I2866" s="2" t="n">
        <f aca="false">(((H2866 / 800) / IF(ISBLANK(R2866), 1000000, IF(ISNA(VLOOKUP(R2866, Mileages!$A$2:$C$34, 2, 0)), R2866, VLOOKUP(R2866, Mileages!$A$2:$C$34, 2, 0)))) + (F2866 * IF(ISBLANK(P2866), 1, P2866) * IF(ISBLANK(T2866), 0, IF(ISNA(VLOOKUP(T2866, 'Fuel Costs'!$A$2:$C$42, 2, 0)), T2866, VLOOKUP(T2866, 'Fuel Costs'!$A$2:$C$42, 2, 0))) / IF(ISBLANK(O2866), 1, O2866))) * 100</f>
        <v>126.1291875</v>
      </c>
      <c r="J2866" s="2" t="n">
        <f aca="false">((H2866 / 800) / (IF(ISBLANK(S2866), 100, IF(ISNA(VLOOKUP(S2866, Lives!$A$2:$C$35, 2, 0)), S2866, VLOOKUP(S2866, Lives!$A$2:$C$35, 2, 0))) * 12) + (IF(ISBLANK(Q2866), 0, IF(ISNA(VLOOKUP(Q2866, Wages!$A$2:$C$17, 2, 0)), Q2866, VLOOKUP(Q2866, Wages!$A$2:$C$17, 2, 0))) * IF(ISBLANK(N2866), 0, IF(ISNA(VLOOKUP(N2866, Crews!$A$2:$C$28, 2, 0)), N2866, VLOOKUP(N2866, Crews!$A$2:$C$28, 2, 0))))) * 400</f>
        <v>1722.5</v>
      </c>
      <c r="K2866" s="1"/>
      <c r="L2866" s="1" t="s">
        <v>5518</v>
      </c>
      <c r="M2866" s="1" t="n">
        <v>1</v>
      </c>
      <c r="N2866" s="1"/>
      <c r="O2866" s="1" t="n">
        <v>1</v>
      </c>
      <c r="P2866" s="1"/>
      <c r="Q2866" s="1"/>
      <c r="R2866" s="1" t="s">
        <v>4696</v>
      </c>
      <c r="S2866" s="1" t="s">
        <v>1350</v>
      </c>
      <c r="T2866" s="1" t="s">
        <v>5303</v>
      </c>
    </row>
    <row r="2867" customFormat="false" ht="15" hidden="false" customHeight="true" outlineLevel="0" collapsed="false">
      <c r="A2867" s="1" t="s">
        <v>5520</v>
      </c>
      <c r="B2867" s="1" t="n">
        <v>2009</v>
      </c>
      <c r="C2867" s="1" t="n">
        <v>6</v>
      </c>
      <c r="D2867" s="1" t="s">
        <v>38</v>
      </c>
      <c r="E2867" s="1" t="s">
        <v>1346</v>
      </c>
      <c r="F2867" s="1" t="n">
        <v>0</v>
      </c>
      <c r="G2867" s="1" t="n">
        <v>225</v>
      </c>
      <c r="H2867" s="2" t="n">
        <v>2067000</v>
      </c>
      <c r="I2867" s="2" t="n">
        <f aca="false">(((H2867 / 800) / IF(ISBLANK(R2867), 1000000, IF(ISNA(VLOOKUP(R2867, Mileages!$A$2:$C$34, 2, 0)), R2867, VLOOKUP(R2867, Mileages!$A$2:$C$34, 2, 0)))) + (F2867 * IF(ISBLANK(P2867), 1, P2867) * IF(ISBLANK(T2867), 0, IF(ISNA(VLOOKUP(T2867, 'Fuel Costs'!$A$2:$C$42, 2, 0)), T2867, VLOOKUP(T2867, 'Fuel Costs'!$A$2:$C$42, 2, 0))) / IF(ISBLANK(O2867), 1, O2867))) * 100</f>
        <v>0.10765625</v>
      </c>
      <c r="J2867" s="2" t="n">
        <f aca="false">((H2867 / 800) / (IF(ISBLANK(S2867), 100, IF(ISNA(VLOOKUP(S2867, Lives!$A$2:$C$35, 2, 0)), S2867, VLOOKUP(S2867, Lives!$A$2:$C$35, 2, 0))) * 12) + (IF(ISBLANK(Q2867), 0, IF(ISNA(VLOOKUP(Q2867, Wages!$A$2:$C$17, 2, 0)), Q2867, VLOOKUP(Q2867, Wages!$A$2:$C$17, 2, 0))) * IF(ISBLANK(N2867), 0, IF(ISNA(VLOOKUP(N2867, Crews!$A$2:$C$28, 2, 0)), N2867, VLOOKUP(N2867, Crews!$A$2:$C$28, 2, 0))))) * 400</f>
        <v>4306.25</v>
      </c>
      <c r="K2867" s="1"/>
      <c r="L2867" s="1" t="s">
        <v>5518</v>
      </c>
      <c r="M2867" s="1" t="n">
        <v>2</v>
      </c>
      <c r="N2867" s="1"/>
      <c r="O2867" s="1"/>
      <c r="P2867" s="1"/>
      <c r="Q2867" s="1"/>
      <c r="R2867" s="1" t="s">
        <v>4419</v>
      </c>
      <c r="S2867" s="1" t="s">
        <v>4470</v>
      </c>
      <c r="T2867" s="1"/>
    </row>
    <row r="2868" customFormat="false" ht="15" hidden="false" customHeight="true" outlineLevel="0" collapsed="false">
      <c r="A2868" s="1" t="s">
        <v>5521</v>
      </c>
      <c r="B2868" s="1" t="n">
        <v>2009</v>
      </c>
      <c r="C2868" s="1" t="n">
        <v>7</v>
      </c>
      <c r="D2868" s="1" t="s">
        <v>38</v>
      </c>
      <c r="E2868" s="1" t="s">
        <v>1346</v>
      </c>
      <c r="F2868" s="1" t="n">
        <v>600</v>
      </c>
      <c r="G2868" s="1" t="n">
        <v>120</v>
      </c>
      <c r="H2868" s="2" t="n">
        <v>1814400</v>
      </c>
      <c r="I2868" s="2" t="n">
        <f aca="false">(((H2868 / 800) / IF(ISBLANK(R2868), 1000000, IF(ISNA(VLOOKUP(R2868, Mileages!$A$2:$C$34, 2, 0)), R2868, VLOOKUP(R2868, Mileages!$A$2:$C$34, 2, 0)))) + (F2868 * IF(ISBLANK(P2868), 1, P2868) * IF(ISBLANK(T2868), 0, IF(ISNA(VLOOKUP(T2868, 'Fuel Costs'!$A$2:$C$42, 2, 0)), T2868, VLOOKUP(T2868, 'Fuel Costs'!$A$2:$C$42, 2, 0))) / IF(ISBLANK(O2868), 1, O2868))) * 100</f>
        <v>90.1134</v>
      </c>
      <c r="J2868" s="2" t="n">
        <f aca="false">((H2868 / 800) / (IF(ISBLANK(S2868), 100, IF(ISNA(VLOOKUP(S2868, Lives!$A$2:$C$35, 2, 0)), S2868, VLOOKUP(S2868, Lives!$A$2:$C$35, 2, 0))) * 12) + (IF(ISBLANK(Q2868), 0, IF(ISNA(VLOOKUP(Q2868, Wages!$A$2:$C$17, 2, 0)), Q2868, VLOOKUP(Q2868, Wages!$A$2:$C$17, 2, 0))) * IF(ISBLANK(N2868), 0, IF(ISNA(VLOOKUP(N2868, Crews!$A$2:$C$28, 2, 0)), N2868, VLOOKUP(N2868, Crews!$A$2:$C$28, 2, 0))))) * 400</f>
        <v>7512</v>
      </c>
      <c r="K2868" s="1"/>
      <c r="L2868" s="1" t="s">
        <v>5522</v>
      </c>
      <c r="M2868" s="1" t="n">
        <v>0</v>
      </c>
      <c r="N2868" s="1" t="s">
        <v>1512</v>
      </c>
      <c r="O2868" s="1" t="n">
        <v>1</v>
      </c>
      <c r="P2868" s="1"/>
      <c r="Q2868" s="1" t="str">
        <f aca="false">IF(ISBLANK('Pak128 Britain In'!$N2868),,'Pak128 Britain In'!$N2868)</f>
        <v>ElectricMultipleUnit</v>
      </c>
      <c r="R2868" s="1" t="s">
        <v>4696</v>
      </c>
      <c r="S2868" s="1" t="s">
        <v>1350</v>
      </c>
      <c r="T2868" s="1" t="s">
        <v>5303</v>
      </c>
    </row>
    <row r="2869" customFormat="false" ht="15" hidden="false" customHeight="true" outlineLevel="0" collapsed="false">
      <c r="A2869" s="1" t="s">
        <v>5523</v>
      </c>
      <c r="B2869" s="1" t="n">
        <v>2009</v>
      </c>
      <c r="C2869" s="1" t="n">
        <v>7</v>
      </c>
      <c r="D2869" s="1" t="s">
        <v>38</v>
      </c>
      <c r="E2869" s="1" t="s">
        <v>1346</v>
      </c>
      <c r="F2869" s="1" t="n">
        <v>600</v>
      </c>
      <c r="G2869" s="1" t="n">
        <v>120</v>
      </c>
      <c r="H2869" s="2" t="n">
        <v>2721000</v>
      </c>
      <c r="I2869" s="2" t="n">
        <f aca="false">(((H2869 / 800) / IF(ISBLANK(R2869), 1000000, IF(ISNA(VLOOKUP(R2869, Mileages!$A$2:$C$34, 2, 0)), R2869, VLOOKUP(R2869, Mileages!$A$2:$C$34, 2, 0)))) + (F2869 * IF(ISBLANK(P2869), 1, P2869) * IF(ISBLANK(T2869), 0, IF(ISNA(VLOOKUP(T2869, 'Fuel Costs'!$A$2:$C$42, 2, 0)), T2869, VLOOKUP(T2869, 'Fuel Costs'!$A$2:$C$42, 2, 0))) / IF(ISBLANK(O2869), 1, O2869))) * 100</f>
        <v>90.1700625</v>
      </c>
      <c r="J2869" s="2" t="n">
        <f aca="false">((H2869 / 800) / (IF(ISBLANK(S2869), 100, IF(ISNA(VLOOKUP(S2869, Lives!$A$2:$C$35, 2, 0)), S2869, VLOOKUP(S2869, Lives!$A$2:$C$35, 2, 0))) * 12) + (IF(ISBLANK(Q2869), 0, IF(ISNA(VLOOKUP(Q2869, Wages!$A$2:$C$17, 2, 0)), Q2869, VLOOKUP(Q2869, Wages!$A$2:$C$17, 2, 0))) * IF(ISBLANK(N2869), 0, IF(ISNA(VLOOKUP(N2869, Crews!$A$2:$C$28, 2, 0)), N2869, VLOOKUP(N2869, Crews!$A$2:$C$28, 2, 0))))) * 400</f>
        <v>2267.5</v>
      </c>
      <c r="K2869" s="1"/>
      <c r="L2869" s="1" t="s">
        <v>5522</v>
      </c>
      <c r="M2869" s="1" t="n">
        <v>1</v>
      </c>
      <c r="N2869" s="1"/>
      <c r="O2869" s="1" t="n">
        <v>1</v>
      </c>
      <c r="P2869" s="1"/>
      <c r="Q2869" s="1"/>
      <c r="R2869" s="1" t="s">
        <v>4696</v>
      </c>
      <c r="S2869" s="1" t="s">
        <v>1350</v>
      </c>
      <c r="T2869" s="1" t="s">
        <v>5303</v>
      </c>
    </row>
    <row r="2870" customFormat="false" ht="15" hidden="false" customHeight="true" outlineLevel="0" collapsed="false">
      <c r="A2870" s="1" t="s">
        <v>5524</v>
      </c>
      <c r="B2870" s="1" t="n">
        <v>2009</v>
      </c>
      <c r="C2870" s="1" t="n">
        <v>7</v>
      </c>
      <c r="D2870" s="1" t="s">
        <v>38</v>
      </c>
      <c r="E2870" s="1" t="s">
        <v>1346</v>
      </c>
      <c r="F2870" s="1" t="n">
        <v>0</v>
      </c>
      <c r="G2870" s="1" t="n">
        <v>120</v>
      </c>
      <c r="H2870" s="2" t="n">
        <v>2721000</v>
      </c>
      <c r="I2870" s="2" t="n">
        <f aca="false">(((H2870 / 800) / IF(ISBLANK(R2870), 1000000, IF(ISNA(VLOOKUP(R2870, Mileages!$A$2:$C$34, 2, 0)), R2870, VLOOKUP(R2870, Mileages!$A$2:$C$34, 2, 0)))) + (F2870 * IF(ISBLANK(P2870), 1, P2870) * IF(ISBLANK(T2870), 0, IF(ISNA(VLOOKUP(T2870, 'Fuel Costs'!$A$2:$C$42, 2, 0)), T2870, VLOOKUP(T2870, 'Fuel Costs'!$A$2:$C$42, 2, 0))) / IF(ISBLANK(O2870), 1, O2870))) * 100</f>
        <v>0.14171875</v>
      </c>
      <c r="J2870" s="2" t="n">
        <f aca="false">((H2870 / 800) / (IF(ISBLANK(S2870), 100, IF(ISNA(VLOOKUP(S2870, Lives!$A$2:$C$35, 2, 0)), S2870, VLOOKUP(S2870, Lives!$A$2:$C$35, 2, 0))) * 12) + (IF(ISBLANK(Q2870), 0, IF(ISNA(VLOOKUP(Q2870, Wages!$A$2:$C$17, 2, 0)), Q2870, VLOOKUP(Q2870, Wages!$A$2:$C$17, 2, 0))) * IF(ISBLANK(N2870), 0, IF(ISNA(VLOOKUP(N2870, Crews!$A$2:$C$28, 2, 0)), N2870, VLOOKUP(N2870, Crews!$A$2:$C$28, 2, 0))))) * 400</f>
        <v>5668.75</v>
      </c>
      <c r="K2870" s="1"/>
      <c r="L2870" s="1" t="s">
        <v>5522</v>
      </c>
      <c r="M2870" s="1" t="n">
        <v>2</v>
      </c>
      <c r="N2870" s="1"/>
      <c r="O2870" s="1"/>
      <c r="P2870" s="1"/>
      <c r="Q2870" s="1"/>
      <c r="R2870" s="1" t="s">
        <v>4419</v>
      </c>
      <c r="S2870" s="1" t="s">
        <v>4470</v>
      </c>
      <c r="T2870" s="1"/>
    </row>
    <row r="2871" customFormat="false" ht="15" hidden="false" customHeight="true" outlineLevel="0" collapsed="false">
      <c r="A2871" s="1" t="s">
        <v>5525</v>
      </c>
      <c r="B2871" s="1" t="n">
        <v>2009</v>
      </c>
      <c r="C2871" s="1" t="n">
        <v>7</v>
      </c>
      <c r="D2871" s="1" t="s">
        <v>38</v>
      </c>
      <c r="E2871" s="1" t="s">
        <v>1346</v>
      </c>
      <c r="F2871" s="1" t="n">
        <v>600</v>
      </c>
      <c r="G2871" s="1" t="n">
        <v>120</v>
      </c>
      <c r="H2871" s="2" t="n">
        <v>1814400</v>
      </c>
      <c r="I2871" s="2" t="n">
        <f aca="false">(((H2871 / 800) / IF(ISBLANK(R2871), 1000000, IF(ISNA(VLOOKUP(R2871, Mileages!$A$2:$C$34, 2, 0)), R2871, VLOOKUP(R2871, Mileages!$A$2:$C$34, 2, 0)))) + (F2871 * IF(ISBLANK(P2871), 1, P2871) * IF(ISBLANK(T2871), 0, IF(ISNA(VLOOKUP(T2871, 'Fuel Costs'!$A$2:$C$42, 2, 0)), T2871, VLOOKUP(T2871, 'Fuel Costs'!$A$2:$C$42, 2, 0))) / IF(ISBLANK(O2871), 1, O2871))) * 100</f>
        <v>90.1134</v>
      </c>
      <c r="J2871" s="2" t="n">
        <f aca="false">((H2871 / 800) / (IF(ISBLANK(S2871), 100, IF(ISNA(VLOOKUP(S2871, Lives!$A$2:$C$35, 2, 0)), S2871, VLOOKUP(S2871, Lives!$A$2:$C$35, 2, 0))) * 12) + (IF(ISBLANK(Q2871), 0, IF(ISNA(VLOOKUP(Q2871, Wages!$A$2:$C$17, 2, 0)), Q2871, VLOOKUP(Q2871, Wages!$A$2:$C$17, 2, 0))) * IF(ISBLANK(N2871), 0, IF(ISNA(VLOOKUP(N2871, Crews!$A$2:$C$28, 2, 0)), N2871, VLOOKUP(N2871, Crews!$A$2:$C$28, 2, 0))))) * 400</f>
        <v>7512</v>
      </c>
      <c r="K2871" s="1" t="s">
        <v>5526</v>
      </c>
      <c r="L2871" s="1" t="s">
        <v>5522</v>
      </c>
      <c r="M2871" s="1" t="n">
        <v>3</v>
      </c>
      <c r="N2871" s="1" t="s">
        <v>1512</v>
      </c>
      <c r="O2871" s="1" t="n">
        <v>1</v>
      </c>
      <c r="P2871" s="1"/>
      <c r="Q2871" s="1" t="str">
        <f aca="false">IF(ISBLANK('Pak128 Britain In'!$N2871),,'Pak128 Britain In'!$N2871)</f>
        <v>ElectricMultipleUnit</v>
      </c>
      <c r="R2871" s="1" t="s">
        <v>4696</v>
      </c>
      <c r="S2871" s="1" t="s">
        <v>1350</v>
      </c>
      <c r="T2871" s="1" t="s">
        <v>5303</v>
      </c>
    </row>
    <row r="2872" customFormat="false" ht="15" hidden="false" customHeight="true" outlineLevel="0" collapsed="false">
      <c r="A2872" s="1" t="s">
        <v>5527</v>
      </c>
      <c r="B2872" s="1" t="n">
        <v>2009</v>
      </c>
      <c r="C2872" s="1" t="n">
        <v>9</v>
      </c>
      <c r="D2872" s="1" t="s">
        <v>29</v>
      </c>
      <c r="E2872" s="1" t="s">
        <v>2039</v>
      </c>
      <c r="F2872" s="1" t="n">
        <v>3000</v>
      </c>
      <c r="G2872" s="1" t="n">
        <v>60</v>
      </c>
      <c r="H2872" s="2" t="n">
        <v>91000000</v>
      </c>
      <c r="I2872" s="2" t="n">
        <f aca="false">(((H2872 / 800) / IF(ISBLANK(R2872), 1000000, IF(ISNA(VLOOKUP(R2872, Mileages!$A$2:$C$34, 2, 0)), R2872, VLOOKUP(R2872, Mileages!$A$2:$C$34, 2, 0)))) + (F2872 * IF(ISBLANK(P2872), 1, P2872) * IF(ISBLANK(T2872), 0, IF(ISNA(VLOOKUP(T2872, 'Fuel Costs'!$A$2:$C$42, 2, 0)), T2872, VLOOKUP(T2872, 'Fuel Costs'!$A$2:$C$42, 2, 0))) / IF(ISBLANK(O2872), 1, O2872))) * 100</f>
        <v>46.89583333</v>
      </c>
      <c r="J2872" s="2" t="n">
        <f aca="false">((H2872 / 800) / (IF(ISBLANK(S2872), 100, IF(ISNA(VLOOKUP(S2872, Lives!$A$2:$C$35, 2, 0)), S2872, VLOOKUP(S2872, Lives!$A$2:$C$35, 2, 0))) * 12) + (IF(ISBLANK(Q2872), 0, IF(ISNA(VLOOKUP(Q2872, Wages!$A$2:$C$17, 2, 0)), Q2872, VLOOKUP(Q2872, Wages!$A$2:$C$17, 2, 0))) * IF(ISBLANK(N2872), 0, IF(ISNA(VLOOKUP(N2872, Crews!$A$2:$C$28, 2, 0)), N2872, VLOOKUP(N2872, Crews!$A$2:$C$28, 2, 0))))) * 400</f>
        <v>237916.6667</v>
      </c>
      <c r="K2872" s="3" t="s">
        <v>5528</v>
      </c>
      <c r="L2872" s="1" t="s">
        <v>5529</v>
      </c>
      <c r="M2872" s="1" t="n">
        <v>0</v>
      </c>
      <c r="N2872" s="1" t="s">
        <v>323</v>
      </c>
      <c r="O2872" s="1" t="n">
        <v>1</v>
      </c>
      <c r="P2872" s="1" t="n">
        <v>0.1</v>
      </c>
      <c r="Q2872" s="1" t="s">
        <v>34</v>
      </c>
      <c r="R2872" s="1" t="s">
        <v>3933</v>
      </c>
      <c r="S2872" s="1" t="s">
        <v>574</v>
      </c>
      <c r="T2872" s="1" t="s">
        <v>5499</v>
      </c>
    </row>
    <row r="2873" customFormat="false" ht="15" hidden="false" customHeight="true" outlineLevel="0" collapsed="false">
      <c r="A2873" s="1" t="s">
        <v>5530</v>
      </c>
      <c r="B2873" s="1" t="n">
        <v>2009</v>
      </c>
      <c r="C2873" s="1" t="n">
        <v>11</v>
      </c>
      <c r="D2873" s="1" t="s">
        <v>38</v>
      </c>
      <c r="E2873" s="1" t="s">
        <v>2039</v>
      </c>
      <c r="F2873" s="1" t="n">
        <v>2750</v>
      </c>
      <c r="G2873" s="1" t="n">
        <v>120</v>
      </c>
      <c r="H2873" s="2" t="n">
        <v>9450000</v>
      </c>
      <c r="I2873" s="2" t="n">
        <f aca="false">(((H2873 / 800) / IF(ISBLANK(R2873), 1000000, IF(ISNA(VLOOKUP(R2873, Mileages!$A$2:$C$34, 2, 0)), R2873, VLOOKUP(R2873, Mileages!$A$2:$C$34, 2, 0)))) + (F2873 * IF(ISBLANK(P2873), 1, P2873) * IF(ISBLANK(T2873), 0, IF(ISNA(VLOOKUP(T2873, 'Fuel Costs'!$A$2:$C$42, 2, 0)), T2873, VLOOKUP(T2873, 'Fuel Costs'!$A$2:$C$42, 2, 0))) / IF(ISBLANK(O2873), 1, O2873))) * 100</f>
        <v>550.590625</v>
      </c>
      <c r="J2873" s="2" t="n">
        <f aca="false">((H2873 / 800) / (IF(ISBLANK(S2873), 100, IF(ISNA(VLOOKUP(S2873, Lives!$A$2:$C$35, 2, 0)), S2873, VLOOKUP(S2873, Lives!$A$2:$C$35, 2, 0))) * 12) + (IF(ISBLANK(Q2873), 0, IF(ISNA(VLOOKUP(Q2873, Wages!$A$2:$C$17, 2, 0)), Q2873, VLOOKUP(Q2873, Wages!$A$2:$C$17, 2, 0))) * IF(ISBLANK(N2873), 0, IF(ISNA(VLOOKUP(N2873, Crews!$A$2:$C$28, 2, 0)), N2873, VLOOKUP(N2873, Crews!$A$2:$C$28, 2, 0))))) * 400</f>
        <v>14921.875</v>
      </c>
      <c r="K2873" s="3" t="s">
        <v>5261</v>
      </c>
      <c r="L2873" s="1" t="s">
        <v>5531</v>
      </c>
      <c r="M2873" s="1" t="n">
        <v>0</v>
      </c>
      <c r="N2873" s="1" t="s">
        <v>1488</v>
      </c>
      <c r="O2873" s="1" t="n">
        <v>1</v>
      </c>
      <c r="P2873" s="1"/>
      <c r="Q2873" s="1" t="s">
        <v>1488</v>
      </c>
      <c r="R2873" s="1" t="s">
        <v>4747</v>
      </c>
      <c r="S2873" s="1" t="s">
        <v>4747</v>
      </c>
      <c r="T2873" s="1" t="s">
        <v>5292</v>
      </c>
    </row>
    <row r="2874" customFormat="false" ht="15" hidden="false" customHeight="true" outlineLevel="0" collapsed="false">
      <c r="A2874" s="1" t="s">
        <v>5532</v>
      </c>
      <c r="B2874" s="1" t="n">
        <v>2009</v>
      </c>
      <c r="C2874" s="1" t="n">
        <v>12</v>
      </c>
      <c r="D2874" s="1" t="s">
        <v>38</v>
      </c>
      <c r="E2874" s="1" t="s">
        <v>1346</v>
      </c>
      <c r="F2874" s="1" t="n">
        <v>500</v>
      </c>
      <c r="G2874" s="1" t="n">
        <v>100</v>
      </c>
      <c r="H2874" s="2" t="n">
        <v>1950000</v>
      </c>
      <c r="I2874" s="2" t="n">
        <f aca="false">(((H2874 / 800) / IF(ISBLANK(R2874), 1000000, IF(ISNA(VLOOKUP(R2874, Mileages!$A$2:$C$34, 2, 0)), R2874, VLOOKUP(R2874, Mileages!$A$2:$C$34, 2, 0)))) + (F2874 * IF(ISBLANK(P2874), 1, P2874) * IF(ISBLANK(T2874), 0, IF(ISNA(VLOOKUP(T2874, 'Fuel Costs'!$A$2:$C$42, 2, 0)), T2874, VLOOKUP(T2874, 'Fuel Costs'!$A$2:$C$42, 2, 0))) / IF(ISBLANK(O2874), 1, O2874))) * 100</f>
        <v>75.121875</v>
      </c>
      <c r="J2874" s="2" t="n">
        <f aca="false">((H2874 / 800) / (IF(ISBLANK(S2874), 100, IF(ISNA(VLOOKUP(S2874, Lives!$A$2:$C$35, 2, 0)), S2874, VLOOKUP(S2874, Lives!$A$2:$C$35, 2, 0))) * 12) + (IF(ISBLANK(Q2874), 0, IF(ISNA(VLOOKUP(Q2874, Wages!$A$2:$C$17, 2, 0)), Q2874, VLOOKUP(Q2874, Wages!$A$2:$C$17, 2, 0))) * IF(ISBLANK(N2874), 0, IF(ISNA(VLOOKUP(N2874, Crews!$A$2:$C$28, 2, 0)), N2874, VLOOKUP(N2874, Crews!$A$2:$C$28, 2, 0))))) * 400</f>
        <v>7625</v>
      </c>
      <c r="K2874" s="1"/>
      <c r="L2874" s="1" t="s">
        <v>5533</v>
      </c>
      <c r="M2874" s="1" t="n">
        <v>0</v>
      </c>
      <c r="N2874" s="1" t="s">
        <v>1512</v>
      </c>
      <c r="O2874" s="1" t="n">
        <v>1</v>
      </c>
      <c r="P2874" s="1"/>
      <c r="Q2874" s="1" t="str">
        <f aca="false">IF(ISBLANK('Pak128 Britain In'!$N2874),,'Pak128 Britain In'!$N2874)</f>
        <v>ElectricMultipleUnit</v>
      </c>
      <c r="R2874" s="1" t="s">
        <v>4696</v>
      </c>
      <c r="S2874" s="1" t="s">
        <v>1350</v>
      </c>
      <c r="T2874" s="1" t="s">
        <v>5303</v>
      </c>
    </row>
    <row r="2875" customFormat="false" ht="15" hidden="false" customHeight="true" outlineLevel="0" collapsed="false">
      <c r="A2875" s="1" t="s">
        <v>5534</v>
      </c>
      <c r="B2875" s="1" t="n">
        <v>2009</v>
      </c>
      <c r="C2875" s="1" t="n">
        <v>12</v>
      </c>
      <c r="D2875" s="1" t="s">
        <v>38</v>
      </c>
      <c r="E2875" s="1" t="s">
        <v>1346</v>
      </c>
      <c r="F2875" s="1" t="n">
        <v>500</v>
      </c>
      <c r="G2875" s="1" t="n">
        <v>100</v>
      </c>
      <c r="H2875" s="2" t="n">
        <v>1500000</v>
      </c>
      <c r="I2875" s="2" t="n">
        <f aca="false">(((H2875 / 800) / IF(ISBLANK(R2875), 1000000, IF(ISNA(VLOOKUP(R2875, Mileages!$A$2:$C$34, 2, 0)), R2875, VLOOKUP(R2875, Mileages!$A$2:$C$34, 2, 0)))) + (F2875 * IF(ISBLANK(P2875), 1, P2875) * IF(ISBLANK(T2875), 0, IF(ISNA(VLOOKUP(T2875, 'Fuel Costs'!$A$2:$C$42, 2, 0)), T2875, VLOOKUP(T2875, 'Fuel Costs'!$A$2:$C$42, 2, 0))) / IF(ISBLANK(O2875), 1, O2875))) * 100</f>
        <v>75.09375</v>
      </c>
      <c r="J2875" s="2" t="n">
        <f aca="false">((H2875 / 800) / (IF(ISBLANK(S2875), 100, IF(ISNA(VLOOKUP(S2875, Lives!$A$2:$C$35, 2, 0)), S2875, VLOOKUP(S2875, Lives!$A$2:$C$35, 2, 0))) * 12) + (IF(ISBLANK(Q2875), 0, IF(ISNA(VLOOKUP(Q2875, Wages!$A$2:$C$17, 2, 0)), Q2875, VLOOKUP(Q2875, Wages!$A$2:$C$17, 2, 0))) * IF(ISBLANK(N2875), 0, IF(ISNA(VLOOKUP(N2875, Crews!$A$2:$C$28, 2, 0)), N2875, VLOOKUP(N2875, Crews!$A$2:$C$28, 2, 0))))) * 400</f>
        <v>7250</v>
      </c>
      <c r="K2875" s="1"/>
      <c r="L2875" s="1" t="s">
        <v>5533</v>
      </c>
      <c r="M2875" s="1" t="n">
        <v>1</v>
      </c>
      <c r="N2875" s="1" t="s">
        <v>1512</v>
      </c>
      <c r="O2875" s="1" t="n">
        <v>1</v>
      </c>
      <c r="P2875" s="1"/>
      <c r="Q2875" s="1" t="str">
        <f aca="false">IF(ISBLANK('Pak128 Britain In'!$N2875),,'Pak128 Britain In'!$N2875)</f>
        <v>ElectricMultipleUnit</v>
      </c>
      <c r="R2875" s="1" t="s">
        <v>4696</v>
      </c>
      <c r="S2875" s="1" t="s">
        <v>1350</v>
      </c>
      <c r="T2875" s="1" t="s">
        <v>5303</v>
      </c>
    </row>
    <row r="2876" customFormat="false" ht="15" hidden="false" customHeight="true" outlineLevel="0" collapsed="false">
      <c r="A2876" s="1" t="s">
        <v>5535</v>
      </c>
      <c r="B2876" s="1" t="n">
        <v>2009</v>
      </c>
      <c r="C2876" s="1" t="n">
        <v>12</v>
      </c>
      <c r="D2876" s="1" t="s">
        <v>38</v>
      </c>
      <c r="E2876" s="1" t="s">
        <v>1346</v>
      </c>
      <c r="F2876" s="1"/>
      <c r="G2876" s="1" t="n">
        <v>100</v>
      </c>
      <c r="H2876" s="2" t="n">
        <v>950000</v>
      </c>
      <c r="I2876" s="2" t="n">
        <f aca="false">(((H2876 / 800) / IF(ISBLANK(R2876), 1000000, IF(ISNA(VLOOKUP(R2876, Mileages!$A$2:$C$34, 2, 0)), R2876, VLOOKUP(R2876, Mileages!$A$2:$C$34, 2, 0)))) + (F2876 * IF(ISBLANK(P2876), 1, P2876) * IF(ISBLANK(T2876), 0, IF(ISNA(VLOOKUP(T2876, 'Fuel Costs'!$A$2:$C$42, 2, 0)), T2876, VLOOKUP(T2876, 'Fuel Costs'!$A$2:$C$42, 2, 0))) / IF(ISBLANK(O2876), 1, O2876))) * 100</f>
        <v>0.04947916667</v>
      </c>
      <c r="J2876" s="2" t="n">
        <f aca="false">((H2876 / 800) / (IF(ISBLANK(S2876), 100, IF(ISNA(VLOOKUP(S2876, Lives!$A$2:$C$35, 2, 0)), S2876, VLOOKUP(S2876, Lives!$A$2:$C$35, 2, 0))) * 12) + (IF(ISBLANK(Q2876), 0, IF(ISNA(VLOOKUP(Q2876, Wages!$A$2:$C$17, 2, 0)), Q2876, VLOOKUP(Q2876, Wages!$A$2:$C$17, 2, 0))) * IF(ISBLANK(N2876), 0, IF(ISNA(VLOOKUP(N2876, Crews!$A$2:$C$28, 2, 0)), N2876, VLOOKUP(N2876, Crews!$A$2:$C$28, 2, 0))))) * 400</f>
        <v>1979.166667</v>
      </c>
      <c r="K2876" s="1"/>
      <c r="L2876" s="1" t="s">
        <v>5533</v>
      </c>
      <c r="M2876" s="1" t="n">
        <v>2</v>
      </c>
      <c r="N2876" s="1"/>
      <c r="O2876" s="1"/>
      <c r="P2876" s="1"/>
      <c r="Q2876" s="1"/>
      <c r="R2876" s="1" t="s">
        <v>4419</v>
      </c>
      <c r="S2876" s="1" t="s">
        <v>4470</v>
      </c>
      <c r="T2876" s="1"/>
    </row>
    <row r="2877" customFormat="false" ht="15" hidden="false" customHeight="true" outlineLevel="0" collapsed="false">
      <c r="A2877" s="1" t="s">
        <v>5536</v>
      </c>
      <c r="B2877" s="1" t="n">
        <v>2009</v>
      </c>
      <c r="C2877" s="1" t="n">
        <v>12</v>
      </c>
      <c r="D2877" s="1" t="s">
        <v>38</v>
      </c>
      <c r="E2877" s="1" t="s">
        <v>1346</v>
      </c>
      <c r="F2877" s="1" t="n">
        <v>500</v>
      </c>
      <c r="G2877" s="1" t="n">
        <v>100</v>
      </c>
      <c r="H2877" s="2" t="n">
        <v>950000</v>
      </c>
      <c r="I2877" s="2" t="n">
        <f aca="false">(((H2877 / 800) / IF(ISBLANK(R2877), 1000000, IF(ISNA(VLOOKUP(R2877, Mileages!$A$2:$C$34, 2, 0)), R2877, VLOOKUP(R2877, Mileages!$A$2:$C$34, 2, 0)))) + (F2877 * IF(ISBLANK(P2877), 1, P2877) * IF(ISBLANK(T2877), 0, IF(ISNA(VLOOKUP(T2877, 'Fuel Costs'!$A$2:$C$42, 2, 0)), T2877, VLOOKUP(T2877, 'Fuel Costs'!$A$2:$C$42, 2, 0))) / IF(ISBLANK(O2877), 1, O2877))) * 100</f>
        <v>75.059375</v>
      </c>
      <c r="J2877" s="2" t="n">
        <f aca="false">((H2877 / 800) / (IF(ISBLANK(S2877), 100, IF(ISNA(VLOOKUP(S2877, Lives!$A$2:$C$35, 2, 0)), S2877, VLOOKUP(S2877, Lives!$A$2:$C$35, 2, 0))) * 12) + (IF(ISBLANK(Q2877), 0, IF(ISNA(VLOOKUP(Q2877, Wages!$A$2:$C$17, 2, 0)), Q2877, VLOOKUP(Q2877, Wages!$A$2:$C$17, 2, 0))) * IF(ISBLANK(N2877), 0, IF(ISNA(VLOOKUP(N2877, Crews!$A$2:$C$28, 2, 0)), N2877, VLOOKUP(N2877, Crews!$A$2:$C$28, 2, 0))))) * 400</f>
        <v>791.6666667</v>
      </c>
      <c r="K2877" s="1"/>
      <c r="L2877" s="1" t="s">
        <v>5533</v>
      </c>
      <c r="M2877" s="1" t="n">
        <v>3</v>
      </c>
      <c r="N2877" s="1"/>
      <c r="O2877" s="1" t="n">
        <v>1</v>
      </c>
      <c r="P2877" s="1"/>
      <c r="Q2877" s="1"/>
      <c r="R2877" s="1" t="s">
        <v>4696</v>
      </c>
      <c r="S2877" s="1" t="s">
        <v>1350</v>
      </c>
      <c r="T2877" s="1" t="s">
        <v>5303</v>
      </c>
    </row>
    <row r="2878" customFormat="false" ht="15" hidden="false" customHeight="true" outlineLevel="0" collapsed="false">
      <c r="A2878" s="1" t="s">
        <v>5537</v>
      </c>
      <c r="B2878" s="1" t="n">
        <v>2009</v>
      </c>
      <c r="C2878" s="1" t="n">
        <v>12</v>
      </c>
      <c r="D2878" s="1" t="s">
        <v>38</v>
      </c>
      <c r="E2878" s="1" t="s">
        <v>1346</v>
      </c>
      <c r="F2878" s="1" t="n">
        <v>500</v>
      </c>
      <c r="G2878" s="1" t="n">
        <v>100</v>
      </c>
      <c r="H2878" s="2" t="n">
        <v>1500000</v>
      </c>
      <c r="I2878" s="2" t="n">
        <f aca="false">(((H2878 / 800) / IF(ISBLANK(R2878), 1000000, IF(ISNA(VLOOKUP(R2878, Mileages!$A$2:$C$34, 2, 0)), R2878, VLOOKUP(R2878, Mileages!$A$2:$C$34, 2, 0)))) + (F2878 * IF(ISBLANK(P2878), 1, P2878) * IF(ISBLANK(T2878), 0, IF(ISNA(VLOOKUP(T2878, 'Fuel Costs'!$A$2:$C$42, 2, 0)), T2878, VLOOKUP(T2878, 'Fuel Costs'!$A$2:$C$42, 2, 0))) / IF(ISBLANK(O2878), 1, O2878))) * 100</f>
        <v>75.09375</v>
      </c>
      <c r="J2878" s="2" t="n">
        <f aca="false">((H2878 / 800) / (IF(ISBLANK(S2878), 100, IF(ISNA(VLOOKUP(S2878, Lives!$A$2:$C$35, 2, 0)), S2878, VLOOKUP(S2878, Lives!$A$2:$C$35, 2, 0))) * 12) + (IF(ISBLANK(Q2878), 0, IF(ISNA(VLOOKUP(Q2878, Wages!$A$2:$C$17, 2, 0)), Q2878, VLOOKUP(Q2878, Wages!$A$2:$C$17, 2, 0))) * IF(ISBLANK(N2878), 0, IF(ISNA(VLOOKUP(N2878, Crews!$A$2:$C$28, 2, 0)), N2878, VLOOKUP(N2878, Crews!$A$2:$C$28, 2, 0))))) * 400</f>
        <v>7250</v>
      </c>
      <c r="K2878" s="1"/>
      <c r="L2878" s="1" t="s">
        <v>5533</v>
      </c>
      <c r="M2878" s="1" t="n">
        <v>4</v>
      </c>
      <c r="N2878" s="1" t="s">
        <v>1512</v>
      </c>
      <c r="O2878" s="1" t="n">
        <v>1</v>
      </c>
      <c r="P2878" s="1"/>
      <c r="Q2878" s="1" t="str">
        <f aca="false">IF(ISBLANK('Pak128 Britain In'!$N2878),,'Pak128 Britain In'!$N2878)</f>
        <v>ElectricMultipleUnit</v>
      </c>
      <c r="R2878" s="1" t="s">
        <v>4696</v>
      </c>
      <c r="S2878" s="1" t="s">
        <v>1350</v>
      </c>
      <c r="T2878" s="1" t="s">
        <v>5303</v>
      </c>
    </row>
    <row r="2879" customFormat="false" ht="15" hidden="false" customHeight="true" outlineLevel="0" collapsed="false">
      <c r="A2879" s="1" t="s">
        <v>5538</v>
      </c>
      <c r="B2879" s="1" t="n">
        <v>2009</v>
      </c>
      <c r="C2879" s="1" t="n">
        <v>12</v>
      </c>
      <c r="D2879" s="1" t="s">
        <v>38</v>
      </c>
      <c r="E2879" s="1" t="s">
        <v>1346</v>
      </c>
      <c r="F2879" s="1" t="n">
        <v>500</v>
      </c>
      <c r="G2879" s="1" t="n">
        <v>100</v>
      </c>
      <c r="H2879" s="2" t="n">
        <v>1950000</v>
      </c>
      <c r="I2879" s="2" t="n">
        <f aca="false">(((H2879 / 800) / IF(ISBLANK(R2879), 1000000, IF(ISNA(VLOOKUP(R2879, Mileages!$A$2:$C$34, 2, 0)), R2879, VLOOKUP(R2879, Mileages!$A$2:$C$34, 2, 0)))) + (F2879 * IF(ISBLANK(P2879), 1, P2879) * IF(ISBLANK(T2879), 0, IF(ISNA(VLOOKUP(T2879, 'Fuel Costs'!$A$2:$C$42, 2, 0)), T2879, VLOOKUP(T2879, 'Fuel Costs'!$A$2:$C$42, 2, 0))) / IF(ISBLANK(O2879), 1, O2879))) * 100</f>
        <v>75.121875</v>
      </c>
      <c r="J2879" s="2" t="n">
        <f aca="false">((H2879 / 800) / (IF(ISBLANK(S2879), 100, IF(ISNA(VLOOKUP(S2879, Lives!$A$2:$C$35, 2, 0)), S2879, VLOOKUP(S2879, Lives!$A$2:$C$35, 2, 0))) * 12) + (IF(ISBLANK(Q2879), 0, IF(ISNA(VLOOKUP(Q2879, Wages!$A$2:$C$17, 2, 0)), Q2879, VLOOKUP(Q2879, Wages!$A$2:$C$17, 2, 0))) * IF(ISBLANK(N2879), 0, IF(ISNA(VLOOKUP(N2879, Crews!$A$2:$C$28, 2, 0)), N2879, VLOOKUP(N2879, Crews!$A$2:$C$28, 2, 0))))) * 400</f>
        <v>7625</v>
      </c>
      <c r="K2879" s="1"/>
      <c r="L2879" s="1" t="s">
        <v>5533</v>
      </c>
      <c r="M2879" s="1" t="n">
        <v>5</v>
      </c>
      <c r="N2879" s="1" t="s">
        <v>1512</v>
      </c>
      <c r="O2879" s="1" t="n">
        <v>1</v>
      </c>
      <c r="P2879" s="1"/>
      <c r="Q2879" s="1" t="str">
        <f aca="false">IF(ISBLANK('Pak128 Britain In'!$N2879),,'Pak128 Britain In'!$N2879)</f>
        <v>ElectricMultipleUnit</v>
      </c>
      <c r="R2879" s="1" t="s">
        <v>4696</v>
      </c>
      <c r="S2879" s="1" t="s">
        <v>1350</v>
      </c>
      <c r="T2879" s="1" t="s">
        <v>5303</v>
      </c>
    </row>
    <row r="2880" customFormat="false" ht="15" hidden="false" customHeight="true" outlineLevel="0" collapsed="false">
      <c r="A2880" s="1" t="s">
        <v>5539</v>
      </c>
      <c r="B2880" s="1" t="n">
        <v>2010</v>
      </c>
      <c r="C2880" s="1" t="n">
        <v>6</v>
      </c>
      <c r="D2880" s="1" t="s">
        <v>21</v>
      </c>
      <c r="E2880" s="1" t="s">
        <v>2039</v>
      </c>
      <c r="F2880" s="1" t="n">
        <v>138</v>
      </c>
      <c r="G2880" s="1" t="n">
        <v>64</v>
      </c>
      <c r="H2880" s="2" t="n">
        <v>7700000</v>
      </c>
      <c r="I2880" s="2" t="n">
        <f aca="false">(((H2880 / 800) / IF(ISBLANK(R2880), 1000000, IF(ISNA(VLOOKUP(R2880, Mileages!$A$2:$C$34, 2, 0)), R2880, VLOOKUP(R2880, Mileages!$A$2:$C$34, 2, 0)))) + (F2880 * IF(ISBLANK(P2880), 1, P2880) * IF(ISBLANK(T2880), 0, IF(ISNA(VLOOKUP(T2880, 'Fuel Costs'!$A$2:$C$42, 2, 0)), T2880, VLOOKUP(T2880, 'Fuel Costs'!$A$2:$C$42, 2, 0))) / IF(ISBLANK(O2880), 1, O2880))) * 100</f>
        <v>42.04166667</v>
      </c>
      <c r="J2880" s="2" t="n">
        <f aca="false">((H2880 / 800) / (IF(ISBLANK(S2880), 100, IF(ISNA(VLOOKUP(S2880, Lives!$A$2:$C$35, 2, 0)), S2880, VLOOKUP(S2880, Lives!$A$2:$C$35, 2, 0))) * 12) + (IF(ISBLANK(Q2880), 0, IF(ISNA(VLOOKUP(Q2880, Wages!$A$2:$C$17, 2, 0)), Q2880, VLOOKUP(Q2880, Wages!$A$2:$C$17, 2, 0))) * IF(ISBLANK(N2880), 0, IF(ISNA(VLOOKUP(N2880, Crews!$A$2:$C$28, 2, 0)), N2880, VLOOKUP(N2880, Crews!$A$2:$C$28, 2, 0))))) * 400</f>
        <v>14020.83333</v>
      </c>
      <c r="K2880" s="3" t="s">
        <v>5540</v>
      </c>
      <c r="L2880" s="1" t="s">
        <v>5541</v>
      </c>
      <c r="M2880" s="1" t="n">
        <v>0</v>
      </c>
      <c r="N2880" s="1" t="s">
        <v>3064</v>
      </c>
      <c r="O2880" s="1" t="n">
        <v>1</v>
      </c>
      <c r="P2880" s="1"/>
      <c r="Q2880" s="1" t="s">
        <v>3064</v>
      </c>
      <c r="R2880" s="1" t="s">
        <v>4730</v>
      </c>
      <c r="S2880" s="1" t="s">
        <v>3064</v>
      </c>
      <c r="T2880" s="1" t="s">
        <v>5542</v>
      </c>
    </row>
    <row r="2881" customFormat="false" ht="15" hidden="false" customHeight="true" outlineLevel="0" collapsed="false">
      <c r="A2881" s="1" t="s">
        <v>5543</v>
      </c>
      <c r="B2881" s="1" t="n">
        <v>2010</v>
      </c>
      <c r="C2881" s="1" t="n">
        <v>6</v>
      </c>
      <c r="D2881" s="1" t="s">
        <v>21</v>
      </c>
      <c r="E2881" s="1" t="s">
        <v>2039</v>
      </c>
      <c r="F2881" s="1" t="n">
        <v>138</v>
      </c>
      <c r="G2881" s="1" t="n">
        <v>64</v>
      </c>
      <c r="H2881" s="2" t="n">
        <v>7780000</v>
      </c>
      <c r="I2881" s="2" t="n">
        <f aca="false">(((H2881 / 800) / IF(ISBLANK(R2881), 1000000, IF(ISNA(VLOOKUP(R2881, Mileages!$A$2:$C$34, 2, 0)), R2881, VLOOKUP(R2881, Mileages!$A$2:$C$34, 2, 0)))) + (F2881 * IF(ISBLANK(P2881), 1, P2881) * IF(ISBLANK(T2881), 0, IF(ISNA(VLOOKUP(T2881, 'Fuel Costs'!$A$2:$C$42, 2, 0)), T2881, VLOOKUP(T2881, 'Fuel Costs'!$A$2:$C$42, 2, 0))) / IF(ISBLANK(O2881), 1, O2881))) * 100</f>
        <v>42.04833333</v>
      </c>
      <c r="J2881" s="2" t="n">
        <f aca="false">((H2881 / 800) / (IF(ISBLANK(S2881), 100, IF(ISNA(VLOOKUP(S2881, Lives!$A$2:$C$35, 2, 0)), S2881, VLOOKUP(S2881, Lives!$A$2:$C$35, 2, 0))) * 12) + (IF(ISBLANK(Q2881), 0, IF(ISNA(VLOOKUP(Q2881, Wages!$A$2:$C$17, 2, 0)), Q2881, VLOOKUP(Q2881, Wages!$A$2:$C$17, 2, 0))) * IF(ISBLANK(N2881), 0, IF(ISNA(VLOOKUP(N2881, Crews!$A$2:$C$28, 2, 0)), N2881, VLOOKUP(N2881, Crews!$A$2:$C$28, 2, 0))))) * 400</f>
        <v>14104.16667</v>
      </c>
      <c r="K2881" s="3" t="s">
        <v>5544</v>
      </c>
      <c r="L2881" s="1" t="s">
        <v>5541</v>
      </c>
      <c r="M2881" s="1" t="n">
        <v>1</v>
      </c>
      <c r="N2881" s="1" t="s">
        <v>3064</v>
      </c>
      <c r="O2881" s="1" t="n">
        <v>1</v>
      </c>
      <c r="P2881" s="1"/>
      <c r="Q2881" s="1" t="s">
        <v>3064</v>
      </c>
      <c r="R2881" s="1" t="s">
        <v>4730</v>
      </c>
      <c r="S2881" s="1" t="s">
        <v>3064</v>
      </c>
      <c r="T2881" s="1" t="s">
        <v>5542</v>
      </c>
    </row>
    <row r="2882" customFormat="false" ht="15" hidden="false" customHeight="true" outlineLevel="0" collapsed="false">
      <c r="A2882" s="1" t="s">
        <v>5545</v>
      </c>
      <c r="B2882" s="1" t="n">
        <v>2010</v>
      </c>
      <c r="C2882" s="1" t="n">
        <v>7</v>
      </c>
      <c r="D2882" s="1" t="s">
        <v>38</v>
      </c>
      <c r="E2882" s="1" t="s">
        <v>1346</v>
      </c>
      <c r="F2882" s="1" t="n">
        <v>400</v>
      </c>
      <c r="G2882" s="1" t="n">
        <v>100</v>
      </c>
      <c r="H2882" s="2" t="n">
        <v>1950000</v>
      </c>
      <c r="I2882" s="2" t="n">
        <f aca="false">(((H2882 / 800) / IF(ISBLANK(R2882), 1000000, IF(ISNA(VLOOKUP(R2882, Mileages!$A$2:$C$34, 2, 0)), R2882, VLOOKUP(R2882, Mileages!$A$2:$C$34, 2, 0)))) + (F2882 * IF(ISBLANK(P2882), 1, P2882) * IF(ISBLANK(T2882), 0, IF(ISNA(VLOOKUP(T2882, 'Fuel Costs'!$A$2:$C$42, 2, 0)), T2882, VLOOKUP(T2882, 'Fuel Costs'!$A$2:$C$42, 2, 0))) / IF(ISBLANK(O2882), 1, O2882))) * 100</f>
        <v>80.121875</v>
      </c>
      <c r="J2882" s="2" t="n">
        <f aca="false">((H2882 / 800) / (IF(ISBLANK(S2882), 100, IF(ISNA(VLOOKUP(S2882, Lives!$A$2:$C$35, 2, 0)), S2882, VLOOKUP(S2882, Lives!$A$2:$C$35, 2, 0))) * 12) + (IF(ISBLANK(Q2882), 0, IF(ISNA(VLOOKUP(Q2882, Wages!$A$2:$C$17, 2, 0)), Q2882, VLOOKUP(Q2882, Wages!$A$2:$C$17, 2, 0))) * IF(ISBLANK(N2882), 0, IF(ISNA(VLOOKUP(N2882, Crews!$A$2:$C$28, 2, 0)), N2882, VLOOKUP(N2882, Crews!$A$2:$C$28, 2, 0))))) * 400</f>
        <v>7625</v>
      </c>
      <c r="K2882" s="3" t="s">
        <v>5546</v>
      </c>
      <c r="L2882" s="1" t="s">
        <v>5547</v>
      </c>
      <c r="M2882" s="1" t="n">
        <v>0</v>
      </c>
      <c r="N2882" s="1" t="s">
        <v>1512</v>
      </c>
      <c r="O2882" s="1" t="n">
        <v>1</v>
      </c>
      <c r="P2882" s="1"/>
      <c r="Q2882" s="1" t="str">
        <f aca="false">IF(ISBLANK('Pak128 Britain In'!$N2882),,'Pak128 Britain In'!$N2882)</f>
        <v>ElectricMultipleUnit</v>
      </c>
      <c r="R2882" s="1" t="s">
        <v>4696</v>
      </c>
      <c r="S2882" s="1" t="s">
        <v>1350</v>
      </c>
      <c r="T2882" s="1" t="s">
        <v>5548</v>
      </c>
    </row>
    <row r="2883" customFormat="false" ht="15" hidden="false" customHeight="true" outlineLevel="0" collapsed="false">
      <c r="A2883" s="1" t="s">
        <v>5549</v>
      </c>
      <c r="B2883" s="1" t="n">
        <v>2010</v>
      </c>
      <c r="C2883" s="1" t="n">
        <v>7</v>
      </c>
      <c r="D2883" s="1" t="s">
        <v>38</v>
      </c>
      <c r="E2883" s="1" t="s">
        <v>1346</v>
      </c>
      <c r="F2883" s="1" t="n">
        <v>400</v>
      </c>
      <c r="G2883" s="1" t="n">
        <v>100</v>
      </c>
      <c r="H2883" s="2" t="n">
        <v>1500000</v>
      </c>
      <c r="I2883" s="2" t="n">
        <f aca="false">(((H2883 / 800) / IF(ISBLANK(R2883), 1000000, IF(ISNA(VLOOKUP(R2883, Mileages!$A$2:$C$34, 2, 0)), R2883, VLOOKUP(R2883, Mileages!$A$2:$C$34, 2, 0)))) + (F2883 * IF(ISBLANK(P2883), 1, P2883) * IF(ISBLANK(T2883), 0, IF(ISNA(VLOOKUP(T2883, 'Fuel Costs'!$A$2:$C$42, 2, 0)), T2883, VLOOKUP(T2883, 'Fuel Costs'!$A$2:$C$42, 2, 0))) / IF(ISBLANK(O2883), 1, O2883))) * 100</f>
        <v>80.09375</v>
      </c>
      <c r="J2883" s="2" t="n">
        <f aca="false">((H2883 / 800) / (IF(ISBLANK(S2883), 100, IF(ISNA(VLOOKUP(S2883, Lives!$A$2:$C$35, 2, 0)), S2883, VLOOKUP(S2883, Lives!$A$2:$C$35, 2, 0))) * 12) + (IF(ISBLANK(Q2883), 0, IF(ISNA(VLOOKUP(Q2883, Wages!$A$2:$C$17, 2, 0)), Q2883, VLOOKUP(Q2883, Wages!$A$2:$C$17, 2, 0))) * IF(ISBLANK(N2883), 0, IF(ISNA(VLOOKUP(N2883, Crews!$A$2:$C$28, 2, 0)), N2883, VLOOKUP(N2883, Crews!$A$2:$C$28, 2, 0))))) * 400</f>
        <v>1250</v>
      </c>
      <c r="K2883" s="1"/>
      <c r="L2883" s="1" t="s">
        <v>5547</v>
      </c>
      <c r="M2883" s="1" t="n">
        <v>1</v>
      </c>
      <c r="N2883" s="1"/>
      <c r="O2883" s="1" t="n">
        <v>1</v>
      </c>
      <c r="P2883" s="1"/>
      <c r="Q2883" s="1"/>
      <c r="R2883" s="1" t="s">
        <v>4696</v>
      </c>
      <c r="S2883" s="1" t="s">
        <v>1350</v>
      </c>
      <c r="T2883" s="1" t="s">
        <v>5548</v>
      </c>
    </row>
    <row r="2884" customFormat="false" ht="15" hidden="false" customHeight="true" outlineLevel="0" collapsed="false">
      <c r="A2884" s="1" t="s">
        <v>5550</v>
      </c>
      <c r="B2884" s="1" t="n">
        <v>2010</v>
      </c>
      <c r="C2884" s="1" t="n">
        <v>7</v>
      </c>
      <c r="D2884" s="1" t="s">
        <v>38</v>
      </c>
      <c r="E2884" s="1" t="s">
        <v>1346</v>
      </c>
      <c r="F2884" s="1" t="n">
        <v>400</v>
      </c>
      <c r="G2884" s="1" t="n">
        <v>100</v>
      </c>
      <c r="H2884" s="2" t="n">
        <v>1950000</v>
      </c>
      <c r="I2884" s="2" t="n">
        <f aca="false">(((H2884 / 800) / IF(ISBLANK(R2884), 1000000, IF(ISNA(VLOOKUP(R2884, Mileages!$A$2:$C$34, 2, 0)), R2884, VLOOKUP(R2884, Mileages!$A$2:$C$34, 2, 0)))) + (F2884 * IF(ISBLANK(P2884), 1, P2884) * IF(ISBLANK(T2884), 0, IF(ISNA(VLOOKUP(T2884, 'Fuel Costs'!$A$2:$C$42, 2, 0)), T2884, VLOOKUP(T2884, 'Fuel Costs'!$A$2:$C$42, 2, 0))) / IF(ISBLANK(O2884), 1, O2884))) * 100</f>
        <v>80.121875</v>
      </c>
      <c r="J2884" s="2" t="n">
        <f aca="false">((H2884 / 800) / (IF(ISBLANK(S2884), 100, IF(ISNA(VLOOKUP(S2884, Lives!$A$2:$C$35, 2, 0)), S2884, VLOOKUP(S2884, Lives!$A$2:$C$35, 2, 0))) * 12) + (IF(ISBLANK(Q2884), 0, IF(ISNA(VLOOKUP(Q2884, Wages!$A$2:$C$17, 2, 0)), Q2884, VLOOKUP(Q2884, Wages!$A$2:$C$17, 2, 0))) * IF(ISBLANK(N2884), 0, IF(ISNA(VLOOKUP(N2884, Crews!$A$2:$C$28, 2, 0)), N2884, VLOOKUP(N2884, Crews!$A$2:$C$28, 2, 0))))) * 400</f>
        <v>7625</v>
      </c>
      <c r="K2884" s="1"/>
      <c r="L2884" s="1" t="s">
        <v>5547</v>
      </c>
      <c r="M2884" s="1" t="n">
        <v>2</v>
      </c>
      <c r="N2884" s="1" t="s">
        <v>1512</v>
      </c>
      <c r="O2884" s="1" t="n">
        <v>1</v>
      </c>
      <c r="P2884" s="1"/>
      <c r="Q2884" s="1" t="str">
        <f aca="false">IF(ISBLANK('Pak128 Britain In'!$N2884),,'Pak128 Britain In'!$N2884)</f>
        <v>ElectricMultipleUnit</v>
      </c>
      <c r="R2884" s="1" t="s">
        <v>4696</v>
      </c>
      <c r="S2884" s="1" t="s">
        <v>1350</v>
      </c>
      <c r="T2884" s="1" t="s">
        <v>5548</v>
      </c>
    </row>
    <row r="2885" customFormat="false" ht="15" hidden="false" customHeight="true" outlineLevel="0" collapsed="false">
      <c r="A2885" s="1" t="s">
        <v>5551</v>
      </c>
      <c r="B2885" s="1" t="n">
        <v>2010</v>
      </c>
      <c r="C2885" s="1" t="n">
        <v>7</v>
      </c>
      <c r="D2885" s="1" t="s">
        <v>38</v>
      </c>
      <c r="E2885" s="1" t="s">
        <v>2039</v>
      </c>
      <c r="F2885" s="1" t="n">
        <v>360</v>
      </c>
      <c r="G2885" s="1" t="n">
        <v>120</v>
      </c>
      <c r="H2885" s="2" t="n">
        <v>1930000</v>
      </c>
      <c r="I2885" s="2" t="n">
        <f aca="false">(((H2885 / 800) / IF(ISBLANK(R2885), 1000000, IF(ISNA(VLOOKUP(R2885, Mileages!$A$2:$C$34, 2, 0)), R2885, VLOOKUP(R2885, Mileages!$A$2:$C$34, 2, 0)))) + (F2885 * IF(ISBLANK(P2885), 1, P2885) * IF(ISBLANK(T2885), 0, IF(ISNA(VLOOKUP(T2885, 'Fuel Costs'!$A$2:$C$42, 2, 0)), T2885, VLOOKUP(T2885, 'Fuel Costs'!$A$2:$C$42, 2, 0))) / IF(ISBLANK(O2885), 1, O2885))) * 100</f>
        <v>108.120625</v>
      </c>
      <c r="J2885" s="2" t="n">
        <f aca="false">((H2885 / 800) / (IF(ISBLANK(S2885), 100, IF(ISNA(VLOOKUP(S2885, Lives!$A$2:$C$35, 2, 0)), S2885, VLOOKUP(S2885, Lives!$A$2:$C$35, 2, 0))) * 12) + (IF(ISBLANK(Q2885), 0, IF(ISNA(VLOOKUP(Q2885, Wages!$A$2:$C$17, 2, 0)), Q2885, VLOOKUP(Q2885, Wages!$A$2:$C$17, 2, 0))) * IF(ISBLANK(N2885), 0, IF(ISNA(VLOOKUP(N2885, Crews!$A$2:$C$28, 2, 0)), N2885, VLOOKUP(N2885, Crews!$A$2:$C$28, 2, 0))))) * 400</f>
        <v>7005.208333</v>
      </c>
      <c r="K2885" s="1"/>
      <c r="L2885" s="1" t="s">
        <v>5552</v>
      </c>
      <c r="M2885" s="1" t="n">
        <v>0</v>
      </c>
      <c r="N2885" s="1" t="s">
        <v>1512</v>
      </c>
      <c r="O2885" s="1" t="n">
        <v>1</v>
      </c>
      <c r="P2885" s="1"/>
      <c r="Q2885" s="1" t="s">
        <v>1512</v>
      </c>
      <c r="R2885" s="1" t="s">
        <v>4747</v>
      </c>
      <c r="S2885" s="1" t="s">
        <v>4747</v>
      </c>
      <c r="T2885" s="1" t="s">
        <v>5542</v>
      </c>
    </row>
    <row r="2886" customFormat="false" ht="15" hidden="false" customHeight="true" outlineLevel="0" collapsed="false">
      <c r="A2886" s="1" t="s">
        <v>5553</v>
      </c>
      <c r="B2886" s="1" t="n">
        <v>2010</v>
      </c>
      <c r="C2886" s="1" t="n">
        <v>7</v>
      </c>
      <c r="D2886" s="1" t="s">
        <v>38</v>
      </c>
      <c r="E2886" s="1" t="s">
        <v>2039</v>
      </c>
      <c r="F2886" s="1" t="n">
        <v>360</v>
      </c>
      <c r="G2886" s="1" t="n">
        <v>120</v>
      </c>
      <c r="H2886" s="2" t="n">
        <v>1930000</v>
      </c>
      <c r="I2886" s="2" t="n">
        <f aca="false">(((H2886 / 800) / IF(ISBLANK(R2886), 1000000, IF(ISNA(VLOOKUP(R2886, Mileages!$A$2:$C$34, 2, 0)), R2886, VLOOKUP(R2886, Mileages!$A$2:$C$34, 2, 0)))) + (F2886 * IF(ISBLANK(P2886), 1, P2886) * IF(ISBLANK(T2886), 0, IF(ISNA(VLOOKUP(T2886, 'Fuel Costs'!$A$2:$C$42, 2, 0)), T2886, VLOOKUP(T2886, 'Fuel Costs'!$A$2:$C$42, 2, 0))) / IF(ISBLANK(O2886), 1, O2886))) * 100</f>
        <v>108.120625</v>
      </c>
      <c r="J2886" s="2" t="n">
        <f aca="false">((H2886 / 800) / (IF(ISBLANK(S2886), 100, IF(ISNA(VLOOKUP(S2886, Lives!$A$2:$C$35, 2, 0)), S2886, VLOOKUP(S2886, Lives!$A$2:$C$35, 2, 0))) * 12) + (IF(ISBLANK(Q2886), 0, IF(ISNA(VLOOKUP(Q2886, Wages!$A$2:$C$17, 2, 0)), Q2886, VLOOKUP(Q2886, Wages!$A$2:$C$17, 2, 0))) * IF(ISBLANK(N2886), 0, IF(ISNA(VLOOKUP(N2886, Crews!$A$2:$C$28, 2, 0)), N2886, VLOOKUP(N2886, Crews!$A$2:$C$28, 2, 0))))) * 400</f>
        <v>7005.208333</v>
      </c>
      <c r="K2886" s="3" t="s">
        <v>5554</v>
      </c>
      <c r="L2886" s="1" t="s">
        <v>5552</v>
      </c>
      <c r="M2886" s="1" t="n">
        <v>1</v>
      </c>
      <c r="N2886" s="1" t="s">
        <v>1512</v>
      </c>
      <c r="O2886" s="1" t="n">
        <v>1</v>
      </c>
      <c r="P2886" s="1"/>
      <c r="Q2886" s="1" t="s">
        <v>1512</v>
      </c>
      <c r="R2886" s="1" t="s">
        <v>4747</v>
      </c>
      <c r="S2886" s="1" t="s">
        <v>4747</v>
      </c>
      <c r="T2886" s="1" t="s">
        <v>5542</v>
      </c>
    </row>
    <row r="2887" customFormat="false" ht="15" hidden="false" customHeight="true" outlineLevel="0" collapsed="false">
      <c r="A2887" s="1" t="s">
        <v>5555</v>
      </c>
      <c r="B2887" s="1" t="n">
        <v>2010</v>
      </c>
      <c r="C2887" s="1" t="n">
        <v>7</v>
      </c>
      <c r="D2887" s="1" t="s">
        <v>38</v>
      </c>
      <c r="E2887" s="1" t="s">
        <v>2039</v>
      </c>
      <c r="F2887" s="1" t="n">
        <v>360</v>
      </c>
      <c r="G2887" s="1" t="n">
        <v>120</v>
      </c>
      <c r="H2887" s="2" t="n">
        <v>1930000</v>
      </c>
      <c r="I2887" s="2" t="n">
        <f aca="false">(((H2887 / 800) / IF(ISBLANK(R2887), 1000000, IF(ISNA(VLOOKUP(R2887, Mileages!$A$2:$C$34, 2, 0)), R2887, VLOOKUP(R2887, Mileages!$A$2:$C$34, 2, 0)))) + (F2887 * IF(ISBLANK(P2887), 1, P2887) * IF(ISBLANK(T2887), 0, IF(ISNA(VLOOKUP(T2887, 'Fuel Costs'!$A$2:$C$42, 2, 0)), T2887, VLOOKUP(T2887, 'Fuel Costs'!$A$2:$C$42, 2, 0))) / IF(ISBLANK(O2887), 1, O2887))) * 100</f>
        <v>108.120625</v>
      </c>
      <c r="J2887" s="2" t="n">
        <f aca="false">((H2887 / 800) / (IF(ISBLANK(S2887), 100, IF(ISNA(VLOOKUP(S2887, Lives!$A$2:$C$35, 2, 0)), S2887, VLOOKUP(S2887, Lives!$A$2:$C$35, 2, 0))) * 12) + (IF(ISBLANK(Q2887), 0, IF(ISNA(VLOOKUP(Q2887, Wages!$A$2:$C$17, 2, 0)), Q2887, VLOOKUP(Q2887, Wages!$A$2:$C$17, 2, 0))) * IF(ISBLANK(N2887), 0, IF(ISNA(VLOOKUP(N2887, Crews!$A$2:$C$28, 2, 0)), N2887, VLOOKUP(N2887, Crews!$A$2:$C$28, 2, 0))))) * 400</f>
        <v>1005.208333</v>
      </c>
      <c r="K2887" s="3" t="s">
        <v>5554</v>
      </c>
      <c r="L2887" s="1" t="s">
        <v>5552</v>
      </c>
      <c r="M2887" s="1" t="n">
        <v>2</v>
      </c>
      <c r="N2887" s="1"/>
      <c r="O2887" s="1" t="n">
        <v>1</v>
      </c>
      <c r="P2887" s="1"/>
      <c r="Q2887" s="1"/>
      <c r="R2887" s="1" t="s">
        <v>4747</v>
      </c>
      <c r="S2887" s="1" t="s">
        <v>4747</v>
      </c>
      <c r="T2887" s="1" t="s">
        <v>5542</v>
      </c>
    </row>
    <row r="2888" customFormat="false" ht="15" hidden="false" customHeight="true" outlineLevel="0" collapsed="false">
      <c r="A2888" s="1" t="s">
        <v>5556</v>
      </c>
      <c r="B2888" s="1" t="n">
        <v>2010</v>
      </c>
      <c r="C2888" s="1" t="n">
        <v>10</v>
      </c>
      <c r="D2888" s="1" t="s">
        <v>38</v>
      </c>
      <c r="E2888" s="1" t="s">
        <v>2039</v>
      </c>
      <c r="F2888" s="1" t="n">
        <v>360</v>
      </c>
      <c r="G2888" s="1" t="n">
        <v>160</v>
      </c>
      <c r="H2888" s="2" t="n">
        <v>1930000</v>
      </c>
      <c r="I2888" s="2" t="n">
        <f aca="false">(((H2888 / 800) / IF(ISBLANK(R2888), 1000000, IF(ISNA(VLOOKUP(R2888, Mileages!$A$2:$C$34, 2, 0)), R2888, VLOOKUP(R2888, Mileages!$A$2:$C$34, 2, 0)))) + (F2888 * IF(ISBLANK(P2888), 1, P2888) * IF(ISBLANK(T2888), 0, IF(ISNA(VLOOKUP(T2888, 'Fuel Costs'!$A$2:$C$42, 2, 0)), T2888, VLOOKUP(T2888, 'Fuel Costs'!$A$2:$C$42, 2, 0))) / IF(ISBLANK(O2888), 1, O2888))) * 100</f>
        <v>108.120625</v>
      </c>
      <c r="J2888" s="2" t="n">
        <f aca="false">((H2888 / 800) / (IF(ISBLANK(S2888), 100, IF(ISNA(VLOOKUP(S2888, Lives!$A$2:$C$35, 2, 0)), S2888, VLOOKUP(S2888, Lives!$A$2:$C$35, 2, 0))) * 12) + (IF(ISBLANK(Q2888), 0, IF(ISNA(VLOOKUP(Q2888, Wages!$A$2:$C$17, 2, 0)), Q2888, VLOOKUP(Q2888, Wages!$A$2:$C$17, 2, 0))) * IF(ISBLANK(N2888), 0, IF(ISNA(VLOOKUP(N2888, Crews!$A$2:$C$28, 2, 0)), N2888, VLOOKUP(N2888, Crews!$A$2:$C$28, 2, 0))))) * 400</f>
        <v>7005.208333</v>
      </c>
      <c r="K2888" s="3" t="s">
        <v>5554</v>
      </c>
      <c r="L2888" s="1" t="s">
        <v>5557</v>
      </c>
      <c r="M2888" s="1" t="n">
        <v>0</v>
      </c>
      <c r="N2888" s="1" t="s">
        <v>1512</v>
      </c>
      <c r="O2888" s="1" t="n">
        <v>1</v>
      </c>
      <c r="P2888" s="1"/>
      <c r="Q2888" s="1" t="s">
        <v>1512</v>
      </c>
      <c r="R2888" s="1" t="s">
        <v>4747</v>
      </c>
      <c r="S2888" s="1" t="s">
        <v>4747</v>
      </c>
      <c r="T2888" s="1" t="s">
        <v>5542</v>
      </c>
    </row>
    <row r="2889" customFormat="false" ht="15" hidden="false" customHeight="true" outlineLevel="0" collapsed="false">
      <c r="A2889" s="1" t="s">
        <v>5558</v>
      </c>
      <c r="B2889" s="1" t="n">
        <v>2010</v>
      </c>
      <c r="C2889" s="1" t="n">
        <v>10</v>
      </c>
      <c r="D2889" s="1" t="s">
        <v>38</v>
      </c>
      <c r="E2889" s="1" t="s">
        <v>2039</v>
      </c>
      <c r="F2889" s="1" t="n">
        <v>360</v>
      </c>
      <c r="G2889" s="1" t="n">
        <v>160</v>
      </c>
      <c r="H2889" s="2" t="n">
        <v>1930000</v>
      </c>
      <c r="I2889" s="2" t="n">
        <f aca="false">(((H2889 / 800) / IF(ISBLANK(R2889), 1000000, IF(ISNA(VLOOKUP(R2889, Mileages!$A$2:$C$34, 2, 0)), R2889, VLOOKUP(R2889, Mileages!$A$2:$C$34, 2, 0)))) + (F2889 * IF(ISBLANK(P2889), 1, P2889) * IF(ISBLANK(T2889), 0, IF(ISNA(VLOOKUP(T2889, 'Fuel Costs'!$A$2:$C$42, 2, 0)), T2889, VLOOKUP(T2889, 'Fuel Costs'!$A$2:$C$42, 2, 0))) / IF(ISBLANK(O2889), 1, O2889))) * 100</f>
        <v>108.120625</v>
      </c>
      <c r="J2889" s="2" t="n">
        <f aca="false">((H2889 / 800) / (IF(ISBLANK(S2889), 100, IF(ISNA(VLOOKUP(S2889, Lives!$A$2:$C$35, 2, 0)), S2889, VLOOKUP(S2889, Lives!$A$2:$C$35, 2, 0))) * 12) + (IF(ISBLANK(Q2889), 0, IF(ISNA(VLOOKUP(Q2889, Wages!$A$2:$C$17, 2, 0)), Q2889, VLOOKUP(Q2889, Wages!$A$2:$C$17, 2, 0))) * IF(ISBLANK(N2889), 0, IF(ISNA(VLOOKUP(N2889, Crews!$A$2:$C$28, 2, 0)), N2889, VLOOKUP(N2889, Crews!$A$2:$C$28, 2, 0))))) * 400</f>
        <v>7005.208333</v>
      </c>
      <c r="K2889" s="3" t="s">
        <v>5554</v>
      </c>
      <c r="L2889" s="1" t="s">
        <v>5557</v>
      </c>
      <c r="M2889" s="1" t="n">
        <v>1</v>
      </c>
      <c r="N2889" s="1" t="s">
        <v>1512</v>
      </c>
      <c r="O2889" s="1" t="n">
        <v>1</v>
      </c>
      <c r="P2889" s="1"/>
      <c r="Q2889" s="1" t="s">
        <v>1512</v>
      </c>
      <c r="R2889" s="1" t="s">
        <v>4747</v>
      </c>
      <c r="S2889" s="1" t="s">
        <v>4747</v>
      </c>
      <c r="T2889" s="1" t="s">
        <v>5542</v>
      </c>
    </row>
    <row r="2890" customFormat="false" ht="15" hidden="false" customHeight="true" outlineLevel="0" collapsed="false">
      <c r="A2890" s="1" t="s">
        <v>5559</v>
      </c>
      <c r="B2890" s="1" t="n">
        <v>2010</v>
      </c>
      <c r="C2890" s="1" t="n">
        <v>10</v>
      </c>
      <c r="D2890" s="1" t="s">
        <v>38</v>
      </c>
      <c r="E2890" s="1" t="s">
        <v>2039</v>
      </c>
      <c r="F2890" s="1" t="n">
        <v>360</v>
      </c>
      <c r="G2890" s="1" t="n">
        <v>160</v>
      </c>
      <c r="H2890" s="2" t="n">
        <v>1930000</v>
      </c>
      <c r="I2890" s="2" t="n">
        <f aca="false">(((H2890 / 800) / IF(ISBLANK(R2890), 1000000, IF(ISNA(VLOOKUP(R2890, Mileages!$A$2:$C$34, 2, 0)), R2890, VLOOKUP(R2890, Mileages!$A$2:$C$34, 2, 0)))) + (F2890 * IF(ISBLANK(P2890), 1, P2890) * IF(ISBLANK(T2890), 0, IF(ISNA(VLOOKUP(T2890, 'Fuel Costs'!$A$2:$C$42, 2, 0)), T2890, VLOOKUP(T2890, 'Fuel Costs'!$A$2:$C$42, 2, 0))) / IF(ISBLANK(O2890), 1, O2890))) * 100</f>
        <v>108.120625</v>
      </c>
      <c r="J2890" s="2" t="n">
        <f aca="false">((H2890 / 800) / (IF(ISBLANK(S2890), 100, IF(ISNA(VLOOKUP(S2890, Lives!$A$2:$C$35, 2, 0)), S2890, VLOOKUP(S2890, Lives!$A$2:$C$35, 2, 0))) * 12) + (IF(ISBLANK(Q2890), 0, IF(ISNA(VLOOKUP(Q2890, Wages!$A$2:$C$17, 2, 0)), Q2890, VLOOKUP(Q2890, Wages!$A$2:$C$17, 2, 0))) * IF(ISBLANK(N2890), 0, IF(ISNA(VLOOKUP(N2890, Crews!$A$2:$C$28, 2, 0)), N2890, VLOOKUP(N2890, Crews!$A$2:$C$28, 2, 0))))) * 400</f>
        <v>1005.208333</v>
      </c>
      <c r="K2890" s="3" t="s">
        <v>5554</v>
      </c>
      <c r="L2890" s="1" t="s">
        <v>5557</v>
      </c>
      <c r="M2890" s="1" t="n">
        <v>2</v>
      </c>
      <c r="N2890" s="1"/>
      <c r="O2890" s="1" t="n">
        <v>1</v>
      </c>
      <c r="P2890" s="1"/>
      <c r="Q2890" s="1"/>
      <c r="R2890" s="1" t="s">
        <v>4747</v>
      </c>
      <c r="S2890" s="1" t="s">
        <v>4747</v>
      </c>
      <c r="T2890" s="1" t="s">
        <v>5542</v>
      </c>
    </row>
    <row r="2891" customFormat="false" ht="15" hidden="false" customHeight="true" outlineLevel="0" collapsed="false">
      <c r="A2891" s="1" t="s">
        <v>5560</v>
      </c>
      <c r="B2891" s="1" t="n">
        <v>2010</v>
      </c>
      <c r="C2891" s="1" t="n">
        <v>10</v>
      </c>
      <c r="D2891" s="1" t="s">
        <v>38</v>
      </c>
      <c r="E2891" s="1" t="s">
        <v>1346</v>
      </c>
      <c r="F2891" s="1" t="n">
        <v>500</v>
      </c>
      <c r="G2891" s="1" t="n">
        <v>160</v>
      </c>
      <c r="H2891" s="2" t="n">
        <v>1008000</v>
      </c>
      <c r="I2891" s="2" t="n">
        <f aca="false">(((H2891 / 800) / IF(ISBLANK(R2891), 1000000, IF(ISNA(VLOOKUP(R2891, Mileages!$A$2:$C$34, 2, 0)), R2891, VLOOKUP(R2891, Mileages!$A$2:$C$34, 2, 0)))) + (F2891 * IF(ISBLANK(P2891), 1, P2891) * IF(ISBLANK(T2891), 0, IF(ISNA(VLOOKUP(T2891, 'Fuel Costs'!$A$2:$C$42, 2, 0)), T2891, VLOOKUP(T2891, 'Fuel Costs'!$A$2:$C$42, 2, 0))) / IF(ISBLANK(O2891), 1, O2891))) * 100</f>
        <v>100.063</v>
      </c>
      <c r="J2891" s="2" t="n">
        <f aca="false">((H2891 / 800) / (IF(ISBLANK(S2891), 100, IF(ISNA(VLOOKUP(S2891, Lives!$A$2:$C$35, 2, 0)), S2891, VLOOKUP(S2891, Lives!$A$2:$C$35, 2, 0))) * 12) + (IF(ISBLANK(Q2891), 0, IF(ISNA(VLOOKUP(Q2891, Wages!$A$2:$C$17, 2, 0)), Q2891, VLOOKUP(Q2891, Wages!$A$2:$C$17, 2, 0))) * IF(ISBLANK(N2891), 0, IF(ISNA(VLOOKUP(N2891, Crews!$A$2:$C$28, 2, 0)), N2891, VLOOKUP(N2891, Crews!$A$2:$C$28, 2, 0))))) * 400</f>
        <v>6840</v>
      </c>
      <c r="K2891" s="1"/>
      <c r="L2891" s="1" t="s">
        <v>5561</v>
      </c>
      <c r="M2891" s="1" t="n">
        <v>0</v>
      </c>
      <c r="N2891" s="1" t="s">
        <v>1512</v>
      </c>
      <c r="O2891" s="1" t="n">
        <v>1</v>
      </c>
      <c r="P2891" s="1"/>
      <c r="Q2891" s="1" t="str">
        <f aca="false">IF(ISBLANK('Pak128 Britain In'!$N2891),,'Pak128 Britain In'!$N2891)</f>
        <v>ElectricMultipleUnit</v>
      </c>
      <c r="R2891" s="1" t="s">
        <v>4696</v>
      </c>
      <c r="S2891" s="1" t="s">
        <v>1350</v>
      </c>
      <c r="T2891" s="1" t="s">
        <v>5548</v>
      </c>
    </row>
    <row r="2892" customFormat="false" ht="15" hidden="false" customHeight="true" outlineLevel="0" collapsed="false">
      <c r="A2892" s="1" t="s">
        <v>5562</v>
      </c>
      <c r="B2892" s="1" t="n">
        <v>2010</v>
      </c>
      <c r="C2892" s="1" t="n">
        <v>10</v>
      </c>
      <c r="D2892" s="1" t="s">
        <v>38</v>
      </c>
      <c r="E2892" s="1" t="s">
        <v>1346</v>
      </c>
      <c r="F2892" s="1" t="n">
        <v>0</v>
      </c>
      <c r="G2892" s="1" t="n">
        <v>160</v>
      </c>
      <c r="H2892" s="2" t="n">
        <v>1852000</v>
      </c>
      <c r="I2892" s="2" t="n">
        <f aca="false">(((H2892 / 800) / IF(ISBLANK(R2892), 1000000, IF(ISNA(VLOOKUP(R2892, Mileages!$A$2:$C$34, 2, 0)), R2892, VLOOKUP(R2892, Mileages!$A$2:$C$34, 2, 0)))) + (F2892 * IF(ISBLANK(P2892), 1, P2892) * IF(ISBLANK(T2892), 0, IF(ISNA(VLOOKUP(T2892, 'Fuel Costs'!$A$2:$C$42, 2, 0)), T2892, VLOOKUP(T2892, 'Fuel Costs'!$A$2:$C$42, 2, 0))) / IF(ISBLANK(O2892), 1, O2892))) * 100</f>
        <v>0.09645833333</v>
      </c>
      <c r="J2892" s="2" t="n">
        <f aca="false">((H2892 / 800) / (IF(ISBLANK(S2892), 100, IF(ISNA(VLOOKUP(S2892, Lives!$A$2:$C$35, 2, 0)), S2892, VLOOKUP(S2892, Lives!$A$2:$C$35, 2, 0))) * 12) + (IF(ISBLANK(Q2892), 0, IF(ISNA(VLOOKUP(Q2892, Wages!$A$2:$C$17, 2, 0)), Q2892, VLOOKUP(Q2892, Wages!$A$2:$C$17, 2, 0))) * IF(ISBLANK(N2892), 0, IF(ISNA(VLOOKUP(N2892, Crews!$A$2:$C$28, 2, 0)), N2892, VLOOKUP(N2892, Crews!$A$2:$C$28, 2, 0))))) * 400</f>
        <v>3858.333333</v>
      </c>
      <c r="K2892" s="1"/>
      <c r="L2892" s="1" t="s">
        <v>5561</v>
      </c>
      <c r="M2892" s="1" t="n">
        <v>1</v>
      </c>
      <c r="N2892" s="1"/>
      <c r="O2892" s="1"/>
      <c r="P2892" s="1"/>
      <c r="Q2892" s="1"/>
      <c r="R2892" s="1" t="s">
        <v>4419</v>
      </c>
      <c r="S2892" s="1" t="s">
        <v>4470</v>
      </c>
      <c r="T2892" s="1"/>
    </row>
    <row r="2893" customFormat="false" ht="15" hidden="false" customHeight="true" outlineLevel="0" collapsed="false">
      <c r="A2893" s="1" t="s">
        <v>5563</v>
      </c>
      <c r="B2893" s="1" t="n">
        <v>2010</v>
      </c>
      <c r="C2893" s="1" t="n">
        <v>10</v>
      </c>
      <c r="D2893" s="1" t="s">
        <v>38</v>
      </c>
      <c r="E2893" s="1" t="s">
        <v>1346</v>
      </c>
      <c r="F2893" s="1" t="n">
        <v>500</v>
      </c>
      <c r="G2893" s="1" t="n">
        <v>160</v>
      </c>
      <c r="H2893" s="2" t="n">
        <v>1008000</v>
      </c>
      <c r="I2893" s="2" t="n">
        <f aca="false">(((H2893 / 800) / IF(ISBLANK(R2893), 1000000, IF(ISNA(VLOOKUP(R2893, Mileages!$A$2:$C$34, 2, 0)), R2893, VLOOKUP(R2893, Mileages!$A$2:$C$34, 2, 0)))) + (F2893 * IF(ISBLANK(P2893), 1, P2893) * IF(ISBLANK(T2893), 0, IF(ISNA(VLOOKUP(T2893, 'Fuel Costs'!$A$2:$C$42, 2, 0)), T2893, VLOOKUP(T2893, 'Fuel Costs'!$A$2:$C$42, 2, 0))) / IF(ISBLANK(O2893), 1, O2893))) * 100</f>
        <v>100.063</v>
      </c>
      <c r="J2893" s="2" t="n">
        <f aca="false">((H2893 / 800) / (IF(ISBLANK(S2893), 100, IF(ISNA(VLOOKUP(S2893, Lives!$A$2:$C$35, 2, 0)), S2893, VLOOKUP(S2893, Lives!$A$2:$C$35, 2, 0))) * 12) + (IF(ISBLANK(Q2893), 0, IF(ISNA(VLOOKUP(Q2893, Wages!$A$2:$C$17, 2, 0)), Q2893, VLOOKUP(Q2893, Wages!$A$2:$C$17, 2, 0))) * IF(ISBLANK(N2893), 0, IF(ISNA(VLOOKUP(N2893, Crews!$A$2:$C$28, 2, 0)), N2893, VLOOKUP(N2893, Crews!$A$2:$C$28, 2, 0))))) * 400</f>
        <v>840</v>
      </c>
      <c r="K2893" s="1"/>
      <c r="L2893" s="1" t="s">
        <v>5561</v>
      </c>
      <c r="M2893" s="1" t="n">
        <v>2</v>
      </c>
      <c r="N2893" s="1"/>
      <c r="O2893" s="1" t="n">
        <v>1</v>
      </c>
      <c r="P2893" s="1"/>
      <c r="Q2893" s="1"/>
      <c r="R2893" s="1" t="s">
        <v>4696</v>
      </c>
      <c r="S2893" s="1" t="s">
        <v>1350</v>
      </c>
      <c r="T2893" s="1" t="s">
        <v>5548</v>
      </c>
    </row>
    <row r="2894" customFormat="false" ht="15" hidden="false" customHeight="true" outlineLevel="0" collapsed="false">
      <c r="A2894" s="1" t="s">
        <v>5564</v>
      </c>
      <c r="B2894" s="1" t="n">
        <v>2010</v>
      </c>
      <c r="C2894" s="1" t="n">
        <v>10</v>
      </c>
      <c r="D2894" s="1" t="s">
        <v>38</v>
      </c>
      <c r="E2894" s="1" t="s">
        <v>1346</v>
      </c>
      <c r="F2894" s="1" t="n">
        <v>500</v>
      </c>
      <c r="G2894" s="1" t="n">
        <v>160</v>
      </c>
      <c r="H2894" s="2" t="n">
        <v>1008000</v>
      </c>
      <c r="I2894" s="2" t="n">
        <f aca="false">(((H2894 / 800) / IF(ISBLANK(R2894), 1000000, IF(ISNA(VLOOKUP(R2894, Mileages!$A$2:$C$34, 2, 0)), R2894, VLOOKUP(R2894, Mileages!$A$2:$C$34, 2, 0)))) + (F2894 * IF(ISBLANK(P2894), 1, P2894) * IF(ISBLANK(T2894), 0, IF(ISNA(VLOOKUP(T2894, 'Fuel Costs'!$A$2:$C$42, 2, 0)), T2894, VLOOKUP(T2894, 'Fuel Costs'!$A$2:$C$42, 2, 0))) / IF(ISBLANK(O2894), 1, O2894))) * 100</f>
        <v>100.063</v>
      </c>
      <c r="J2894" s="2" t="n">
        <f aca="false">((H2894 / 800) / (IF(ISBLANK(S2894), 100, IF(ISNA(VLOOKUP(S2894, Lives!$A$2:$C$35, 2, 0)), S2894, VLOOKUP(S2894, Lives!$A$2:$C$35, 2, 0))) * 12) + (IF(ISBLANK(Q2894), 0, IF(ISNA(VLOOKUP(Q2894, Wages!$A$2:$C$17, 2, 0)), Q2894, VLOOKUP(Q2894, Wages!$A$2:$C$17, 2, 0))) * IF(ISBLANK(N2894), 0, IF(ISNA(VLOOKUP(N2894, Crews!$A$2:$C$28, 2, 0)), N2894, VLOOKUP(N2894, Crews!$A$2:$C$28, 2, 0))))) * 400</f>
        <v>6840</v>
      </c>
      <c r="K2894" s="1"/>
      <c r="L2894" s="1" t="s">
        <v>5561</v>
      </c>
      <c r="M2894" s="1" t="n">
        <v>3</v>
      </c>
      <c r="N2894" s="1" t="s">
        <v>1512</v>
      </c>
      <c r="O2894" s="1" t="n">
        <v>1</v>
      </c>
      <c r="P2894" s="1"/>
      <c r="Q2894" s="1" t="str">
        <f aca="false">IF(ISBLANK('Pak128 Britain In'!$N2894),,'Pak128 Britain In'!$N2894)</f>
        <v>ElectricMultipleUnit</v>
      </c>
      <c r="R2894" s="1" t="s">
        <v>4696</v>
      </c>
      <c r="S2894" s="1" t="s">
        <v>1350</v>
      </c>
      <c r="T2894" s="1" t="s">
        <v>5548</v>
      </c>
    </row>
    <row r="2895" customFormat="false" ht="15" hidden="false" customHeight="true" outlineLevel="0" collapsed="false">
      <c r="A2895" s="1" t="s">
        <v>5565</v>
      </c>
      <c r="B2895" s="1" t="n">
        <v>2010</v>
      </c>
      <c r="C2895" s="1" t="n">
        <v>12</v>
      </c>
      <c r="D2895" s="1" t="s">
        <v>38</v>
      </c>
      <c r="E2895" s="1" t="s">
        <v>1346</v>
      </c>
      <c r="F2895" s="1" t="n">
        <v>750</v>
      </c>
      <c r="G2895" s="1" t="n">
        <v>160</v>
      </c>
      <c r="H2895" s="2" t="n">
        <v>1057500</v>
      </c>
      <c r="I2895" s="2" t="n">
        <f aca="false">(((H2895 / 800) / IF(ISBLANK(R2895), 1000000, IF(ISNA(VLOOKUP(R2895, Mileages!$A$2:$C$34, 2, 0)), R2895, VLOOKUP(R2895, Mileages!$A$2:$C$34, 2, 0)))) + (F2895 * IF(ISBLANK(P2895), 1, P2895) * IF(ISBLANK(T2895), 0, IF(ISNA(VLOOKUP(T2895, 'Fuel Costs'!$A$2:$C$42, 2, 0)), T2895, VLOOKUP(T2895, 'Fuel Costs'!$A$2:$C$42, 2, 0))) / IF(ISBLANK(O2895), 1, O2895))) * 100</f>
        <v>150.0660938</v>
      </c>
      <c r="J2895" s="2" t="n">
        <f aca="false">((H2895 / 800) / (IF(ISBLANK(S2895), 100, IF(ISNA(VLOOKUP(S2895, Lives!$A$2:$C$35, 2, 0)), S2895, VLOOKUP(S2895, Lives!$A$2:$C$35, 2, 0))) * 12) + (IF(ISBLANK(Q2895), 0, IF(ISNA(VLOOKUP(Q2895, Wages!$A$2:$C$17, 2, 0)), Q2895, VLOOKUP(Q2895, Wages!$A$2:$C$17, 2, 0))) * IF(ISBLANK(N2895), 0, IF(ISNA(VLOOKUP(N2895, Crews!$A$2:$C$28, 2, 0)), N2895, VLOOKUP(N2895, Crews!$A$2:$C$28, 2, 0))))) * 400</f>
        <v>6881.25</v>
      </c>
      <c r="K2895" s="1"/>
      <c r="L2895" s="1" t="s">
        <v>5566</v>
      </c>
      <c r="M2895" s="1" t="n">
        <v>0</v>
      </c>
      <c r="N2895" s="1" t="s">
        <v>1512</v>
      </c>
      <c r="O2895" s="1" t="n">
        <v>1</v>
      </c>
      <c r="P2895" s="1"/>
      <c r="Q2895" s="1" t="str">
        <f aca="false">IF(ISBLANK('Pak128 Britain In'!$N2895),,'Pak128 Britain In'!$N2895)</f>
        <v>ElectricMultipleUnit</v>
      </c>
      <c r="R2895" s="1" t="s">
        <v>4696</v>
      </c>
      <c r="S2895" s="1" t="s">
        <v>1350</v>
      </c>
      <c r="T2895" s="1" t="s">
        <v>5548</v>
      </c>
    </row>
    <row r="2896" customFormat="false" ht="15" hidden="false" customHeight="true" outlineLevel="0" collapsed="false">
      <c r="A2896" s="1" t="s">
        <v>5567</v>
      </c>
      <c r="B2896" s="1" t="n">
        <v>2010</v>
      </c>
      <c r="C2896" s="1" t="n">
        <v>12</v>
      </c>
      <c r="D2896" s="1" t="s">
        <v>38</v>
      </c>
      <c r="E2896" s="1" t="s">
        <v>1346</v>
      </c>
      <c r="F2896" s="1" t="n">
        <v>0</v>
      </c>
      <c r="G2896" s="1" t="n">
        <v>160</v>
      </c>
      <c r="H2896" s="2" t="n">
        <v>1899100</v>
      </c>
      <c r="I2896" s="2" t="n">
        <f aca="false">(((H2896 / 800) / IF(ISBLANK(R2896), 1000000, IF(ISNA(VLOOKUP(R2896, Mileages!$A$2:$C$34, 2, 0)), R2896, VLOOKUP(R2896, Mileages!$A$2:$C$34, 2, 0)))) + (F2896 * IF(ISBLANK(P2896), 1, P2896) * IF(ISBLANK(T2896), 0, IF(ISNA(VLOOKUP(T2896, 'Fuel Costs'!$A$2:$C$42, 2, 0)), T2896, VLOOKUP(T2896, 'Fuel Costs'!$A$2:$C$42, 2, 0))) / IF(ISBLANK(O2896), 1, O2896))) * 100</f>
        <v>0.09891145833</v>
      </c>
      <c r="J2896" s="2" t="n">
        <f aca="false">((H2896 / 800) / (IF(ISBLANK(S2896), 100, IF(ISNA(VLOOKUP(S2896, Lives!$A$2:$C$35, 2, 0)), S2896, VLOOKUP(S2896, Lives!$A$2:$C$35, 2, 0))) * 12) + (IF(ISBLANK(Q2896), 0, IF(ISNA(VLOOKUP(Q2896, Wages!$A$2:$C$17, 2, 0)), Q2896, VLOOKUP(Q2896, Wages!$A$2:$C$17, 2, 0))) * IF(ISBLANK(N2896), 0, IF(ISNA(VLOOKUP(N2896, Crews!$A$2:$C$28, 2, 0)), N2896, VLOOKUP(N2896, Crews!$A$2:$C$28, 2, 0))))) * 400</f>
        <v>3956.458333</v>
      </c>
      <c r="K2896" s="1"/>
      <c r="L2896" s="1" t="s">
        <v>5566</v>
      </c>
      <c r="M2896" s="1" t="n">
        <v>1</v>
      </c>
      <c r="N2896" s="1"/>
      <c r="O2896" s="1"/>
      <c r="P2896" s="1"/>
      <c r="Q2896" s="1"/>
      <c r="R2896" s="1" t="s">
        <v>4419</v>
      </c>
      <c r="S2896" s="1" t="s">
        <v>4470</v>
      </c>
      <c r="T2896" s="1"/>
    </row>
    <row r="2897" customFormat="false" ht="15" hidden="false" customHeight="true" outlineLevel="0" collapsed="false">
      <c r="A2897" s="1" t="s">
        <v>5568</v>
      </c>
      <c r="B2897" s="1" t="n">
        <v>2010</v>
      </c>
      <c r="C2897" s="1" t="n">
        <v>12</v>
      </c>
      <c r="D2897" s="1" t="s">
        <v>38</v>
      </c>
      <c r="E2897" s="1" t="s">
        <v>1346</v>
      </c>
      <c r="F2897" s="1" t="n">
        <v>0</v>
      </c>
      <c r="G2897" s="1" t="n">
        <v>160</v>
      </c>
      <c r="H2897" s="2" t="n">
        <v>1899100</v>
      </c>
      <c r="I2897" s="2" t="n">
        <f aca="false">(((H2897 / 800) / IF(ISBLANK(R2897), 1000000, IF(ISNA(VLOOKUP(R2897, Mileages!$A$2:$C$34, 2, 0)), R2897, VLOOKUP(R2897, Mileages!$A$2:$C$34, 2, 0)))) + (F2897 * IF(ISBLANK(P2897), 1, P2897) * IF(ISBLANK(T2897), 0, IF(ISNA(VLOOKUP(T2897, 'Fuel Costs'!$A$2:$C$42, 2, 0)), T2897, VLOOKUP(T2897, 'Fuel Costs'!$A$2:$C$42, 2, 0))) / IF(ISBLANK(O2897), 1, O2897))) * 100</f>
        <v>0.09891145833</v>
      </c>
      <c r="J2897" s="2" t="n">
        <f aca="false">((H2897 / 800) / (IF(ISBLANK(S2897), 100, IF(ISNA(VLOOKUP(S2897, Lives!$A$2:$C$35, 2, 0)), S2897, VLOOKUP(S2897, Lives!$A$2:$C$35, 2, 0))) * 12) + (IF(ISBLANK(Q2897), 0, IF(ISNA(VLOOKUP(Q2897, Wages!$A$2:$C$17, 2, 0)), Q2897, VLOOKUP(Q2897, Wages!$A$2:$C$17, 2, 0))) * IF(ISBLANK(N2897), 0, IF(ISNA(VLOOKUP(N2897, Crews!$A$2:$C$28, 2, 0)), N2897, VLOOKUP(N2897, Crews!$A$2:$C$28, 2, 0))))) * 400</f>
        <v>3956.458333</v>
      </c>
      <c r="K2897" s="1"/>
      <c r="L2897" s="1" t="s">
        <v>5566</v>
      </c>
      <c r="M2897" s="1" t="n">
        <v>2</v>
      </c>
      <c r="N2897" s="1"/>
      <c r="O2897" s="1"/>
      <c r="P2897" s="1"/>
      <c r="Q2897" s="1"/>
      <c r="R2897" s="1" t="s">
        <v>4419</v>
      </c>
      <c r="S2897" s="1" t="s">
        <v>4470</v>
      </c>
      <c r="T2897" s="1"/>
    </row>
    <row r="2898" customFormat="false" ht="15" hidden="false" customHeight="true" outlineLevel="0" collapsed="false">
      <c r="A2898" s="1" t="s">
        <v>5569</v>
      </c>
      <c r="B2898" s="1" t="n">
        <v>2010</v>
      </c>
      <c r="C2898" s="1" t="n">
        <v>12</v>
      </c>
      <c r="D2898" s="1" t="s">
        <v>38</v>
      </c>
      <c r="E2898" s="1" t="s">
        <v>1346</v>
      </c>
      <c r="F2898" s="1" t="n">
        <v>750</v>
      </c>
      <c r="G2898" s="1" t="n">
        <v>160</v>
      </c>
      <c r="H2898" s="2" t="n">
        <v>1057500</v>
      </c>
      <c r="I2898" s="2" t="n">
        <f aca="false">(((H2898 / 800) / IF(ISBLANK(R2898), 1000000, IF(ISNA(VLOOKUP(R2898, Mileages!$A$2:$C$34, 2, 0)), R2898, VLOOKUP(R2898, Mileages!$A$2:$C$34, 2, 0)))) + (F2898 * IF(ISBLANK(P2898), 1, P2898) * IF(ISBLANK(T2898), 0, IF(ISNA(VLOOKUP(T2898, 'Fuel Costs'!$A$2:$C$42, 2, 0)), T2898, VLOOKUP(T2898, 'Fuel Costs'!$A$2:$C$42, 2, 0))) / IF(ISBLANK(O2898), 1, O2898))) * 100</f>
        <v>150.0660938</v>
      </c>
      <c r="J2898" s="2" t="n">
        <f aca="false">((H2898 / 800) / (IF(ISBLANK(S2898), 100, IF(ISNA(VLOOKUP(S2898, Lives!$A$2:$C$35, 2, 0)), S2898, VLOOKUP(S2898, Lives!$A$2:$C$35, 2, 0))) * 12) + (IF(ISBLANK(Q2898), 0, IF(ISNA(VLOOKUP(Q2898, Wages!$A$2:$C$17, 2, 0)), Q2898, VLOOKUP(Q2898, Wages!$A$2:$C$17, 2, 0))) * IF(ISBLANK(N2898), 0, IF(ISNA(VLOOKUP(N2898, Crews!$A$2:$C$28, 2, 0)), N2898, VLOOKUP(N2898, Crews!$A$2:$C$28, 2, 0))))) * 400</f>
        <v>6881.25</v>
      </c>
      <c r="K2898" s="1"/>
      <c r="L2898" s="1" t="s">
        <v>5566</v>
      </c>
      <c r="M2898" s="1" t="n">
        <v>3</v>
      </c>
      <c r="N2898" s="1" t="s">
        <v>1512</v>
      </c>
      <c r="O2898" s="1" t="n">
        <v>1</v>
      </c>
      <c r="P2898" s="1"/>
      <c r="Q2898" s="1" t="str">
        <f aca="false">IF(ISBLANK('Pak128 Britain In'!$N2898),,'Pak128 Britain In'!$N2898)</f>
        <v>ElectricMultipleUnit</v>
      </c>
      <c r="R2898" s="1" t="s">
        <v>4696</v>
      </c>
      <c r="S2898" s="1" t="s">
        <v>1350</v>
      </c>
      <c r="T2898" s="1" t="s">
        <v>5548</v>
      </c>
    </row>
    <row r="2899" customFormat="false" ht="15" hidden="false" customHeight="true" outlineLevel="0" collapsed="false">
      <c r="A2899" s="1" t="s">
        <v>5570</v>
      </c>
      <c r="B2899" s="1" t="n">
        <v>2011</v>
      </c>
      <c r="C2899" s="1" t="n">
        <v>1</v>
      </c>
      <c r="D2899" s="1" t="s">
        <v>876</v>
      </c>
      <c r="E2899" s="1" t="s">
        <v>1346</v>
      </c>
      <c r="F2899" s="1" t="n">
        <v>320</v>
      </c>
      <c r="G2899" s="1" t="n">
        <v>70</v>
      </c>
      <c r="H2899" s="2" t="n">
        <v>620000</v>
      </c>
      <c r="I2899" s="2" t="n">
        <f aca="false">(((H2899 / 800) / IF(ISBLANK(R2899), 1000000, IF(ISNA(VLOOKUP(R2899, Mileages!$A$2:$C$34, 2, 0)), R2899, VLOOKUP(R2899, Mileages!$A$2:$C$34, 2, 0)))) + (F2899 * IF(ISBLANK(P2899), 1, P2899) * IF(ISBLANK(T2899), 0, IF(ISNA(VLOOKUP(T2899, 'Fuel Costs'!$A$2:$C$42, 2, 0)), T2899, VLOOKUP(T2899, 'Fuel Costs'!$A$2:$C$42, 2, 0))) / IF(ISBLANK(O2899), 1, O2899))) * 100</f>
        <v>64.03875</v>
      </c>
      <c r="J2899" s="2" t="n">
        <f aca="false">((H2899 / 800) / (IF(ISBLANK(S2899), 100, IF(ISNA(VLOOKUP(S2899, Lives!$A$2:$C$35, 2, 0)), S2899, VLOOKUP(S2899, Lives!$A$2:$C$35, 2, 0))) * 12) + (IF(ISBLANK(Q2899), 0, IF(ISNA(VLOOKUP(Q2899, Wages!$A$2:$C$17, 2, 0)), Q2899, VLOOKUP(Q2899, Wages!$A$2:$C$17, 2, 0))) * IF(ISBLANK(N2899), 0, IF(ISNA(VLOOKUP(N2899, Crews!$A$2:$C$28, 2, 0)), N2899, VLOOKUP(N2899, Crews!$A$2:$C$28, 2, 0))))) * 400</f>
        <v>6516.666667</v>
      </c>
      <c r="K2899" s="1" t="s">
        <v>5571</v>
      </c>
      <c r="L2899" s="1" t="s">
        <v>5572</v>
      </c>
      <c r="M2899" s="1" t="n">
        <v>0</v>
      </c>
      <c r="N2899" s="1" t="s">
        <v>1512</v>
      </c>
      <c r="O2899" s="1"/>
      <c r="P2899" s="1"/>
      <c r="Q2899" s="1" t="s">
        <v>1512</v>
      </c>
      <c r="R2899" s="1" t="s">
        <v>4696</v>
      </c>
      <c r="S2899" s="1" t="s">
        <v>1350</v>
      </c>
      <c r="T2899" s="1" t="s">
        <v>5548</v>
      </c>
    </row>
    <row r="2900" customFormat="false" ht="15" hidden="false" customHeight="true" outlineLevel="0" collapsed="false">
      <c r="A2900" s="1" t="s">
        <v>5573</v>
      </c>
      <c r="B2900" s="1" t="n">
        <v>2011</v>
      </c>
      <c r="C2900" s="1" t="n">
        <v>1</v>
      </c>
      <c r="D2900" s="1" t="s">
        <v>876</v>
      </c>
      <c r="E2900" s="1" t="s">
        <v>1346</v>
      </c>
      <c r="F2900" s="1"/>
      <c r="G2900" s="1" t="n">
        <v>70</v>
      </c>
      <c r="H2900" s="2" t="n">
        <v>620000</v>
      </c>
      <c r="I2900" s="2" t="n">
        <f aca="false">(((H2900 / 800) / IF(ISBLANK(R2900), 1000000, IF(ISNA(VLOOKUP(R2900, Mileages!$A$2:$C$34, 2, 0)), R2900, VLOOKUP(R2900, Mileages!$A$2:$C$34, 2, 0)))) + (F2900 * IF(ISBLANK(P2900), 1, P2900) * IF(ISBLANK(T2900), 0, IF(ISNA(VLOOKUP(T2900, 'Fuel Costs'!$A$2:$C$42, 2, 0)), T2900, VLOOKUP(T2900, 'Fuel Costs'!$A$2:$C$42, 2, 0))) / IF(ISBLANK(O2900), 1, O2900))) * 100</f>
        <v>0.03229166667</v>
      </c>
      <c r="J2900" s="2" t="n">
        <f aca="false">((H2900 / 800) / (IF(ISBLANK(S2900), 100, IF(ISNA(VLOOKUP(S2900, Lives!$A$2:$C$35, 2, 0)), S2900, VLOOKUP(S2900, Lives!$A$2:$C$35, 2, 0))) * 12) + (IF(ISBLANK(Q2900), 0, IF(ISNA(VLOOKUP(Q2900, Wages!$A$2:$C$17, 2, 0)), Q2900, VLOOKUP(Q2900, Wages!$A$2:$C$17, 2, 0))) * IF(ISBLANK(N2900), 0, IF(ISNA(VLOOKUP(N2900, Crews!$A$2:$C$28, 2, 0)), N2900, VLOOKUP(N2900, Crews!$A$2:$C$28, 2, 0))))) * 400</f>
        <v>1291.666667</v>
      </c>
      <c r="K2900" s="1"/>
      <c r="L2900" s="1" t="s">
        <v>5572</v>
      </c>
      <c r="M2900" s="1" t="n">
        <v>1</v>
      </c>
      <c r="N2900" s="1"/>
      <c r="O2900" s="1"/>
      <c r="P2900" s="1"/>
      <c r="Q2900" s="1"/>
      <c r="R2900" s="1" t="s">
        <v>4419</v>
      </c>
      <c r="S2900" s="1" t="s">
        <v>4470</v>
      </c>
      <c r="T2900" s="1"/>
    </row>
    <row r="2901" customFormat="false" ht="15" hidden="false" customHeight="true" outlineLevel="0" collapsed="false">
      <c r="A2901" s="1" t="s">
        <v>5574</v>
      </c>
      <c r="B2901" s="1" t="n">
        <v>2011</v>
      </c>
      <c r="C2901" s="1" t="n">
        <v>1</v>
      </c>
      <c r="D2901" s="1" t="s">
        <v>876</v>
      </c>
      <c r="E2901" s="1" t="s">
        <v>1346</v>
      </c>
      <c r="F2901" s="1"/>
      <c r="G2901" s="1" t="n">
        <v>70</v>
      </c>
      <c r="H2901" s="2" t="n">
        <v>620000</v>
      </c>
      <c r="I2901" s="2" t="n">
        <f aca="false">(((H2901 / 800) / IF(ISBLANK(R2901), 1000000, IF(ISNA(VLOOKUP(R2901, Mileages!$A$2:$C$34, 2, 0)), R2901, VLOOKUP(R2901, Mileages!$A$2:$C$34, 2, 0)))) + (F2901 * IF(ISBLANK(P2901), 1, P2901) * IF(ISBLANK(T2901), 0, IF(ISNA(VLOOKUP(T2901, 'Fuel Costs'!$A$2:$C$42, 2, 0)), T2901, VLOOKUP(T2901, 'Fuel Costs'!$A$2:$C$42, 2, 0))) / IF(ISBLANK(O2901), 1, O2901))) * 100</f>
        <v>0.03229166667</v>
      </c>
      <c r="J2901" s="2" t="n">
        <f aca="false">((H2901 / 800) / (IF(ISBLANK(S2901), 100, IF(ISNA(VLOOKUP(S2901, Lives!$A$2:$C$35, 2, 0)), S2901, VLOOKUP(S2901, Lives!$A$2:$C$35, 2, 0))) * 12) + (IF(ISBLANK(Q2901), 0, IF(ISNA(VLOOKUP(Q2901, Wages!$A$2:$C$17, 2, 0)), Q2901, VLOOKUP(Q2901, Wages!$A$2:$C$17, 2, 0))) * IF(ISBLANK(N2901), 0, IF(ISNA(VLOOKUP(N2901, Crews!$A$2:$C$28, 2, 0)), N2901, VLOOKUP(N2901, Crews!$A$2:$C$28, 2, 0))))) * 400</f>
        <v>1291.666667</v>
      </c>
      <c r="K2901" s="1"/>
      <c r="L2901" s="1" t="s">
        <v>5572</v>
      </c>
      <c r="M2901" s="1" t="n">
        <v>2</v>
      </c>
      <c r="N2901" s="1"/>
      <c r="O2901" s="1"/>
      <c r="P2901" s="1"/>
      <c r="Q2901" s="1"/>
      <c r="R2901" s="1" t="s">
        <v>4419</v>
      </c>
      <c r="S2901" s="1" t="s">
        <v>4470</v>
      </c>
      <c r="T2901" s="1"/>
    </row>
    <row r="2902" customFormat="false" ht="15" hidden="false" customHeight="true" outlineLevel="0" collapsed="false">
      <c r="A2902" s="1" t="s">
        <v>5575</v>
      </c>
      <c r="B2902" s="1" t="n">
        <v>2011</v>
      </c>
      <c r="C2902" s="1" t="n">
        <v>1</v>
      </c>
      <c r="D2902" s="1" t="s">
        <v>876</v>
      </c>
      <c r="E2902" s="1" t="s">
        <v>1346</v>
      </c>
      <c r="F2902" s="1"/>
      <c r="G2902" s="1" t="n">
        <v>70</v>
      </c>
      <c r="H2902" s="2" t="n">
        <v>620000</v>
      </c>
      <c r="I2902" s="2" t="n">
        <f aca="false">(((H2902 / 800) / IF(ISBLANK(R2902), 1000000, IF(ISNA(VLOOKUP(R2902, Mileages!$A$2:$C$34, 2, 0)), R2902, VLOOKUP(R2902, Mileages!$A$2:$C$34, 2, 0)))) + (F2902 * IF(ISBLANK(P2902), 1, P2902) * IF(ISBLANK(T2902), 0, IF(ISNA(VLOOKUP(T2902, 'Fuel Costs'!$A$2:$C$42, 2, 0)), T2902, VLOOKUP(T2902, 'Fuel Costs'!$A$2:$C$42, 2, 0))) / IF(ISBLANK(O2902), 1, O2902))) * 100</f>
        <v>0.03229166667</v>
      </c>
      <c r="J2902" s="2" t="n">
        <f aca="false">((H2902 / 800) / (IF(ISBLANK(S2902), 100, IF(ISNA(VLOOKUP(S2902, Lives!$A$2:$C$35, 2, 0)), S2902, VLOOKUP(S2902, Lives!$A$2:$C$35, 2, 0))) * 12) + (IF(ISBLANK(Q2902), 0, IF(ISNA(VLOOKUP(Q2902, Wages!$A$2:$C$17, 2, 0)), Q2902, VLOOKUP(Q2902, Wages!$A$2:$C$17, 2, 0))) * IF(ISBLANK(N2902), 0, IF(ISNA(VLOOKUP(N2902, Crews!$A$2:$C$28, 2, 0)), N2902, VLOOKUP(N2902, Crews!$A$2:$C$28, 2, 0))))) * 400</f>
        <v>1291.666667</v>
      </c>
      <c r="K2902" s="1"/>
      <c r="L2902" s="1" t="s">
        <v>5572</v>
      </c>
      <c r="M2902" s="1" t="n">
        <v>3</v>
      </c>
      <c r="N2902" s="1"/>
      <c r="O2902" s="1"/>
      <c r="P2902" s="1"/>
      <c r="Q2902" s="1"/>
      <c r="R2902" s="1" t="s">
        <v>4419</v>
      </c>
      <c r="S2902" s="1" t="s">
        <v>4470</v>
      </c>
      <c r="T2902" s="1"/>
    </row>
    <row r="2903" customFormat="false" ht="15" hidden="false" customHeight="true" outlineLevel="0" collapsed="false">
      <c r="A2903" s="1" t="s">
        <v>5576</v>
      </c>
      <c r="B2903" s="1" t="n">
        <v>2011</v>
      </c>
      <c r="C2903" s="1" t="n">
        <v>1</v>
      </c>
      <c r="D2903" s="1" t="s">
        <v>876</v>
      </c>
      <c r="E2903" s="1" t="s">
        <v>1346</v>
      </c>
      <c r="F2903" s="1" t="n">
        <v>320</v>
      </c>
      <c r="G2903" s="1" t="n">
        <v>70</v>
      </c>
      <c r="H2903" s="2" t="n">
        <v>620000</v>
      </c>
      <c r="I2903" s="2" t="n">
        <f aca="false">(((H2903 / 800) / IF(ISBLANK(R2903), 1000000, IF(ISNA(VLOOKUP(R2903, Mileages!$A$2:$C$34, 2, 0)), R2903, VLOOKUP(R2903, Mileages!$A$2:$C$34, 2, 0)))) + (F2903 * IF(ISBLANK(P2903), 1, P2903) * IF(ISBLANK(T2903), 0, IF(ISNA(VLOOKUP(T2903, 'Fuel Costs'!$A$2:$C$42, 2, 0)), T2903, VLOOKUP(T2903, 'Fuel Costs'!$A$2:$C$42, 2, 0))) / IF(ISBLANK(O2903), 1, O2903))) * 100</f>
        <v>64.03875</v>
      </c>
      <c r="J2903" s="2" t="n">
        <f aca="false">((H2903 / 800) / (IF(ISBLANK(S2903), 100, IF(ISNA(VLOOKUP(S2903, Lives!$A$2:$C$35, 2, 0)), S2903, VLOOKUP(S2903, Lives!$A$2:$C$35, 2, 0))) * 12) + (IF(ISBLANK(Q2903), 0, IF(ISNA(VLOOKUP(Q2903, Wages!$A$2:$C$17, 2, 0)), Q2903, VLOOKUP(Q2903, Wages!$A$2:$C$17, 2, 0))) * IF(ISBLANK(N2903), 0, IF(ISNA(VLOOKUP(N2903, Crews!$A$2:$C$28, 2, 0)), N2903, VLOOKUP(N2903, Crews!$A$2:$C$28, 2, 0))))) * 400</f>
        <v>516.6666667</v>
      </c>
      <c r="K2903" s="1"/>
      <c r="L2903" s="1" t="s">
        <v>5572</v>
      </c>
      <c r="M2903" s="1" t="n">
        <v>4</v>
      </c>
      <c r="N2903" s="1"/>
      <c r="O2903" s="1"/>
      <c r="P2903" s="1"/>
      <c r="Q2903" s="1"/>
      <c r="R2903" s="1" t="s">
        <v>4696</v>
      </c>
      <c r="S2903" s="1" t="s">
        <v>1350</v>
      </c>
      <c r="T2903" s="1" t="s">
        <v>5548</v>
      </c>
    </row>
    <row r="2904" customFormat="false" ht="15" hidden="false" customHeight="true" outlineLevel="0" collapsed="false">
      <c r="A2904" s="1" t="s">
        <v>5577</v>
      </c>
      <c r="B2904" s="1" t="n">
        <v>2011</v>
      </c>
      <c r="C2904" s="1" t="n">
        <v>1</v>
      </c>
      <c r="D2904" s="1" t="s">
        <v>876</v>
      </c>
      <c r="E2904" s="1" t="s">
        <v>1346</v>
      </c>
      <c r="F2904" s="1" t="n">
        <v>320</v>
      </c>
      <c r="G2904" s="1" t="n">
        <v>70</v>
      </c>
      <c r="H2904" s="2" t="n">
        <v>0</v>
      </c>
      <c r="I2904" s="2" t="n">
        <f aca="false">(((H2904 / 800) / IF(ISBLANK(R2904), 1000000, IF(ISNA(VLOOKUP(R2904, Mileages!$A$2:$C$34, 2, 0)), R2904, VLOOKUP(R2904, Mileages!$A$2:$C$34, 2, 0)))) + (F2904 * IF(ISBLANK(P2904), 1, P2904) * IF(ISBLANK(T2904), 0, IF(ISNA(VLOOKUP(T2904, 'Fuel Costs'!$A$2:$C$42, 2, 0)), T2904, VLOOKUP(T2904, 'Fuel Costs'!$A$2:$C$42, 2, 0))) / IF(ISBLANK(O2904), 1, O2904))) * 100</f>
        <v>64</v>
      </c>
      <c r="J2904" s="2" t="n">
        <f aca="false">((H2904 / 800) / (IF(ISBLANK(S2904), 100, IF(ISNA(VLOOKUP(S2904, Lives!$A$2:$C$35, 2, 0)), S2904, VLOOKUP(S2904, Lives!$A$2:$C$35, 2, 0))) * 12) + (IF(ISBLANK(Q2904), 0, IF(ISNA(VLOOKUP(Q2904, Wages!$A$2:$C$17, 2, 0)), Q2904, VLOOKUP(Q2904, Wages!$A$2:$C$17, 2, 0))) * IF(ISBLANK(N2904), 0, IF(ISNA(VLOOKUP(N2904, Crews!$A$2:$C$28, 2, 0)), N2904, VLOOKUP(N2904, Crews!$A$2:$C$28, 2, 0))))) * 400</f>
        <v>6000</v>
      </c>
      <c r="K2904" s="1"/>
      <c r="L2904" s="1" t="s">
        <v>5572</v>
      </c>
      <c r="M2904" s="1" t="n">
        <v>5</v>
      </c>
      <c r="N2904" s="1" t="s">
        <v>1512</v>
      </c>
      <c r="O2904" s="1"/>
      <c r="P2904" s="1"/>
      <c r="Q2904" s="1" t="s">
        <v>1512</v>
      </c>
      <c r="R2904" s="1" t="s">
        <v>4696</v>
      </c>
      <c r="S2904" s="1" t="s">
        <v>1350</v>
      </c>
      <c r="T2904" s="1" t="s">
        <v>5548</v>
      </c>
    </row>
    <row r="2905" customFormat="false" ht="15" hidden="false" customHeight="true" outlineLevel="0" collapsed="false">
      <c r="A2905" s="1" t="s">
        <v>5578</v>
      </c>
      <c r="B2905" s="1" t="n">
        <v>2011</v>
      </c>
      <c r="C2905" s="1" t="n">
        <v>1</v>
      </c>
      <c r="D2905" s="1" t="s">
        <v>29</v>
      </c>
      <c r="E2905" s="1"/>
      <c r="F2905" s="1"/>
      <c r="G2905" s="1" t="n">
        <v>40</v>
      </c>
      <c r="H2905" s="2"/>
      <c r="I2905" s="2"/>
      <c r="J2905" s="2"/>
      <c r="K2905" s="3" t="s">
        <v>5579</v>
      </c>
      <c r="L2905" s="1" t="s">
        <v>5580</v>
      </c>
      <c r="M2905" s="1" t="n">
        <v>1</v>
      </c>
      <c r="N2905" s="1"/>
      <c r="O2905" s="1"/>
      <c r="P2905" s="1"/>
      <c r="Q2905" s="1"/>
      <c r="R2905" s="1"/>
      <c r="S2905" s="1"/>
      <c r="T2905" s="1"/>
    </row>
    <row r="2906" customFormat="false" ht="15" hidden="false" customHeight="true" outlineLevel="0" collapsed="false">
      <c r="A2906" s="1" t="s">
        <v>5581</v>
      </c>
      <c r="B2906" s="1" t="n">
        <v>2011</v>
      </c>
      <c r="C2906" s="1" t="n">
        <v>7</v>
      </c>
      <c r="D2906" s="1" t="s">
        <v>29</v>
      </c>
      <c r="E2906" s="1" t="s">
        <v>2039</v>
      </c>
      <c r="F2906" s="1" t="n">
        <v>30400</v>
      </c>
      <c r="G2906" s="1" t="n">
        <v>40</v>
      </c>
      <c r="H2906" s="2" t="n">
        <v>94000000</v>
      </c>
      <c r="I2906" s="2" t="n">
        <f aca="false">(((H2906 / 800) / IF(ISBLANK(R2906), 1000000, IF(ISNA(VLOOKUP(R2906, Mileages!$A$2:$C$34, 2, 0)), R2906, VLOOKUP(R2906, Mileages!$A$2:$C$34, 2, 0)))) + (F2906 * IF(ISBLANK(P2906), 1, P2906) * IF(ISBLANK(T2906), 0, IF(ISNA(VLOOKUP(T2906, 'Fuel Costs'!$A$2:$C$42, 2, 0)), T2906, VLOOKUP(T2906, 'Fuel Costs'!$A$2:$C$42, 2, 0))) / IF(ISBLANK(O2906), 1, O2906))) * 100</f>
        <v>913.9583333</v>
      </c>
      <c r="J2906" s="2" t="n">
        <f aca="false">((H2906 / 800) / (IF(ISBLANK(S2906), 100, IF(ISNA(VLOOKUP(S2906, Lives!$A$2:$C$35, 2, 0)), S2906, VLOOKUP(S2906, Lives!$A$2:$C$35, 2, 0))) * 12) + (IF(ISBLANK(Q2906), 0, IF(ISNA(VLOOKUP(Q2906, Wages!$A$2:$C$17, 2, 0)), Q2906, VLOOKUP(Q2906, Wages!$A$2:$C$17, 2, 0))) * IF(ISBLANK(N2906), 0, IF(ISNA(VLOOKUP(N2906, Crews!$A$2:$C$28, 2, 0)), N2906, VLOOKUP(N2906, Crews!$A$2:$C$28, 2, 0))))) * 400</f>
        <v>239166.6667</v>
      </c>
      <c r="K2906" s="1" t="s">
        <v>321</v>
      </c>
      <c r="L2906" s="1" t="s">
        <v>5582</v>
      </c>
      <c r="M2906" s="1" t="n">
        <v>0</v>
      </c>
      <c r="N2906" s="1" t="s">
        <v>323</v>
      </c>
      <c r="O2906" s="1" t="n">
        <v>1</v>
      </c>
      <c r="P2906" s="1" t="n">
        <v>0.2</v>
      </c>
      <c r="Q2906" s="1" t="s">
        <v>34</v>
      </c>
      <c r="R2906" s="1" t="s">
        <v>3933</v>
      </c>
      <c r="S2906" s="1" t="s">
        <v>574</v>
      </c>
      <c r="T2906" s="1" t="s">
        <v>5499</v>
      </c>
    </row>
    <row r="2907" customFormat="false" ht="15" hidden="false" customHeight="true" outlineLevel="0" collapsed="false">
      <c r="A2907" s="1" t="s">
        <v>5583</v>
      </c>
      <c r="B2907" s="1" t="n">
        <v>2011</v>
      </c>
      <c r="C2907" s="1" t="n">
        <v>7</v>
      </c>
      <c r="D2907" s="1" t="s">
        <v>29</v>
      </c>
      <c r="E2907" s="1"/>
      <c r="F2907" s="1"/>
      <c r="G2907" s="1" t="n">
        <v>40</v>
      </c>
      <c r="H2907" s="2"/>
      <c r="I2907" s="2"/>
      <c r="J2907" s="2"/>
      <c r="K2907" s="1"/>
      <c r="L2907" s="1" t="s">
        <v>5580</v>
      </c>
      <c r="M2907" s="1" t="n">
        <v>0</v>
      </c>
      <c r="N2907" s="1"/>
      <c r="O2907" s="1"/>
      <c r="P2907" s="1"/>
      <c r="Q2907" s="1"/>
      <c r="R2907" s="1"/>
      <c r="S2907" s="1"/>
      <c r="T2907" s="1"/>
    </row>
    <row r="2908" customFormat="false" ht="15" hidden="false" customHeight="true" outlineLevel="0" collapsed="false">
      <c r="A2908" s="1" t="s">
        <v>5584</v>
      </c>
      <c r="B2908" s="1" t="n">
        <v>2011</v>
      </c>
      <c r="C2908" s="1" t="n">
        <v>7</v>
      </c>
      <c r="D2908" s="1" t="s">
        <v>29</v>
      </c>
      <c r="E2908" s="1"/>
      <c r="F2908" s="1"/>
      <c r="G2908" s="1" t="n">
        <v>40</v>
      </c>
      <c r="H2908" s="2"/>
      <c r="I2908" s="2"/>
      <c r="J2908" s="2"/>
      <c r="K2908" s="1"/>
      <c r="L2908" s="1" t="s">
        <v>5580</v>
      </c>
      <c r="M2908" s="1" t="n">
        <v>2</v>
      </c>
      <c r="N2908" s="1"/>
      <c r="O2908" s="1"/>
      <c r="P2908" s="1"/>
      <c r="Q2908" s="1"/>
      <c r="R2908" s="1"/>
      <c r="S2908" s="1"/>
      <c r="T2908" s="1"/>
    </row>
    <row r="2909" customFormat="false" ht="15" hidden="false" customHeight="true" outlineLevel="0" collapsed="false">
      <c r="A2909" s="1" t="s">
        <v>5585</v>
      </c>
      <c r="B2909" s="1" t="n">
        <v>2011</v>
      </c>
      <c r="C2909" s="1" t="n">
        <v>10</v>
      </c>
      <c r="D2909" s="1" t="s">
        <v>2225</v>
      </c>
      <c r="E2909" s="1" t="s">
        <v>3660</v>
      </c>
      <c r="F2909" s="1" t="n">
        <v>213120</v>
      </c>
      <c r="G2909" s="1" t="n">
        <v>914</v>
      </c>
      <c r="H2909" s="2" t="n">
        <v>150000000</v>
      </c>
      <c r="I2909" s="2" t="n">
        <f aca="false">(((H2909 / 800) / IF(ISBLANK(R2909), 1000000, IF(ISNA(VLOOKUP(R2909, Mileages!$A$2:$C$34, 2, 0)), R2909, VLOOKUP(R2909, Mileages!$A$2:$C$34, 2, 0)))) + (F2909 * IF(ISBLANK(P2909), 1, P2909) * IF(ISBLANK(T2909), 0, IF(ISNA(VLOOKUP(T2909, 'Fuel Costs'!$A$2:$C$42, 2, 0)), T2909, VLOOKUP(T2909, 'Fuel Costs'!$A$2:$C$42, 2, 0))) / IF(ISBLANK(O2909), 1, O2909))) * 100</f>
        <v>746.545</v>
      </c>
      <c r="J2909" s="2" t="n">
        <f aca="false">((H2909 / 800) / (IF(ISBLANK(S2909), 100, IF(ISNA(VLOOKUP(S2909, Lives!$A$2:$C$35, 2, 0)), S2909, VLOOKUP(S2909, Lives!$A$2:$C$35, 2, 0))) * 12) + (IF(ISBLANK(Q2909), 0, IF(ISNA(VLOOKUP(Q2909, Wages!$A$2:$C$17, 2, 0)), Q2909, VLOOKUP(Q2909, Wages!$A$2:$C$17, 2, 0))) * IF(ISBLANK(N2909), 0, IF(ISNA(VLOOKUP(N2909, Crews!$A$2:$C$28, 2, 0)), N2909, VLOOKUP(N2909, Crews!$A$2:$C$28, 2, 0))))) * 400</f>
        <v>124166.6667</v>
      </c>
      <c r="K2909" s="3" t="s">
        <v>5586</v>
      </c>
      <c r="L2909" s="1" t="s">
        <v>5587</v>
      </c>
      <c r="M2909" s="1" t="n">
        <v>0</v>
      </c>
      <c r="N2909" s="1" t="s">
        <v>3570</v>
      </c>
      <c r="O2909" s="1"/>
      <c r="P2909" s="1" t="n">
        <v>0.02</v>
      </c>
      <c r="Q2909" s="1" t="s">
        <v>2229</v>
      </c>
      <c r="R2909" s="1" t="s">
        <v>4413</v>
      </c>
      <c r="S2909" s="1" t="s">
        <v>2229</v>
      </c>
      <c r="T2909" s="1" t="s">
        <v>5588</v>
      </c>
    </row>
    <row r="2910" customFormat="false" ht="15" hidden="false" customHeight="true" outlineLevel="0" collapsed="false">
      <c r="A2910" s="1" t="s">
        <v>5589</v>
      </c>
      <c r="B2910" s="1" t="n">
        <v>2011</v>
      </c>
      <c r="C2910" s="1" t="n">
        <v>10</v>
      </c>
      <c r="D2910" s="1" t="s">
        <v>2225</v>
      </c>
      <c r="E2910" s="1" t="s">
        <v>3660</v>
      </c>
      <c r="F2910" s="1" t="n">
        <v>213120</v>
      </c>
      <c r="G2910" s="1" t="n">
        <v>914</v>
      </c>
      <c r="H2910" s="2" t="n">
        <v>150000000</v>
      </c>
      <c r="I2910" s="2" t="n">
        <f aca="false">(((H2910 / 800) / IF(ISBLANK(R2910), 1000000, IF(ISNA(VLOOKUP(R2910, Mileages!$A$2:$C$34, 2, 0)), R2910, VLOOKUP(R2910, Mileages!$A$2:$C$34, 2, 0)))) + (F2910 * IF(ISBLANK(P2910), 1, P2910) * IF(ISBLANK(T2910), 0, IF(ISNA(VLOOKUP(T2910, 'Fuel Costs'!$A$2:$C$42, 2, 0)), T2910, VLOOKUP(T2910, 'Fuel Costs'!$A$2:$C$42, 2, 0))) / IF(ISBLANK(O2910), 1, O2910))) * 100</f>
        <v>746.545</v>
      </c>
      <c r="J2910" s="2" t="n">
        <f aca="false">((H2910 / 800) / (IF(ISBLANK(S2910), 100, IF(ISNA(VLOOKUP(S2910, Lives!$A$2:$C$35, 2, 0)), S2910, VLOOKUP(S2910, Lives!$A$2:$C$35, 2, 0))) * 12) + (IF(ISBLANK(Q2910), 0, IF(ISNA(VLOOKUP(Q2910, Wages!$A$2:$C$17, 2, 0)), Q2910, VLOOKUP(Q2910, Wages!$A$2:$C$17, 2, 0))) * IF(ISBLANK(N2910), 0, IF(ISNA(VLOOKUP(N2910, Crews!$A$2:$C$28, 2, 0)), N2910, VLOOKUP(N2910, Crews!$A$2:$C$28, 2, 0))))) * 400</f>
        <v>124166.6667</v>
      </c>
      <c r="K2910" s="3" t="s">
        <v>5590</v>
      </c>
      <c r="L2910" s="1" t="s">
        <v>5587</v>
      </c>
      <c r="M2910" s="1" t="n">
        <v>1</v>
      </c>
      <c r="N2910" s="1" t="s">
        <v>3570</v>
      </c>
      <c r="O2910" s="1"/>
      <c r="P2910" s="1" t="n">
        <v>0.02</v>
      </c>
      <c r="Q2910" s="1" t="s">
        <v>2229</v>
      </c>
      <c r="R2910" s="1" t="s">
        <v>4413</v>
      </c>
      <c r="S2910" s="1" t="s">
        <v>2229</v>
      </c>
      <c r="T2910" s="1" t="s">
        <v>5588</v>
      </c>
    </row>
    <row r="2911" customFormat="false" ht="15" hidden="false" customHeight="true" outlineLevel="0" collapsed="false">
      <c r="A2911" s="1" t="s">
        <v>5591</v>
      </c>
      <c r="B2911" s="1" t="n">
        <v>2011</v>
      </c>
      <c r="C2911" s="1" t="n">
        <v>10</v>
      </c>
      <c r="D2911" s="1" t="s">
        <v>21</v>
      </c>
      <c r="E2911" s="1" t="s">
        <v>2039</v>
      </c>
      <c r="F2911" s="1" t="n">
        <v>210</v>
      </c>
      <c r="G2911" s="1" t="n">
        <v>74</v>
      </c>
      <c r="H2911" s="2" t="n">
        <v>5000000</v>
      </c>
      <c r="I2911" s="2" t="n">
        <f aca="false">(((H2911 / 800) / IF(ISBLANK(R2911), 1000000, IF(ISNA(VLOOKUP(R2911, Mileages!$A$2:$C$34, 2, 0)), R2911, VLOOKUP(R2911, Mileages!$A$2:$C$34, 2, 0)))) + (F2911 * IF(ISBLANK(P2911), 1, P2911) * IF(ISBLANK(T2911), 0, IF(ISNA(VLOOKUP(T2911, 'Fuel Costs'!$A$2:$C$42, 2, 0)), T2911, VLOOKUP(T2911, 'Fuel Costs'!$A$2:$C$42, 2, 0))) / IF(ISBLANK(O2911), 1, O2911))) * 100</f>
        <v>63.3125</v>
      </c>
      <c r="J2911" s="2" t="n">
        <f aca="false">((H2911 / 800) / (IF(ISBLANK(S2911), 100, IF(ISNA(VLOOKUP(S2911, Lives!$A$2:$C$35, 2, 0)), S2911, VLOOKUP(S2911, Lives!$A$2:$C$35, 2, 0))) * 12) + (IF(ISBLANK(Q2911), 0, IF(ISNA(VLOOKUP(Q2911, Wages!$A$2:$C$17, 2, 0)), Q2911, VLOOKUP(Q2911, Wages!$A$2:$C$17, 2, 0))) * IF(ISBLANK(N2911), 0, IF(ISNA(VLOOKUP(N2911, Crews!$A$2:$C$28, 2, 0)), N2911, VLOOKUP(N2911, Crews!$A$2:$C$28, 2, 0))))) * 400</f>
        <v>10604.16667</v>
      </c>
      <c r="K2911" s="1" t="s">
        <v>5592</v>
      </c>
      <c r="L2911" s="1" t="s">
        <v>5593</v>
      </c>
      <c r="M2911" s="1" t="n">
        <v>0</v>
      </c>
      <c r="N2911" s="1" t="s">
        <v>1815</v>
      </c>
      <c r="O2911" s="1" t="n">
        <v>1</v>
      </c>
      <c r="P2911" s="1"/>
      <c r="Q2911" s="1" t="s">
        <v>1815</v>
      </c>
      <c r="R2911" s="1" t="s">
        <v>4725</v>
      </c>
      <c r="S2911" s="1" t="s">
        <v>1843</v>
      </c>
      <c r="T2911" s="1" t="s">
        <v>5542</v>
      </c>
    </row>
    <row r="2912" customFormat="false" ht="15" hidden="false" customHeight="true" outlineLevel="0" collapsed="false">
      <c r="A2912" s="1" t="s">
        <v>5594</v>
      </c>
      <c r="B2912" s="1" t="n">
        <v>2011</v>
      </c>
      <c r="C2912" s="1" t="n">
        <v>10</v>
      </c>
      <c r="D2912" s="1" t="s">
        <v>2225</v>
      </c>
      <c r="E2912" s="1" t="s">
        <v>3660</v>
      </c>
      <c r="F2912" s="1" t="n">
        <v>103381</v>
      </c>
      <c r="G2912" s="1" t="n">
        <v>903</v>
      </c>
      <c r="H2912" s="2" t="n">
        <v>65000000</v>
      </c>
      <c r="I2912" s="2" t="n">
        <f aca="false">(((H2912 / 800) / IF(ISBLANK(R2912), 1000000, IF(ISNA(VLOOKUP(R2912, Mileages!$A$2:$C$34, 2, 0)), R2912, VLOOKUP(R2912, Mileages!$A$2:$C$34, 2, 0)))) + (F2912 * IF(ISBLANK(P2912), 1, P2912) * IF(ISBLANK(T2912), 0, IF(ISNA(VLOOKUP(T2912, 'Fuel Costs'!$A$2:$C$42, 2, 0)), T2912, VLOOKUP(T2912, 'Fuel Costs'!$A$2:$C$42, 2, 0))) / IF(ISBLANK(O2912), 1, O2912))) * 100</f>
        <v>362.1043333</v>
      </c>
      <c r="J2912" s="2" t="n">
        <f aca="false">((H2912 / 800) / (IF(ISBLANK(S2912), 100, IF(ISNA(VLOOKUP(S2912, Lives!$A$2:$C$35, 2, 0)), S2912, VLOOKUP(S2912, Lives!$A$2:$C$35, 2, 0))) * 12) + (IF(ISBLANK(Q2912), 0, IF(ISNA(VLOOKUP(Q2912, Wages!$A$2:$C$17, 2, 0)), Q2912, VLOOKUP(Q2912, Wages!$A$2:$C$17, 2, 0))) * IF(ISBLANK(N2912), 0, IF(ISNA(VLOOKUP(N2912, Crews!$A$2:$C$28, 2, 0)), N2912, VLOOKUP(N2912, Crews!$A$2:$C$28, 2, 0))))) * 400</f>
        <v>95138.88889</v>
      </c>
      <c r="K2912" s="3" t="s">
        <v>5595</v>
      </c>
      <c r="L2912" s="1" t="s">
        <v>5596</v>
      </c>
      <c r="M2912" s="1" t="n">
        <v>0</v>
      </c>
      <c r="N2912" s="1" t="s">
        <v>2342</v>
      </c>
      <c r="O2912" s="1"/>
      <c r="P2912" s="1" t="n">
        <v>0.02</v>
      </c>
      <c r="Q2912" s="1" t="s">
        <v>2229</v>
      </c>
      <c r="R2912" s="1" t="s">
        <v>4413</v>
      </c>
      <c r="S2912" s="1" t="s">
        <v>2229</v>
      </c>
      <c r="T2912" s="1" t="s">
        <v>5588</v>
      </c>
    </row>
    <row r="2913" customFormat="false" ht="15" hidden="false" customHeight="true" outlineLevel="0" collapsed="false">
      <c r="A2913" s="1" t="s">
        <v>5597</v>
      </c>
      <c r="B2913" s="1" t="n">
        <v>2011</v>
      </c>
      <c r="C2913" s="1" t="n">
        <v>10</v>
      </c>
      <c r="D2913" s="1" t="s">
        <v>2225</v>
      </c>
      <c r="E2913" s="1" t="s">
        <v>3660</v>
      </c>
      <c r="F2913" s="1" t="n">
        <v>103381</v>
      </c>
      <c r="G2913" s="1" t="n">
        <v>903</v>
      </c>
      <c r="H2913" s="2" t="n">
        <v>65000000</v>
      </c>
      <c r="I2913" s="2" t="n">
        <f aca="false">(((H2913 / 800) / IF(ISBLANK(R2913), 1000000, IF(ISNA(VLOOKUP(R2913, Mileages!$A$2:$C$34, 2, 0)), R2913, VLOOKUP(R2913, Mileages!$A$2:$C$34, 2, 0)))) + (F2913 * IF(ISBLANK(P2913), 1, P2913) * IF(ISBLANK(T2913), 0, IF(ISNA(VLOOKUP(T2913, 'Fuel Costs'!$A$2:$C$42, 2, 0)), T2913, VLOOKUP(T2913, 'Fuel Costs'!$A$2:$C$42, 2, 0))) / IF(ISBLANK(O2913), 1, O2913))) * 100</f>
        <v>362.1043333</v>
      </c>
      <c r="J2913" s="2" t="n">
        <f aca="false">((H2913 / 800) / (IF(ISBLANK(S2913), 100, IF(ISNA(VLOOKUP(S2913, Lives!$A$2:$C$35, 2, 0)), S2913, VLOOKUP(S2913, Lives!$A$2:$C$35, 2, 0))) * 12) + (IF(ISBLANK(Q2913), 0, IF(ISNA(VLOOKUP(Q2913, Wages!$A$2:$C$17, 2, 0)), Q2913, VLOOKUP(Q2913, Wages!$A$2:$C$17, 2, 0))) * IF(ISBLANK(N2913), 0, IF(ISNA(VLOOKUP(N2913, Crews!$A$2:$C$28, 2, 0)), N2913, VLOOKUP(N2913, Crews!$A$2:$C$28, 2, 0))))) * 400</f>
        <v>95138.88889</v>
      </c>
      <c r="K2913" s="3" t="s">
        <v>5598</v>
      </c>
      <c r="L2913" s="1" t="s">
        <v>5596</v>
      </c>
      <c r="M2913" s="1" t="n">
        <v>1</v>
      </c>
      <c r="N2913" s="1" t="s">
        <v>2342</v>
      </c>
      <c r="O2913" s="1"/>
      <c r="P2913" s="1" t="n">
        <v>0.02</v>
      </c>
      <c r="Q2913" s="1" t="s">
        <v>2229</v>
      </c>
      <c r="R2913" s="1" t="s">
        <v>4413</v>
      </c>
      <c r="S2913" s="1" t="s">
        <v>2229</v>
      </c>
      <c r="T2913" s="1" t="s">
        <v>5588</v>
      </c>
    </row>
    <row r="2914" customFormat="false" ht="15" hidden="false" customHeight="true" outlineLevel="0" collapsed="false">
      <c r="A2914" s="1" t="s">
        <v>5599</v>
      </c>
      <c r="B2914" s="1" t="n">
        <v>2012</v>
      </c>
      <c r="C2914" s="1" t="n">
        <v>1</v>
      </c>
      <c r="D2914" s="1" t="s">
        <v>5426</v>
      </c>
      <c r="E2914" s="1" t="s">
        <v>5427</v>
      </c>
      <c r="F2914" s="1" t="n">
        <v>500</v>
      </c>
      <c r="G2914" s="1" t="n">
        <v>320</v>
      </c>
      <c r="H2914" s="2" t="n">
        <v>12000000</v>
      </c>
      <c r="I2914" s="2" t="n">
        <f aca="false">(((H2914 / 800) / IF(ISBLANK(R2914), 1000000, IF(ISNA(VLOOKUP(R2914, Mileages!$A$2:$C$34, 2, 0)), R2914, VLOOKUP(R2914, Mileages!$A$2:$C$34, 2, 0)))) + (F2914 * IF(ISBLANK(P2914), 1, P2914) * IF(ISBLANK(T2914), 0, IF(ISNA(VLOOKUP(T2914, 'Fuel Costs'!$A$2:$C$42, 2, 0)), T2914, VLOOKUP(T2914, 'Fuel Costs'!$A$2:$C$42, 2, 0))) / IF(ISBLANK(O2914), 1, O2914))) * 100</f>
        <v>33.39333333</v>
      </c>
      <c r="J2914" s="2" t="n">
        <f aca="false">((H2914 / 800) / (IF(ISBLANK(S2914), 100, IF(ISNA(VLOOKUP(S2914, Lives!$A$2:$C$35, 2, 0)), S2914, VLOOKUP(S2914, Lives!$A$2:$C$35, 2, 0))) * 12) + (IF(ISBLANK(Q2914), 0, IF(ISNA(VLOOKUP(Q2914, Wages!$A$2:$C$17, 2, 0)), Q2914, VLOOKUP(Q2914, Wages!$A$2:$C$17, 2, 0))) * IF(ISBLANK(N2914), 0, IF(ISNA(VLOOKUP(N2914, Crews!$A$2:$C$28, 2, 0)), N2914, VLOOKUP(N2914, Crews!$A$2:$C$28, 2, 0))))) * 400</f>
        <v>6250</v>
      </c>
      <c r="K2914" s="1"/>
      <c r="L2914" s="1" t="s">
        <v>5600</v>
      </c>
      <c r="M2914" s="1" t="n">
        <v>0</v>
      </c>
      <c r="N2914" s="1"/>
      <c r="O2914" s="1" t="n">
        <v>3</v>
      </c>
      <c r="P2914" s="1"/>
      <c r="Q2914" s="1"/>
      <c r="R2914" s="1" t="s">
        <v>5429</v>
      </c>
      <c r="S2914" s="1" t="s">
        <v>5429</v>
      </c>
      <c r="T2914" s="1" t="s">
        <v>5548</v>
      </c>
    </row>
    <row r="2915" customFormat="false" ht="15" hidden="false" customHeight="true" outlineLevel="0" collapsed="false">
      <c r="A2915" s="1" t="s">
        <v>5601</v>
      </c>
      <c r="B2915" s="1" t="n">
        <v>2012</v>
      </c>
      <c r="C2915" s="1" t="n">
        <v>1</v>
      </c>
      <c r="D2915" s="1" t="s">
        <v>5426</v>
      </c>
      <c r="E2915" s="1" t="s">
        <v>5427</v>
      </c>
      <c r="F2915" s="1" t="n">
        <v>500</v>
      </c>
      <c r="G2915" s="1" t="n">
        <v>320</v>
      </c>
      <c r="H2915" s="2" t="n">
        <v>12000000</v>
      </c>
      <c r="I2915" s="2" t="n">
        <f aca="false">(((H2915 / 800) / IF(ISBLANK(R2915), 1000000, IF(ISNA(VLOOKUP(R2915, Mileages!$A$2:$C$34, 2, 0)), R2915, VLOOKUP(R2915, Mileages!$A$2:$C$34, 2, 0)))) + (F2915 * IF(ISBLANK(P2915), 1, P2915) * IF(ISBLANK(T2915), 0, IF(ISNA(VLOOKUP(T2915, 'Fuel Costs'!$A$2:$C$42, 2, 0)), T2915, VLOOKUP(T2915, 'Fuel Costs'!$A$2:$C$42, 2, 0))) / IF(ISBLANK(O2915), 1, O2915))) * 100</f>
        <v>33.39333333</v>
      </c>
      <c r="J2915" s="2" t="n">
        <f aca="false">((H2915 / 800) / (IF(ISBLANK(S2915), 100, IF(ISNA(VLOOKUP(S2915, Lives!$A$2:$C$35, 2, 0)), S2915, VLOOKUP(S2915, Lives!$A$2:$C$35, 2, 0))) * 12) + (IF(ISBLANK(Q2915), 0, IF(ISNA(VLOOKUP(Q2915, Wages!$A$2:$C$17, 2, 0)), Q2915, VLOOKUP(Q2915, Wages!$A$2:$C$17, 2, 0))) * IF(ISBLANK(N2915), 0, IF(ISNA(VLOOKUP(N2915, Crews!$A$2:$C$28, 2, 0)), N2915, VLOOKUP(N2915, Crews!$A$2:$C$28, 2, 0))))) * 400</f>
        <v>6250</v>
      </c>
      <c r="K2915" s="1"/>
      <c r="L2915" s="1" t="s">
        <v>5600</v>
      </c>
      <c r="M2915" s="1" t="n">
        <v>1</v>
      </c>
      <c r="N2915" s="1"/>
      <c r="O2915" s="1" t="n">
        <v>3</v>
      </c>
      <c r="P2915" s="1"/>
      <c r="Q2915" s="1"/>
      <c r="R2915" s="1" t="s">
        <v>5429</v>
      </c>
      <c r="S2915" s="1" t="s">
        <v>5429</v>
      </c>
      <c r="T2915" s="1" t="s">
        <v>5548</v>
      </c>
    </row>
    <row r="2916" customFormat="false" ht="15" hidden="false" customHeight="true" outlineLevel="0" collapsed="false">
      <c r="A2916" s="1" t="s">
        <v>5602</v>
      </c>
      <c r="B2916" s="1" t="n">
        <v>2012</v>
      </c>
      <c r="C2916" s="1" t="n">
        <v>1</v>
      </c>
      <c r="D2916" s="1" t="s">
        <v>5426</v>
      </c>
      <c r="E2916" s="1" t="s">
        <v>5427</v>
      </c>
      <c r="F2916" s="1" t="n">
        <v>800</v>
      </c>
      <c r="G2916" s="1" t="n">
        <v>160</v>
      </c>
      <c r="H2916" s="2" t="n">
        <v>1800000</v>
      </c>
      <c r="I2916" s="2" t="n">
        <f aca="false">(((H2916 / 800) / IF(ISBLANK(R2916), 1000000, IF(ISNA(VLOOKUP(R2916, Mileages!$A$2:$C$34, 2, 0)), R2916, VLOOKUP(R2916, Mileages!$A$2:$C$34, 2, 0)))) + (F2916 * IF(ISBLANK(P2916), 1, P2916) * IF(ISBLANK(T2916), 0, IF(ISNA(VLOOKUP(T2916, 'Fuel Costs'!$A$2:$C$42, 2, 0)), T2916, VLOOKUP(T2916, 'Fuel Costs'!$A$2:$C$42, 2, 0))) / IF(ISBLANK(O2916), 1, O2916))) * 100</f>
        <v>53.34233333</v>
      </c>
      <c r="J2916" s="2" t="n">
        <f aca="false">((H2916 / 800) / (IF(ISBLANK(S2916), 100, IF(ISNA(VLOOKUP(S2916, Lives!$A$2:$C$35, 2, 0)), S2916, VLOOKUP(S2916, Lives!$A$2:$C$35, 2, 0))) * 12) + (IF(ISBLANK(Q2916), 0, IF(ISNA(VLOOKUP(Q2916, Wages!$A$2:$C$17, 2, 0)), Q2916, VLOOKUP(Q2916, Wages!$A$2:$C$17, 2, 0))) * IF(ISBLANK(N2916), 0, IF(ISNA(VLOOKUP(N2916, Crews!$A$2:$C$28, 2, 0)), N2916, VLOOKUP(N2916, Crews!$A$2:$C$28, 2, 0))))) * 400</f>
        <v>937.5</v>
      </c>
      <c r="K2916" s="3" t="s">
        <v>5603</v>
      </c>
      <c r="L2916" s="1" t="s">
        <v>5604</v>
      </c>
      <c r="M2916" s="1" t="n">
        <v>1</v>
      </c>
      <c r="N2916" s="1"/>
      <c r="O2916" s="1" t="n">
        <v>3</v>
      </c>
      <c r="P2916" s="1"/>
      <c r="Q2916" s="1"/>
      <c r="R2916" s="1" t="s">
        <v>5429</v>
      </c>
      <c r="S2916" s="1" t="s">
        <v>5429</v>
      </c>
      <c r="T2916" s="1" t="s">
        <v>5548</v>
      </c>
    </row>
    <row r="2917" customFormat="false" ht="15" hidden="false" customHeight="true" outlineLevel="0" collapsed="false">
      <c r="A2917" s="1" t="s">
        <v>5605</v>
      </c>
      <c r="B2917" s="1" t="n">
        <v>2012</v>
      </c>
      <c r="C2917" s="1" t="n">
        <v>1</v>
      </c>
      <c r="D2917" s="1" t="s">
        <v>5426</v>
      </c>
      <c r="E2917" s="1" t="s">
        <v>5427</v>
      </c>
      <c r="F2917" s="1" t="n">
        <v>800</v>
      </c>
      <c r="G2917" s="1" t="n">
        <v>160</v>
      </c>
      <c r="H2917" s="2" t="n">
        <v>1800000</v>
      </c>
      <c r="I2917" s="2" t="n">
        <f aca="false">(((H2917 / 800) / IF(ISBLANK(R2917), 1000000, IF(ISNA(VLOOKUP(R2917, Mileages!$A$2:$C$34, 2, 0)), R2917, VLOOKUP(R2917, Mileages!$A$2:$C$34, 2, 0)))) + (F2917 * IF(ISBLANK(P2917), 1, P2917) * IF(ISBLANK(T2917), 0, IF(ISNA(VLOOKUP(T2917, 'Fuel Costs'!$A$2:$C$42, 2, 0)), T2917, VLOOKUP(T2917, 'Fuel Costs'!$A$2:$C$42, 2, 0))) / IF(ISBLANK(O2917), 1, O2917))) * 100</f>
        <v>53.34233333</v>
      </c>
      <c r="J2917" s="2" t="n">
        <f aca="false">((H2917 / 800) / (IF(ISBLANK(S2917), 100, IF(ISNA(VLOOKUP(S2917, Lives!$A$2:$C$35, 2, 0)), S2917, VLOOKUP(S2917, Lives!$A$2:$C$35, 2, 0))) * 12) + (IF(ISBLANK(Q2917), 0, IF(ISNA(VLOOKUP(Q2917, Wages!$A$2:$C$17, 2, 0)), Q2917, VLOOKUP(Q2917, Wages!$A$2:$C$17, 2, 0))) * IF(ISBLANK(N2917), 0, IF(ISNA(VLOOKUP(N2917, Crews!$A$2:$C$28, 2, 0)), N2917, VLOOKUP(N2917, Crews!$A$2:$C$28, 2, 0))))) * 400</f>
        <v>937.5</v>
      </c>
      <c r="K2917" s="3" t="s">
        <v>5606</v>
      </c>
      <c r="L2917" s="1" t="s">
        <v>5604</v>
      </c>
      <c r="M2917" s="1" t="n">
        <v>2</v>
      </c>
      <c r="N2917" s="1"/>
      <c r="O2917" s="1" t="n">
        <v>3</v>
      </c>
      <c r="P2917" s="1"/>
      <c r="Q2917" s="1"/>
      <c r="R2917" s="1" t="s">
        <v>5429</v>
      </c>
      <c r="S2917" s="1" t="s">
        <v>5429</v>
      </c>
      <c r="T2917" s="1" t="s">
        <v>5548</v>
      </c>
    </row>
    <row r="2918" customFormat="false" ht="15" hidden="false" customHeight="true" outlineLevel="0" collapsed="false">
      <c r="A2918" s="1" t="s">
        <v>5607</v>
      </c>
      <c r="B2918" s="1" t="n">
        <v>2012</v>
      </c>
      <c r="C2918" s="1" t="n">
        <v>1</v>
      </c>
      <c r="D2918" s="1" t="s">
        <v>5426</v>
      </c>
      <c r="E2918" s="1" t="s">
        <v>5427</v>
      </c>
      <c r="F2918" s="1" t="n">
        <v>3400</v>
      </c>
      <c r="G2918" s="1" t="n">
        <v>450</v>
      </c>
      <c r="H2918" s="2" t="n">
        <v>24000000</v>
      </c>
      <c r="I2918" s="2" t="n">
        <f aca="false">(((H2918 / 800) / IF(ISBLANK(R2918), 1000000, IF(ISNA(VLOOKUP(R2918, Mileages!$A$2:$C$34, 2, 0)), R2918, VLOOKUP(R2918, Mileages!$A$2:$C$34, 2, 0)))) + (F2918 * IF(ISBLANK(P2918), 1, P2918) * IF(ISBLANK(T2918), 0, IF(ISNA(VLOOKUP(T2918, 'Fuel Costs'!$A$2:$C$42, 2, 0)), T2918, VLOOKUP(T2918, 'Fuel Costs'!$A$2:$C$42, 2, 0))) / IF(ISBLANK(O2918), 1, O2918))) * 100</f>
        <v>226.7866667</v>
      </c>
      <c r="J2918" s="2" t="n">
        <f aca="false">((H2918 / 800) / (IF(ISBLANK(S2918), 100, IF(ISNA(VLOOKUP(S2918, Lives!$A$2:$C$35, 2, 0)), S2918, VLOOKUP(S2918, Lives!$A$2:$C$35, 2, 0))) * 12) + (IF(ISBLANK(Q2918), 0, IF(ISNA(VLOOKUP(Q2918, Wages!$A$2:$C$17, 2, 0)), Q2918, VLOOKUP(Q2918, Wages!$A$2:$C$17, 2, 0))) * IF(ISBLANK(N2918), 0, IF(ISNA(VLOOKUP(N2918, Crews!$A$2:$C$28, 2, 0)), N2918, VLOOKUP(N2918, Crews!$A$2:$C$28, 2, 0))))) * 400</f>
        <v>18500</v>
      </c>
      <c r="K2918" s="1"/>
      <c r="L2918" s="1" t="s">
        <v>5608</v>
      </c>
      <c r="M2918" s="1" t="n">
        <v>0</v>
      </c>
      <c r="N2918" s="1" t="s">
        <v>1512</v>
      </c>
      <c r="O2918" s="1" t="n">
        <v>3</v>
      </c>
      <c r="P2918" s="1"/>
      <c r="Q2918" s="1" t="s">
        <v>1512</v>
      </c>
      <c r="R2918" s="1" t="s">
        <v>5429</v>
      </c>
      <c r="S2918" s="1" t="s">
        <v>5429</v>
      </c>
      <c r="T2918" s="1" t="s">
        <v>5548</v>
      </c>
    </row>
    <row r="2919" customFormat="false" ht="15" hidden="false" customHeight="true" outlineLevel="0" collapsed="false">
      <c r="A2919" s="1" t="s">
        <v>5609</v>
      </c>
      <c r="B2919" s="1" t="n">
        <v>2012</v>
      </c>
      <c r="C2919" s="1" t="n">
        <v>1</v>
      </c>
      <c r="D2919" s="1" t="s">
        <v>5426</v>
      </c>
      <c r="E2919" s="1" t="s">
        <v>5427</v>
      </c>
      <c r="F2919" s="1" t="n">
        <v>3400</v>
      </c>
      <c r="G2919" s="1" t="n">
        <v>450</v>
      </c>
      <c r="H2919" s="2" t="n">
        <v>24000000</v>
      </c>
      <c r="I2919" s="2" t="n">
        <f aca="false">(((H2919 / 800) / IF(ISBLANK(R2919), 1000000, IF(ISNA(VLOOKUP(R2919, Mileages!$A$2:$C$34, 2, 0)), R2919, VLOOKUP(R2919, Mileages!$A$2:$C$34, 2, 0)))) + (F2919 * IF(ISBLANK(P2919), 1, P2919) * IF(ISBLANK(T2919), 0, IF(ISNA(VLOOKUP(T2919, 'Fuel Costs'!$A$2:$C$42, 2, 0)), T2919, VLOOKUP(T2919, 'Fuel Costs'!$A$2:$C$42, 2, 0))) / IF(ISBLANK(O2919), 1, O2919))) * 100</f>
        <v>226.7866667</v>
      </c>
      <c r="J2919" s="2" t="n">
        <f aca="false">((H2919 / 800) / (IF(ISBLANK(S2919), 100, IF(ISNA(VLOOKUP(S2919, Lives!$A$2:$C$35, 2, 0)), S2919, VLOOKUP(S2919, Lives!$A$2:$C$35, 2, 0))) * 12) + (IF(ISBLANK(Q2919), 0, IF(ISNA(VLOOKUP(Q2919, Wages!$A$2:$C$17, 2, 0)), Q2919, VLOOKUP(Q2919, Wages!$A$2:$C$17, 2, 0))) * IF(ISBLANK(N2919), 0, IF(ISNA(VLOOKUP(N2919, Crews!$A$2:$C$28, 2, 0)), N2919, VLOOKUP(N2919, Crews!$A$2:$C$28, 2, 0))))) * 400</f>
        <v>12500</v>
      </c>
      <c r="K2919" s="1"/>
      <c r="L2919" s="1" t="s">
        <v>5608</v>
      </c>
      <c r="M2919" s="1" t="n">
        <v>1</v>
      </c>
      <c r="N2919" s="1"/>
      <c r="O2919" s="1" t="n">
        <v>3</v>
      </c>
      <c r="P2919" s="1"/>
      <c r="Q2919" s="1"/>
      <c r="R2919" s="1" t="s">
        <v>5429</v>
      </c>
      <c r="S2919" s="1" t="s">
        <v>5429</v>
      </c>
      <c r="T2919" s="1" t="s">
        <v>5548</v>
      </c>
    </row>
    <row r="2920" customFormat="false" ht="15" hidden="false" customHeight="true" outlineLevel="0" collapsed="false">
      <c r="A2920" s="1" t="s">
        <v>5610</v>
      </c>
      <c r="B2920" s="1" t="n">
        <v>2012</v>
      </c>
      <c r="C2920" s="1" t="n">
        <v>1</v>
      </c>
      <c r="D2920" s="1" t="s">
        <v>5426</v>
      </c>
      <c r="E2920" s="1" t="s">
        <v>5427</v>
      </c>
      <c r="F2920" s="1" t="n">
        <v>3400</v>
      </c>
      <c r="G2920" s="1" t="n">
        <v>450</v>
      </c>
      <c r="H2920" s="2" t="n">
        <v>24000000</v>
      </c>
      <c r="I2920" s="2" t="n">
        <f aca="false">(((H2920 / 800) / IF(ISBLANK(R2920), 1000000, IF(ISNA(VLOOKUP(R2920, Mileages!$A$2:$C$34, 2, 0)), R2920, VLOOKUP(R2920, Mileages!$A$2:$C$34, 2, 0)))) + (F2920 * IF(ISBLANK(P2920), 1, P2920) * IF(ISBLANK(T2920), 0, IF(ISNA(VLOOKUP(T2920, 'Fuel Costs'!$A$2:$C$42, 2, 0)), T2920, VLOOKUP(T2920, 'Fuel Costs'!$A$2:$C$42, 2, 0))) / IF(ISBLANK(O2920), 1, O2920))) * 100</f>
        <v>226.7866667</v>
      </c>
      <c r="J2920" s="2" t="n">
        <f aca="false">((H2920 / 800) / (IF(ISBLANK(S2920), 100, IF(ISNA(VLOOKUP(S2920, Lives!$A$2:$C$35, 2, 0)), S2920, VLOOKUP(S2920, Lives!$A$2:$C$35, 2, 0))) * 12) + (IF(ISBLANK(Q2920), 0, IF(ISNA(VLOOKUP(Q2920, Wages!$A$2:$C$17, 2, 0)), Q2920, VLOOKUP(Q2920, Wages!$A$2:$C$17, 2, 0))) * IF(ISBLANK(N2920), 0, IF(ISNA(VLOOKUP(N2920, Crews!$A$2:$C$28, 2, 0)), N2920, VLOOKUP(N2920, Crews!$A$2:$C$28, 2, 0))))) * 400</f>
        <v>18500</v>
      </c>
      <c r="K2920" s="1"/>
      <c r="L2920" s="1" t="s">
        <v>5608</v>
      </c>
      <c r="M2920" s="1" t="n">
        <v>2</v>
      </c>
      <c r="N2920" s="1" t="s">
        <v>1512</v>
      </c>
      <c r="O2920" s="1" t="n">
        <v>3</v>
      </c>
      <c r="P2920" s="1"/>
      <c r="Q2920" s="1" t="s">
        <v>1512</v>
      </c>
      <c r="R2920" s="1" t="s">
        <v>5429</v>
      </c>
      <c r="S2920" s="1" t="s">
        <v>5429</v>
      </c>
      <c r="T2920" s="1" t="s">
        <v>5548</v>
      </c>
    </row>
    <row r="2921" customFormat="false" ht="15" hidden="false" customHeight="true" outlineLevel="0" collapsed="false">
      <c r="A2921" s="1" t="s">
        <v>5611</v>
      </c>
      <c r="B2921" s="1" t="n">
        <v>2012</v>
      </c>
      <c r="C2921" s="1" t="n">
        <v>1</v>
      </c>
      <c r="D2921" s="1" t="s">
        <v>5426</v>
      </c>
      <c r="E2921" s="1" t="s">
        <v>5427</v>
      </c>
      <c r="F2921" s="1" t="n">
        <v>5000</v>
      </c>
      <c r="G2921" s="1" t="n">
        <v>525</v>
      </c>
      <c r="H2921" s="2" t="n">
        <v>24000000</v>
      </c>
      <c r="I2921" s="2" t="n">
        <f aca="false">(((H2921 / 800) / IF(ISBLANK(R2921), 1000000, IF(ISNA(VLOOKUP(R2921, Mileages!$A$2:$C$34, 2, 0)), R2921, VLOOKUP(R2921, Mileages!$A$2:$C$34, 2, 0)))) + (F2921 * IF(ISBLANK(P2921), 1, P2921) * IF(ISBLANK(T2921), 0, IF(ISNA(VLOOKUP(T2921, 'Fuel Costs'!$A$2:$C$42, 2, 0)), T2921, VLOOKUP(T2921, 'Fuel Costs'!$A$2:$C$42, 2, 0))) / IF(ISBLANK(O2921), 1, O2921))) * 100</f>
        <v>333.4533333</v>
      </c>
      <c r="J2921" s="2" t="n">
        <f aca="false">((H2921 / 800) / (IF(ISBLANK(S2921), 100, IF(ISNA(VLOOKUP(S2921, Lives!$A$2:$C$35, 2, 0)), S2921, VLOOKUP(S2921, Lives!$A$2:$C$35, 2, 0))) * 12) + (IF(ISBLANK(Q2921), 0, IF(ISNA(VLOOKUP(Q2921, Wages!$A$2:$C$17, 2, 0)), Q2921, VLOOKUP(Q2921, Wages!$A$2:$C$17, 2, 0))) * IF(ISBLANK(N2921), 0, IF(ISNA(VLOOKUP(N2921, Crews!$A$2:$C$28, 2, 0)), N2921, VLOOKUP(N2921, Crews!$A$2:$C$28, 2, 0))))) * 400</f>
        <v>18500</v>
      </c>
      <c r="K2921" s="1"/>
      <c r="L2921" s="1" t="s">
        <v>5612</v>
      </c>
      <c r="M2921" s="1" t="n">
        <v>0</v>
      </c>
      <c r="N2921" s="1" t="s">
        <v>1512</v>
      </c>
      <c r="O2921" s="1" t="n">
        <v>3</v>
      </c>
      <c r="P2921" s="1"/>
      <c r="Q2921" s="1" t="s">
        <v>1512</v>
      </c>
      <c r="R2921" s="1" t="s">
        <v>5429</v>
      </c>
      <c r="S2921" s="1" t="s">
        <v>5429</v>
      </c>
      <c r="T2921" s="1" t="s">
        <v>5548</v>
      </c>
    </row>
    <row r="2922" customFormat="false" ht="15" hidden="false" customHeight="true" outlineLevel="0" collapsed="false">
      <c r="A2922" s="1" t="s">
        <v>5613</v>
      </c>
      <c r="B2922" s="1" t="n">
        <v>2012</v>
      </c>
      <c r="C2922" s="1" t="n">
        <v>1</v>
      </c>
      <c r="D2922" s="1" t="s">
        <v>5426</v>
      </c>
      <c r="E2922" s="1" t="s">
        <v>5427</v>
      </c>
      <c r="F2922" s="1" t="n">
        <v>5000</v>
      </c>
      <c r="G2922" s="1" t="n">
        <v>525</v>
      </c>
      <c r="H2922" s="2" t="n">
        <v>24000000</v>
      </c>
      <c r="I2922" s="2" t="n">
        <f aca="false">(((H2922 / 800) / IF(ISBLANK(R2922), 1000000, IF(ISNA(VLOOKUP(R2922, Mileages!$A$2:$C$34, 2, 0)), R2922, VLOOKUP(R2922, Mileages!$A$2:$C$34, 2, 0)))) + (F2922 * IF(ISBLANK(P2922), 1, P2922) * IF(ISBLANK(T2922), 0, IF(ISNA(VLOOKUP(T2922, 'Fuel Costs'!$A$2:$C$42, 2, 0)), T2922, VLOOKUP(T2922, 'Fuel Costs'!$A$2:$C$42, 2, 0))) / IF(ISBLANK(O2922), 1, O2922))) * 100</f>
        <v>333.4533333</v>
      </c>
      <c r="J2922" s="2" t="n">
        <f aca="false">((H2922 / 800) / (IF(ISBLANK(S2922), 100, IF(ISNA(VLOOKUP(S2922, Lives!$A$2:$C$35, 2, 0)), S2922, VLOOKUP(S2922, Lives!$A$2:$C$35, 2, 0))) * 12) + (IF(ISBLANK(Q2922), 0, IF(ISNA(VLOOKUP(Q2922, Wages!$A$2:$C$17, 2, 0)), Q2922, VLOOKUP(Q2922, Wages!$A$2:$C$17, 2, 0))) * IF(ISBLANK(N2922), 0, IF(ISNA(VLOOKUP(N2922, Crews!$A$2:$C$28, 2, 0)), N2922, VLOOKUP(N2922, Crews!$A$2:$C$28, 2, 0))))) * 400</f>
        <v>12500</v>
      </c>
      <c r="K2922" s="1"/>
      <c r="L2922" s="1" t="s">
        <v>5612</v>
      </c>
      <c r="M2922" s="1" t="n">
        <v>1</v>
      </c>
      <c r="N2922" s="1"/>
      <c r="O2922" s="1" t="n">
        <v>3</v>
      </c>
      <c r="P2922" s="1"/>
      <c r="Q2922" s="1"/>
      <c r="R2922" s="1" t="s">
        <v>5429</v>
      </c>
      <c r="S2922" s="1" t="s">
        <v>5429</v>
      </c>
      <c r="T2922" s="1" t="s">
        <v>5548</v>
      </c>
    </row>
    <row r="2923" customFormat="false" ht="15" hidden="false" customHeight="true" outlineLevel="0" collapsed="false">
      <c r="A2923" s="1" t="s">
        <v>5614</v>
      </c>
      <c r="B2923" s="1" t="n">
        <v>2012</v>
      </c>
      <c r="C2923" s="1" t="n">
        <v>1</v>
      </c>
      <c r="D2923" s="1" t="s">
        <v>5426</v>
      </c>
      <c r="E2923" s="1" t="s">
        <v>5427</v>
      </c>
      <c r="F2923" s="1" t="n">
        <v>5000</v>
      </c>
      <c r="G2923" s="1" t="n">
        <v>525</v>
      </c>
      <c r="H2923" s="2" t="n">
        <v>27500000</v>
      </c>
      <c r="I2923" s="2" t="n">
        <f aca="false">(((H2923 / 800) / IF(ISBLANK(R2923), 1000000, IF(ISNA(VLOOKUP(R2923, Mileages!$A$2:$C$34, 2, 0)), R2923, VLOOKUP(R2923, Mileages!$A$2:$C$34, 2, 0)))) + (F2923 * IF(ISBLANK(P2923), 1, P2923) * IF(ISBLANK(T2923), 0, IF(ISNA(VLOOKUP(T2923, 'Fuel Costs'!$A$2:$C$42, 2, 0)), T2923, VLOOKUP(T2923, 'Fuel Costs'!$A$2:$C$42, 2, 0))) / IF(ISBLANK(O2923), 1, O2923))) * 100</f>
        <v>333.4708333</v>
      </c>
      <c r="J2923" s="2" t="n">
        <f aca="false">((H2923 / 800) / (IF(ISBLANK(S2923), 100, IF(ISNA(VLOOKUP(S2923, Lives!$A$2:$C$35, 2, 0)), S2923, VLOOKUP(S2923, Lives!$A$2:$C$35, 2, 0))) * 12) + (IF(ISBLANK(Q2923), 0, IF(ISNA(VLOOKUP(Q2923, Wages!$A$2:$C$17, 2, 0)), Q2923, VLOOKUP(Q2923, Wages!$A$2:$C$17, 2, 0))) * IF(ISBLANK(N2923), 0, IF(ISNA(VLOOKUP(N2923, Crews!$A$2:$C$28, 2, 0)), N2923, VLOOKUP(N2923, Crews!$A$2:$C$28, 2, 0))))) * 400</f>
        <v>32322.91667</v>
      </c>
      <c r="K2923" s="1"/>
      <c r="L2923" s="1" t="s">
        <v>5612</v>
      </c>
      <c r="M2923" s="1" t="n">
        <v>2</v>
      </c>
      <c r="N2923" s="1" t="s">
        <v>1481</v>
      </c>
      <c r="O2923" s="1" t="n">
        <v>3</v>
      </c>
      <c r="P2923" s="1"/>
      <c r="Q2923" s="1" t="s">
        <v>1481</v>
      </c>
      <c r="R2923" s="1" t="s">
        <v>5429</v>
      </c>
      <c r="S2923" s="1" t="s">
        <v>5429</v>
      </c>
      <c r="T2923" s="1" t="s">
        <v>5548</v>
      </c>
    </row>
    <row r="2924" customFormat="false" ht="15" hidden="false" customHeight="true" outlineLevel="0" collapsed="false">
      <c r="A2924" s="1" t="s">
        <v>5615</v>
      </c>
      <c r="B2924" s="1" t="n">
        <v>2012</v>
      </c>
      <c r="C2924" s="1" t="n">
        <v>1</v>
      </c>
      <c r="D2924" s="1" t="s">
        <v>5426</v>
      </c>
      <c r="E2924" s="1" t="s">
        <v>5427</v>
      </c>
      <c r="F2924" s="1" t="n">
        <v>5000</v>
      </c>
      <c r="G2924" s="1" t="n">
        <v>525</v>
      </c>
      <c r="H2924" s="2" t="n">
        <v>24000000</v>
      </c>
      <c r="I2924" s="2" t="n">
        <f aca="false">(((H2924 / 800) / IF(ISBLANK(R2924), 1000000, IF(ISNA(VLOOKUP(R2924, Mileages!$A$2:$C$34, 2, 0)), R2924, VLOOKUP(R2924, Mileages!$A$2:$C$34, 2, 0)))) + (F2924 * IF(ISBLANK(P2924), 1, P2924) * IF(ISBLANK(T2924), 0, IF(ISNA(VLOOKUP(T2924, 'Fuel Costs'!$A$2:$C$42, 2, 0)), T2924, VLOOKUP(T2924, 'Fuel Costs'!$A$2:$C$42, 2, 0))) / IF(ISBLANK(O2924), 1, O2924))) * 100</f>
        <v>333.4533333</v>
      </c>
      <c r="J2924" s="2" t="n">
        <f aca="false">((H2924 / 800) / (IF(ISBLANK(S2924), 100, IF(ISNA(VLOOKUP(S2924, Lives!$A$2:$C$35, 2, 0)), S2924, VLOOKUP(S2924, Lives!$A$2:$C$35, 2, 0))) * 12) + (IF(ISBLANK(Q2924), 0, IF(ISNA(VLOOKUP(Q2924, Wages!$A$2:$C$17, 2, 0)), Q2924, VLOOKUP(Q2924, Wages!$A$2:$C$17, 2, 0))) * IF(ISBLANK(N2924), 0, IF(ISNA(VLOOKUP(N2924, Crews!$A$2:$C$28, 2, 0)), N2924, VLOOKUP(N2924, Crews!$A$2:$C$28, 2, 0))))) * 400</f>
        <v>18500</v>
      </c>
      <c r="K2924" s="1"/>
      <c r="L2924" s="1" t="s">
        <v>5612</v>
      </c>
      <c r="M2924" s="1" t="n">
        <v>3</v>
      </c>
      <c r="N2924" s="1" t="s">
        <v>1512</v>
      </c>
      <c r="O2924" s="1" t="n">
        <v>3</v>
      </c>
      <c r="P2924" s="1"/>
      <c r="Q2924" s="1" t="s">
        <v>1512</v>
      </c>
      <c r="R2924" s="1" t="s">
        <v>5429</v>
      </c>
      <c r="S2924" s="1" t="s">
        <v>5429</v>
      </c>
      <c r="T2924" s="1" t="s">
        <v>5548</v>
      </c>
    </row>
    <row r="2925" customFormat="false" ht="15" hidden="false" customHeight="true" outlineLevel="0" collapsed="false">
      <c r="A2925" s="1" t="s">
        <v>5616</v>
      </c>
      <c r="B2925" s="1" t="n">
        <v>2012</v>
      </c>
      <c r="C2925" s="1" t="n">
        <v>1</v>
      </c>
      <c r="D2925" s="1" t="s">
        <v>5426</v>
      </c>
      <c r="E2925" s="1" t="s">
        <v>5427</v>
      </c>
      <c r="F2925" s="1" t="n">
        <v>1600</v>
      </c>
      <c r="G2925" s="1" t="n">
        <v>320</v>
      </c>
      <c r="H2925" s="2" t="n">
        <v>2400000</v>
      </c>
      <c r="I2925" s="2" t="n">
        <f aca="false">(((H2925 / 800) / IF(ISBLANK(R2925), 1000000, IF(ISNA(VLOOKUP(R2925, Mileages!$A$2:$C$34, 2, 0)), R2925, VLOOKUP(R2925, Mileages!$A$2:$C$34, 2, 0)))) + (F2925 * IF(ISBLANK(P2925), 1, P2925) * IF(ISBLANK(T2925), 0, IF(ISNA(VLOOKUP(T2925, 'Fuel Costs'!$A$2:$C$42, 2, 0)), T2925, VLOOKUP(T2925, 'Fuel Costs'!$A$2:$C$42, 2, 0))) / IF(ISBLANK(O2925), 1, O2925))) * 100</f>
        <v>106.6786667</v>
      </c>
      <c r="J2925" s="2" t="n">
        <f aca="false">((H2925 / 800) / (IF(ISBLANK(S2925), 100, IF(ISNA(VLOOKUP(S2925, Lives!$A$2:$C$35, 2, 0)), S2925, VLOOKUP(S2925, Lives!$A$2:$C$35, 2, 0))) * 12) + (IF(ISBLANK(Q2925), 0, IF(ISNA(VLOOKUP(Q2925, Wages!$A$2:$C$17, 2, 0)), Q2925, VLOOKUP(Q2925, Wages!$A$2:$C$17, 2, 0))) * IF(ISBLANK(N2925), 0, IF(ISNA(VLOOKUP(N2925, Crews!$A$2:$C$28, 2, 0)), N2925, VLOOKUP(N2925, Crews!$A$2:$C$28, 2, 0))))) * 400</f>
        <v>1250</v>
      </c>
      <c r="K2925" s="3" t="s">
        <v>5617</v>
      </c>
      <c r="L2925" s="1" t="s">
        <v>5618</v>
      </c>
      <c r="M2925" s="1" t="n">
        <v>0</v>
      </c>
      <c r="N2925" s="1"/>
      <c r="O2925" s="1" t="n">
        <v>3</v>
      </c>
      <c r="P2925" s="1"/>
      <c r="Q2925" s="1"/>
      <c r="R2925" s="1" t="s">
        <v>5429</v>
      </c>
      <c r="S2925" s="1" t="s">
        <v>5429</v>
      </c>
      <c r="T2925" s="1" t="s">
        <v>5548</v>
      </c>
    </row>
    <row r="2926" customFormat="false" ht="15" hidden="false" customHeight="true" outlineLevel="0" collapsed="false">
      <c r="A2926" s="1" t="s">
        <v>5619</v>
      </c>
      <c r="B2926" s="1" t="n">
        <v>2012</v>
      </c>
      <c r="C2926" s="1" t="n">
        <v>1</v>
      </c>
      <c r="D2926" s="1" t="s">
        <v>5426</v>
      </c>
      <c r="E2926" s="1" t="s">
        <v>5427</v>
      </c>
      <c r="F2926" s="1" t="n">
        <v>1600</v>
      </c>
      <c r="G2926" s="1" t="n">
        <v>320</v>
      </c>
      <c r="H2926" s="2" t="n">
        <v>2400000</v>
      </c>
      <c r="I2926" s="2" t="n">
        <f aca="false">(((H2926 / 800) / IF(ISBLANK(R2926), 1000000, IF(ISNA(VLOOKUP(R2926, Mileages!$A$2:$C$34, 2, 0)), R2926, VLOOKUP(R2926, Mileages!$A$2:$C$34, 2, 0)))) + (F2926 * IF(ISBLANK(P2926), 1, P2926) * IF(ISBLANK(T2926), 0, IF(ISNA(VLOOKUP(T2926, 'Fuel Costs'!$A$2:$C$42, 2, 0)), T2926, VLOOKUP(T2926, 'Fuel Costs'!$A$2:$C$42, 2, 0))) / IF(ISBLANK(O2926), 1, O2926))) * 100</f>
        <v>106.6786667</v>
      </c>
      <c r="J2926" s="2" t="n">
        <f aca="false">((H2926 / 800) / (IF(ISBLANK(S2926), 100, IF(ISNA(VLOOKUP(S2926, Lives!$A$2:$C$35, 2, 0)), S2926, VLOOKUP(S2926, Lives!$A$2:$C$35, 2, 0))) * 12) + (IF(ISBLANK(Q2926), 0, IF(ISNA(VLOOKUP(Q2926, Wages!$A$2:$C$17, 2, 0)), Q2926, VLOOKUP(Q2926, Wages!$A$2:$C$17, 2, 0))) * IF(ISBLANK(N2926), 0, IF(ISNA(VLOOKUP(N2926, Crews!$A$2:$C$28, 2, 0)), N2926, VLOOKUP(N2926, Crews!$A$2:$C$28, 2, 0))))) * 400</f>
        <v>1250</v>
      </c>
      <c r="K2926" s="3" t="s">
        <v>5620</v>
      </c>
      <c r="L2926" s="1" t="s">
        <v>5618</v>
      </c>
      <c r="M2926" s="1" t="n">
        <v>1</v>
      </c>
      <c r="N2926" s="1"/>
      <c r="O2926" s="1" t="n">
        <v>3</v>
      </c>
      <c r="P2926" s="1"/>
      <c r="Q2926" s="1"/>
      <c r="R2926" s="1" t="s">
        <v>5429</v>
      </c>
      <c r="S2926" s="1" t="s">
        <v>5429</v>
      </c>
      <c r="T2926" s="1" t="s">
        <v>5548</v>
      </c>
    </row>
    <row r="2927" customFormat="false" ht="15" hidden="false" customHeight="true" outlineLevel="0" collapsed="false">
      <c r="A2927" s="1" t="s">
        <v>5621</v>
      </c>
      <c r="B2927" s="1" t="n">
        <v>2012</v>
      </c>
      <c r="C2927" s="1" t="n">
        <v>1</v>
      </c>
      <c r="D2927" s="1" t="s">
        <v>38</v>
      </c>
      <c r="E2927" s="1" t="s">
        <v>1346</v>
      </c>
      <c r="F2927" s="1" t="n">
        <v>0</v>
      </c>
      <c r="G2927" s="1" t="n">
        <v>160</v>
      </c>
      <c r="H2927" s="2" t="n">
        <v>1852000</v>
      </c>
      <c r="I2927" s="2" t="n">
        <f aca="false">(((H2927 / 800) / IF(ISBLANK(R2927), 1000000, IF(ISNA(VLOOKUP(R2927, Mileages!$A$2:$C$34, 2, 0)), R2927, VLOOKUP(R2927, Mileages!$A$2:$C$34, 2, 0)))) + (F2927 * IF(ISBLANK(P2927), 1, P2927) * IF(ISBLANK(T2927), 0, IF(ISNA(VLOOKUP(T2927, 'Fuel Costs'!$A$2:$C$42, 2, 0)), T2927, VLOOKUP(T2927, 'Fuel Costs'!$A$2:$C$42, 2, 0))) / IF(ISBLANK(O2927), 1, O2927))) * 100</f>
        <v>0.09645833333</v>
      </c>
      <c r="J2927" s="2" t="n">
        <f aca="false">((H2927 / 800) / (IF(ISBLANK(S2927), 100, IF(ISNA(VLOOKUP(S2927, Lives!$A$2:$C$35, 2, 0)), S2927, VLOOKUP(S2927, Lives!$A$2:$C$35, 2, 0))) * 12) + (IF(ISBLANK(Q2927), 0, IF(ISNA(VLOOKUP(Q2927, Wages!$A$2:$C$17, 2, 0)), Q2927, VLOOKUP(Q2927, Wages!$A$2:$C$17, 2, 0))) * IF(ISBLANK(N2927), 0, IF(ISNA(VLOOKUP(N2927, Crews!$A$2:$C$28, 2, 0)), N2927, VLOOKUP(N2927, Crews!$A$2:$C$28, 2, 0))))) * 400</f>
        <v>3858.333333</v>
      </c>
      <c r="K2927" s="1"/>
      <c r="L2927" s="1" t="s">
        <v>5355</v>
      </c>
      <c r="M2927" s="1" t="n">
        <v>3</v>
      </c>
      <c r="N2927" s="1"/>
      <c r="O2927" s="1"/>
      <c r="P2927" s="1"/>
      <c r="Q2927" s="1"/>
      <c r="R2927" s="1" t="s">
        <v>4419</v>
      </c>
      <c r="S2927" s="1" t="s">
        <v>4470</v>
      </c>
      <c r="T2927" s="1"/>
    </row>
    <row r="2928" customFormat="false" ht="15" hidden="false" customHeight="true" outlineLevel="0" collapsed="false">
      <c r="A2928" s="1" t="s">
        <v>5622</v>
      </c>
      <c r="B2928" s="1" t="n">
        <v>2012</v>
      </c>
      <c r="C2928" s="1" t="n">
        <v>3</v>
      </c>
      <c r="D2928" s="1" t="s">
        <v>876</v>
      </c>
      <c r="E2928" s="1" t="s">
        <v>1346</v>
      </c>
      <c r="F2928" s="1" t="n">
        <v>180</v>
      </c>
      <c r="G2928" s="1" t="n">
        <v>80</v>
      </c>
      <c r="H2928" s="2" t="n">
        <v>620000</v>
      </c>
      <c r="I2928" s="2" t="n">
        <f aca="false">(((H2928 / 800) / IF(ISBLANK(R2928), 1000000, IF(ISNA(VLOOKUP(R2928, Mileages!$A$2:$C$34, 2, 0)), R2928, VLOOKUP(R2928, Mileages!$A$2:$C$34, 2, 0)))) + (F2928 * IF(ISBLANK(P2928), 1, P2928) * IF(ISBLANK(T2928), 0, IF(ISNA(VLOOKUP(T2928, 'Fuel Costs'!$A$2:$C$42, 2, 0)), T2928, VLOOKUP(T2928, 'Fuel Costs'!$A$2:$C$42, 2, 0))) / IF(ISBLANK(O2928), 1, O2928))) * 100</f>
        <v>36.03875</v>
      </c>
      <c r="J2928" s="2" t="n">
        <f aca="false">((H2928 / 800) / (IF(ISBLANK(S2928), 100, IF(ISNA(VLOOKUP(S2928, Lives!$A$2:$C$35, 2, 0)), S2928, VLOOKUP(S2928, Lives!$A$2:$C$35, 2, 0))) * 12) + (IF(ISBLANK(Q2928), 0, IF(ISNA(VLOOKUP(Q2928, Wages!$A$2:$C$17, 2, 0)), Q2928, VLOOKUP(Q2928, Wages!$A$2:$C$17, 2, 0))) * IF(ISBLANK(N2928), 0, IF(ISNA(VLOOKUP(N2928, Crews!$A$2:$C$28, 2, 0)), N2928, VLOOKUP(N2928, Crews!$A$2:$C$28, 2, 0))))) * 400</f>
        <v>6516.666667</v>
      </c>
      <c r="K2928" s="1"/>
      <c r="L2928" s="1" t="s">
        <v>5623</v>
      </c>
      <c r="M2928" s="1" t="n">
        <v>0</v>
      </c>
      <c r="N2928" s="1" t="s">
        <v>1512</v>
      </c>
      <c r="O2928" s="1"/>
      <c r="P2928" s="1"/>
      <c r="Q2928" s="1" t="s">
        <v>1512</v>
      </c>
      <c r="R2928" s="1" t="s">
        <v>4696</v>
      </c>
      <c r="S2928" s="1" t="s">
        <v>1350</v>
      </c>
      <c r="T2928" s="1" t="s">
        <v>5548</v>
      </c>
    </row>
    <row r="2929" customFormat="false" ht="15" hidden="false" customHeight="true" outlineLevel="0" collapsed="false">
      <c r="A2929" s="1" t="s">
        <v>5624</v>
      </c>
      <c r="B2929" s="1" t="n">
        <v>2012</v>
      </c>
      <c r="C2929" s="1" t="n">
        <v>3</v>
      </c>
      <c r="D2929" s="1" t="s">
        <v>876</v>
      </c>
      <c r="E2929" s="1" t="s">
        <v>1346</v>
      </c>
      <c r="F2929" s="1"/>
      <c r="G2929" s="1" t="n">
        <v>80</v>
      </c>
      <c r="H2929" s="2" t="n">
        <v>620000</v>
      </c>
      <c r="I2929" s="2" t="n">
        <f aca="false">(((H2929 / 800) / IF(ISBLANK(R2929), 1000000, IF(ISNA(VLOOKUP(R2929, Mileages!$A$2:$C$34, 2, 0)), R2929, VLOOKUP(R2929, Mileages!$A$2:$C$34, 2, 0)))) + (F2929 * IF(ISBLANK(P2929), 1, P2929) * IF(ISBLANK(T2929), 0, IF(ISNA(VLOOKUP(T2929, 'Fuel Costs'!$A$2:$C$42, 2, 0)), T2929, VLOOKUP(T2929, 'Fuel Costs'!$A$2:$C$42, 2, 0))) / IF(ISBLANK(O2929), 1, O2929))) * 100</f>
        <v>0.03229166667</v>
      </c>
      <c r="J2929" s="2" t="n">
        <f aca="false">((H2929 / 800) / (IF(ISBLANK(S2929), 100, IF(ISNA(VLOOKUP(S2929, Lives!$A$2:$C$35, 2, 0)), S2929, VLOOKUP(S2929, Lives!$A$2:$C$35, 2, 0))) * 12) + (IF(ISBLANK(Q2929), 0, IF(ISNA(VLOOKUP(Q2929, Wages!$A$2:$C$17, 2, 0)), Q2929, VLOOKUP(Q2929, Wages!$A$2:$C$17, 2, 0))) * IF(ISBLANK(N2929), 0, IF(ISNA(VLOOKUP(N2929, Crews!$A$2:$C$28, 2, 0)), N2929, VLOOKUP(N2929, Crews!$A$2:$C$28, 2, 0))))) * 400</f>
        <v>1291.666667</v>
      </c>
      <c r="K2929" s="1"/>
      <c r="L2929" s="1" t="s">
        <v>5623</v>
      </c>
      <c r="M2929" s="1" t="n">
        <v>1</v>
      </c>
      <c r="N2929" s="1"/>
      <c r="O2929" s="1"/>
      <c r="P2929" s="1"/>
      <c r="Q2929" s="1"/>
      <c r="R2929" s="1" t="s">
        <v>4419</v>
      </c>
      <c r="S2929" s="1" t="s">
        <v>4470</v>
      </c>
      <c r="T2929" s="1"/>
    </row>
    <row r="2930" customFormat="false" ht="15" hidden="false" customHeight="true" outlineLevel="0" collapsed="false">
      <c r="A2930" s="1" t="s">
        <v>5625</v>
      </c>
      <c r="B2930" s="1" t="n">
        <v>2012</v>
      </c>
      <c r="C2930" s="1" t="n">
        <v>3</v>
      </c>
      <c r="D2930" s="1" t="s">
        <v>876</v>
      </c>
      <c r="E2930" s="1" t="s">
        <v>1346</v>
      </c>
      <c r="F2930" s="1"/>
      <c r="G2930" s="1" t="n">
        <v>80</v>
      </c>
      <c r="H2930" s="2" t="n">
        <v>620000</v>
      </c>
      <c r="I2930" s="2" t="n">
        <f aca="false">(((H2930 / 800) / IF(ISBLANK(R2930), 1000000, IF(ISNA(VLOOKUP(R2930, Mileages!$A$2:$C$34, 2, 0)), R2930, VLOOKUP(R2930, Mileages!$A$2:$C$34, 2, 0)))) + (F2930 * IF(ISBLANK(P2930), 1, P2930) * IF(ISBLANK(T2930), 0, IF(ISNA(VLOOKUP(T2930, 'Fuel Costs'!$A$2:$C$42, 2, 0)), T2930, VLOOKUP(T2930, 'Fuel Costs'!$A$2:$C$42, 2, 0))) / IF(ISBLANK(O2930), 1, O2930))) * 100</f>
        <v>0.03229166667</v>
      </c>
      <c r="J2930" s="2" t="n">
        <f aca="false">((H2930 / 800) / (IF(ISBLANK(S2930), 100, IF(ISNA(VLOOKUP(S2930, Lives!$A$2:$C$35, 2, 0)), S2930, VLOOKUP(S2930, Lives!$A$2:$C$35, 2, 0))) * 12) + (IF(ISBLANK(Q2930), 0, IF(ISNA(VLOOKUP(Q2930, Wages!$A$2:$C$17, 2, 0)), Q2930, VLOOKUP(Q2930, Wages!$A$2:$C$17, 2, 0))) * IF(ISBLANK(N2930), 0, IF(ISNA(VLOOKUP(N2930, Crews!$A$2:$C$28, 2, 0)), N2930, VLOOKUP(N2930, Crews!$A$2:$C$28, 2, 0))))) * 400</f>
        <v>1291.666667</v>
      </c>
      <c r="K2930" s="1"/>
      <c r="L2930" s="1" t="s">
        <v>5623</v>
      </c>
      <c r="M2930" s="1" t="n">
        <v>2</v>
      </c>
      <c r="N2930" s="1"/>
      <c r="O2930" s="1"/>
      <c r="P2930" s="1"/>
      <c r="Q2930" s="1"/>
      <c r="R2930" s="1" t="s">
        <v>4419</v>
      </c>
      <c r="S2930" s="1" t="s">
        <v>4470</v>
      </c>
      <c r="T2930" s="1"/>
    </row>
    <row r="2931" customFormat="false" ht="15" hidden="false" customHeight="true" outlineLevel="0" collapsed="false">
      <c r="A2931" s="1" t="s">
        <v>5626</v>
      </c>
      <c r="B2931" s="1" t="n">
        <v>2012</v>
      </c>
      <c r="C2931" s="1" t="n">
        <v>3</v>
      </c>
      <c r="D2931" s="1" t="s">
        <v>876</v>
      </c>
      <c r="E2931" s="1" t="s">
        <v>1346</v>
      </c>
      <c r="F2931" s="1" t="n">
        <v>160</v>
      </c>
      <c r="G2931" s="1" t="n">
        <v>80</v>
      </c>
      <c r="H2931" s="2" t="n">
        <v>620000</v>
      </c>
      <c r="I2931" s="2" t="n">
        <f aca="false">(((H2931 / 800) / IF(ISBLANK(R2931), 1000000, IF(ISNA(VLOOKUP(R2931, Mileages!$A$2:$C$34, 2, 0)), R2931, VLOOKUP(R2931, Mileages!$A$2:$C$34, 2, 0)))) + (F2931 * IF(ISBLANK(P2931), 1, P2931) * IF(ISBLANK(T2931), 0, IF(ISNA(VLOOKUP(T2931, 'Fuel Costs'!$A$2:$C$42, 2, 0)), T2931, VLOOKUP(T2931, 'Fuel Costs'!$A$2:$C$42, 2, 0))) / IF(ISBLANK(O2931), 1, O2931))) * 100</f>
        <v>32.03875</v>
      </c>
      <c r="J2931" s="2" t="n">
        <f aca="false">((H2931 / 800) / (IF(ISBLANK(S2931), 100, IF(ISNA(VLOOKUP(S2931, Lives!$A$2:$C$35, 2, 0)), S2931, VLOOKUP(S2931, Lives!$A$2:$C$35, 2, 0))) * 12) + (IF(ISBLANK(Q2931), 0, IF(ISNA(VLOOKUP(Q2931, Wages!$A$2:$C$17, 2, 0)), Q2931, VLOOKUP(Q2931, Wages!$A$2:$C$17, 2, 0))) * IF(ISBLANK(N2931), 0, IF(ISNA(VLOOKUP(N2931, Crews!$A$2:$C$28, 2, 0)), N2931, VLOOKUP(N2931, Crews!$A$2:$C$28, 2, 0))))) * 400</f>
        <v>516.6666667</v>
      </c>
      <c r="K2931" s="1"/>
      <c r="L2931" s="1" t="s">
        <v>5623</v>
      </c>
      <c r="M2931" s="1" t="n">
        <v>3</v>
      </c>
      <c r="N2931" s="1"/>
      <c r="O2931" s="1"/>
      <c r="P2931" s="1"/>
      <c r="Q2931" s="1"/>
      <c r="R2931" s="1" t="s">
        <v>4696</v>
      </c>
      <c r="S2931" s="1" t="s">
        <v>1350</v>
      </c>
      <c r="T2931" s="1" t="s">
        <v>5548</v>
      </c>
    </row>
    <row r="2932" customFormat="false" ht="15" hidden="false" customHeight="true" outlineLevel="0" collapsed="false">
      <c r="A2932" s="1" t="s">
        <v>5627</v>
      </c>
      <c r="B2932" s="1" t="n">
        <v>2012</v>
      </c>
      <c r="C2932" s="1" t="n">
        <v>3</v>
      </c>
      <c r="D2932" s="1" t="s">
        <v>876</v>
      </c>
      <c r="E2932" s="1" t="s">
        <v>1346</v>
      </c>
      <c r="F2932" s="1" t="n">
        <v>180</v>
      </c>
      <c r="G2932" s="1" t="n">
        <v>80</v>
      </c>
      <c r="H2932" s="2" t="n">
        <v>0</v>
      </c>
      <c r="I2932" s="2" t="n">
        <f aca="false">(((H2932 / 800) / IF(ISBLANK(R2932), 1000000, IF(ISNA(VLOOKUP(R2932, Mileages!$A$2:$C$34, 2, 0)), R2932, VLOOKUP(R2932, Mileages!$A$2:$C$34, 2, 0)))) + (F2932 * IF(ISBLANK(P2932), 1, P2932) * IF(ISBLANK(T2932), 0, IF(ISNA(VLOOKUP(T2932, 'Fuel Costs'!$A$2:$C$42, 2, 0)), T2932, VLOOKUP(T2932, 'Fuel Costs'!$A$2:$C$42, 2, 0))) / IF(ISBLANK(O2932), 1, O2932))) * 100</f>
        <v>36</v>
      </c>
      <c r="J2932" s="2" t="n">
        <f aca="false">((H2932 / 800) / (IF(ISBLANK(S2932), 100, IF(ISNA(VLOOKUP(S2932, Lives!$A$2:$C$35, 2, 0)), S2932, VLOOKUP(S2932, Lives!$A$2:$C$35, 2, 0))) * 12) + (IF(ISBLANK(Q2932), 0, IF(ISNA(VLOOKUP(Q2932, Wages!$A$2:$C$17, 2, 0)), Q2932, VLOOKUP(Q2932, Wages!$A$2:$C$17, 2, 0))) * IF(ISBLANK(N2932), 0, IF(ISNA(VLOOKUP(N2932, Crews!$A$2:$C$28, 2, 0)), N2932, VLOOKUP(N2932, Crews!$A$2:$C$28, 2, 0))))) * 400</f>
        <v>6000</v>
      </c>
      <c r="K2932" s="1"/>
      <c r="L2932" s="1" t="s">
        <v>5623</v>
      </c>
      <c r="M2932" s="1" t="n">
        <v>4</v>
      </c>
      <c r="N2932" s="1" t="s">
        <v>1512</v>
      </c>
      <c r="O2932" s="1"/>
      <c r="P2932" s="1"/>
      <c r="Q2932" s="1" t="s">
        <v>1512</v>
      </c>
      <c r="R2932" s="1" t="s">
        <v>4696</v>
      </c>
      <c r="S2932" s="1" t="s">
        <v>1350</v>
      </c>
      <c r="T2932" s="1" t="s">
        <v>5548</v>
      </c>
    </row>
    <row r="2933" customFormat="false" ht="15" hidden="false" customHeight="true" outlineLevel="0" collapsed="false">
      <c r="A2933" s="1" t="s">
        <v>5628</v>
      </c>
      <c r="B2933" s="1" t="n">
        <v>2012</v>
      </c>
      <c r="C2933" s="1" t="n">
        <v>4</v>
      </c>
      <c r="D2933" s="1" t="s">
        <v>876</v>
      </c>
      <c r="E2933" s="1" t="s">
        <v>1346</v>
      </c>
      <c r="F2933" s="1" t="n">
        <v>240</v>
      </c>
      <c r="G2933" s="1" t="n">
        <v>70</v>
      </c>
      <c r="H2933" s="2" t="n">
        <v>620000</v>
      </c>
      <c r="I2933" s="2" t="n">
        <f aca="false">(((H2933 / 800) / IF(ISBLANK(R2933), 1000000, IF(ISNA(VLOOKUP(R2933, Mileages!$A$2:$C$34, 2, 0)), R2933, VLOOKUP(R2933, Mileages!$A$2:$C$34, 2, 0)))) + (F2933 * IF(ISBLANK(P2933), 1, P2933) * IF(ISBLANK(T2933), 0, IF(ISNA(VLOOKUP(T2933, 'Fuel Costs'!$A$2:$C$42, 2, 0)), T2933, VLOOKUP(T2933, 'Fuel Costs'!$A$2:$C$42, 2, 0))) / IF(ISBLANK(O2933), 1, O2933))) * 100</f>
        <v>48.03875</v>
      </c>
      <c r="J2933" s="2" t="n">
        <f aca="false">((H2933 / 800) / (IF(ISBLANK(S2933), 100, IF(ISNA(VLOOKUP(S2933, Lives!$A$2:$C$35, 2, 0)), S2933, VLOOKUP(S2933, Lives!$A$2:$C$35, 2, 0))) * 12) + (IF(ISBLANK(Q2933), 0, IF(ISNA(VLOOKUP(Q2933, Wages!$A$2:$C$17, 2, 0)), Q2933, VLOOKUP(Q2933, Wages!$A$2:$C$17, 2, 0))) * IF(ISBLANK(N2933), 0, IF(ISNA(VLOOKUP(N2933, Crews!$A$2:$C$28, 2, 0)), N2933, VLOOKUP(N2933, Crews!$A$2:$C$28, 2, 0))))) * 400</f>
        <v>6516.666667</v>
      </c>
      <c r="K2933" s="1" t="s">
        <v>5629</v>
      </c>
      <c r="L2933" s="1" t="s">
        <v>5630</v>
      </c>
      <c r="M2933" s="1" t="n">
        <v>0</v>
      </c>
      <c r="N2933" s="1" t="s">
        <v>1512</v>
      </c>
      <c r="O2933" s="1"/>
      <c r="P2933" s="1"/>
      <c r="Q2933" s="1" t="s">
        <v>1512</v>
      </c>
      <c r="R2933" s="1" t="s">
        <v>4696</v>
      </c>
      <c r="S2933" s="1" t="s">
        <v>1350</v>
      </c>
      <c r="T2933" s="1" t="s">
        <v>5548</v>
      </c>
    </row>
    <row r="2934" customFormat="false" ht="15" hidden="false" customHeight="true" outlineLevel="0" collapsed="false">
      <c r="A2934" s="1" t="s">
        <v>5631</v>
      </c>
      <c r="B2934" s="1" t="n">
        <v>2012</v>
      </c>
      <c r="C2934" s="1" t="n">
        <v>4</v>
      </c>
      <c r="D2934" s="1" t="s">
        <v>876</v>
      </c>
      <c r="E2934" s="1" t="s">
        <v>1346</v>
      </c>
      <c r="F2934" s="1"/>
      <c r="G2934" s="1" t="n">
        <v>70</v>
      </c>
      <c r="H2934" s="2" t="n">
        <v>620000</v>
      </c>
      <c r="I2934" s="2" t="n">
        <f aca="false">(((H2934 / 800) / IF(ISBLANK(R2934), 1000000, IF(ISNA(VLOOKUP(R2934, Mileages!$A$2:$C$34, 2, 0)), R2934, VLOOKUP(R2934, Mileages!$A$2:$C$34, 2, 0)))) + (F2934 * IF(ISBLANK(P2934), 1, P2934) * IF(ISBLANK(T2934), 0, IF(ISNA(VLOOKUP(T2934, 'Fuel Costs'!$A$2:$C$42, 2, 0)), T2934, VLOOKUP(T2934, 'Fuel Costs'!$A$2:$C$42, 2, 0))) / IF(ISBLANK(O2934), 1, O2934))) * 100</f>
        <v>0.03229166667</v>
      </c>
      <c r="J2934" s="2" t="n">
        <f aca="false">((H2934 / 800) / (IF(ISBLANK(S2934), 100, IF(ISNA(VLOOKUP(S2934, Lives!$A$2:$C$35, 2, 0)), S2934, VLOOKUP(S2934, Lives!$A$2:$C$35, 2, 0))) * 12) + (IF(ISBLANK(Q2934), 0, IF(ISNA(VLOOKUP(Q2934, Wages!$A$2:$C$17, 2, 0)), Q2934, VLOOKUP(Q2934, Wages!$A$2:$C$17, 2, 0))) * IF(ISBLANK(N2934), 0, IF(ISNA(VLOOKUP(N2934, Crews!$A$2:$C$28, 2, 0)), N2934, VLOOKUP(N2934, Crews!$A$2:$C$28, 2, 0))))) * 400</f>
        <v>1291.666667</v>
      </c>
      <c r="K2934" s="1"/>
      <c r="L2934" s="1" t="s">
        <v>5630</v>
      </c>
      <c r="M2934" s="1" t="n">
        <v>1</v>
      </c>
      <c r="N2934" s="1"/>
      <c r="O2934" s="1"/>
      <c r="P2934" s="1"/>
      <c r="Q2934" s="1"/>
      <c r="R2934" s="1" t="s">
        <v>4419</v>
      </c>
      <c r="S2934" s="1" t="s">
        <v>4470</v>
      </c>
      <c r="T2934" s="1"/>
    </row>
    <row r="2935" customFormat="false" ht="15" hidden="false" customHeight="true" outlineLevel="0" collapsed="false">
      <c r="A2935" s="1" t="s">
        <v>5632</v>
      </c>
      <c r="B2935" s="1" t="n">
        <v>2012</v>
      </c>
      <c r="C2935" s="1" t="n">
        <v>4</v>
      </c>
      <c r="D2935" s="1" t="s">
        <v>876</v>
      </c>
      <c r="E2935" s="1" t="s">
        <v>1346</v>
      </c>
      <c r="F2935" s="1"/>
      <c r="G2935" s="1" t="n">
        <v>70</v>
      </c>
      <c r="H2935" s="2" t="n">
        <v>620000</v>
      </c>
      <c r="I2935" s="2" t="n">
        <f aca="false">(((H2935 / 800) / IF(ISBLANK(R2935), 1000000, IF(ISNA(VLOOKUP(R2935, Mileages!$A$2:$C$34, 2, 0)), R2935, VLOOKUP(R2935, Mileages!$A$2:$C$34, 2, 0)))) + (F2935 * IF(ISBLANK(P2935), 1, P2935) * IF(ISBLANK(T2935), 0, IF(ISNA(VLOOKUP(T2935, 'Fuel Costs'!$A$2:$C$42, 2, 0)), T2935, VLOOKUP(T2935, 'Fuel Costs'!$A$2:$C$42, 2, 0))) / IF(ISBLANK(O2935), 1, O2935))) * 100</f>
        <v>0.03229166667</v>
      </c>
      <c r="J2935" s="2" t="n">
        <f aca="false">((H2935 / 800) / (IF(ISBLANK(S2935), 100, IF(ISNA(VLOOKUP(S2935, Lives!$A$2:$C$35, 2, 0)), S2935, VLOOKUP(S2935, Lives!$A$2:$C$35, 2, 0))) * 12) + (IF(ISBLANK(Q2935), 0, IF(ISNA(VLOOKUP(Q2935, Wages!$A$2:$C$17, 2, 0)), Q2935, VLOOKUP(Q2935, Wages!$A$2:$C$17, 2, 0))) * IF(ISBLANK(N2935), 0, IF(ISNA(VLOOKUP(N2935, Crews!$A$2:$C$28, 2, 0)), N2935, VLOOKUP(N2935, Crews!$A$2:$C$28, 2, 0))))) * 400</f>
        <v>1291.666667</v>
      </c>
      <c r="K2935" s="1"/>
      <c r="L2935" s="1" t="s">
        <v>5630</v>
      </c>
      <c r="M2935" s="1" t="n">
        <v>2</v>
      </c>
      <c r="N2935" s="1"/>
      <c r="O2935" s="1"/>
      <c r="P2935" s="1"/>
      <c r="Q2935" s="1"/>
      <c r="R2935" s="1" t="s">
        <v>4419</v>
      </c>
      <c r="S2935" s="1" t="s">
        <v>4470</v>
      </c>
      <c r="T2935" s="1"/>
    </row>
    <row r="2936" customFormat="false" ht="15" hidden="false" customHeight="true" outlineLevel="0" collapsed="false">
      <c r="A2936" s="1" t="s">
        <v>5633</v>
      </c>
      <c r="B2936" s="1" t="n">
        <v>2012</v>
      </c>
      <c r="C2936" s="1" t="n">
        <v>4</v>
      </c>
      <c r="D2936" s="1" t="s">
        <v>876</v>
      </c>
      <c r="E2936" s="1" t="s">
        <v>1346</v>
      </c>
      <c r="F2936" s="1" t="n">
        <v>160</v>
      </c>
      <c r="G2936" s="1" t="n">
        <v>70</v>
      </c>
      <c r="H2936" s="2" t="n">
        <v>620000</v>
      </c>
      <c r="I2936" s="2" t="n">
        <f aca="false">(((H2936 / 800) / IF(ISBLANK(R2936), 1000000, IF(ISNA(VLOOKUP(R2936, Mileages!$A$2:$C$34, 2, 0)), R2936, VLOOKUP(R2936, Mileages!$A$2:$C$34, 2, 0)))) + (F2936 * IF(ISBLANK(P2936), 1, P2936) * IF(ISBLANK(T2936), 0, IF(ISNA(VLOOKUP(T2936, 'Fuel Costs'!$A$2:$C$42, 2, 0)), T2936, VLOOKUP(T2936, 'Fuel Costs'!$A$2:$C$42, 2, 0))) / IF(ISBLANK(O2936), 1, O2936))) * 100</f>
        <v>32.03875</v>
      </c>
      <c r="J2936" s="2" t="n">
        <f aca="false">((H2936 / 800) / (IF(ISBLANK(S2936), 100, IF(ISNA(VLOOKUP(S2936, Lives!$A$2:$C$35, 2, 0)), S2936, VLOOKUP(S2936, Lives!$A$2:$C$35, 2, 0))) * 12) + (IF(ISBLANK(Q2936), 0, IF(ISNA(VLOOKUP(Q2936, Wages!$A$2:$C$17, 2, 0)), Q2936, VLOOKUP(Q2936, Wages!$A$2:$C$17, 2, 0))) * IF(ISBLANK(N2936), 0, IF(ISNA(VLOOKUP(N2936, Crews!$A$2:$C$28, 2, 0)), N2936, VLOOKUP(N2936, Crews!$A$2:$C$28, 2, 0))))) * 400</f>
        <v>516.6666667</v>
      </c>
      <c r="K2936" s="1"/>
      <c r="L2936" s="1" t="s">
        <v>5630</v>
      </c>
      <c r="M2936" s="1" t="n">
        <v>3</v>
      </c>
      <c r="N2936" s="1"/>
      <c r="O2936" s="1"/>
      <c r="P2936" s="1"/>
      <c r="Q2936" s="1"/>
      <c r="R2936" s="1" t="s">
        <v>4696</v>
      </c>
      <c r="S2936" s="1" t="s">
        <v>1350</v>
      </c>
      <c r="T2936" s="1" t="s">
        <v>5548</v>
      </c>
    </row>
    <row r="2937" customFormat="false" ht="15" hidden="false" customHeight="true" outlineLevel="0" collapsed="false">
      <c r="A2937" s="1" t="s">
        <v>5634</v>
      </c>
      <c r="B2937" s="1" t="n">
        <v>2012</v>
      </c>
      <c r="C2937" s="1" t="n">
        <v>4</v>
      </c>
      <c r="D2937" s="1" t="s">
        <v>876</v>
      </c>
      <c r="E2937" s="1" t="s">
        <v>1346</v>
      </c>
      <c r="F2937" s="1" t="n">
        <v>240</v>
      </c>
      <c r="G2937" s="1" t="n">
        <v>70</v>
      </c>
      <c r="H2937" s="2" t="n">
        <v>0</v>
      </c>
      <c r="I2937" s="2" t="n">
        <f aca="false">(((H2937 / 800) / IF(ISBLANK(R2937), 1000000, IF(ISNA(VLOOKUP(R2937, Mileages!$A$2:$C$34, 2, 0)), R2937, VLOOKUP(R2937, Mileages!$A$2:$C$34, 2, 0)))) + (F2937 * IF(ISBLANK(P2937), 1, P2937) * IF(ISBLANK(T2937), 0, IF(ISNA(VLOOKUP(T2937, 'Fuel Costs'!$A$2:$C$42, 2, 0)), T2937, VLOOKUP(T2937, 'Fuel Costs'!$A$2:$C$42, 2, 0))) / IF(ISBLANK(O2937), 1, O2937))) * 100</f>
        <v>48</v>
      </c>
      <c r="J2937" s="2" t="n">
        <f aca="false">((H2937 / 800) / (IF(ISBLANK(S2937), 100, IF(ISNA(VLOOKUP(S2937, Lives!$A$2:$C$35, 2, 0)), S2937, VLOOKUP(S2937, Lives!$A$2:$C$35, 2, 0))) * 12) + (IF(ISBLANK(Q2937), 0, IF(ISNA(VLOOKUP(Q2937, Wages!$A$2:$C$17, 2, 0)), Q2937, VLOOKUP(Q2937, Wages!$A$2:$C$17, 2, 0))) * IF(ISBLANK(N2937), 0, IF(ISNA(VLOOKUP(N2937, Crews!$A$2:$C$28, 2, 0)), N2937, VLOOKUP(N2937, Crews!$A$2:$C$28, 2, 0))))) * 400</f>
        <v>6000</v>
      </c>
      <c r="K2937" s="1"/>
      <c r="L2937" s="1" t="s">
        <v>5630</v>
      </c>
      <c r="M2937" s="1" t="n">
        <v>4</v>
      </c>
      <c r="N2937" s="1" t="s">
        <v>1512</v>
      </c>
      <c r="O2937" s="1"/>
      <c r="P2937" s="1"/>
      <c r="Q2937" s="1" t="s">
        <v>1512</v>
      </c>
      <c r="R2937" s="1" t="s">
        <v>4696</v>
      </c>
      <c r="S2937" s="1" t="s">
        <v>1350</v>
      </c>
      <c r="T2937" s="1" t="s">
        <v>5548</v>
      </c>
    </row>
    <row r="2938" customFormat="false" ht="15" hidden="false" customHeight="true" outlineLevel="0" collapsed="false">
      <c r="A2938" s="1" t="s">
        <v>5635</v>
      </c>
      <c r="B2938" s="1" t="n">
        <v>2012</v>
      </c>
      <c r="C2938" s="1" t="n">
        <v>5</v>
      </c>
      <c r="D2938" s="1" t="s">
        <v>2225</v>
      </c>
      <c r="E2938" s="1" t="s">
        <v>3660</v>
      </c>
      <c r="F2938" s="1" t="n">
        <v>213120</v>
      </c>
      <c r="G2938" s="1" t="n">
        <v>914</v>
      </c>
      <c r="H2938" s="2" t="n">
        <v>150000000</v>
      </c>
      <c r="I2938" s="2" t="n">
        <f aca="false">(((H2938 / 800) / IF(ISBLANK(R2938), 1000000, IF(ISNA(VLOOKUP(R2938, Mileages!$A$2:$C$34, 2, 0)), R2938, VLOOKUP(R2938, Mileages!$A$2:$C$34, 2, 0)))) + (F2938 * IF(ISBLANK(P2938), 1, P2938) * IF(ISBLANK(T2938), 0, IF(ISNA(VLOOKUP(T2938, 'Fuel Costs'!$A$2:$C$42, 2, 0)), T2938, VLOOKUP(T2938, 'Fuel Costs'!$A$2:$C$42, 2, 0))) / IF(ISBLANK(O2938), 1, O2938))) * 100</f>
        <v>746.545</v>
      </c>
      <c r="J2938" s="2" t="n">
        <f aca="false">((H2938 / 800) / (IF(ISBLANK(S2938), 100, IF(ISNA(VLOOKUP(S2938, Lives!$A$2:$C$35, 2, 0)), S2938, VLOOKUP(S2938, Lives!$A$2:$C$35, 2, 0))) * 12) + (IF(ISBLANK(Q2938), 0, IF(ISNA(VLOOKUP(Q2938, Wages!$A$2:$C$17, 2, 0)), Q2938, VLOOKUP(Q2938, Wages!$A$2:$C$17, 2, 0))) * IF(ISBLANK(N2938), 0, IF(ISNA(VLOOKUP(N2938, Crews!$A$2:$C$28, 2, 0)), N2938, VLOOKUP(N2938, Crews!$A$2:$C$28, 2, 0))))) * 400</f>
        <v>174166.6667</v>
      </c>
      <c r="K2938" s="3" t="s">
        <v>5636</v>
      </c>
      <c r="L2938" s="1" t="s">
        <v>5637</v>
      </c>
      <c r="M2938" s="1" t="n">
        <v>0</v>
      </c>
      <c r="N2938" s="1" t="s">
        <v>4412</v>
      </c>
      <c r="O2938" s="1"/>
      <c r="P2938" s="1" t="n">
        <v>0.02</v>
      </c>
      <c r="Q2938" s="1" t="s">
        <v>2229</v>
      </c>
      <c r="R2938" s="1" t="s">
        <v>4413</v>
      </c>
      <c r="S2938" s="1" t="s">
        <v>2229</v>
      </c>
      <c r="T2938" s="1" t="s">
        <v>5588</v>
      </c>
    </row>
    <row r="2939" customFormat="false" ht="15" hidden="false" customHeight="true" outlineLevel="0" collapsed="false">
      <c r="A2939" s="1" t="s">
        <v>5638</v>
      </c>
      <c r="B2939" s="1" t="n">
        <v>2012</v>
      </c>
      <c r="C2939" s="1" t="n">
        <v>6</v>
      </c>
      <c r="D2939" s="1" t="s">
        <v>2225</v>
      </c>
      <c r="E2939" s="1" t="s">
        <v>3660</v>
      </c>
      <c r="F2939" s="1" t="n">
        <v>43200</v>
      </c>
      <c r="G2939" s="1" t="n">
        <v>828</v>
      </c>
      <c r="H2939" s="2" t="n">
        <v>50000000</v>
      </c>
      <c r="I2939" s="2" t="n">
        <f aca="false">(((H2939 / 800) / IF(ISBLANK(R2939), 1000000, IF(ISNA(VLOOKUP(R2939, Mileages!$A$2:$C$34, 2, 0)), R2939, VLOOKUP(R2939, Mileages!$A$2:$C$34, 2, 0)))) + (F2939 * IF(ISBLANK(P2939), 1, P2939) * IF(ISBLANK(T2939), 0, IF(ISNA(VLOOKUP(T2939, 'Fuel Costs'!$A$2:$C$42, 2, 0)), T2939, VLOOKUP(T2939, 'Fuel Costs'!$A$2:$C$42, 2, 0))) / IF(ISBLANK(O2939), 1, O2939))) * 100</f>
        <v>151.4083333</v>
      </c>
      <c r="J2939" s="2" t="n">
        <f aca="false">((H2939 / 800) / (IF(ISBLANK(S2939), 100, IF(ISNA(VLOOKUP(S2939, Lives!$A$2:$C$35, 2, 0)), S2939, VLOOKUP(S2939, Lives!$A$2:$C$35, 2, 0))) * 12) + (IF(ISBLANK(Q2939), 0, IF(ISNA(VLOOKUP(Q2939, Wages!$A$2:$C$17, 2, 0)), Q2939, VLOOKUP(Q2939, Wages!$A$2:$C$17, 2, 0))) * IF(ISBLANK(N2939), 0, IF(ISNA(VLOOKUP(N2939, Crews!$A$2:$C$28, 2, 0)), N2939, VLOOKUP(N2939, Crews!$A$2:$C$28, 2, 0))))) * 400</f>
        <v>54722.22222</v>
      </c>
      <c r="K2939" s="3" t="s">
        <v>5639</v>
      </c>
      <c r="L2939" s="1" t="s">
        <v>5640</v>
      </c>
      <c r="M2939" s="1" t="n">
        <v>0</v>
      </c>
      <c r="N2939" s="1" t="s">
        <v>3570</v>
      </c>
      <c r="O2939" s="1"/>
      <c r="P2939" s="1" t="n">
        <v>0.02</v>
      </c>
      <c r="Q2939" s="1" t="s">
        <v>2229</v>
      </c>
      <c r="R2939" s="1" t="s">
        <v>4413</v>
      </c>
      <c r="S2939" s="1" t="s">
        <v>2229</v>
      </c>
      <c r="T2939" s="1" t="s">
        <v>5588</v>
      </c>
    </row>
    <row r="2940" customFormat="false" ht="15" hidden="false" customHeight="true" outlineLevel="0" collapsed="false">
      <c r="A2940" s="1" t="s">
        <v>5641</v>
      </c>
      <c r="B2940" s="1" t="n">
        <v>2012</v>
      </c>
      <c r="C2940" s="1" t="n">
        <v>6</v>
      </c>
      <c r="D2940" s="1" t="s">
        <v>2225</v>
      </c>
      <c r="E2940" s="1" t="s">
        <v>3660</v>
      </c>
      <c r="F2940" s="1" t="n">
        <v>43200</v>
      </c>
      <c r="G2940" s="1" t="n">
        <v>828</v>
      </c>
      <c r="H2940" s="2" t="n">
        <v>50000000</v>
      </c>
      <c r="I2940" s="2" t="n">
        <f aca="false">(((H2940 / 800) / IF(ISBLANK(R2940), 1000000, IF(ISNA(VLOOKUP(R2940, Mileages!$A$2:$C$34, 2, 0)), R2940, VLOOKUP(R2940, Mileages!$A$2:$C$34, 2, 0)))) + (F2940 * IF(ISBLANK(P2940), 1, P2940) * IF(ISBLANK(T2940), 0, IF(ISNA(VLOOKUP(T2940, 'Fuel Costs'!$A$2:$C$42, 2, 0)), T2940, VLOOKUP(T2940, 'Fuel Costs'!$A$2:$C$42, 2, 0))) / IF(ISBLANK(O2940), 1, O2940))) * 100</f>
        <v>151.4083333</v>
      </c>
      <c r="J2940" s="2" t="n">
        <f aca="false">((H2940 / 800) / (IF(ISBLANK(S2940), 100, IF(ISNA(VLOOKUP(S2940, Lives!$A$2:$C$35, 2, 0)), S2940, VLOOKUP(S2940, Lives!$A$2:$C$35, 2, 0))) * 12) + (IF(ISBLANK(Q2940), 0, IF(ISNA(VLOOKUP(Q2940, Wages!$A$2:$C$17, 2, 0)), Q2940, VLOOKUP(Q2940, Wages!$A$2:$C$17, 2, 0))) * IF(ISBLANK(N2940), 0, IF(ISNA(VLOOKUP(N2940, Crews!$A$2:$C$28, 2, 0)), N2940, VLOOKUP(N2940, Crews!$A$2:$C$28, 2, 0))))) * 400</f>
        <v>54722.22222</v>
      </c>
      <c r="K2940" s="3" t="s">
        <v>5639</v>
      </c>
      <c r="L2940" s="1" t="s">
        <v>5640</v>
      </c>
      <c r="M2940" s="1" t="n">
        <v>1</v>
      </c>
      <c r="N2940" s="1" t="s">
        <v>3570</v>
      </c>
      <c r="O2940" s="1"/>
      <c r="P2940" s="1" t="n">
        <v>0.02</v>
      </c>
      <c r="Q2940" s="1" t="s">
        <v>2229</v>
      </c>
      <c r="R2940" s="1" t="s">
        <v>4413</v>
      </c>
      <c r="S2940" s="1" t="s">
        <v>2229</v>
      </c>
      <c r="T2940" s="1" t="s">
        <v>5588</v>
      </c>
    </row>
    <row r="2941" customFormat="false" ht="15" hidden="false" customHeight="true" outlineLevel="0" collapsed="false">
      <c r="A2941" s="1" t="s">
        <v>5642</v>
      </c>
      <c r="B2941" s="1" t="n">
        <v>2012</v>
      </c>
      <c r="C2941" s="1" t="n">
        <v>6</v>
      </c>
      <c r="D2941" s="1" t="s">
        <v>2225</v>
      </c>
      <c r="E2941" s="1" t="s">
        <v>3660</v>
      </c>
      <c r="F2941" s="1" t="n">
        <v>43200</v>
      </c>
      <c r="G2941" s="1" t="n">
        <v>828</v>
      </c>
      <c r="H2941" s="2" t="n">
        <v>50000000</v>
      </c>
      <c r="I2941" s="2" t="n">
        <f aca="false">(((H2941 / 800) / IF(ISBLANK(R2941), 1000000, IF(ISNA(VLOOKUP(R2941, Mileages!$A$2:$C$34, 2, 0)), R2941, VLOOKUP(R2941, Mileages!$A$2:$C$34, 2, 0)))) + (F2941 * IF(ISBLANK(P2941), 1, P2941) * IF(ISBLANK(T2941), 0, IF(ISNA(VLOOKUP(T2941, 'Fuel Costs'!$A$2:$C$42, 2, 0)), T2941, VLOOKUP(T2941, 'Fuel Costs'!$A$2:$C$42, 2, 0))) / IF(ISBLANK(O2941), 1, O2941))) * 100</f>
        <v>151.4083333</v>
      </c>
      <c r="J2941" s="2" t="n">
        <f aca="false">((H2941 / 800) / (IF(ISBLANK(S2941), 100, IF(ISNA(VLOOKUP(S2941, Lives!$A$2:$C$35, 2, 0)), S2941, VLOOKUP(S2941, Lives!$A$2:$C$35, 2, 0))) * 12) + (IF(ISBLANK(Q2941), 0, IF(ISNA(VLOOKUP(Q2941, Wages!$A$2:$C$17, 2, 0)), Q2941, VLOOKUP(Q2941, Wages!$A$2:$C$17, 2, 0))) * IF(ISBLANK(N2941), 0, IF(ISNA(VLOOKUP(N2941, Crews!$A$2:$C$28, 2, 0)), N2941, VLOOKUP(N2941, Crews!$A$2:$C$28, 2, 0))))) * 400</f>
        <v>54722.22222</v>
      </c>
      <c r="K2941" s="3" t="s">
        <v>5639</v>
      </c>
      <c r="L2941" s="1" t="s">
        <v>5640</v>
      </c>
      <c r="M2941" s="1" t="n">
        <v>2</v>
      </c>
      <c r="N2941" s="1" t="s">
        <v>3570</v>
      </c>
      <c r="O2941" s="1"/>
      <c r="P2941" s="1" t="n">
        <v>0.02</v>
      </c>
      <c r="Q2941" s="1" t="s">
        <v>2229</v>
      </c>
      <c r="R2941" s="1" t="s">
        <v>4413</v>
      </c>
      <c r="S2941" s="1" t="s">
        <v>2229</v>
      </c>
      <c r="T2941" s="1" t="s">
        <v>5588</v>
      </c>
    </row>
    <row r="2942" customFormat="false" ht="15" hidden="false" customHeight="true" outlineLevel="0" collapsed="false">
      <c r="A2942" s="1" t="s">
        <v>5643</v>
      </c>
      <c r="B2942" s="1" t="n">
        <v>2014</v>
      </c>
      <c r="C2942" s="1" t="n">
        <v>2</v>
      </c>
      <c r="D2942" s="1" t="s">
        <v>38</v>
      </c>
      <c r="E2942" s="1" t="s">
        <v>1346</v>
      </c>
      <c r="F2942" s="1" t="n">
        <v>4700</v>
      </c>
      <c r="G2942" s="1" t="n">
        <v>160</v>
      </c>
      <c r="H2942" s="2" t="n">
        <v>9450000</v>
      </c>
      <c r="I2942" s="2" t="n">
        <f aca="false">(((H2942 / 800) / IF(ISBLANK(R2942), 1000000, IF(ISNA(VLOOKUP(R2942, Mileages!$A$2:$C$34, 2, 0)), R2942, VLOOKUP(R2942, Mileages!$A$2:$C$34, 2, 0)))) + (F2942 * IF(ISBLANK(P2942), 1, P2942) * IF(ISBLANK(T2942), 0, IF(ISNA(VLOOKUP(T2942, 'Fuel Costs'!$A$2:$C$42, 2, 0)), T2942, VLOOKUP(T2942, 'Fuel Costs'!$A$2:$C$42, 2, 0))) / IF(ISBLANK(O2942), 1, O2942))) * 100</f>
        <v>940.590625</v>
      </c>
      <c r="J2942" s="2" t="n">
        <f aca="false">((H2942 / 800) / (IF(ISBLANK(S2942), 100, IF(ISNA(VLOOKUP(S2942, Lives!$A$2:$C$35, 2, 0)), S2942, VLOOKUP(S2942, Lives!$A$2:$C$35, 2, 0))) * 12) + (IF(ISBLANK(Q2942), 0, IF(ISNA(VLOOKUP(Q2942, Wages!$A$2:$C$17, 2, 0)), Q2942, VLOOKUP(Q2942, Wages!$A$2:$C$17, 2, 0))) * IF(ISBLANK(N2942), 0, IF(ISNA(VLOOKUP(N2942, Crews!$A$2:$C$28, 2, 0)), N2942, VLOOKUP(N2942, Crews!$A$2:$C$28, 2, 0))))) * 400</f>
        <v>14921.875</v>
      </c>
      <c r="K2942" s="3" t="s">
        <v>5644</v>
      </c>
      <c r="L2942" s="1" t="s">
        <v>5645</v>
      </c>
      <c r="M2942" s="1" t="n">
        <v>0</v>
      </c>
      <c r="N2942" s="1" t="s">
        <v>1488</v>
      </c>
      <c r="O2942" s="1" t="n">
        <v>1</v>
      </c>
      <c r="P2942" s="1"/>
      <c r="Q2942" s="1" t="str">
        <f aca="false">IF(ISBLANK('Pak128 Britain In'!$N2942),,'Pak128 Britain In'!$N2942)</f>
        <v>ElectricDriverRail</v>
      </c>
      <c r="R2942" s="1" t="s">
        <v>4696</v>
      </c>
      <c r="S2942" s="1" t="s">
        <v>4696</v>
      </c>
      <c r="T2942" s="1" t="s">
        <v>5548</v>
      </c>
    </row>
    <row r="2943" customFormat="false" ht="15" hidden="false" customHeight="true" outlineLevel="0" collapsed="false">
      <c r="A2943" s="1" t="s">
        <v>5646</v>
      </c>
      <c r="B2943" s="1" t="n">
        <v>2014</v>
      </c>
      <c r="C2943" s="1" t="n">
        <v>4</v>
      </c>
      <c r="D2943" s="1" t="s">
        <v>876</v>
      </c>
      <c r="E2943" s="1" t="s">
        <v>1346</v>
      </c>
      <c r="F2943" s="1" t="n">
        <v>160</v>
      </c>
      <c r="G2943" s="1" t="n">
        <v>70</v>
      </c>
      <c r="H2943" s="2" t="n">
        <v>620000</v>
      </c>
      <c r="I2943" s="2" t="n">
        <f aca="false">(((H2943 / 800) / IF(ISBLANK(R2943), 1000000, IF(ISNA(VLOOKUP(R2943, Mileages!$A$2:$C$34, 2, 0)), R2943, VLOOKUP(R2943, Mileages!$A$2:$C$34, 2, 0)))) + (F2943 * IF(ISBLANK(P2943), 1, P2943) * IF(ISBLANK(T2943), 0, IF(ISNA(VLOOKUP(T2943, 'Fuel Costs'!$A$2:$C$42, 2, 0)), T2943, VLOOKUP(T2943, 'Fuel Costs'!$A$2:$C$42, 2, 0))) / IF(ISBLANK(O2943), 1, O2943))) * 100</f>
        <v>32.03875</v>
      </c>
      <c r="J2943" s="2" t="n">
        <f aca="false">((H2943 / 800) / (IF(ISBLANK(S2943), 100, IF(ISNA(VLOOKUP(S2943, Lives!$A$2:$C$35, 2, 0)), S2943, VLOOKUP(S2943, Lives!$A$2:$C$35, 2, 0))) * 12) + (IF(ISBLANK(Q2943), 0, IF(ISNA(VLOOKUP(Q2943, Wages!$A$2:$C$17, 2, 0)), Q2943, VLOOKUP(Q2943, Wages!$A$2:$C$17, 2, 0))) * IF(ISBLANK(N2943), 0, IF(ISNA(VLOOKUP(N2943, Crews!$A$2:$C$28, 2, 0)), N2943, VLOOKUP(N2943, Crews!$A$2:$C$28, 2, 0))))) * 400</f>
        <v>6516.666667</v>
      </c>
      <c r="K2943" s="3" t="s">
        <v>5647</v>
      </c>
      <c r="L2943" s="1" t="s">
        <v>5648</v>
      </c>
      <c r="M2943" s="1" t="n">
        <v>0</v>
      </c>
      <c r="N2943" s="1" t="s">
        <v>1512</v>
      </c>
      <c r="O2943" s="1"/>
      <c r="P2943" s="1"/>
      <c r="Q2943" s="1" t="s">
        <v>1512</v>
      </c>
      <c r="R2943" s="1" t="s">
        <v>4696</v>
      </c>
      <c r="S2943" s="1" t="s">
        <v>1350</v>
      </c>
      <c r="T2943" s="1" t="s">
        <v>5548</v>
      </c>
    </row>
    <row r="2944" customFormat="false" ht="15" hidden="false" customHeight="true" outlineLevel="0" collapsed="false">
      <c r="A2944" s="1" t="s">
        <v>5649</v>
      </c>
      <c r="B2944" s="1" t="n">
        <v>2014</v>
      </c>
      <c r="C2944" s="1" t="n">
        <v>4</v>
      </c>
      <c r="D2944" s="1" t="s">
        <v>876</v>
      </c>
      <c r="E2944" s="1" t="s">
        <v>1346</v>
      </c>
      <c r="F2944" s="1"/>
      <c r="G2944" s="1" t="n">
        <v>70</v>
      </c>
      <c r="H2944" s="2" t="n">
        <v>620000</v>
      </c>
      <c r="I2944" s="2" t="n">
        <f aca="false">(((H2944 / 800) / IF(ISBLANK(R2944), 1000000, IF(ISNA(VLOOKUP(R2944, Mileages!$A$2:$C$34, 2, 0)), R2944, VLOOKUP(R2944, Mileages!$A$2:$C$34, 2, 0)))) + (F2944 * IF(ISBLANK(P2944), 1, P2944) * IF(ISBLANK(T2944), 0, IF(ISNA(VLOOKUP(T2944, 'Fuel Costs'!$A$2:$C$42, 2, 0)), T2944, VLOOKUP(T2944, 'Fuel Costs'!$A$2:$C$42, 2, 0))) / IF(ISBLANK(O2944), 1, O2944))) * 100</f>
        <v>0.03229166667</v>
      </c>
      <c r="J2944" s="2" t="n">
        <f aca="false">((H2944 / 800) / (IF(ISBLANK(S2944), 100, IF(ISNA(VLOOKUP(S2944, Lives!$A$2:$C$35, 2, 0)), S2944, VLOOKUP(S2944, Lives!$A$2:$C$35, 2, 0))) * 12) + (IF(ISBLANK(Q2944), 0, IF(ISNA(VLOOKUP(Q2944, Wages!$A$2:$C$17, 2, 0)), Q2944, VLOOKUP(Q2944, Wages!$A$2:$C$17, 2, 0))) * IF(ISBLANK(N2944), 0, IF(ISNA(VLOOKUP(N2944, Crews!$A$2:$C$28, 2, 0)), N2944, VLOOKUP(N2944, Crews!$A$2:$C$28, 2, 0))))) * 400</f>
        <v>1291.666667</v>
      </c>
      <c r="K2944" s="1"/>
      <c r="L2944" s="1" t="s">
        <v>5648</v>
      </c>
      <c r="M2944" s="1" t="n">
        <v>1</v>
      </c>
      <c r="N2944" s="1"/>
      <c r="O2944" s="1"/>
      <c r="P2944" s="1"/>
      <c r="Q2944" s="1"/>
      <c r="R2944" s="1" t="s">
        <v>4419</v>
      </c>
      <c r="S2944" s="1" t="s">
        <v>4470</v>
      </c>
      <c r="T2944" s="1"/>
    </row>
    <row r="2945" customFormat="false" ht="15" hidden="false" customHeight="true" outlineLevel="0" collapsed="false">
      <c r="A2945" s="1" t="s">
        <v>5650</v>
      </c>
      <c r="B2945" s="1" t="n">
        <v>2014</v>
      </c>
      <c r="C2945" s="1" t="n">
        <v>4</v>
      </c>
      <c r="D2945" s="1" t="s">
        <v>876</v>
      </c>
      <c r="E2945" s="1" t="s">
        <v>1346</v>
      </c>
      <c r="F2945" s="1"/>
      <c r="G2945" s="1" t="n">
        <v>70</v>
      </c>
      <c r="H2945" s="2" t="n">
        <v>620000</v>
      </c>
      <c r="I2945" s="2" t="n">
        <f aca="false">(((H2945 / 800) / IF(ISBLANK(R2945), 1000000, IF(ISNA(VLOOKUP(R2945, Mileages!$A$2:$C$34, 2, 0)), R2945, VLOOKUP(R2945, Mileages!$A$2:$C$34, 2, 0)))) + (F2945 * IF(ISBLANK(P2945), 1, P2945) * IF(ISBLANK(T2945), 0, IF(ISNA(VLOOKUP(T2945, 'Fuel Costs'!$A$2:$C$42, 2, 0)), T2945, VLOOKUP(T2945, 'Fuel Costs'!$A$2:$C$42, 2, 0))) / IF(ISBLANK(O2945), 1, O2945))) * 100</f>
        <v>0.03229166667</v>
      </c>
      <c r="J2945" s="2" t="n">
        <f aca="false">((H2945 / 800) / (IF(ISBLANK(S2945), 100, IF(ISNA(VLOOKUP(S2945, Lives!$A$2:$C$35, 2, 0)), S2945, VLOOKUP(S2945, Lives!$A$2:$C$35, 2, 0))) * 12) + (IF(ISBLANK(Q2945), 0, IF(ISNA(VLOOKUP(Q2945, Wages!$A$2:$C$17, 2, 0)), Q2945, VLOOKUP(Q2945, Wages!$A$2:$C$17, 2, 0))) * IF(ISBLANK(N2945), 0, IF(ISNA(VLOOKUP(N2945, Crews!$A$2:$C$28, 2, 0)), N2945, VLOOKUP(N2945, Crews!$A$2:$C$28, 2, 0))))) * 400</f>
        <v>1291.666667</v>
      </c>
      <c r="K2945" s="1"/>
      <c r="L2945" s="1" t="s">
        <v>5648</v>
      </c>
      <c r="M2945" s="1" t="n">
        <v>2</v>
      </c>
      <c r="N2945" s="1"/>
      <c r="O2945" s="1"/>
      <c r="P2945" s="1"/>
      <c r="Q2945" s="1"/>
      <c r="R2945" s="1" t="s">
        <v>4419</v>
      </c>
      <c r="S2945" s="1" t="s">
        <v>4470</v>
      </c>
      <c r="T2945" s="1"/>
    </row>
    <row r="2946" customFormat="false" ht="15" hidden="false" customHeight="true" outlineLevel="0" collapsed="false">
      <c r="A2946" s="1" t="s">
        <v>5651</v>
      </c>
      <c r="B2946" s="1" t="n">
        <v>2014</v>
      </c>
      <c r="C2946" s="1" t="n">
        <v>4</v>
      </c>
      <c r="D2946" s="1" t="s">
        <v>876</v>
      </c>
      <c r="E2946" s="1" t="s">
        <v>1346</v>
      </c>
      <c r="F2946" s="1" t="n">
        <v>160</v>
      </c>
      <c r="G2946" s="1" t="n">
        <v>70</v>
      </c>
      <c r="H2946" s="2" t="n">
        <v>620000</v>
      </c>
      <c r="I2946" s="2" t="n">
        <f aca="false">(((H2946 / 800) / IF(ISBLANK(R2946), 1000000, IF(ISNA(VLOOKUP(R2946, Mileages!$A$2:$C$34, 2, 0)), R2946, VLOOKUP(R2946, Mileages!$A$2:$C$34, 2, 0)))) + (F2946 * IF(ISBLANK(P2946), 1, P2946) * IF(ISBLANK(T2946), 0, IF(ISNA(VLOOKUP(T2946, 'Fuel Costs'!$A$2:$C$42, 2, 0)), T2946, VLOOKUP(T2946, 'Fuel Costs'!$A$2:$C$42, 2, 0))) / IF(ISBLANK(O2946), 1, O2946))) * 100</f>
        <v>32.03875</v>
      </c>
      <c r="J2946" s="2" t="n">
        <f aca="false">((H2946 / 800) / (IF(ISBLANK(S2946), 100, IF(ISNA(VLOOKUP(S2946, Lives!$A$2:$C$35, 2, 0)), S2946, VLOOKUP(S2946, Lives!$A$2:$C$35, 2, 0))) * 12) + (IF(ISBLANK(Q2946), 0, IF(ISNA(VLOOKUP(Q2946, Wages!$A$2:$C$17, 2, 0)), Q2946, VLOOKUP(Q2946, Wages!$A$2:$C$17, 2, 0))) * IF(ISBLANK(N2946), 0, IF(ISNA(VLOOKUP(N2946, Crews!$A$2:$C$28, 2, 0)), N2946, VLOOKUP(N2946, Crews!$A$2:$C$28, 2, 0))))) * 400</f>
        <v>516.6666667</v>
      </c>
      <c r="K2946" s="1"/>
      <c r="L2946" s="1" t="s">
        <v>5648</v>
      </c>
      <c r="M2946" s="1" t="n">
        <v>3</v>
      </c>
      <c r="N2946" s="1"/>
      <c r="O2946" s="1"/>
      <c r="P2946" s="1"/>
      <c r="Q2946" s="1"/>
      <c r="R2946" s="1" t="s">
        <v>4696</v>
      </c>
      <c r="S2946" s="1" t="s">
        <v>1350</v>
      </c>
      <c r="T2946" s="1" t="s">
        <v>5548</v>
      </c>
    </row>
    <row r="2947" customFormat="false" ht="15" hidden="false" customHeight="true" outlineLevel="0" collapsed="false">
      <c r="A2947" s="1" t="s">
        <v>5652</v>
      </c>
      <c r="B2947" s="1" t="n">
        <v>2014</v>
      </c>
      <c r="C2947" s="1" t="n">
        <v>4</v>
      </c>
      <c r="D2947" s="1" t="s">
        <v>876</v>
      </c>
      <c r="E2947" s="1" t="s">
        <v>1346</v>
      </c>
      <c r="F2947" s="1" t="n">
        <v>160</v>
      </c>
      <c r="G2947" s="1" t="n">
        <v>70</v>
      </c>
      <c r="H2947" s="2" t="n">
        <v>0</v>
      </c>
      <c r="I2947" s="2" t="n">
        <f aca="false">(((H2947 / 800) / IF(ISBLANK(R2947), 1000000, IF(ISNA(VLOOKUP(R2947, Mileages!$A$2:$C$34, 2, 0)), R2947, VLOOKUP(R2947, Mileages!$A$2:$C$34, 2, 0)))) + (F2947 * IF(ISBLANK(P2947), 1, P2947) * IF(ISBLANK(T2947), 0, IF(ISNA(VLOOKUP(T2947, 'Fuel Costs'!$A$2:$C$42, 2, 0)), T2947, VLOOKUP(T2947, 'Fuel Costs'!$A$2:$C$42, 2, 0))) / IF(ISBLANK(O2947), 1, O2947))) * 100</f>
        <v>32</v>
      </c>
      <c r="J2947" s="2" t="n">
        <f aca="false">((H2947 / 800) / (IF(ISBLANK(S2947), 100, IF(ISNA(VLOOKUP(S2947, Lives!$A$2:$C$35, 2, 0)), S2947, VLOOKUP(S2947, Lives!$A$2:$C$35, 2, 0))) * 12) + (IF(ISBLANK(Q2947), 0, IF(ISNA(VLOOKUP(Q2947, Wages!$A$2:$C$17, 2, 0)), Q2947, VLOOKUP(Q2947, Wages!$A$2:$C$17, 2, 0))) * IF(ISBLANK(N2947), 0, IF(ISNA(VLOOKUP(N2947, Crews!$A$2:$C$28, 2, 0)), N2947, VLOOKUP(N2947, Crews!$A$2:$C$28, 2, 0))))) * 400</f>
        <v>6000</v>
      </c>
      <c r="K2947" s="1"/>
      <c r="L2947" s="1" t="s">
        <v>5648</v>
      </c>
      <c r="M2947" s="1" t="n">
        <v>4</v>
      </c>
      <c r="N2947" s="1" t="s">
        <v>1512</v>
      </c>
      <c r="O2947" s="1"/>
      <c r="P2947" s="1"/>
      <c r="Q2947" s="1" t="s">
        <v>1512</v>
      </c>
      <c r="R2947" s="1" t="s">
        <v>4696</v>
      </c>
      <c r="S2947" s="1" t="s">
        <v>1350</v>
      </c>
      <c r="T2947" s="1" t="s">
        <v>5548</v>
      </c>
    </row>
    <row r="2948" customFormat="false" ht="15" hidden="false" customHeight="true" outlineLevel="0" collapsed="false">
      <c r="A2948" s="1" t="s">
        <v>5653</v>
      </c>
      <c r="B2948" s="1" t="n">
        <v>2014</v>
      </c>
      <c r="C2948" s="1" t="n">
        <v>7</v>
      </c>
      <c r="D2948" s="1" t="s">
        <v>2225</v>
      </c>
      <c r="E2948" s="1" t="s">
        <v>3660</v>
      </c>
      <c r="F2948" s="1" t="n">
        <v>118149</v>
      </c>
      <c r="G2948" s="1" t="n">
        <v>903</v>
      </c>
      <c r="H2948" s="2" t="n">
        <v>68500000</v>
      </c>
      <c r="I2948" s="2" t="n">
        <f aca="false">(((H2948 / 800) / IF(ISBLANK(R2948), 1000000, IF(ISNA(VLOOKUP(R2948, Mileages!$A$2:$C$34, 2, 0)), R2948, VLOOKUP(R2948, Mileages!$A$2:$C$34, 2, 0)))) + (F2948 * IF(ISBLANK(P2948), 1, P2948) * IF(ISBLANK(T2948), 0, IF(ISNA(VLOOKUP(T2948, 'Fuel Costs'!$A$2:$C$42, 2, 0)), T2948, VLOOKUP(T2948, 'Fuel Costs'!$A$2:$C$42, 2, 0))) / IF(ISBLANK(O2948), 1, O2948))) * 100</f>
        <v>413.8069167</v>
      </c>
      <c r="J2948" s="2" t="n">
        <f aca="false">((H2948 / 800) / (IF(ISBLANK(S2948), 100, IF(ISNA(VLOOKUP(S2948, Lives!$A$2:$C$35, 2, 0)), S2948, VLOOKUP(S2948, Lives!$A$2:$C$35, 2, 0))) * 12) + (IF(ISBLANK(Q2948), 0, IF(ISNA(VLOOKUP(Q2948, Wages!$A$2:$C$17, 2, 0)), Q2948, VLOOKUP(Q2948, Wages!$A$2:$C$17, 2, 0))) * IF(ISBLANK(N2948), 0, IF(ISNA(VLOOKUP(N2948, Crews!$A$2:$C$28, 2, 0)), N2948, VLOOKUP(N2948, Crews!$A$2:$C$28, 2, 0))))) * 400</f>
        <v>117569.4444</v>
      </c>
      <c r="K2948" s="3" t="s">
        <v>5654</v>
      </c>
      <c r="L2948" s="1" t="s">
        <v>5655</v>
      </c>
      <c r="M2948" s="1" t="n">
        <v>0</v>
      </c>
      <c r="N2948" s="1" t="s">
        <v>4412</v>
      </c>
      <c r="O2948" s="1"/>
      <c r="P2948" s="1" t="n">
        <v>0.02</v>
      </c>
      <c r="Q2948" s="1" t="s">
        <v>2229</v>
      </c>
      <c r="R2948" s="1" t="s">
        <v>4413</v>
      </c>
      <c r="S2948" s="1" t="s">
        <v>2229</v>
      </c>
      <c r="T2948" s="1" t="s">
        <v>5588</v>
      </c>
    </row>
    <row r="2949" customFormat="false" ht="15" hidden="false" customHeight="true" outlineLevel="0" collapsed="false">
      <c r="A2949" s="1" t="s">
        <v>5656</v>
      </c>
      <c r="B2949" s="1" t="n">
        <v>2014</v>
      </c>
      <c r="C2949" s="1" t="n">
        <v>7</v>
      </c>
      <c r="D2949" s="1" t="s">
        <v>2225</v>
      </c>
      <c r="E2949" s="1" t="s">
        <v>3660</v>
      </c>
      <c r="F2949" s="1" t="n">
        <v>118149</v>
      </c>
      <c r="G2949" s="1" t="n">
        <v>903</v>
      </c>
      <c r="H2949" s="2" t="n">
        <v>68500000</v>
      </c>
      <c r="I2949" s="2" t="n">
        <f aca="false">(((H2949 / 800) / IF(ISBLANK(R2949), 1000000, IF(ISNA(VLOOKUP(R2949, Mileages!$A$2:$C$34, 2, 0)), R2949, VLOOKUP(R2949, Mileages!$A$2:$C$34, 2, 0)))) + (F2949 * IF(ISBLANK(P2949), 1, P2949) * IF(ISBLANK(T2949), 0, IF(ISNA(VLOOKUP(T2949, 'Fuel Costs'!$A$2:$C$42, 2, 0)), T2949, VLOOKUP(T2949, 'Fuel Costs'!$A$2:$C$42, 2, 0))) / IF(ISBLANK(O2949), 1, O2949))) * 100</f>
        <v>413.8069167</v>
      </c>
      <c r="J2949" s="2" t="n">
        <f aca="false">((H2949 / 800) / (IF(ISBLANK(S2949), 100, IF(ISNA(VLOOKUP(S2949, Lives!$A$2:$C$35, 2, 0)), S2949, VLOOKUP(S2949, Lives!$A$2:$C$35, 2, 0))) * 12) + (IF(ISBLANK(Q2949), 0, IF(ISNA(VLOOKUP(Q2949, Wages!$A$2:$C$17, 2, 0)), Q2949, VLOOKUP(Q2949, Wages!$A$2:$C$17, 2, 0))) * IF(ISBLANK(N2949), 0, IF(ISNA(VLOOKUP(N2949, Crews!$A$2:$C$28, 2, 0)), N2949, VLOOKUP(N2949, Crews!$A$2:$C$28, 2, 0))))) * 400</f>
        <v>117569.4444</v>
      </c>
      <c r="K2949" s="3" t="s">
        <v>5657</v>
      </c>
      <c r="L2949" s="1" t="s">
        <v>5655</v>
      </c>
      <c r="M2949" s="1" t="n">
        <v>1</v>
      </c>
      <c r="N2949" s="1" t="s">
        <v>4412</v>
      </c>
      <c r="O2949" s="1"/>
      <c r="P2949" s="1" t="n">
        <v>0.02</v>
      </c>
      <c r="Q2949" s="1" t="s">
        <v>2229</v>
      </c>
      <c r="R2949" s="1" t="s">
        <v>4413</v>
      </c>
      <c r="S2949" s="1" t="s">
        <v>2229</v>
      </c>
      <c r="T2949" s="1" t="s">
        <v>5588</v>
      </c>
    </row>
    <row r="2950" customFormat="false" ht="15" hidden="false" customHeight="true" outlineLevel="0" collapsed="false">
      <c r="A2950" s="1" t="s">
        <v>5658</v>
      </c>
      <c r="B2950" s="1" t="n">
        <v>2014</v>
      </c>
      <c r="C2950" s="1" t="n">
        <v>9</v>
      </c>
      <c r="D2950" s="1" t="s">
        <v>38</v>
      </c>
      <c r="E2950" s="1" t="s">
        <v>2039</v>
      </c>
      <c r="F2950" s="1" t="n">
        <v>2800</v>
      </c>
      <c r="G2950" s="1" t="n">
        <v>160</v>
      </c>
      <c r="H2950" s="2" t="n">
        <v>9450000</v>
      </c>
      <c r="I2950" s="2" t="n">
        <f aca="false">(((H2950 / 800) / IF(ISBLANK(R2950), 1000000, IF(ISNA(VLOOKUP(R2950, Mileages!$A$2:$C$34, 2, 0)), R2950, VLOOKUP(R2950, Mileages!$A$2:$C$34, 2, 0)))) + (F2950 * IF(ISBLANK(P2950), 1, P2950) * IF(ISBLANK(T2950), 0, IF(ISNA(VLOOKUP(T2950, 'Fuel Costs'!$A$2:$C$42, 2, 0)), T2950, VLOOKUP(T2950, 'Fuel Costs'!$A$2:$C$42, 2, 0))) / IF(ISBLANK(O2950), 1, O2950))) * 100</f>
        <v>840.590625</v>
      </c>
      <c r="J2950" s="2" t="n">
        <f aca="false">((H2950 / 800) / (IF(ISBLANK(S2950), 100, IF(ISNA(VLOOKUP(S2950, Lives!$A$2:$C$35, 2, 0)), S2950, VLOOKUP(S2950, Lives!$A$2:$C$35, 2, 0))) * 12) + (IF(ISBLANK(Q2950), 0, IF(ISNA(VLOOKUP(Q2950, Wages!$A$2:$C$17, 2, 0)), Q2950, VLOOKUP(Q2950, Wages!$A$2:$C$17, 2, 0))) * IF(ISBLANK(N2950), 0, IF(ISNA(VLOOKUP(N2950, Crews!$A$2:$C$28, 2, 0)), N2950, VLOOKUP(N2950, Crews!$A$2:$C$28, 2, 0))))) * 400</f>
        <v>14921.875</v>
      </c>
      <c r="K2950" s="1" t="s">
        <v>5659</v>
      </c>
      <c r="L2950" s="1" t="s">
        <v>5660</v>
      </c>
      <c r="M2950" s="1" t="n">
        <v>0</v>
      </c>
      <c r="N2950" s="1" t="s">
        <v>1488</v>
      </c>
      <c r="O2950" s="1" t="n">
        <v>1</v>
      </c>
      <c r="P2950" s="1"/>
      <c r="Q2950" s="1" t="s">
        <v>1488</v>
      </c>
      <c r="R2950" s="1" t="s">
        <v>4747</v>
      </c>
      <c r="S2950" s="1" t="s">
        <v>4747</v>
      </c>
      <c r="T2950" s="1" t="s">
        <v>5542</v>
      </c>
    </row>
    <row r="2951" customFormat="false" ht="15" hidden="false" customHeight="true" outlineLevel="0" collapsed="false">
      <c r="A2951" s="1" t="s">
        <v>5661</v>
      </c>
      <c r="B2951" s="1" t="n">
        <v>2014</v>
      </c>
      <c r="C2951" s="1" t="n">
        <v>12</v>
      </c>
      <c r="D2951" s="1" t="s">
        <v>38</v>
      </c>
      <c r="E2951" s="1" t="s">
        <v>1346</v>
      </c>
      <c r="F2951" s="1" t="n">
        <v>600</v>
      </c>
      <c r="G2951" s="1" t="n">
        <v>175</v>
      </c>
      <c r="H2951" s="2" t="n">
        <v>1008000</v>
      </c>
      <c r="I2951" s="2" t="n">
        <f aca="false">(((H2951 / 800) / IF(ISBLANK(R2951), 1000000, IF(ISNA(VLOOKUP(R2951, Mileages!$A$2:$C$34, 2, 0)), R2951, VLOOKUP(R2951, Mileages!$A$2:$C$34, 2, 0)))) + (F2951 * IF(ISBLANK(P2951), 1, P2951) * IF(ISBLANK(T2951), 0, IF(ISNA(VLOOKUP(T2951, 'Fuel Costs'!$A$2:$C$42, 2, 0)), T2951, VLOOKUP(T2951, 'Fuel Costs'!$A$2:$C$42, 2, 0))) / IF(ISBLANK(O2951), 1, O2951))) * 100</f>
        <v>120.063</v>
      </c>
      <c r="J2951" s="2" t="n">
        <f aca="false">((H2951 / 800) / (IF(ISBLANK(S2951), 100, IF(ISNA(VLOOKUP(S2951, Lives!$A$2:$C$35, 2, 0)), S2951, VLOOKUP(S2951, Lives!$A$2:$C$35, 2, 0))) * 12) + (IF(ISBLANK(Q2951), 0, IF(ISNA(VLOOKUP(Q2951, Wages!$A$2:$C$17, 2, 0)), Q2951, VLOOKUP(Q2951, Wages!$A$2:$C$17, 2, 0))) * IF(ISBLANK(N2951), 0, IF(ISNA(VLOOKUP(N2951, Crews!$A$2:$C$28, 2, 0)), N2951, VLOOKUP(N2951, Crews!$A$2:$C$28, 2, 0))))) * 400</f>
        <v>6840</v>
      </c>
      <c r="K2951" s="1"/>
      <c r="L2951" s="1" t="s">
        <v>5662</v>
      </c>
      <c r="M2951" s="1" t="n">
        <v>0</v>
      </c>
      <c r="N2951" s="1" t="s">
        <v>1512</v>
      </c>
      <c r="O2951" s="1" t="n">
        <v>1</v>
      </c>
      <c r="P2951" s="1"/>
      <c r="Q2951" s="1" t="str">
        <f aca="false">IF(ISBLANK('Pak128 Britain In'!$N2951),,'Pak128 Britain In'!$N2951)</f>
        <v>ElectricMultipleUnit</v>
      </c>
      <c r="R2951" s="1" t="s">
        <v>4696</v>
      </c>
      <c r="S2951" s="1" t="s">
        <v>1350</v>
      </c>
      <c r="T2951" s="1" t="s">
        <v>5548</v>
      </c>
    </row>
    <row r="2952" customFormat="false" ht="15" hidden="false" customHeight="true" outlineLevel="0" collapsed="false">
      <c r="A2952" s="1" t="s">
        <v>5663</v>
      </c>
      <c r="B2952" s="1" t="n">
        <v>2014</v>
      </c>
      <c r="C2952" s="1" t="n">
        <v>12</v>
      </c>
      <c r="D2952" s="1" t="s">
        <v>38</v>
      </c>
      <c r="E2952" s="1" t="s">
        <v>1346</v>
      </c>
      <c r="F2952" s="1" t="n">
        <v>550</v>
      </c>
      <c r="G2952" s="1" t="n">
        <v>175</v>
      </c>
      <c r="H2952" s="2" t="n">
        <v>1512000</v>
      </c>
      <c r="I2952" s="2" t="n">
        <f aca="false">(((H2952 / 800) / IF(ISBLANK(R2952), 1000000, IF(ISNA(VLOOKUP(R2952, Mileages!$A$2:$C$34, 2, 0)), R2952, VLOOKUP(R2952, Mileages!$A$2:$C$34, 2, 0)))) + (F2952 * IF(ISBLANK(P2952), 1, P2952) * IF(ISBLANK(T2952), 0, IF(ISNA(VLOOKUP(T2952, 'Fuel Costs'!$A$2:$C$42, 2, 0)), T2952, VLOOKUP(T2952, 'Fuel Costs'!$A$2:$C$42, 2, 0))) / IF(ISBLANK(O2952), 1, O2952))) * 100</f>
        <v>110.0945</v>
      </c>
      <c r="J2952" s="2" t="n">
        <f aca="false">((H2952 / 800) / (IF(ISBLANK(S2952), 100, IF(ISNA(VLOOKUP(S2952, Lives!$A$2:$C$35, 2, 0)), S2952, VLOOKUP(S2952, Lives!$A$2:$C$35, 2, 0))) * 12) + (IF(ISBLANK(Q2952), 0, IF(ISNA(VLOOKUP(Q2952, Wages!$A$2:$C$17, 2, 0)), Q2952, VLOOKUP(Q2952, Wages!$A$2:$C$17, 2, 0))) * IF(ISBLANK(N2952), 0, IF(ISNA(VLOOKUP(N2952, Crews!$A$2:$C$28, 2, 0)), N2952, VLOOKUP(N2952, Crews!$A$2:$C$28, 2, 0))))) * 400</f>
        <v>1260</v>
      </c>
      <c r="K2952" s="1"/>
      <c r="L2952" s="1" t="s">
        <v>5662</v>
      </c>
      <c r="M2952" s="1" t="n">
        <v>1</v>
      </c>
      <c r="N2952" s="1"/>
      <c r="O2952" s="1" t="n">
        <v>1</v>
      </c>
      <c r="P2952" s="1"/>
      <c r="Q2952" s="1"/>
      <c r="R2952" s="1" t="s">
        <v>4696</v>
      </c>
      <c r="S2952" s="1" t="s">
        <v>1350</v>
      </c>
      <c r="T2952" s="1" t="s">
        <v>5548</v>
      </c>
    </row>
    <row r="2953" customFormat="false" ht="15" hidden="false" customHeight="true" outlineLevel="0" collapsed="false">
      <c r="A2953" s="1" t="s">
        <v>5664</v>
      </c>
      <c r="B2953" s="1" t="n">
        <v>2014</v>
      </c>
      <c r="C2953" s="1" t="n">
        <v>12</v>
      </c>
      <c r="D2953" s="1" t="s">
        <v>38</v>
      </c>
      <c r="E2953" s="1" t="s">
        <v>1346</v>
      </c>
      <c r="F2953" s="1" t="n">
        <v>550</v>
      </c>
      <c r="G2953" s="1" t="n">
        <v>175</v>
      </c>
      <c r="H2953" s="2" t="n">
        <v>1512000</v>
      </c>
      <c r="I2953" s="2" t="n">
        <f aca="false">(((H2953 / 800) / IF(ISBLANK(R2953), 1000000, IF(ISNA(VLOOKUP(R2953, Mileages!$A$2:$C$34, 2, 0)), R2953, VLOOKUP(R2953, Mileages!$A$2:$C$34, 2, 0)))) + (F2953 * IF(ISBLANK(P2953), 1, P2953) * IF(ISBLANK(T2953), 0, IF(ISNA(VLOOKUP(T2953, 'Fuel Costs'!$A$2:$C$42, 2, 0)), T2953, VLOOKUP(T2953, 'Fuel Costs'!$A$2:$C$42, 2, 0))) / IF(ISBLANK(O2953), 1, O2953))) * 100</f>
        <v>110.0945</v>
      </c>
      <c r="J2953" s="2" t="n">
        <f aca="false">((H2953 / 800) / (IF(ISBLANK(S2953), 100, IF(ISNA(VLOOKUP(S2953, Lives!$A$2:$C$35, 2, 0)), S2953, VLOOKUP(S2953, Lives!$A$2:$C$35, 2, 0))) * 12) + (IF(ISBLANK(Q2953), 0, IF(ISNA(VLOOKUP(Q2953, Wages!$A$2:$C$17, 2, 0)), Q2953, VLOOKUP(Q2953, Wages!$A$2:$C$17, 2, 0))) * IF(ISBLANK(N2953), 0, IF(ISNA(VLOOKUP(N2953, Crews!$A$2:$C$28, 2, 0)), N2953, VLOOKUP(N2953, Crews!$A$2:$C$28, 2, 0))))) * 400</f>
        <v>1260</v>
      </c>
      <c r="K2953" s="1"/>
      <c r="L2953" s="1" t="s">
        <v>5662</v>
      </c>
      <c r="M2953" s="1" t="n">
        <v>2</v>
      </c>
      <c r="N2953" s="1"/>
      <c r="O2953" s="1" t="n">
        <v>1</v>
      </c>
      <c r="P2953" s="1"/>
      <c r="Q2953" s="1"/>
      <c r="R2953" s="1" t="s">
        <v>4696</v>
      </c>
      <c r="S2953" s="1" t="s">
        <v>1350</v>
      </c>
      <c r="T2953" s="1" t="s">
        <v>5548</v>
      </c>
    </row>
    <row r="2954" customFormat="false" ht="15" hidden="false" customHeight="true" outlineLevel="0" collapsed="false">
      <c r="A2954" s="1" t="s">
        <v>5665</v>
      </c>
      <c r="B2954" s="1" t="n">
        <v>2014</v>
      </c>
      <c r="C2954" s="1" t="n">
        <v>12</v>
      </c>
      <c r="D2954" s="1" t="s">
        <v>38</v>
      </c>
      <c r="E2954" s="1" t="s">
        <v>1346</v>
      </c>
      <c r="F2954" s="1" t="n">
        <v>250</v>
      </c>
      <c r="G2954" s="1" t="n">
        <v>175</v>
      </c>
      <c r="H2954" s="2" t="n">
        <v>1008000</v>
      </c>
      <c r="I2954" s="2" t="n">
        <f aca="false">(((H2954 / 800) / IF(ISBLANK(R2954), 1000000, IF(ISNA(VLOOKUP(R2954, Mileages!$A$2:$C$34, 2, 0)), R2954, VLOOKUP(R2954, Mileages!$A$2:$C$34, 2, 0)))) + (F2954 * IF(ISBLANK(P2954), 1, P2954) * IF(ISBLANK(T2954), 0, IF(ISNA(VLOOKUP(T2954, 'Fuel Costs'!$A$2:$C$42, 2, 0)), T2954, VLOOKUP(T2954, 'Fuel Costs'!$A$2:$C$42, 2, 0))) / IF(ISBLANK(O2954), 1, O2954))) * 100</f>
        <v>50.063</v>
      </c>
      <c r="J2954" s="2" t="n">
        <f aca="false">((H2954 / 800) / (IF(ISBLANK(S2954), 100, IF(ISNA(VLOOKUP(S2954, Lives!$A$2:$C$35, 2, 0)), S2954, VLOOKUP(S2954, Lives!$A$2:$C$35, 2, 0))) * 12) + (IF(ISBLANK(Q2954), 0, IF(ISNA(VLOOKUP(Q2954, Wages!$A$2:$C$17, 2, 0)), Q2954, VLOOKUP(Q2954, Wages!$A$2:$C$17, 2, 0))) * IF(ISBLANK(N2954), 0, IF(ISNA(VLOOKUP(N2954, Crews!$A$2:$C$28, 2, 0)), N2954, VLOOKUP(N2954, Crews!$A$2:$C$28, 2, 0))))) * 400</f>
        <v>6840</v>
      </c>
      <c r="K2954" s="1"/>
      <c r="L2954" s="1" t="s">
        <v>5662</v>
      </c>
      <c r="M2954" s="1" t="n">
        <v>3</v>
      </c>
      <c r="N2954" s="1" t="s">
        <v>1512</v>
      </c>
      <c r="O2954" s="1" t="n">
        <v>1</v>
      </c>
      <c r="P2954" s="1"/>
      <c r="Q2954" s="1" t="str">
        <f aca="false">IF(ISBLANK('Pak128 Britain In'!$N2954),,'Pak128 Britain In'!$N2954)</f>
        <v>ElectricMultipleUnit</v>
      </c>
      <c r="R2954" s="1" t="s">
        <v>4696</v>
      </c>
      <c r="S2954" s="1" t="s">
        <v>1350</v>
      </c>
      <c r="T2954" s="1" t="s">
        <v>5548</v>
      </c>
    </row>
    <row r="2955" customFormat="false" ht="15" hidden="false" customHeight="true" outlineLevel="0" collapsed="false">
      <c r="A2955" s="1" t="s">
        <v>5666</v>
      </c>
      <c r="B2955" s="1" t="n">
        <v>2015</v>
      </c>
      <c r="C2955" s="1" t="n">
        <v>1</v>
      </c>
      <c r="D2955" s="1" t="s">
        <v>5426</v>
      </c>
      <c r="E2955" s="1" t="s">
        <v>5427</v>
      </c>
      <c r="F2955" s="1" t="n">
        <v>800</v>
      </c>
      <c r="G2955" s="1" t="n">
        <v>180</v>
      </c>
      <c r="H2955" s="2" t="n">
        <v>30000000</v>
      </c>
      <c r="I2955" s="2" t="n">
        <f aca="false">(((H2955 / 800) / IF(ISBLANK(R2955), 1000000, IF(ISNA(VLOOKUP(R2955, Mileages!$A$2:$C$34, 2, 0)), R2955, VLOOKUP(R2955, Mileages!$A$2:$C$34, 2, 0)))) + (F2955 * IF(ISBLANK(P2955), 1, P2955) * IF(ISBLANK(T2955), 0, IF(ISNA(VLOOKUP(T2955, 'Fuel Costs'!$A$2:$C$42, 2, 0)), T2955, VLOOKUP(T2955, 'Fuel Costs'!$A$2:$C$42, 2, 0))) / IF(ISBLANK(O2955), 1, O2955))) * 100</f>
        <v>53.48333333</v>
      </c>
      <c r="J2955" s="2" t="n">
        <f aca="false">((H2955 / 800) / (IF(ISBLANK(S2955), 100, IF(ISNA(VLOOKUP(S2955, Lives!$A$2:$C$35, 2, 0)), S2955, VLOOKUP(S2955, Lives!$A$2:$C$35, 2, 0))) * 12) + (IF(ISBLANK(Q2955), 0, IF(ISNA(VLOOKUP(Q2955, Wages!$A$2:$C$17, 2, 0)), Q2955, VLOOKUP(Q2955, Wages!$A$2:$C$17, 2, 0))) * IF(ISBLANK(N2955), 0, IF(ISNA(VLOOKUP(N2955, Crews!$A$2:$C$28, 2, 0)), N2955, VLOOKUP(N2955, Crews!$A$2:$C$28, 2, 0))))) * 400</f>
        <v>25625</v>
      </c>
      <c r="K2955" s="1"/>
      <c r="L2955" s="1" t="s">
        <v>5667</v>
      </c>
      <c r="M2955" s="1" t="n">
        <v>0</v>
      </c>
      <c r="N2955" s="1" t="s">
        <v>1488</v>
      </c>
      <c r="O2955" s="1" t="n">
        <v>3</v>
      </c>
      <c r="P2955" s="1"/>
      <c r="Q2955" s="1" t="s">
        <v>1488</v>
      </c>
      <c r="R2955" s="1" t="s">
        <v>5429</v>
      </c>
      <c r="S2955" s="1" t="s">
        <v>5429</v>
      </c>
      <c r="T2955" s="1" t="s">
        <v>5548</v>
      </c>
    </row>
    <row r="2956" customFormat="false" ht="15" hidden="false" customHeight="true" outlineLevel="0" collapsed="false">
      <c r="A2956" s="1" t="s">
        <v>5668</v>
      </c>
      <c r="B2956" s="1" t="n">
        <v>2015</v>
      </c>
      <c r="C2956" s="1" t="n">
        <v>5</v>
      </c>
      <c r="D2956" s="1" t="s">
        <v>21</v>
      </c>
      <c r="E2956" s="1" t="s">
        <v>2039</v>
      </c>
      <c r="F2956" s="1" t="n">
        <v>193</v>
      </c>
      <c r="G2956" s="1" t="n">
        <v>76</v>
      </c>
      <c r="H2956" s="2" t="n">
        <v>5150000</v>
      </c>
      <c r="I2956" s="2" t="n">
        <f aca="false">(((H2956 / 800) / IF(ISBLANK(R2956), 1000000, IF(ISNA(VLOOKUP(R2956, Mileages!$A$2:$C$34, 2, 0)), R2956, VLOOKUP(R2956, Mileages!$A$2:$C$34, 2, 0)))) + (F2956 * IF(ISBLANK(P2956), 1, P2956) * IF(ISBLANK(T2956), 0, IF(ISNA(VLOOKUP(T2956, 'Fuel Costs'!$A$2:$C$42, 2, 0)), T2956, VLOOKUP(T2956, 'Fuel Costs'!$A$2:$C$42, 2, 0))) / IF(ISBLANK(O2956), 1, O2956))) * 100</f>
        <v>58.32916667</v>
      </c>
      <c r="J2956" s="2" t="n">
        <f aca="false">((H2956 / 800) / (IF(ISBLANK(S2956), 100, IF(ISNA(VLOOKUP(S2956, Lives!$A$2:$C$35, 2, 0)), S2956, VLOOKUP(S2956, Lives!$A$2:$C$35, 2, 0))) * 12) + (IF(ISBLANK(Q2956), 0, IF(ISNA(VLOOKUP(Q2956, Wages!$A$2:$C$17, 2, 0)), Q2956, VLOOKUP(Q2956, Wages!$A$2:$C$17, 2, 0))) * IF(ISBLANK(N2956), 0, IF(ISNA(VLOOKUP(N2956, Crews!$A$2:$C$28, 2, 0)), N2956, VLOOKUP(N2956, Crews!$A$2:$C$28, 2, 0))))) * 400</f>
        <v>11364.58333</v>
      </c>
      <c r="K2956" s="3" t="s">
        <v>5669</v>
      </c>
      <c r="L2956" s="1" t="s">
        <v>5670</v>
      </c>
      <c r="M2956" s="1" t="n">
        <v>0</v>
      </c>
      <c r="N2956" s="1" t="s">
        <v>3064</v>
      </c>
      <c r="O2956" s="1" t="n">
        <v>1</v>
      </c>
      <c r="P2956" s="1"/>
      <c r="Q2956" s="1" t="s">
        <v>3064</v>
      </c>
      <c r="R2956" s="1" t="s">
        <v>4730</v>
      </c>
      <c r="S2956" s="1" t="s">
        <v>3064</v>
      </c>
      <c r="T2956" s="1" t="s">
        <v>5542</v>
      </c>
    </row>
    <row r="2957" customFormat="false" ht="15" hidden="false" customHeight="true" outlineLevel="0" collapsed="false">
      <c r="A2957" s="1" t="s">
        <v>5671</v>
      </c>
      <c r="B2957" s="1" t="n">
        <v>2015</v>
      </c>
      <c r="C2957" s="1" t="n">
        <v>5</v>
      </c>
      <c r="D2957" s="1" t="s">
        <v>21</v>
      </c>
      <c r="E2957" s="1" t="s">
        <v>2039</v>
      </c>
      <c r="F2957" s="1" t="n">
        <v>193</v>
      </c>
      <c r="G2957" s="1" t="n">
        <v>76</v>
      </c>
      <c r="H2957" s="2" t="n">
        <v>5550000</v>
      </c>
      <c r="I2957" s="2" t="n">
        <f aca="false">(((H2957 / 800) / IF(ISBLANK(R2957), 1000000, IF(ISNA(VLOOKUP(R2957, Mileages!$A$2:$C$34, 2, 0)), R2957, VLOOKUP(R2957, Mileages!$A$2:$C$34, 2, 0)))) + (F2957 * IF(ISBLANK(P2957), 1, P2957) * IF(ISBLANK(T2957), 0, IF(ISNA(VLOOKUP(T2957, 'Fuel Costs'!$A$2:$C$42, 2, 0)), T2957, VLOOKUP(T2957, 'Fuel Costs'!$A$2:$C$42, 2, 0))) / IF(ISBLANK(O2957), 1, O2957))) * 100</f>
        <v>58.3625</v>
      </c>
      <c r="J2957" s="2" t="n">
        <f aca="false">((H2957 / 800) / (IF(ISBLANK(S2957), 100, IF(ISNA(VLOOKUP(S2957, Lives!$A$2:$C$35, 2, 0)), S2957, VLOOKUP(S2957, Lives!$A$2:$C$35, 2, 0))) * 12) + (IF(ISBLANK(Q2957), 0, IF(ISNA(VLOOKUP(Q2957, Wages!$A$2:$C$17, 2, 0)), Q2957, VLOOKUP(Q2957, Wages!$A$2:$C$17, 2, 0))) * IF(ISBLANK(N2957), 0, IF(ISNA(VLOOKUP(N2957, Crews!$A$2:$C$28, 2, 0)), N2957, VLOOKUP(N2957, Crews!$A$2:$C$28, 2, 0))))) * 400</f>
        <v>11781.25</v>
      </c>
      <c r="K2957" s="3" t="s">
        <v>5672</v>
      </c>
      <c r="L2957" s="1" t="s">
        <v>5670</v>
      </c>
      <c r="M2957" s="1" t="n">
        <v>1</v>
      </c>
      <c r="N2957" s="1" t="s">
        <v>3064</v>
      </c>
      <c r="O2957" s="1" t="n">
        <v>1</v>
      </c>
      <c r="P2957" s="1"/>
      <c r="Q2957" s="1" t="s">
        <v>3064</v>
      </c>
      <c r="R2957" s="1" t="s">
        <v>4730</v>
      </c>
      <c r="S2957" s="1" t="s">
        <v>3064</v>
      </c>
      <c r="T2957" s="1" t="s">
        <v>5542</v>
      </c>
    </row>
    <row r="2958" customFormat="false" ht="15" hidden="false" customHeight="true" outlineLevel="0" collapsed="false">
      <c r="A2958" s="1" t="s">
        <v>5673</v>
      </c>
      <c r="B2958" s="1" t="n">
        <v>2015</v>
      </c>
      <c r="C2958" s="1" t="n">
        <v>5</v>
      </c>
      <c r="D2958" s="1" t="s">
        <v>21</v>
      </c>
      <c r="E2958" s="1" t="s">
        <v>2039</v>
      </c>
      <c r="F2958" s="1" t="n">
        <v>147</v>
      </c>
      <c r="G2958" s="1" t="n">
        <v>76</v>
      </c>
      <c r="H2958" s="2" t="n">
        <v>4700000</v>
      </c>
      <c r="I2958" s="2" t="n">
        <f aca="false">(((H2958 / 800) / IF(ISBLANK(R2958), 1000000, IF(ISNA(VLOOKUP(R2958, Mileages!$A$2:$C$34, 2, 0)), R2958, VLOOKUP(R2958, Mileages!$A$2:$C$34, 2, 0)))) + (F2958 * IF(ISBLANK(P2958), 1, P2958) * IF(ISBLANK(T2958), 0, IF(ISNA(VLOOKUP(T2958, 'Fuel Costs'!$A$2:$C$42, 2, 0)), T2958, VLOOKUP(T2958, 'Fuel Costs'!$A$2:$C$42, 2, 0))) / IF(ISBLANK(O2958), 1, O2958))) * 100</f>
        <v>44.39375</v>
      </c>
      <c r="J2958" s="2" t="n">
        <f aca="false">((H2958 / 800) / (IF(ISBLANK(S2958), 100, IF(ISNA(VLOOKUP(S2958, Lives!$A$2:$C$35, 2, 0)), S2958, VLOOKUP(S2958, Lives!$A$2:$C$35, 2, 0))) * 12) + (IF(ISBLANK(Q2958), 0, IF(ISNA(VLOOKUP(Q2958, Wages!$A$2:$C$17, 2, 0)), Q2958, VLOOKUP(Q2958, Wages!$A$2:$C$17, 2, 0))) * IF(ISBLANK(N2958), 0, IF(ISNA(VLOOKUP(N2958, Crews!$A$2:$C$28, 2, 0)), N2958, VLOOKUP(N2958, Crews!$A$2:$C$28, 2, 0))))) * 400</f>
        <v>10447.91667</v>
      </c>
      <c r="K2958" s="3" t="s">
        <v>5674</v>
      </c>
      <c r="L2958" s="1" t="s">
        <v>5675</v>
      </c>
      <c r="M2958" s="1" t="n">
        <v>0</v>
      </c>
      <c r="N2958" s="1" t="s">
        <v>1815</v>
      </c>
      <c r="O2958" s="1" t="n">
        <v>1</v>
      </c>
      <c r="P2958" s="1"/>
      <c r="Q2958" s="1" t="s">
        <v>1815</v>
      </c>
      <c r="R2958" s="1" t="s">
        <v>4725</v>
      </c>
      <c r="S2958" s="1" t="s">
        <v>1843</v>
      </c>
      <c r="T2958" s="1" t="s">
        <v>5542</v>
      </c>
    </row>
    <row r="2959" customFormat="false" ht="15" hidden="false" customHeight="true" outlineLevel="0" collapsed="false">
      <c r="A2959" s="1" t="s">
        <v>5676</v>
      </c>
      <c r="B2959" s="1" t="n">
        <v>2015</v>
      </c>
      <c r="C2959" s="1" t="n">
        <v>5</v>
      </c>
      <c r="D2959" s="1" t="s">
        <v>21</v>
      </c>
      <c r="E2959" s="1" t="s">
        <v>2039</v>
      </c>
      <c r="F2959" s="1" t="n">
        <v>147</v>
      </c>
      <c r="G2959" s="1" t="n">
        <v>76</v>
      </c>
      <c r="H2959" s="2" t="n">
        <v>4900000</v>
      </c>
      <c r="I2959" s="2" t="n">
        <f aca="false">(((H2959 / 800) / IF(ISBLANK(R2959), 1000000, IF(ISNA(VLOOKUP(R2959, Mileages!$A$2:$C$34, 2, 0)), R2959, VLOOKUP(R2959, Mileages!$A$2:$C$34, 2, 0)))) + (F2959 * IF(ISBLANK(P2959), 1, P2959) * IF(ISBLANK(T2959), 0, IF(ISNA(VLOOKUP(T2959, 'Fuel Costs'!$A$2:$C$42, 2, 0)), T2959, VLOOKUP(T2959, 'Fuel Costs'!$A$2:$C$42, 2, 0))) / IF(ISBLANK(O2959), 1, O2959))) * 100</f>
        <v>44.50833333</v>
      </c>
      <c r="J2959" s="2" t="n">
        <f aca="false">((H2959 / 800) / (IF(ISBLANK(S2959), 100, IF(ISNA(VLOOKUP(S2959, Lives!$A$2:$C$35, 2, 0)), S2959, VLOOKUP(S2959, Lives!$A$2:$C$35, 2, 0))) * 12) + (IF(ISBLANK(Q2959), 0, IF(ISNA(VLOOKUP(Q2959, Wages!$A$2:$C$17, 2, 0)), Q2959, VLOOKUP(Q2959, Wages!$A$2:$C$17, 2, 0))) * IF(ISBLANK(N2959), 0, IF(ISNA(VLOOKUP(N2959, Crews!$A$2:$C$28, 2, 0)), N2959, VLOOKUP(N2959, Crews!$A$2:$C$28, 2, 0))))) * 400</f>
        <v>11104.16667</v>
      </c>
      <c r="K2959" s="3" t="s">
        <v>5677</v>
      </c>
      <c r="L2959" s="1" t="s">
        <v>5678</v>
      </c>
      <c r="M2959" s="1" t="n">
        <v>0</v>
      </c>
      <c r="N2959" s="1" t="s">
        <v>3064</v>
      </c>
      <c r="O2959" s="1" t="n">
        <v>1</v>
      </c>
      <c r="P2959" s="1"/>
      <c r="Q2959" s="1" t="s">
        <v>3064</v>
      </c>
      <c r="R2959" s="1" t="s">
        <v>4730</v>
      </c>
      <c r="S2959" s="1" t="s">
        <v>3064</v>
      </c>
      <c r="T2959" s="1" t="s">
        <v>5542</v>
      </c>
    </row>
    <row r="2960" customFormat="false" ht="15" hidden="false" customHeight="true" outlineLevel="0" collapsed="false">
      <c r="A2960" s="1" t="s">
        <v>5679</v>
      </c>
      <c r="B2960" s="1" t="n">
        <v>2015</v>
      </c>
      <c r="C2960" s="1" t="n">
        <v>5</v>
      </c>
      <c r="D2960" s="1" t="s">
        <v>21</v>
      </c>
      <c r="E2960" s="1" t="s">
        <v>2039</v>
      </c>
      <c r="F2960" s="1" t="n">
        <v>147</v>
      </c>
      <c r="G2960" s="1" t="n">
        <v>76</v>
      </c>
      <c r="H2960" s="2" t="n">
        <v>4960000</v>
      </c>
      <c r="I2960" s="2" t="n">
        <f aca="false">(((H2960 / 800) / IF(ISBLANK(R2960), 1000000, IF(ISNA(VLOOKUP(R2960, Mileages!$A$2:$C$34, 2, 0)), R2960, VLOOKUP(R2960, Mileages!$A$2:$C$34, 2, 0)))) + (F2960 * IF(ISBLANK(P2960), 1, P2960) * IF(ISBLANK(T2960), 0, IF(ISNA(VLOOKUP(T2960, 'Fuel Costs'!$A$2:$C$42, 2, 0)), T2960, VLOOKUP(T2960, 'Fuel Costs'!$A$2:$C$42, 2, 0))) / IF(ISBLANK(O2960), 1, O2960))) * 100</f>
        <v>44.51333333</v>
      </c>
      <c r="J2960" s="2" t="n">
        <f aca="false">((H2960 / 800) / (IF(ISBLANK(S2960), 100, IF(ISNA(VLOOKUP(S2960, Lives!$A$2:$C$35, 2, 0)), S2960, VLOOKUP(S2960, Lives!$A$2:$C$35, 2, 0))) * 12) + (IF(ISBLANK(Q2960), 0, IF(ISNA(VLOOKUP(Q2960, Wages!$A$2:$C$17, 2, 0)), Q2960, VLOOKUP(Q2960, Wages!$A$2:$C$17, 2, 0))) * IF(ISBLANK(N2960), 0, IF(ISNA(VLOOKUP(N2960, Crews!$A$2:$C$28, 2, 0)), N2960, VLOOKUP(N2960, Crews!$A$2:$C$28, 2, 0))))) * 400</f>
        <v>11166.66667</v>
      </c>
      <c r="K2960" s="3" t="s">
        <v>5680</v>
      </c>
      <c r="L2960" s="1" t="s">
        <v>5678</v>
      </c>
      <c r="M2960" s="1" t="n">
        <v>1</v>
      </c>
      <c r="N2960" s="1" t="s">
        <v>3064</v>
      </c>
      <c r="O2960" s="1" t="n">
        <v>1</v>
      </c>
      <c r="P2960" s="1"/>
      <c r="Q2960" s="1" t="s">
        <v>3064</v>
      </c>
      <c r="R2960" s="1" t="s">
        <v>4730</v>
      </c>
      <c r="S2960" s="1" t="s">
        <v>3064</v>
      </c>
      <c r="T2960" s="1" t="s">
        <v>5542</v>
      </c>
    </row>
    <row r="2961" customFormat="false" ht="15" hidden="false" customHeight="true" outlineLevel="0" collapsed="false">
      <c r="A2961" s="1" t="s">
        <v>5681</v>
      </c>
      <c r="B2961" s="1" t="n">
        <v>2015</v>
      </c>
      <c r="C2961" s="1" t="n">
        <v>5</v>
      </c>
      <c r="D2961" s="1" t="s">
        <v>21</v>
      </c>
      <c r="E2961" s="1" t="s">
        <v>2039</v>
      </c>
      <c r="F2961" s="1" t="n">
        <v>187</v>
      </c>
      <c r="G2961" s="1" t="n">
        <v>64</v>
      </c>
      <c r="H2961" s="2" t="n">
        <v>5920000</v>
      </c>
      <c r="I2961" s="2" t="n">
        <f aca="false">(((H2961 / 800) / IF(ISBLANK(R2961), 1000000, IF(ISNA(VLOOKUP(R2961, Mileages!$A$2:$C$34, 2, 0)), R2961, VLOOKUP(R2961, Mileages!$A$2:$C$34, 2, 0)))) + (F2961 * IF(ISBLANK(P2961), 1, P2961) * IF(ISBLANK(T2961), 0, IF(ISNA(VLOOKUP(T2961, 'Fuel Costs'!$A$2:$C$42, 2, 0)), T2961, VLOOKUP(T2961, 'Fuel Costs'!$A$2:$C$42, 2, 0))) / IF(ISBLANK(O2961), 1, O2961))) * 100</f>
        <v>56.59333333</v>
      </c>
      <c r="J2961" s="2" t="n">
        <f aca="false">((H2961 / 800) / (IF(ISBLANK(S2961), 100, IF(ISNA(VLOOKUP(S2961, Lives!$A$2:$C$35, 2, 0)), S2961, VLOOKUP(S2961, Lives!$A$2:$C$35, 2, 0))) * 12) + (IF(ISBLANK(Q2961), 0, IF(ISNA(VLOOKUP(Q2961, Wages!$A$2:$C$17, 2, 0)), Q2961, VLOOKUP(Q2961, Wages!$A$2:$C$17, 2, 0))) * IF(ISBLANK(N2961), 0, IF(ISNA(VLOOKUP(N2961, Crews!$A$2:$C$28, 2, 0)), N2961, VLOOKUP(N2961, Crews!$A$2:$C$28, 2, 0))))) * 400</f>
        <v>12166.66667</v>
      </c>
      <c r="K2961" s="3" t="s">
        <v>5682</v>
      </c>
      <c r="L2961" s="1" t="s">
        <v>5683</v>
      </c>
      <c r="M2961" s="1" t="n">
        <v>0</v>
      </c>
      <c r="N2961" s="1" t="s">
        <v>3064</v>
      </c>
      <c r="O2961" s="1" t="n">
        <v>1</v>
      </c>
      <c r="P2961" s="1"/>
      <c r="Q2961" s="1" t="s">
        <v>3064</v>
      </c>
      <c r="R2961" s="1" t="s">
        <v>4730</v>
      </c>
      <c r="S2961" s="1" t="s">
        <v>3064</v>
      </c>
      <c r="T2961" s="1" t="s">
        <v>5542</v>
      </c>
    </row>
    <row r="2962" customFormat="false" ht="15" hidden="false" customHeight="true" outlineLevel="0" collapsed="false">
      <c r="A2962" s="1" t="s">
        <v>5684</v>
      </c>
      <c r="B2962" s="1" t="n">
        <v>2015</v>
      </c>
      <c r="C2962" s="1" t="n">
        <v>5</v>
      </c>
      <c r="D2962" s="1" t="s">
        <v>21</v>
      </c>
      <c r="E2962" s="1" t="s">
        <v>2039</v>
      </c>
      <c r="F2962" s="1" t="n">
        <v>138</v>
      </c>
      <c r="G2962" s="1" t="n">
        <v>64</v>
      </c>
      <c r="H2962" s="2" t="n">
        <v>5990000</v>
      </c>
      <c r="I2962" s="2" t="n">
        <f aca="false">(((H2962 / 800) / IF(ISBLANK(R2962), 1000000, IF(ISNA(VLOOKUP(R2962, Mileages!$A$2:$C$34, 2, 0)), R2962, VLOOKUP(R2962, Mileages!$A$2:$C$34, 2, 0)))) + (F2962 * IF(ISBLANK(P2962), 1, P2962) * IF(ISBLANK(T2962), 0, IF(ISNA(VLOOKUP(T2962, 'Fuel Costs'!$A$2:$C$42, 2, 0)), T2962, VLOOKUP(T2962, 'Fuel Costs'!$A$2:$C$42, 2, 0))) / IF(ISBLANK(O2962), 1, O2962))) * 100</f>
        <v>41.89916667</v>
      </c>
      <c r="J2962" s="2" t="n">
        <f aca="false">((H2962 / 800) / (IF(ISBLANK(S2962), 100, IF(ISNA(VLOOKUP(S2962, Lives!$A$2:$C$35, 2, 0)), S2962, VLOOKUP(S2962, Lives!$A$2:$C$35, 2, 0))) * 12) + (IF(ISBLANK(Q2962), 0, IF(ISNA(VLOOKUP(Q2962, Wages!$A$2:$C$17, 2, 0)), Q2962, VLOOKUP(Q2962, Wages!$A$2:$C$17, 2, 0))) * IF(ISBLANK(N2962), 0, IF(ISNA(VLOOKUP(N2962, Crews!$A$2:$C$28, 2, 0)), N2962, VLOOKUP(N2962, Crews!$A$2:$C$28, 2, 0))))) * 400</f>
        <v>12239.58333</v>
      </c>
      <c r="K2962" s="3" t="s">
        <v>5463</v>
      </c>
      <c r="L2962" s="1" t="s">
        <v>5683</v>
      </c>
      <c r="M2962" s="1" t="n">
        <v>1</v>
      </c>
      <c r="N2962" s="1" t="s">
        <v>3064</v>
      </c>
      <c r="O2962" s="1" t="n">
        <v>1</v>
      </c>
      <c r="P2962" s="1"/>
      <c r="Q2962" s="1" t="s">
        <v>3064</v>
      </c>
      <c r="R2962" s="1" t="s">
        <v>4730</v>
      </c>
      <c r="S2962" s="1" t="s">
        <v>3064</v>
      </c>
      <c r="T2962" s="1" t="s">
        <v>5542</v>
      </c>
    </row>
    <row r="2963" customFormat="false" ht="15" hidden="false" customHeight="true" outlineLevel="0" collapsed="false">
      <c r="A2963" s="1" t="s">
        <v>5685</v>
      </c>
      <c r="B2963" s="1" t="n">
        <v>2015</v>
      </c>
      <c r="C2963" s="1" t="n">
        <v>10</v>
      </c>
      <c r="D2963" s="1" t="s">
        <v>21</v>
      </c>
      <c r="E2963" s="1" t="s">
        <v>2039</v>
      </c>
      <c r="F2963" s="1" t="n">
        <v>138</v>
      </c>
      <c r="G2963" s="1" t="n">
        <v>64</v>
      </c>
      <c r="H2963" s="2" t="n">
        <v>6320000</v>
      </c>
      <c r="I2963" s="2" t="n">
        <f aca="false">(((H2963 / 800) / IF(ISBLANK(R2963), 1000000, IF(ISNA(VLOOKUP(R2963, Mileages!$A$2:$C$34, 2, 0)), R2963, VLOOKUP(R2963, Mileages!$A$2:$C$34, 2, 0)))) + (F2963 * IF(ISBLANK(P2963), 1, P2963) * IF(ISBLANK(T2963), 0, IF(ISNA(VLOOKUP(T2963, 'Fuel Costs'!$A$2:$C$42, 2, 0)), T2963, VLOOKUP(T2963, 'Fuel Costs'!$A$2:$C$42, 2, 0))) / IF(ISBLANK(O2963), 1, O2963))) * 100</f>
        <v>41.92666667</v>
      </c>
      <c r="J2963" s="2" t="n">
        <f aca="false">((H2963 / 800) / (IF(ISBLANK(S2963), 100, IF(ISNA(VLOOKUP(S2963, Lives!$A$2:$C$35, 2, 0)), S2963, VLOOKUP(S2963, Lives!$A$2:$C$35, 2, 0))) * 12) + (IF(ISBLANK(Q2963), 0, IF(ISNA(VLOOKUP(Q2963, Wages!$A$2:$C$17, 2, 0)), Q2963, VLOOKUP(Q2963, Wages!$A$2:$C$17, 2, 0))) * IF(ISBLANK(N2963), 0, IF(ISNA(VLOOKUP(N2963, Crews!$A$2:$C$28, 2, 0)), N2963, VLOOKUP(N2963, Crews!$A$2:$C$28, 2, 0))))) * 400</f>
        <v>12583.33333</v>
      </c>
      <c r="K2963" s="3" t="s">
        <v>5686</v>
      </c>
      <c r="L2963" s="1" t="s">
        <v>5687</v>
      </c>
      <c r="M2963" s="1" t="n">
        <v>0</v>
      </c>
      <c r="N2963" s="1" t="s">
        <v>3064</v>
      </c>
      <c r="O2963" s="1" t="n">
        <v>1</v>
      </c>
      <c r="P2963" s="1"/>
      <c r="Q2963" s="1" t="s">
        <v>3064</v>
      </c>
      <c r="R2963" s="1" t="s">
        <v>4730</v>
      </c>
      <c r="S2963" s="1" t="s">
        <v>3064</v>
      </c>
      <c r="T2963" s="1" t="s">
        <v>5542</v>
      </c>
    </row>
    <row r="2964" customFormat="false" ht="15" hidden="false" customHeight="true" outlineLevel="0" collapsed="false">
      <c r="A2964" s="1" t="s">
        <v>5688</v>
      </c>
      <c r="B2964" s="1" t="n">
        <v>2015</v>
      </c>
      <c r="C2964" s="1" t="n">
        <v>10</v>
      </c>
      <c r="D2964" s="1" t="s">
        <v>21</v>
      </c>
      <c r="E2964" s="1" t="s">
        <v>2039</v>
      </c>
      <c r="F2964" s="1" t="n">
        <v>138</v>
      </c>
      <c r="G2964" s="1" t="n">
        <v>64</v>
      </c>
      <c r="H2964" s="2" t="n">
        <v>6490000</v>
      </c>
      <c r="I2964" s="2" t="n">
        <f aca="false">(((H2964 / 800) / IF(ISBLANK(R2964), 1000000, IF(ISNA(VLOOKUP(R2964, Mileages!$A$2:$C$34, 2, 0)), R2964, VLOOKUP(R2964, Mileages!$A$2:$C$34, 2, 0)))) + (F2964 * IF(ISBLANK(P2964), 1, P2964) * IF(ISBLANK(T2964), 0, IF(ISNA(VLOOKUP(T2964, 'Fuel Costs'!$A$2:$C$42, 2, 0)), T2964, VLOOKUP(T2964, 'Fuel Costs'!$A$2:$C$42, 2, 0))) / IF(ISBLANK(O2964), 1, O2964))) * 100</f>
        <v>41.94083333</v>
      </c>
      <c r="J2964" s="2" t="n">
        <f aca="false">((H2964 / 800) / (IF(ISBLANK(S2964), 100, IF(ISNA(VLOOKUP(S2964, Lives!$A$2:$C$35, 2, 0)), S2964, VLOOKUP(S2964, Lives!$A$2:$C$35, 2, 0))) * 12) + (IF(ISBLANK(Q2964), 0, IF(ISNA(VLOOKUP(Q2964, Wages!$A$2:$C$17, 2, 0)), Q2964, VLOOKUP(Q2964, Wages!$A$2:$C$17, 2, 0))) * IF(ISBLANK(N2964), 0, IF(ISNA(VLOOKUP(N2964, Crews!$A$2:$C$28, 2, 0)), N2964, VLOOKUP(N2964, Crews!$A$2:$C$28, 2, 0))))) * 400</f>
        <v>12760.41667</v>
      </c>
      <c r="K2964" s="3" t="s">
        <v>5463</v>
      </c>
      <c r="L2964" s="1" t="s">
        <v>5687</v>
      </c>
      <c r="M2964" s="1" t="n">
        <v>1</v>
      </c>
      <c r="N2964" s="1" t="s">
        <v>3064</v>
      </c>
      <c r="O2964" s="1" t="n">
        <v>1</v>
      </c>
      <c r="P2964" s="1"/>
      <c r="Q2964" s="1" t="s">
        <v>3064</v>
      </c>
      <c r="R2964" s="1" t="s">
        <v>4730</v>
      </c>
      <c r="S2964" s="1" t="s">
        <v>3064</v>
      </c>
      <c r="T2964" s="1" t="s">
        <v>5542</v>
      </c>
    </row>
    <row r="2965" customFormat="false" ht="15" hidden="false" customHeight="true" outlineLevel="0" collapsed="false">
      <c r="A2965" s="1" t="s">
        <v>5689</v>
      </c>
      <c r="B2965" s="1" t="n">
        <v>2015</v>
      </c>
      <c r="C2965" s="1" t="n">
        <v>12</v>
      </c>
      <c r="D2965" s="1" t="s">
        <v>38</v>
      </c>
      <c r="E2965" s="1" t="s">
        <v>1346</v>
      </c>
      <c r="F2965" s="1" t="n">
        <v>2000</v>
      </c>
      <c r="G2965" s="1" t="n">
        <v>320</v>
      </c>
      <c r="H2965" s="2" t="n">
        <v>1057500</v>
      </c>
      <c r="I2965" s="2" t="n">
        <f aca="false">(((H2965 / 800) / IF(ISBLANK(R2965), 1000000, IF(ISNA(VLOOKUP(R2965, Mileages!$A$2:$C$34, 2, 0)), R2965, VLOOKUP(R2965, Mileages!$A$2:$C$34, 2, 0)))) + (F2965 * IF(ISBLANK(P2965), 1, P2965) * IF(ISBLANK(T2965), 0, IF(ISNA(VLOOKUP(T2965, 'Fuel Costs'!$A$2:$C$42, 2, 0)), T2965, VLOOKUP(T2965, 'Fuel Costs'!$A$2:$C$42, 2, 0))) / IF(ISBLANK(O2965), 1, O2965))) * 100</f>
        <v>400.0660938</v>
      </c>
      <c r="J2965" s="2" t="n">
        <f aca="false">((H2965 / 800) / (IF(ISBLANK(S2965), 100, IF(ISNA(VLOOKUP(S2965, Lives!$A$2:$C$35, 2, 0)), S2965, VLOOKUP(S2965, Lives!$A$2:$C$35, 2, 0))) * 12) + (IF(ISBLANK(Q2965), 0, IF(ISNA(VLOOKUP(Q2965, Wages!$A$2:$C$17, 2, 0)), Q2965, VLOOKUP(Q2965, Wages!$A$2:$C$17, 2, 0))) * IF(ISBLANK(N2965), 0, IF(ISNA(VLOOKUP(N2965, Crews!$A$2:$C$28, 2, 0)), N2965, VLOOKUP(N2965, Crews!$A$2:$C$28, 2, 0))))) * 400</f>
        <v>6881.25</v>
      </c>
      <c r="K2965" s="3" t="s">
        <v>5690</v>
      </c>
      <c r="L2965" s="1" t="s">
        <v>5691</v>
      </c>
      <c r="M2965" s="1" t="n">
        <v>0</v>
      </c>
      <c r="N2965" s="1" t="s">
        <v>1512</v>
      </c>
      <c r="O2965" s="1" t="n">
        <v>1</v>
      </c>
      <c r="P2965" s="1"/>
      <c r="Q2965" s="1" t="str">
        <f aca="false">IF(ISBLANK('Pak128 Britain In'!$N2965),,'Pak128 Britain In'!$N2965)</f>
        <v>ElectricMultipleUnit</v>
      </c>
      <c r="R2965" s="1" t="s">
        <v>4696</v>
      </c>
      <c r="S2965" s="1" t="s">
        <v>1350</v>
      </c>
      <c r="T2965" s="1" t="s">
        <v>5548</v>
      </c>
    </row>
    <row r="2966" customFormat="false" ht="15" hidden="false" customHeight="true" outlineLevel="0" collapsed="false">
      <c r="A2966" s="1" t="s">
        <v>5692</v>
      </c>
      <c r="B2966" s="1" t="n">
        <v>2015</v>
      </c>
      <c r="C2966" s="1" t="n">
        <v>12</v>
      </c>
      <c r="D2966" s="1" t="s">
        <v>38</v>
      </c>
      <c r="E2966" s="1" t="s">
        <v>1346</v>
      </c>
      <c r="F2966" s="1" t="n">
        <v>0</v>
      </c>
      <c r="G2966" s="1" t="n">
        <v>320</v>
      </c>
      <c r="H2966" s="2" t="n">
        <v>1899100</v>
      </c>
      <c r="I2966" s="2" t="n">
        <f aca="false">(((H2966 / 800) / IF(ISBLANK(R2966), 1000000, IF(ISNA(VLOOKUP(R2966, Mileages!$A$2:$C$34, 2, 0)), R2966, VLOOKUP(R2966, Mileages!$A$2:$C$34, 2, 0)))) + (F2966 * IF(ISBLANK(P2966), 1, P2966) * IF(ISBLANK(T2966), 0, IF(ISNA(VLOOKUP(T2966, 'Fuel Costs'!$A$2:$C$42, 2, 0)), T2966, VLOOKUP(T2966, 'Fuel Costs'!$A$2:$C$42, 2, 0))) / IF(ISBLANK(O2966), 1, O2966))) * 100</f>
        <v>0.09891145833</v>
      </c>
      <c r="J2966" s="2" t="n">
        <f aca="false">((H2966 / 800) / (IF(ISBLANK(S2966), 100, IF(ISNA(VLOOKUP(S2966, Lives!$A$2:$C$35, 2, 0)), S2966, VLOOKUP(S2966, Lives!$A$2:$C$35, 2, 0))) * 12) + (IF(ISBLANK(Q2966), 0, IF(ISNA(VLOOKUP(Q2966, Wages!$A$2:$C$17, 2, 0)), Q2966, VLOOKUP(Q2966, Wages!$A$2:$C$17, 2, 0))) * IF(ISBLANK(N2966), 0, IF(ISNA(VLOOKUP(N2966, Crews!$A$2:$C$28, 2, 0)), N2966, VLOOKUP(N2966, Crews!$A$2:$C$28, 2, 0))))) * 400</f>
        <v>3956.458333</v>
      </c>
      <c r="K2966" s="1"/>
      <c r="L2966" s="1" t="s">
        <v>5691</v>
      </c>
      <c r="M2966" s="1" t="n">
        <v>1</v>
      </c>
      <c r="N2966" s="1"/>
      <c r="O2966" s="1"/>
      <c r="P2966" s="1"/>
      <c r="Q2966" s="1"/>
      <c r="R2966" s="1" t="s">
        <v>4419</v>
      </c>
      <c r="S2966" s="1" t="s">
        <v>4470</v>
      </c>
      <c r="T2966" s="1"/>
    </row>
    <row r="2967" customFormat="false" ht="15" hidden="false" customHeight="true" outlineLevel="0" collapsed="false">
      <c r="A2967" s="1" t="s">
        <v>5693</v>
      </c>
      <c r="B2967" s="1" t="n">
        <v>2015</v>
      </c>
      <c r="C2967" s="1" t="n">
        <v>12</v>
      </c>
      <c r="D2967" s="1" t="s">
        <v>38</v>
      </c>
      <c r="E2967" s="1" t="s">
        <v>1346</v>
      </c>
      <c r="F2967" s="1" t="n">
        <v>2000</v>
      </c>
      <c r="G2967" s="1" t="n">
        <v>320</v>
      </c>
      <c r="H2967" s="2" t="n">
        <v>1899100</v>
      </c>
      <c r="I2967" s="2" t="n">
        <f aca="false">(((H2967 / 800) / IF(ISBLANK(R2967), 1000000, IF(ISNA(VLOOKUP(R2967, Mileages!$A$2:$C$34, 2, 0)), R2967, VLOOKUP(R2967, Mileages!$A$2:$C$34, 2, 0)))) + (F2967 * IF(ISBLANK(P2967), 1, P2967) * IF(ISBLANK(T2967), 0, IF(ISNA(VLOOKUP(T2967, 'Fuel Costs'!$A$2:$C$42, 2, 0)), T2967, VLOOKUP(T2967, 'Fuel Costs'!$A$2:$C$42, 2, 0))) / IF(ISBLANK(O2967), 1, O2967))) * 100</f>
        <v>400.1186938</v>
      </c>
      <c r="J2967" s="2" t="n">
        <f aca="false">((H2967 / 800) / (IF(ISBLANK(S2967), 100, IF(ISNA(VLOOKUP(S2967, Lives!$A$2:$C$35, 2, 0)), S2967, VLOOKUP(S2967, Lives!$A$2:$C$35, 2, 0))) * 12) + (IF(ISBLANK(Q2967), 0, IF(ISNA(VLOOKUP(Q2967, Wages!$A$2:$C$17, 2, 0)), Q2967, VLOOKUP(Q2967, Wages!$A$2:$C$17, 2, 0))) * IF(ISBLANK(N2967), 0, IF(ISNA(VLOOKUP(N2967, Crews!$A$2:$C$28, 2, 0)), N2967, VLOOKUP(N2967, Crews!$A$2:$C$28, 2, 0))))) * 400</f>
        <v>7582.583333</v>
      </c>
      <c r="K2967" s="1"/>
      <c r="L2967" s="1" t="s">
        <v>5691</v>
      </c>
      <c r="M2967" s="1" t="n">
        <v>2</v>
      </c>
      <c r="N2967" s="1" t="s">
        <v>1512</v>
      </c>
      <c r="O2967" s="1" t="n">
        <v>1</v>
      </c>
      <c r="P2967" s="1"/>
      <c r="Q2967" s="1" t="str">
        <f aca="false">IF(ISBLANK('Pak128 Britain In'!$N2967),,'Pak128 Britain In'!$N2967)</f>
        <v>ElectricMultipleUnit</v>
      </c>
      <c r="R2967" s="1" t="s">
        <v>4696</v>
      </c>
      <c r="S2967" s="1" t="s">
        <v>1350</v>
      </c>
      <c r="T2967" s="1" t="s">
        <v>5548</v>
      </c>
    </row>
    <row r="2968" customFormat="false" ht="15" hidden="false" customHeight="true" outlineLevel="0" collapsed="false">
      <c r="A2968" s="1" t="s">
        <v>5694</v>
      </c>
      <c r="B2968" s="1" t="n">
        <v>2015</v>
      </c>
      <c r="C2968" s="1" t="n">
        <v>12</v>
      </c>
      <c r="D2968" s="1" t="s">
        <v>38</v>
      </c>
      <c r="E2968" s="1" t="s">
        <v>1346</v>
      </c>
      <c r="F2968" s="1" t="n">
        <v>2000</v>
      </c>
      <c r="G2968" s="1" t="n">
        <v>320</v>
      </c>
      <c r="H2968" s="2" t="n">
        <v>1899100</v>
      </c>
      <c r="I2968" s="2" t="n">
        <f aca="false">(((H2968 / 800) / IF(ISBLANK(R2968), 1000000, IF(ISNA(VLOOKUP(R2968, Mileages!$A$2:$C$34, 2, 0)), R2968, VLOOKUP(R2968, Mileages!$A$2:$C$34, 2, 0)))) + (F2968 * IF(ISBLANK(P2968), 1, P2968) * IF(ISBLANK(T2968), 0, IF(ISNA(VLOOKUP(T2968, 'Fuel Costs'!$A$2:$C$42, 2, 0)), T2968, VLOOKUP(T2968, 'Fuel Costs'!$A$2:$C$42, 2, 0))) / IF(ISBLANK(O2968), 1, O2968))) * 100</f>
        <v>400.1186938</v>
      </c>
      <c r="J2968" s="2" t="n">
        <f aca="false">((H2968 / 800) / (IF(ISBLANK(S2968), 100, IF(ISNA(VLOOKUP(S2968, Lives!$A$2:$C$35, 2, 0)), S2968, VLOOKUP(S2968, Lives!$A$2:$C$35, 2, 0))) * 12) + (IF(ISBLANK(Q2968), 0, IF(ISNA(VLOOKUP(Q2968, Wages!$A$2:$C$17, 2, 0)), Q2968, VLOOKUP(Q2968, Wages!$A$2:$C$17, 2, 0))) * IF(ISBLANK(N2968), 0, IF(ISNA(VLOOKUP(N2968, Crews!$A$2:$C$28, 2, 0)), N2968, VLOOKUP(N2968, Crews!$A$2:$C$28, 2, 0))))) * 400</f>
        <v>19582.58333</v>
      </c>
      <c r="K2968" s="1" t="s">
        <v>5695</v>
      </c>
      <c r="L2968" s="1" t="s">
        <v>5691</v>
      </c>
      <c r="M2968" s="1" t="n">
        <v>3</v>
      </c>
      <c r="N2968" s="1" t="s">
        <v>1481</v>
      </c>
      <c r="O2968" s="1" t="n">
        <v>1</v>
      </c>
      <c r="P2968" s="1"/>
      <c r="Q2968" s="1" t="str">
        <f aca="false">IF(ISBLANK('Pak128 Britain In'!$N2968),,'Pak128 Britain In'!$N2968)</f>
        <v>TrainDining</v>
      </c>
      <c r="R2968" s="1" t="s">
        <v>4696</v>
      </c>
      <c r="S2968" s="1" t="s">
        <v>1350</v>
      </c>
      <c r="T2968" s="1" t="s">
        <v>5548</v>
      </c>
    </row>
    <row r="2969" customFormat="false" ht="15" hidden="false" customHeight="true" outlineLevel="0" collapsed="false">
      <c r="A2969" s="1" t="s">
        <v>5696</v>
      </c>
      <c r="B2969" s="1" t="n">
        <v>2015</v>
      </c>
      <c r="C2969" s="1" t="n">
        <v>12</v>
      </c>
      <c r="D2969" s="1" t="s">
        <v>38</v>
      </c>
      <c r="E2969" s="1" t="s">
        <v>1346</v>
      </c>
      <c r="F2969" s="1" t="n">
        <v>2000</v>
      </c>
      <c r="G2969" s="1" t="n">
        <v>320</v>
      </c>
      <c r="H2969" s="2" t="n">
        <v>1899100</v>
      </c>
      <c r="I2969" s="2" t="n">
        <f aca="false">(((H2969 / 800) / IF(ISBLANK(R2969), 1000000, IF(ISNA(VLOOKUP(R2969, Mileages!$A$2:$C$34, 2, 0)), R2969, VLOOKUP(R2969, Mileages!$A$2:$C$34, 2, 0)))) + (F2969 * IF(ISBLANK(P2969), 1, P2969) * IF(ISBLANK(T2969), 0, IF(ISNA(VLOOKUP(T2969, 'Fuel Costs'!$A$2:$C$42, 2, 0)), T2969, VLOOKUP(T2969, 'Fuel Costs'!$A$2:$C$42, 2, 0))) / IF(ISBLANK(O2969), 1, O2969))) * 100</f>
        <v>400.1186938</v>
      </c>
      <c r="J2969" s="2" t="n">
        <f aca="false">((H2969 / 800) / (IF(ISBLANK(S2969), 100, IF(ISNA(VLOOKUP(S2969, Lives!$A$2:$C$35, 2, 0)), S2969, VLOOKUP(S2969, Lives!$A$2:$C$35, 2, 0))) * 12) + (IF(ISBLANK(Q2969), 0, IF(ISNA(VLOOKUP(Q2969, Wages!$A$2:$C$17, 2, 0)), Q2969, VLOOKUP(Q2969, Wages!$A$2:$C$17, 2, 0))) * IF(ISBLANK(N2969), 0, IF(ISNA(VLOOKUP(N2969, Crews!$A$2:$C$28, 2, 0)), N2969, VLOOKUP(N2969, Crews!$A$2:$C$28, 2, 0))))) * 400</f>
        <v>7582.583333</v>
      </c>
      <c r="K2969" s="1"/>
      <c r="L2969" s="1" t="s">
        <v>5691</v>
      </c>
      <c r="M2969" s="1" t="n">
        <v>4</v>
      </c>
      <c r="N2969" s="1" t="s">
        <v>1512</v>
      </c>
      <c r="O2969" s="1" t="n">
        <v>1</v>
      </c>
      <c r="P2969" s="1"/>
      <c r="Q2969" s="1" t="str">
        <f aca="false">IF(ISBLANK('Pak128 Britain In'!$N2969),,'Pak128 Britain In'!$N2969)</f>
        <v>ElectricMultipleUnit</v>
      </c>
      <c r="R2969" s="1" t="s">
        <v>4696</v>
      </c>
      <c r="S2969" s="1" t="s">
        <v>1350</v>
      </c>
      <c r="T2969" s="1" t="s">
        <v>5548</v>
      </c>
    </row>
    <row r="2970" customFormat="false" ht="15" hidden="false" customHeight="true" outlineLevel="0" collapsed="false">
      <c r="A2970" s="1" t="s">
        <v>5697</v>
      </c>
      <c r="B2970" s="1" t="n">
        <v>2015</v>
      </c>
      <c r="C2970" s="1" t="n">
        <v>12</v>
      </c>
      <c r="D2970" s="1" t="s">
        <v>38</v>
      </c>
      <c r="E2970" s="1" t="s">
        <v>1346</v>
      </c>
      <c r="F2970" s="1" t="n">
        <v>2000</v>
      </c>
      <c r="G2970" s="1" t="n">
        <v>320</v>
      </c>
      <c r="H2970" s="2" t="n">
        <v>1057500</v>
      </c>
      <c r="I2970" s="2" t="n">
        <f aca="false">(((H2970 / 800) / IF(ISBLANK(R2970), 1000000, IF(ISNA(VLOOKUP(R2970, Mileages!$A$2:$C$34, 2, 0)), R2970, VLOOKUP(R2970, Mileages!$A$2:$C$34, 2, 0)))) + (F2970 * IF(ISBLANK(P2970), 1, P2970) * IF(ISBLANK(T2970), 0, IF(ISNA(VLOOKUP(T2970, 'Fuel Costs'!$A$2:$C$42, 2, 0)), T2970, VLOOKUP(T2970, 'Fuel Costs'!$A$2:$C$42, 2, 0))) / IF(ISBLANK(O2970), 1, O2970))) * 100</f>
        <v>400.0660938</v>
      </c>
      <c r="J2970" s="2" t="n">
        <f aca="false">((H2970 / 800) / (IF(ISBLANK(S2970), 100, IF(ISNA(VLOOKUP(S2970, Lives!$A$2:$C$35, 2, 0)), S2970, VLOOKUP(S2970, Lives!$A$2:$C$35, 2, 0))) * 12) + (IF(ISBLANK(Q2970), 0, IF(ISNA(VLOOKUP(Q2970, Wages!$A$2:$C$17, 2, 0)), Q2970, VLOOKUP(Q2970, Wages!$A$2:$C$17, 2, 0))) * IF(ISBLANK(N2970), 0, IF(ISNA(VLOOKUP(N2970, Crews!$A$2:$C$28, 2, 0)), N2970, VLOOKUP(N2970, Crews!$A$2:$C$28, 2, 0))))) * 400</f>
        <v>6881.25</v>
      </c>
      <c r="K2970" s="1"/>
      <c r="L2970" s="1" t="s">
        <v>5691</v>
      </c>
      <c r="M2970" s="1" t="n">
        <v>5</v>
      </c>
      <c r="N2970" s="1" t="s">
        <v>1512</v>
      </c>
      <c r="O2970" s="1" t="n">
        <v>1</v>
      </c>
      <c r="P2970" s="1"/>
      <c r="Q2970" s="1" t="str">
        <f aca="false">IF(ISBLANK('Pak128 Britain In'!$N2970),,'Pak128 Britain In'!$N2970)</f>
        <v>ElectricMultipleUnit</v>
      </c>
      <c r="R2970" s="1" t="s">
        <v>4696</v>
      </c>
      <c r="S2970" s="1" t="s">
        <v>1350</v>
      </c>
      <c r="T2970" s="1" t="s">
        <v>5548</v>
      </c>
    </row>
    <row r="2971" customFormat="false" ht="15" hidden="false" customHeight="true" outlineLevel="0" collapsed="false">
      <c r="A2971" s="1" t="s">
        <v>5698</v>
      </c>
      <c r="B2971" s="1" t="n">
        <v>2016</v>
      </c>
      <c r="C2971" s="1" t="n">
        <v>6</v>
      </c>
      <c r="D2971" s="1" t="s">
        <v>38</v>
      </c>
      <c r="E2971" s="1" t="s">
        <v>1346</v>
      </c>
      <c r="F2971" s="1" t="n">
        <v>850</v>
      </c>
      <c r="G2971" s="1" t="n">
        <v>160</v>
      </c>
      <c r="H2971" s="2" t="n">
        <v>1008000</v>
      </c>
      <c r="I2971" s="2" t="n">
        <f aca="false">(((H2971 / 800) / IF(ISBLANK(R2971), 1000000, IF(ISNA(VLOOKUP(R2971, Mileages!$A$2:$C$34, 2, 0)), R2971, VLOOKUP(R2971, Mileages!$A$2:$C$34, 2, 0)))) + (F2971 * IF(ISBLANK(P2971), 1, P2971) * IF(ISBLANK(T2971), 0, IF(ISNA(VLOOKUP(T2971, 'Fuel Costs'!$A$2:$C$42, 2, 0)), T2971, VLOOKUP(T2971, 'Fuel Costs'!$A$2:$C$42, 2, 0))) / IF(ISBLANK(O2971), 1, O2971))) * 100</f>
        <v>170.063</v>
      </c>
      <c r="J2971" s="2" t="n">
        <f aca="false">((H2971 / 800) / (IF(ISBLANK(S2971), 100, IF(ISNA(VLOOKUP(S2971, Lives!$A$2:$C$35, 2, 0)), S2971, VLOOKUP(S2971, Lives!$A$2:$C$35, 2, 0))) * 12) + (IF(ISBLANK(Q2971), 0, IF(ISNA(VLOOKUP(Q2971, Wages!$A$2:$C$17, 2, 0)), Q2971, VLOOKUP(Q2971, Wages!$A$2:$C$17, 2, 0))) * IF(ISBLANK(N2971), 0, IF(ISNA(VLOOKUP(N2971, Crews!$A$2:$C$28, 2, 0)), N2971, VLOOKUP(N2971, Crews!$A$2:$C$28, 2, 0))))) * 400</f>
        <v>6840</v>
      </c>
      <c r="K2971" s="3" t="s">
        <v>5699</v>
      </c>
      <c r="L2971" s="1" t="s">
        <v>5700</v>
      </c>
      <c r="M2971" s="1" t="n">
        <v>0</v>
      </c>
      <c r="N2971" s="1" t="s">
        <v>1512</v>
      </c>
      <c r="O2971" s="1" t="n">
        <v>1</v>
      </c>
      <c r="P2971" s="1"/>
      <c r="Q2971" s="1" t="str">
        <f aca="false">IF(ISBLANK('Pak128 Britain In'!$N2971),,'Pak128 Britain In'!$N2971)</f>
        <v>ElectricMultipleUnit</v>
      </c>
      <c r="R2971" s="1" t="s">
        <v>4696</v>
      </c>
      <c r="S2971" s="1" t="s">
        <v>1350</v>
      </c>
      <c r="T2971" s="1" t="s">
        <v>5548</v>
      </c>
    </row>
    <row r="2972" customFormat="false" ht="15" hidden="false" customHeight="true" outlineLevel="0" collapsed="false">
      <c r="A2972" s="1" t="s">
        <v>5701</v>
      </c>
      <c r="B2972" s="1" t="n">
        <v>2016</v>
      </c>
      <c r="C2972" s="1" t="n">
        <v>6</v>
      </c>
      <c r="D2972" s="1" t="s">
        <v>38</v>
      </c>
      <c r="E2972" s="1" t="s">
        <v>1346</v>
      </c>
      <c r="F2972" s="1" t="n">
        <v>850</v>
      </c>
      <c r="G2972" s="1" t="n">
        <v>160</v>
      </c>
      <c r="H2972" s="2" t="n">
        <v>1512000</v>
      </c>
      <c r="I2972" s="2" t="n">
        <f aca="false">(((H2972 / 800) / IF(ISBLANK(R2972), 1000000, IF(ISNA(VLOOKUP(R2972, Mileages!$A$2:$C$34, 2, 0)), R2972, VLOOKUP(R2972, Mileages!$A$2:$C$34, 2, 0)))) + (F2972 * IF(ISBLANK(P2972), 1, P2972) * IF(ISBLANK(T2972), 0, IF(ISNA(VLOOKUP(T2972, 'Fuel Costs'!$A$2:$C$42, 2, 0)), T2972, VLOOKUP(T2972, 'Fuel Costs'!$A$2:$C$42, 2, 0))) / IF(ISBLANK(O2972), 1, O2972))) * 100</f>
        <v>170.0945</v>
      </c>
      <c r="J2972" s="2" t="n">
        <f aca="false">((H2972 / 800) / (IF(ISBLANK(S2972), 100, IF(ISNA(VLOOKUP(S2972, Lives!$A$2:$C$35, 2, 0)), S2972, VLOOKUP(S2972, Lives!$A$2:$C$35, 2, 0))) * 12) + (IF(ISBLANK(Q2972), 0, IF(ISNA(VLOOKUP(Q2972, Wages!$A$2:$C$17, 2, 0)), Q2972, VLOOKUP(Q2972, Wages!$A$2:$C$17, 2, 0))) * IF(ISBLANK(N2972), 0, IF(ISNA(VLOOKUP(N2972, Crews!$A$2:$C$28, 2, 0)), N2972, VLOOKUP(N2972, Crews!$A$2:$C$28, 2, 0))))) * 400</f>
        <v>1260</v>
      </c>
      <c r="K2972" s="1"/>
      <c r="L2972" s="1" t="s">
        <v>5700</v>
      </c>
      <c r="M2972" s="1" t="n">
        <v>1</v>
      </c>
      <c r="N2972" s="1"/>
      <c r="O2972" s="1" t="n">
        <v>1</v>
      </c>
      <c r="P2972" s="1"/>
      <c r="Q2972" s="1"/>
      <c r="R2972" s="1" t="s">
        <v>4696</v>
      </c>
      <c r="S2972" s="1" t="s">
        <v>1350</v>
      </c>
      <c r="T2972" s="1" t="s">
        <v>5548</v>
      </c>
    </row>
    <row r="2973" customFormat="false" ht="15" hidden="false" customHeight="true" outlineLevel="0" collapsed="false">
      <c r="A2973" s="1" t="s">
        <v>5702</v>
      </c>
      <c r="B2973" s="1" t="n">
        <v>2016</v>
      </c>
      <c r="C2973" s="1" t="n">
        <v>6</v>
      </c>
      <c r="D2973" s="1" t="s">
        <v>38</v>
      </c>
      <c r="E2973" s="1" t="s">
        <v>1346</v>
      </c>
      <c r="F2973" s="1"/>
      <c r="G2973" s="1" t="n">
        <v>160</v>
      </c>
      <c r="H2973" s="2" t="n">
        <v>1012000</v>
      </c>
      <c r="I2973" s="2" t="n">
        <f aca="false">(((H2973 / 800) / IF(ISBLANK(R2973), 1000000, IF(ISNA(VLOOKUP(R2973, Mileages!$A$2:$C$34, 2, 0)), R2973, VLOOKUP(R2973, Mileages!$A$2:$C$34, 2, 0)))) + (F2973 * IF(ISBLANK(P2973), 1, P2973) * IF(ISBLANK(T2973), 0, IF(ISNA(VLOOKUP(T2973, 'Fuel Costs'!$A$2:$C$42, 2, 0)), T2973, VLOOKUP(T2973, 'Fuel Costs'!$A$2:$C$42, 2, 0))) / IF(ISBLANK(O2973), 1, O2973))) * 100</f>
        <v>0.05270833333</v>
      </c>
      <c r="J2973" s="2" t="n">
        <f aca="false">((H2973 / 800) / (IF(ISBLANK(S2973), 100, IF(ISNA(VLOOKUP(S2973, Lives!$A$2:$C$35, 2, 0)), S2973, VLOOKUP(S2973, Lives!$A$2:$C$35, 2, 0))) * 12) + (IF(ISBLANK(Q2973), 0, IF(ISNA(VLOOKUP(Q2973, Wages!$A$2:$C$17, 2, 0)), Q2973, VLOOKUP(Q2973, Wages!$A$2:$C$17, 2, 0))) * IF(ISBLANK(N2973), 0, IF(ISNA(VLOOKUP(N2973, Crews!$A$2:$C$28, 2, 0)), N2973, VLOOKUP(N2973, Crews!$A$2:$C$28, 2, 0))))) * 400</f>
        <v>2108.333333</v>
      </c>
      <c r="K2973" s="1"/>
      <c r="L2973" s="1" t="s">
        <v>5700</v>
      </c>
      <c r="M2973" s="1" t="n">
        <v>2</v>
      </c>
      <c r="N2973" s="1"/>
      <c r="O2973" s="1"/>
      <c r="P2973" s="1"/>
      <c r="Q2973" s="1"/>
      <c r="R2973" s="1" t="s">
        <v>4419</v>
      </c>
      <c r="S2973" s="1" t="s">
        <v>4470</v>
      </c>
      <c r="T2973" s="1"/>
    </row>
    <row r="2974" customFormat="false" ht="15" hidden="false" customHeight="true" outlineLevel="0" collapsed="false">
      <c r="A2974" s="1" t="s">
        <v>5703</v>
      </c>
      <c r="B2974" s="1" t="n">
        <v>2016</v>
      </c>
      <c r="C2974" s="1" t="n">
        <v>6</v>
      </c>
      <c r="D2974" s="1" t="s">
        <v>38</v>
      </c>
      <c r="E2974" s="1" t="s">
        <v>1346</v>
      </c>
      <c r="F2974" s="1"/>
      <c r="G2974" s="1" t="n">
        <v>160</v>
      </c>
      <c r="H2974" s="2" t="n">
        <v>1012000</v>
      </c>
      <c r="I2974" s="2" t="n">
        <f aca="false">(((H2974 / 800) / IF(ISBLANK(R2974), 1000000, IF(ISNA(VLOOKUP(R2974, Mileages!$A$2:$C$34, 2, 0)), R2974, VLOOKUP(R2974, Mileages!$A$2:$C$34, 2, 0)))) + (F2974 * IF(ISBLANK(P2974), 1, P2974) * IF(ISBLANK(T2974), 0, IF(ISNA(VLOOKUP(T2974, 'Fuel Costs'!$A$2:$C$42, 2, 0)), T2974, VLOOKUP(T2974, 'Fuel Costs'!$A$2:$C$42, 2, 0))) / IF(ISBLANK(O2974), 1, O2974))) * 100</f>
        <v>0.05270833333</v>
      </c>
      <c r="J2974" s="2" t="n">
        <f aca="false">((H2974 / 800) / (IF(ISBLANK(S2974), 100, IF(ISNA(VLOOKUP(S2974, Lives!$A$2:$C$35, 2, 0)), S2974, VLOOKUP(S2974, Lives!$A$2:$C$35, 2, 0))) * 12) + (IF(ISBLANK(Q2974), 0, IF(ISNA(VLOOKUP(Q2974, Wages!$A$2:$C$17, 2, 0)), Q2974, VLOOKUP(Q2974, Wages!$A$2:$C$17, 2, 0))) * IF(ISBLANK(N2974), 0, IF(ISNA(VLOOKUP(N2974, Crews!$A$2:$C$28, 2, 0)), N2974, VLOOKUP(N2974, Crews!$A$2:$C$28, 2, 0))))) * 400</f>
        <v>2108.333333</v>
      </c>
      <c r="K2974" s="1"/>
      <c r="L2974" s="1" t="s">
        <v>5700</v>
      </c>
      <c r="M2974" s="1" t="n">
        <v>3</v>
      </c>
      <c r="N2974" s="1"/>
      <c r="O2974" s="1"/>
      <c r="P2974" s="1"/>
      <c r="Q2974" s="1"/>
      <c r="R2974" s="1" t="s">
        <v>4419</v>
      </c>
      <c r="S2974" s="1" t="s">
        <v>4470</v>
      </c>
      <c r="T2974" s="1"/>
    </row>
    <row r="2975" customFormat="false" ht="15" hidden="false" customHeight="true" outlineLevel="0" collapsed="false">
      <c r="A2975" s="1" t="s">
        <v>5704</v>
      </c>
      <c r="B2975" s="1" t="n">
        <v>2016</v>
      </c>
      <c r="C2975" s="1" t="n">
        <v>6</v>
      </c>
      <c r="D2975" s="1" t="s">
        <v>38</v>
      </c>
      <c r="E2975" s="1" t="s">
        <v>1346</v>
      </c>
      <c r="F2975" s="1" t="n">
        <v>850</v>
      </c>
      <c r="G2975" s="1" t="n">
        <v>160</v>
      </c>
      <c r="H2975" s="2" t="n">
        <v>1008000</v>
      </c>
      <c r="I2975" s="2" t="n">
        <f aca="false">(((H2975 / 800) / IF(ISBLANK(R2975), 1000000, IF(ISNA(VLOOKUP(R2975, Mileages!$A$2:$C$34, 2, 0)), R2975, VLOOKUP(R2975, Mileages!$A$2:$C$34, 2, 0)))) + (F2975 * IF(ISBLANK(P2975), 1, P2975) * IF(ISBLANK(T2975), 0, IF(ISNA(VLOOKUP(T2975, 'Fuel Costs'!$A$2:$C$42, 2, 0)), T2975, VLOOKUP(T2975, 'Fuel Costs'!$A$2:$C$42, 2, 0))) / IF(ISBLANK(O2975), 1, O2975))) * 100</f>
        <v>170.063</v>
      </c>
      <c r="J2975" s="2" t="n">
        <f aca="false">((H2975 / 800) / (IF(ISBLANK(S2975), 100, IF(ISNA(VLOOKUP(S2975, Lives!$A$2:$C$35, 2, 0)), S2975, VLOOKUP(S2975, Lives!$A$2:$C$35, 2, 0))) * 12) + (IF(ISBLANK(Q2975), 0, IF(ISNA(VLOOKUP(Q2975, Wages!$A$2:$C$17, 2, 0)), Q2975, VLOOKUP(Q2975, Wages!$A$2:$C$17, 2, 0))) * IF(ISBLANK(N2975), 0, IF(ISNA(VLOOKUP(N2975, Crews!$A$2:$C$28, 2, 0)), N2975, VLOOKUP(N2975, Crews!$A$2:$C$28, 2, 0))))) * 400</f>
        <v>6840</v>
      </c>
      <c r="K2975" s="1"/>
      <c r="L2975" s="1" t="s">
        <v>5700</v>
      </c>
      <c r="M2975" s="1" t="n">
        <v>4</v>
      </c>
      <c r="N2975" s="1" t="s">
        <v>1512</v>
      </c>
      <c r="O2975" s="1" t="n">
        <v>1</v>
      </c>
      <c r="P2975" s="1"/>
      <c r="Q2975" s="1" t="str">
        <f aca="false">IF(ISBLANK('Pak128 Britain In'!$N2975),,'Pak128 Britain In'!$N2975)</f>
        <v>ElectricMultipleUnit</v>
      </c>
      <c r="R2975" s="1" t="s">
        <v>4696</v>
      </c>
      <c r="S2975" s="1" t="s">
        <v>1350</v>
      </c>
      <c r="T2975" s="1" t="s">
        <v>5548</v>
      </c>
    </row>
    <row r="2976" customFormat="false" ht="15" hidden="false" customHeight="true" outlineLevel="0" collapsed="false">
      <c r="A2976" s="1" t="s">
        <v>5705</v>
      </c>
      <c r="B2976" s="1" t="n">
        <v>2016</v>
      </c>
      <c r="C2976" s="1" t="n">
        <v>12</v>
      </c>
      <c r="D2976" s="1" t="s">
        <v>876</v>
      </c>
      <c r="E2976" s="1" t="s">
        <v>1346</v>
      </c>
      <c r="F2976" s="1" t="n">
        <v>554</v>
      </c>
      <c r="G2976" s="1" t="n">
        <v>110</v>
      </c>
      <c r="H2976" s="2" t="n">
        <v>580000</v>
      </c>
      <c r="I2976" s="2" t="n">
        <f aca="false">(((H2976 / 800) / IF(ISBLANK(R2976), 1000000, IF(ISNA(VLOOKUP(R2976, Mileages!$A$2:$C$34, 2, 0)), R2976, VLOOKUP(R2976, Mileages!$A$2:$C$34, 2, 0)))) + (F2976 * IF(ISBLANK(P2976), 1, P2976) * IF(ISBLANK(T2976), 0, IF(ISNA(VLOOKUP(T2976, 'Fuel Costs'!$A$2:$C$42, 2, 0)), T2976, VLOOKUP(T2976, 'Fuel Costs'!$A$2:$C$42, 2, 0))) / IF(ISBLANK(O2976), 1, O2976))) * 100</f>
        <v>110.83625</v>
      </c>
      <c r="J2976" s="2" t="n">
        <f aca="false">((H2976 / 800) / (IF(ISBLANK(S2976), 100, IF(ISNA(VLOOKUP(S2976, Lives!$A$2:$C$35, 2, 0)), S2976, VLOOKUP(S2976, Lives!$A$2:$C$35, 2, 0))) * 12) + (IF(ISBLANK(Q2976), 0, IF(ISNA(VLOOKUP(Q2976, Wages!$A$2:$C$17, 2, 0)), Q2976, VLOOKUP(Q2976, Wages!$A$2:$C$17, 2, 0))) * IF(ISBLANK(N2976), 0, IF(ISNA(VLOOKUP(N2976, Crews!$A$2:$C$28, 2, 0)), N2976, VLOOKUP(N2976, Crews!$A$2:$C$28, 2, 0))))) * 400</f>
        <v>6483.333333</v>
      </c>
      <c r="K2976" s="3" t="s">
        <v>5706</v>
      </c>
      <c r="L2976" s="1" t="s">
        <v>5707</v>
      </c>
      <c r="M2976" s="1" t="n">
        <v>0</v>
      </c>
      <c r="N2976" s="1" t="s">
        <v>1512</v>
      </c>
      <c r="O2976" s="1"/>
      <c r="P2976" s="1"/>
      <c r="Q2976" s="1" t="s">
        <v>1512</v>
      </c>
      <c r="R2976" s="1" t="s">
        <v>4696</v>
      </c>
      <c r="S2976" s="1" t="s">
        <v>1350</v>
      </c>
      <c r="T2976" s="1" t="s">
        <v>5548</v>
      </c>
    </row>
    <row r="2977" customFormat="false" ht="15" hidden="false" customHeight="true" outlineLevel="0" collapsed="false">
      <c r="A2977" s="1" t="s">
        <v>5708</v>
      </c>
      <c r="B2977" s="1" t="n">
        <v>2016</v>
      </c>
      <c r="C2977" s="1" t="n">
        <v>12</v>
      </c>
      <c r="D2977" s="1" t="s">
        <v>876</v>
      </c>
      <c r="E2977" s="1" t="s">
        <v>1346</v>
      </c>
      <c r="F2977" s="1"/>
      <c r="G2977" s="1" t="n">
        <v>110</v>
      </c>
      <c r="H2977" s="2" t="n">
        <v>0</v>
      </c>
      <c r="I2977" s="2" t="n">
        <f aca="false">(((H2977 / 800) / IF(ISBLANK(R2977), 1000000, IF(ISNA(VLOOKUP(R2977, Mileages!$A$2:$C$34, 2, 0)), R2977, VLOOKUP(R2977, Mileages!$A$2:$C$34, 2, 0)))) + (F2977 * IF(ISBLANK(P2977), 1, P2977) * IF(ISBLANK(T2977), 0, IF(ISNA(VLOOKUP(T2977, 'Fuel Costs'!$A$2:$C$42, 2, 0)), T2977, VLOOKUP(T2977, 'Fuel Costs'!$A$2:$C$42, 2, 0))) / IF(ISBLANK(O2977), 1, O2977))) * 100</f>
        <v>0</v>
      </c>
      <c r="J2977" s="2" t="n">
        <f aca="false">((H2977 / 800) / (IF(ISBLANK(S2977), 100, IF(ISNA(VLOOKUP(S2977, Lives!$A$2:$C$35, 2, 0)), S2977, VLOOKUP(S2977, Lives!$A$2:$C$35, 2, 0))) * 12) + (IF(ISBLANK(Q2977), 0, IF(ISNA(VLOOKUP(Q2977, Wages!$A$2:$C$17, 2, 0)), Q2977, VLOOKUP(Q2977, Wages!$A$2:$C$17, 2, 0))) * IF(ISBLANK(N2977), 0, IF(ISNA(VLOOKUP(N2977, Crews!$A$2:$C$28, 2, 0)), N2977, VLOOKUP(N2977, Crews!$A$2:$C$28, 2, 0))))) * 400</f>
        <v>0</v>
      </c>
      <c r="K2977" s="3" t="s">
        <v>5709</v>
      </c>
      <c r="L2977" s="1" t="s">
        <v>5707</v>
      </c>
      <c r="M2977" s="1" t="n">
        <v>1</v>
      </c>
      <c r="N2977" s="1"/>
      <c r="O2977" s="1"/>
      <c r="P2977" s="1"/>
      <c r="Q2977" s="1"/>
      <c r="R2977" s="1" t="s">
        <v>4419</v>
      </c>
      <c r="S2977" s="1" t="s">
        <v>4470</v>
      </c>
      <c r="T2977" s="1"/>
    </row>
    <row r="2978" customFormat="false" ht="15" hidden="false" customHeight="true" outlineLevel="0" collapsed="false">
      <c r="A2978" s="1" t="s">
        <v>5710</v>
      </c>
      <c r="B2978" s="1" t="n">
        <v>2016</v>
      </c>
      <c r="C2978" s="1" t="n">
        <v>12</v>
      </c>
      <c r="D2978" s="1" t="s">
        <v>876</v>
      </c>
      <c r="E2978" s="1"/>
      <c r="F2978" s="1" t="n">
        <v>554</v>
      </c>
      <c r="G2978" s="1" t="n">
        <v>110</v>
      </c>
      <c r="H2978" s="2" t="n">
        <v>0</v>
      </c>
      <c r="I2978" s="2" t="n">
        <f aca="false">(((H2978 / 800) / IF(ISBLANK(R2978), 1000000, IF(ISNA(VLOOKUP(R2978, Mileages!$A$2:$C$34, 2, 0)), R2978, VLOOKUP(R2978, Mileages!$A$2:$C$34, 2, 0)))) + (F2978 * IF(ISBLANK(P2978), 1, P2978) * IF(ISBLANK(T2978), 0, IF(ISNA(VLOOKUP(T2978, 'Fuel Costs'!$A$2:$C$42, 2, 0)), T2978, VLOOKUP(T2978, 'Fuel Costs'!$A$2:$C$42, 2, 0))) / IF(ISBLANK(O2978), 1, O2978))) * 100</f>
        <v>110.8</v>
      </c>
      <c r="J2978" s="2" t="n">
        <f aca="false">((H2978 / 800) / (IF(ISBLANK(S2978), 100, IF(ISNA(VLOOKUP(S2978, Lives!$A$2:$C$35, 2, 0)), S2978, VLOOKUP(S2978, Lives!$A$2:$C$35, 2, 0))) * 12) + (IF(ISBLANK(Q2978), 0, IF(ISNA(VLOOKUP(Q2978, Wages!$A$2:$C$17, 2, 0)), Q2978, VLOOKUP(Q2978, Wages!$A$2:$C$17, 2, 0))) * IF(ISBLANK(N2978), 0, IF(ISNA(VLOOKUP(N2978, Crews!$A$2:$C$28, 2, 0)), N2978, VLOOKUP(N2978, Crews!$A$2:$C$28, 2, 0))))) * 400</f>
        <v>6000</v>
      </c>
      <c r="K2978" s="3" t="s">
        <v>5711</v>
      </c>
      <c r="L2978" s="1" t="s">
        <v>5707</v>
      </c>
      <c r="M2978" s="1" t="n">
        <v>2</v>
      </c>
      <c r="N2978" s="1" t="s">
        <v>1512</v>
      </c>
      <c r="O2978" s="1"/>
      <c r="P2978" s="1"/>
      <c r="Q2978" s="1" t="s">
        <v>1512</v>
      </c>
      <c r="R2978" s="1" t="s">
        <v>4696</v>
      </c>
      <c r="S2978" s="1" t="s">
        <v>1350</v>
      </c>
      <c r="T2978" s="1" t="s">
        <v>5548</v>
      </c>
    </row>
    <row r="2979" customFormat="false" ht="15" hidden="false" customHeight="true" outlineLevel="0" collapsed="false">
      <c r="A2979" s="1" t="s">
        <v>5712</v>
      </c>
      <c r="B2979" s="1" t="n">
        <v>2017</v>
      </c>
      <c r="C2979" s="1" t="n">
        <v>3</v>
      </c>
      <c r="D2979" s="1" t="s">
        <v>2225</v>
      </c>
      <c r="E2979" s="1" t="s">
        <v>3660</v>
      </c>
      <c r="F2979" s="1" t="n">
        <v>118149</v>
      </c>
      <c r="G2979" s="1" t="n">
        <v>903</v>
      </c>
      <c r="H2979" s="2" t="n">
        <v>70100000</v>
      </c>
      <c r="I2979" s="2" t="n">
        <f aca="false">(((H2979 / 800) / IF(ISBLANK(R2979), 1000000, IF(ISNA(VLOOKUP(R2979, Mileages!$A$2:$C$34, 2, 0)), R2979, VLOOKUP(R2979, Mileages!$A$2:$C$34, 2, 0)))) + (F2979 * IF(ISBLANK(P2979), 1, P2979) * IF(ISBLANK(T2979), 0, IF(ISNA(VLOOKUP(T2979, 'Fuel Costs'!$A$2:$C$42, 2, 0)), T2979, VLOOKUP(T2979, 'Fuel Costs'!$A$2:$C$42, 2, 0))) / IF(ISBLANK(O2979), 1, O2979))) * 100</f>
        <v>413.8135833</v>
      </c>
      <c r="J2979" s="2" t="n">
        <f aca="false">((H2979 / 800) / (IF(ISBLANK(S2979), 100, IF(ISNA(VLOOKUP(S2979, Lives!$A$2:$C$35, 2, 0)), S2979, VLOOKUP(S2979, Lives!$A$2:$C$35, 2, 0))) * 12) + (IF(ISBLANK(Q2979), 0, IF(ISNA(VLOOKUP(Q2979, Wages!$A$2:$C$17, 2, 0)), Q2979, VLOOKUP(Q2979, Wages!$A$2:$C$17, 2, 0))) * IF(ISBLANK(N2979), 0, IF(ISNA(VLOOKUP(N2979, Crews!$A$2:$C$28, 2, 0)), N2979, VLOOKUP(N2979, Crews!$A$2:$C$28, 2, 0))))) * 400</f>
        <v>118680.5556</v>
      </c>
      <c r="K2979" s="3" t="s">
        <v>5713</v>
      </c>
      <c r="L2979" s="1" t="s">
        <v>5714</v>
      </c>
      <c r="M2979" s="1" t="n">
        <v>0</v>
      </c>
      <c r="N2979" s="1" t="s">
        <v>4412</v>
      </c>
      <c r="O2979" s="1"/>
      <c r="P2979" s="1" t="n">
        <v>0.02</v>
      </c>
      <c r="Q2979" s="1" t="s">
        <v>2229</v>
      </c>
      <c r="R2979" s="1" t="s">
        <v>4413</v>
      </c>
      <c r="S2979" s="1" t="s">
        <v>2229</v>
      </c>
      <c r="T2979" s="1" t="s">
        <v>5588</v>
      </c>
    </row>
    <row r="2980" customFormat="false" ht="15" hidden="false" customHeight="true" outlineLevel="0" collapsed="false">
      <c r="A2980" s="1" t="s">
        <v>5715</v>
      </c>
      <c r="B2980" s="1" t="n">
        <v>2017</v>
      </c>
      <c r="C2980" s="1" t="n">
        <v>5</v>
      </c>
      <c r="D2980" s="1" t="s">
        <v>2225</v>
      </c>
      <c r="E2980" s="1" t="s">
        <v>3660</v>
      </c>
      <c r="F2980" s="1" t="n">
        <v>42879</v>
      </c>
      <c r="G2980" s="1" t="n">
        <v>839</v>
      </c>
      <c r="H2980" s="2" t="n">
        <v>55000000</v>
      </c>
      <c r="I2980" s="2" t="n">
        <f aca="false">(((H2980 / 800) / IF(ISBLANK(R2980), 1000000, IF(ISNA(VLOOKUP(R2980, Mileages!$A$2:$C$34, 2, 0)), R2980, VLOOKUP(R2980, Mileages!$A$2:$C$34, 2, 0)))) + (F2980 * IF(ISBLANK(P2980), 1, P2980) * IF(ISBLANK(T2980), 0, IF(ISNA(VLOOKUP(T2980, 'Fuel Costs'!$A$2:$C$42, 2, 0)), T2980, VLOOKUP(T2980, 'Fuel Costs'!$A$2:$C$42, 2, 0))) / IF(ISBLANK(O2980), 1, O2980))) * 100</f>
        <v>150.3056667</v>
      </c>
      <c r="J2980" s="2" t="n">
        <f aca="false">((H2980 / 800) / (IF(ISBLANK(S2980), 100, IF(ISNA(VLOOKUP(S2980, Lives!$A$2:$C$35, 2, 0)), S2980, VLOOKUP(S2980, Lives!$A$2:$C$35, 2, 0))) * 12) + (IF(ISBLANK(Q2980), 0, IF(ISNA(VLOOKUP(Q2980, Wages!$A$2:$C$17, 2, 0)), Q2980, VLOOKUP(Q2980, Wages!$A$2:$C$17, 2, 0))) * IF(ISBLANK(N2980), 0, IF(ISNA(VLOOKUP(N2980, Crews!$A$2:$C$28, 2, 0)), N2980, VLOOKUP(N2980, Crews!$A$2:$C$28, 2, 0))))) * 400</f>
        <v>88194.44444</v>
      </c>
      <c r="K2980" s="3" t="s">
        <v>5716</v>
      </c>
      <c r="L2980" s="1" t="s">
        <v>5717</v>
      </c>
      <c r="M2980" s="1" t="n">
        <v>0</v>
      </c>
      <c r="N2980" s="1" t="s">
        <v>2342</v>
      </c>
      <c r="O2980" s="1"/>
      <c r="P2980" s="1" t="n">
        <v>0.02</v>
      </c>
      <c r="Q2980" s="1" t="s">
        <v>2229</v>
      </c>
      <c r="R2980" s="1" t="s">
        <v>4413</v>
      </c>
      <c r="S2980" s="1" t="s">
        <v>2229</v>
      </c>
      <c r="T2980" s="1" t="s">
        <v>5588</v>
      </c>
    </row>
    <row r="2981" customFormat="false" ht="15" hidden="false" customHeight="true" outlineLevel="0" collapsed="false">
      <c r="A2981" s="1" t="s">
        <v>5718</v>
      </c>
      <c r="B2981" s="1" t="n">
        <v>2017</v>
      </c>
      <c r="C2981" s="1" t="n">
        <v>5</v>
      </c>
      <c r="D2981" s="1" t="s">
        <v>2225</v>
      </c>
      <c r="E2981" s="1" t="s">
        <v>3660</v>
      </c>
      <c r="F2981" s="1" t="n">
        <v>42879</v>
      </c>
      <c r="G2981" s="1" t="n">
        <v>839</v>
      </c>
      <c r="H2981" s="2" t="n">
        <v>55000000</v>
      </c>
      <c r="I2981" s="2" t="n">
        <f aca="false">(((H2981 / 800) / IF(ISBLANK(R2981), 1000000, IF(ISNA(VLOOKUP(R2981, Mileages!$A$2:$C$34, 2, 0)), R2981, VLOOKUP(R2981, Mileages!$A$2:$C$34, 2, 0)))) + (F2981 * IF(ISBLANK(P2981), 1, P2981) * IF(ISBLANK(T2981), 0, IF(ISNA(VLOOKUP(T2981, 'Fuel Costs'!$A$2:$C$42, 2, 0)), T2981, VLOOKUP(T2981, 'Fuel Costs'!$A$2:$C$42, 2, 0))) / IF(ISBLANK(O2981), 1, O2981))) * 100</f>
        <v>150.3056667</v>
      </c>
      <c r="J2981" s="2" t="n">
        <f aca="false">((H2981 / 800) / (IF(ISBLANK(S2981), 100, IF(ISNA(VLOOKUP(S2981, Lives!$A$2:$C$35, 2, 0)), S2981, VLOOKUP(S2981, Lives!$A$2:$C$35, 2, 0))) * 12) + (IF(ISBLANK(Q2981), 0, IF(ISNA(VLOOKUP(Q2981, Wages!$A$2:$C$17, 2, 0)), Q2981, VLOOKUP(Q2981, Wages!$A$2:$C$17, 2, 0))) * IF(ISBLANK(N2981), 0, IF(ISNA(VLOOKUP(N2981, Crews!$A$2:$C$28, 2, 0)), N2981, VLOOKUP(N2981, Crews!$A$2:$C$28, 2, 0))))) * 400</f>
        <v>88194.44444</v>
      </c>
      <c r="K2981" s="3" t="s">
        <v>5719</v>
      </c>
      <c r="L2981" s="1" t="s">
        <v>5717</v>
      </c>
      <c r="M2981" s="1" t="n">
        <v>1</v>
      </c>
      <c r="N2981" s="1" t="s">
        <v>2342</v>
      </c>
      <c r="O2981" s="1"/>
      <c r="P2981" s="1" t="n">
        <v>0.02</v>
      </c>
      <c r="Q2981" s="1" t="s">
        <v>2229</v>
      </c>
      <c r="R2981" s="1" t="s">
        <v>4413</v>
      </c>
      <c r="S2981" s="1" t="s">
        <v>2229</v>
      </c>
      <c r="T2981" s="1" t="s">
        <v>5588</v>
      </c>
    </row>
    <row r="2982" customFormat="false" ht="15" hidden="false" customHeight="true" outlineLevel="0" collapsed="false">
      <c r="A2982" s="1" t="s">
        <v>5720</v>
      </c>
      <c r="B2982" s="1" t="n">
        <v>2017</v>
      </c>
      <c r="C2982" s="1" t="n">
        <v>5</v>
      </c>
      <c r="D2982" s="1" t="s">
        <v>2225</v>
      </c>
      <c r="E2982" s="1" t="s">
        <v>3660</v>
      </c>
      <c r="F2982" s="1" t="n">
        <v>46842</v>
      </c>
      <c r="G2982" s="1" t="n">
        <v>839</v>
      </c>
      <c r="H2982" s="2" t="n">
        <v>56000000</v>
      </c>
      <c r="I2982" s="2" t="n">
        <f aca="false">(((H2982 / 800) / IF(ISBLANK(R2982), 1000000, IF(ISNA(VLOOKUP(R2982, Mileages!$A$2:$C$34, 2, 0)), R2982, VLOOKUP(R2982, Mileages!$A$2:$C$34, 2, 0)))) + (F2982 * IF(ISBLANK(P2982), 1, P2982) * IF(ISBLANK(T2982), 0, IF(ISNA(VLOOKUP(T2982, 'Fuel Costs'!$A$2:$C$42, 2, 0)), T2982, VLOOKUP(T2982, 'Fuel Costs'!$A$2:$C$42, 2, 0))) / IF(ISBLANK(O2982), 1, O2982))) * 100</f>
        <v>164.1803333</v>
      </c>
      <c r="J2982" s="2" t="n">
        <f aca="false">((H2982 / 800) / (IF(ISBLANK(S2982), 100, IF(ISNA(VLOOKUP(S2982, Lives!$A$2:$C$35, 2, 0)), S2982, VLOOKUP(S2982, Lives!$A$2:$C$35, 2, 0))) * 12) + (IF(ISBLANK(Q2982), 0, IF(ISNA(VLOOKUP(Q2982, Wages!$A$2:$C$17, 2, 0)), Q2982, VLOOKUP(Q2982, Wages!$A$2:$C$17, 2, 0))) * IF(ISBLANK(N2982), 0, IF(ISNA(VLOOKUP(N2982, Crews!$A$2:$C$28, 2, 0)), N2982, VLOOKUP(N2982, Crews!$A$2:$C$28, 2, 0))))) * 400</f>
        <v>88888.88889</v>
      </c>
      <c r="K2982" s="3" t="s">
        <v>5721</v>
      </c>
      <c r="L2982" s="1" t="s">
        <v>5722</v>
      </c>
      <c r="M2982" s="1" t="n">
        <v>0</v>
      </c>
      <c r="N2982" s="1" t="s">
        <v>2342</v>
      </c>
      <c r="O2982" s="1"/>
      <c r="P2982" s="1" t="n">
        <v>0.02</v>
      </c>
      <c r="Q2982" s="1" t="s">
        <v>2229</v>
      </c>
      <c r="R2982" s="1" t="s">
        <v>4413</v>
      </c>
      <c r="S2982" s="1" t="s">
        <v>2229</v>
      </c>
      <c r="T2982" s="1" t="s">
        <v>5588</v>
      </c>
    </row>
    <row r="2983" customFormat="false" ht="15" hidden="false" customHeight="true" outlineLevel="0" collapsed="false">
      <c r="A2983" s="1" t="s">
        <v>5723</v>
      </c>
      <c r="B2983" s="1" t="n">
        <v>2017</v>
      </c>
      <c r="C2983" s="1" t="n">
        <v>5</v>
      </c>
      <c r="D2983" s="1" t="s">
        <v>2225</v>
      </c>
      <c r="E2983" s="1" t="s">
        <v>3660</v>
      </c>
      <c r="F2983" s="1" t="n">
        <v>46842</v>
      </c>
      <c r="G2983" s="1" t="n">
        <v>839</v>
      </c>
      <c r="H2983" s="2" t="n">
        <v>56000000</v>
      </c>
      <c r="I2983" s="2" t="n">
        <f aca="false">(((H2983 / 800) / IF(ISBLANK(R2983), 1000000, IF(ISNA(VLOOKUP(R2983, Mileages!$A$2:$C$34, 2, 0)), R2983, VLOOKUP(R2983, Mileages!$A$2:$C$34, 2, 0)))) + (F2983 * IF(ISBLANK(P2983), 1, P2983) * IF(ISBLANK(T2983), 0, IF(ISNA(VLOOKUP(T2983, 'Fuel Costs'!$A$2:$C$42, 2, 0)), T2983, VLOOKUP(T2983, 'Fuel Costs'!$A$2:$C$42, 2, 0))) / IF(ISBLANK(O2983), 1, O2983))) * 100</f>
        <v>164.1803333</v>
      </c>
      <c r="J2983" s="2" t="n">
        <f aca="false">((H2983 / 800) / (IF(ISBLANK(S2983), 100, IF(ISNA(VLOOKUP(S2983, Lives!$A$2:$C$35, 2, 0)), S2983, VLOOKUP(S2983, Lives!$A$2:$C$35, 2, 0))) * 12) + (IF(ISBLANK(Q2983), 0, IF(ISNA(VLOOKUP(Q2983, Wages!$A$2:$C$17, 2, 0)), Q2983, VLOOKUP(Q2983, Wages!$A$2:$C$17, 2, 0))) * IF(ISBLANK(N2983), 0, IF(ISNA(VLOOKUP(N2983, Crews!$A$2:$C$28, 2, 0)), N2983, VLOOKUP(N2983, Crews!$A$2:$C$28, 2, 0))))) * 400</f>
        <v>88888.88889</v>
      </c>
      <c r="K2983" s="3" t="s">
        <v>5724</v>
      </c>
      <c r="L2983" s="1" t="s">
        <v>5722</v>
      </c>
      <c r="M2983" s="1" t="n">
        <v>1</v>
      </c>
      <c r="N2983" s="1" t="s">
        <v>2342</v>
      </c>
      <c r="O2983" s="1"/>
      <c r="P2983" s="1" t="n">
        <v>0.02</v>
      </c>
      <c r="Q2983" s="1" t="s">
        <v>2229</v>
      </c>
      <c r="R2983" s="1" t="s">
        <v>4413</v>
      </c>
      <c r="S2983" s="1" t="s">
        <v>2229</v>
      </c>
      <c r="T2983" s="1" t="s">
        <v>5588</v>
      </c>
    </row>
    <row r="2984" customFormat="false" ht="15" hidden="false" customHeight="true" outlineLevel="0" collapsed="false">
      <c r="A2984" s="1" t="s">
        <v>5725</v>
      </c>
      <c r="B2984" s="1" t="n">
        <v>2017</v>
      </c>
      <c r="C2984" s="1" t="n">
        <v>5</v>
      </c>
      <c r="D2984" s="1" t="s">
        <v>38</v>
      </c>
      <c r="E2984" s="1" t="s">
        <v>1346</v>
      </c>
      <c r="F2984" s="1" t="n">
        <v>600</v>
      </c>
      <c r="G2984" s="1" t="n">
        <v>145</v>
      </c>
      <c r="H2984" s="2" t="n">
        <v>1008000</v>
      </c>
      <c r="I2984" s="2" t="n">
        <f aca="false">(((H2984 / 800) / IF(ISBLANK(R2984), 1000000, IF(ISNA(VLOOKUP(R2984, Mileages!$A$2:$C$34, 2, 0)), R2984, VLOOKUP(R2984, Mileages!$A$2:$C$34, 2, 0)))) + (F2984 * IF(ISBLANK(P2984), 1, P2984) * IF(ISBLANK(T2984), 0, IF(ISNA(VLOOKUP(T2984, 'Fuel Costs'!$A$2:$C$42, 2, 0)), T2984, VLOOKUP(T2984, 'Fuel Costs'!$A$2:$C$42, 2, 0))) / IF(ISBLANK(O2984), 1, O2984))) * 100</f>
        <v>120.063</v>
      </c>
      <c r="J2984" s="2" t="n">
        <f aca="false">((H2984 / 800) / (IF(ISBLANK(S2984), 100, IF(ISNA(VLOOKUP(S2984, Lives!$A$2:$C$35, 2, 0)), S2984, VLOOKUP(S2984, Lives!$A$2:$C$35, 2, 0))) * 12) + (IF(ISBLANK(Q2984), 0, IF(ISNA(VLOOKUP(Q2984, Wages!$A$2:$C$17, 2, 0)), Q2984, VLOOKUP(Q2984, Wages!$A$2:$C$17, 2, 0))) * IF(ISBLANK(N2984), 0, IF(ISNA(VLOOKUP(N2984, Crews!$A$2:$C$28, 2, 0)), N2984, VLOOKUP(N2984, Crews!$A$2:$C$28, 2, 0))))) * 400</f>
        <v>6840</v>
      </c>
      <c r="K2984" s="1" t="s">
        <v>5726</v>
      </c>
      <c r="L2984" s="1" t="s">
        <v>5727</v>
      </c>
      <c r="M2984" s="1" t="n">
        <v>0</v>
      </c>
      <c r="N2984" s="1" t="s">
        <v>1512</v>
      </c>
      <c r="O2984" s="1" t="n">
        <v>1</v>
      </c>
      <c r="P2984" s="1"/>
      <c r="Q2984" s="1" t="str">
        <f aca="false">IF(ISBLANK('Pak128 Britain In'!$N2984),,'Pak128 Britain In'!$N2984)</f>
        <v>ElectricMultipleUnit</v>
      </c>
      <c r="R2984" s="1" t="s">
        <v>4696</v>
      </c>
      <c r="S2984" s="1" t="s">
        <v>1350</v>
      </c>
      <c r="T2984" s="1" t="s">
        <v>5548</v>
      </c>
    </row>
    <row r="2985" customFormat="false" ht="15" hidden="false" customHeight="true" outlineLevel="0" collapsed="false">
      <c r="A2985" s="1" t="s">
        <v>5728</v>
      </c>
      <c r="B2985" s="1" t="n">
        <v>2017</v>
      </c>
      <c r="C2985" s="1" t="n">
        <v>5</v>
      </c>
      <c r="D2985" s="1" t="s">
        <v>38</v>
      </c>
      <c r="E2985" s="1" t="s">
        <v>1346</v>
      </c>
      <c r="F2985" s="1" t="n">
        <v>250</v>
      </c>
      <c r="G2985" s="1" t="n">
        <v>145</v>
      </c>
      <c r="H2985" s="2" t="n">
        <v>1008000</v>
      </c>
      <c r="I2985" s="2" t="n">
        <f aca="false">(((H2985 / 800) / IF(ISBLANK(R2985), 1000000, IF(ISNA(VLOOKUP(R2985, Mileages!$A$2:$C$34, 2, 0)), R2985, VLOOKUP(R2985, Mileages!$A$2:$C$34, 2, 0)))) + (F2985 * IF(ISBLANK(P2985), 1, P2985) * IF(ISBLANK(T2985), 0, IF(ISNA(VLOOKUP(T2985, 'Fuel Costs'!$A$2:$C$42, 2, 0)), T2985, VLOOKUP(T2985, 'Fuel Costs'!$A$2:$C$42, 2, 0))) / IF(ISBLANK(O2985), 1, O2985))) * 100</f>
        <v>50.063</v>
      </c>
      <c r="J2985" s="2" t="n">
        <f aca="false">((H2985 / 800) / (IF(ISBLANK(S2985), 100, IF(ISNA(VLOOKUP(S2985, Lives!$A$2:$C$35, 2, 0)), S2985, VLOOKUP(S2985, Lives!$A$2:$C$35, 2, 0))) * 12) + (IF(ISBLANK(Q2985), 0, IF(ISNA(VLOOKUP(Q2985, Wages!$A$2:$C$17, 2, 0)), Q2985, VLOOKUP(Q2985, Wages!$A$2:$C$17, 2, 0))) * IF(ISBLANK(N2985), 0, IF(ISNA(VLOOKUP(N2985, Crews!$A$2:$C$28, 2, 0)), N2985, VLOOKUP(N2985, Crews!$A$2:$C$28, 2, 0))))) * 400</f>
        <v>6840</v>
      </c>
      <c r="K2985" s="1"/>
      <c r="L2985" s="1" t="s">
        <v>5727</v>
      </c>
      <c r="M2985" s="1" t="n">
        <v>1</v>
      </c>
      <c r="N2985" s="1" t="s">
        <v>1512</v>
      </c>
      <c r="O2985" s="1" t="n">
        <v>1</v>
      </c>
      <c r="P2985" s="1"/>
      <c r="Q2985" s="1" t="str">
        <f aca="false">IF(ISBLANK('Pak128 Britain In'!$N2985),,'Pak128 Britain In'!$N2985)</f>
        <v>ElectricMultipleUnit</v>
      </c>
      <c r="R2985" s="1" t="s">
        <v>4696</v>
      </c>
      <c r="S2985" s="1" t="s">
        <v>1350</v>
      </c>
      <c r="T2985" s="1" t="s">
        <v>5548</v>
      </c>
    </row>
    <row r="2986" customFormat="false" ht="15" hidden="false" customHeight="true" outlineLevel="0" collapsed="false">
      <c r="A2986" s="1" t="s">
        <v>5729</v>
      </c>
      <c r="B2986" s="1" t="n">
        <v>2017</v>
      </c>
      <c r="C2986" s="1" t="n">
        <v>5</v>
      </c>
      <c r="D2986" s="1" t="s">
        <v>38</v>
      </c>
      <c r="E2986" s="1" t="s">
        <v>1346</v>
      </c>
      <c r="F2986" s="1" t="n">
        <v>500</v>
      </c>
      <c r="G2986" s="1" t="n">
        <v>145</v>
      </c>
      <c r="H2986" s="2" t="n">
        <v>1512000</v>
      </c>
      <c r="I2986" s="2" t="n">
        <f aca="false">(((H2986 / 800) / IF(ISBLANK(R2986), 1000000, IF(ISNA(VLOOKUP(R2986, Mileages!$A$2:$C$34, 2, 0)), R2986, VLOOKUP(R2986, Mileages!$A$2:$C$34, 2, 0)))) + (F2986 * IF(ISBLANK(P2986), 1, P2986) * IF(ISBLANK(T2986), 0, IF(ISNA(VLOOKUP(T2986, 'Fuel Costs'!$A$2:$C$42, 2, 0)), T2986, VLOOKUP(T2986, 'Fuel Costs'!$A$2:$C$42, 2, 0))) / IF(ISBLANK(O2986), 1, O2986))) * 100</f>
        <v>100.0945</v>
      </c>
      <c r="J2986" s="2" t="n">
        <f aca="false">((H2986 / 800) / (IF(ISBLANK(S2986), 100, IF(ISNA(VLOOKUP(S2986, Lives!$A$2:$C$35, 2, 0)), S2986, VLOOKUP(S2986, Lives!$A$2:$C$35, 2, 0))) * 12) + (IF(ISBLANK(Q2986), 0, IF(ISNA(VLOOKUP(Q2986, Wages!$A$2:$C$17, 2, 0)), Q2986, VLOOKUP(Q2986, Wages!$A$2:$C$17, 2, 0))) * IF(ISBLANK(N2986), 0, IF(ISNA(VLOOKUP(N2986, Crews!$A$2:$C$28, 2, 0)), N2986, VLOOKUP(N2986, Crews!$A$2:$C$28, 2, 0))))) * 400</f>
        <v>1260</v>
      </c>
      <c r="K2986" s="1"/>
      <c r="L2986" s="1" t="s">
        <v>5727</v>
      </c>
      <c r="M2986" s="1" t="n">
        <v>2</v>
      </c>
      <c r="N2986" s="1"/>
      <c r="O2986" s="1" t="n">
        <v>1</v>
      </c>
      <c r="P2986" s="1"/>
      <c r="Q2986" s="1"/>
      <c r="R2986" s="1" t="s">
        <v>4696</v>
      </c>
      <c r="S2986" s="1" t="s">
        <v>1350</v>
      </c>
      <c r="T2986" s="1" t="s">
        <v>5548</v>
      </c>
    </row>
    <row r="2987" customFormat="false" ht="15" hidden="false" customHeight="true" outlineLevel="0" collapsed="false">
      <c r="A2987" s="1" t="s">
        <v>5730</v>
      </c>
      <c r="B2987" s="1" t="n">
        <v>2017</v>
      </c>
      <c r="C2987" s="1" t="n">
        <v>5</v>
      </c>
      <c r="D2987" s="1" t="s">
        <v>38</v>
      </c>
      <c r="E2987" s="1" t="s">
        <v>1346</v>
      </c>
      <c r="F2987" s="1" t="n">
        <v>500</v>
      </c>
      <c r="G2987" s="1" t="n">
        <v>145</v>
      </c>
      <c r="H2987" s="2" t="n">
        <v>1512000</v>
      </c>
      <c r="I2987" s="2" t="n">
        <f aca="false">(((H2987 / 800) / IF(ISBLANK(R2987), 1000000, IF(ISNA(VLOOKUP(R2987, Mileages!$A$2:$C$34, 2, 0)), R2987, VLOOKUP(R2987, Mileages!$A$2:$C$34, 2, 0)))) + (F2987 * IF(ISBLANK(P2987), 1, P2987) * IF(ISBLANK(T2987), 0, IF(ISNA(VLOOKUP(T2987, 'Fuel Costs'!$A$2:$C$42, 2, 0)), T2987, VLOOKUP(T2987, 'Fuel Costs'!$A$2:$C$42, 2, 0))) / IF(ISBLANK(O2987), 1, O2987))) * 100</f>
        <v>100.0945</v>
      </c>
      <c r="J2987" s="2" t="n">
        <f aca="false">((H2987 / 800) / (IF(ISBLANK(S2987), 100, IF(ISNA(VLOOKUP(S2987, Lives!$A$2:$C$35, 2, 0)), S2987, VLOOKUP(S2987, Lives!$A$2:$C$35, 2, 0))) * 12) + (IF(ISBLANK(Q2987), 0, IF(ISNA(VLOOKUP(Q2987, Wages!$A$2:$C$17, 2, 0)), Q2987, VLOOKUP(Q2987, Wages!$A$2:$C$17, 2, 0))) * IF(ISBLANK(N2987), 0, IF(ISNA(VLOOKUP(N2987, Crews!$A$2:$C$28, 2, 0)), N2987, VLOOKUP(N2987, Crews!$A$2:$C$28, 2, 0))))) * 400</f>
        <v>1260</v>
      </c>
      <c r="K2987" s="1"/>
      <c r="L2987" s="1" t="s">
        <v>5727</v>
      </c>
      <c r="M2987" s="1" t="n">
        <v>3</v>
      </c>
      <c r="N2987" s="1"/>
      <c r="O2987" s="1" t="n">
        <v>1</v>
      </c>
      <c r="P2987" s="1"/>
      <c r="Q2987" s="1"/>
      <c r="R2987" s="1" t="s">
        <v>4696</v>
      </c>
      <c r="S2987" s="1" t="s">
        <v>1350</v>
      </c>
      <c r="T2987" s="1" t="s">
        <v>5548</v>
      </c>
    </row>
    <row r="2988" customFormat="false" ht="15" hidden="false" customHeight="true" outlineLevel="0" collapsed="false">
      <c r="A2988" s="1" t="s">
        <v>5731</v>
      </c>
      <c r="B2988" s="1" t="n">
        <v>2017</v>
      </c>
      <c r="C2988" s="1" t="n">
        <v>5</v>
      </c>
      <c r="D2988" s="1" t="s">
        <v>2225</v>
      </c>
      <c r="E2988" s="1" t="s">
        <v>3660</v>
      </c>
      <c r="F2988" s="1" t="n">
        <v>46842</v>
      </c>
      <c r="G2988" s="1" t="n">
        <v>839</v>
      </c>
      <c r="H2988" s="2" t="n">
        <v>55000000</v>
      </c>
      <c r="I2988" s="2" t="n">
        <f aca="false">(((H2988 / 800) / IF(ISBLANK(R2988), 1000000, IF(ISNA(VLOOKUP(R2988, Mileages!$A$2:$C$34, 2, 0)), R2988, VLOOKUP(R2988, Mileages!$A$2:$C$34, 2, 0)))) + (F2988 * IF(ISBLANK(P2988), 1, P2988) * IF(ISBLANK(T2988), 0, IF(ISNA(VLOOKUP(T2988, 'Fuel Costs'!$A$2:$C$42, 2, 0)), T2988, VLOOKUP(T2988, 'Fuel Costs'!$A$2:$C$42, 2, 0))) / IF(ISBLANK(O2988), 1, O2988))) * 100</f>
        <v>164.1761667</v>
      </c>
      <c r="J2988" s="2" t="n">
        <f aca="false">((H2988 / 800) / (IF(ISBLANK(S2988), 100, IF(ISNA(VLOOKUP(S2988, Lives!$A$2:$C$35, 2, 0)), S2988, VLOOKUP(S2988, Lives!$A$2:$C$35, 2, 0))) * 12) + (IF(ISBLANK(Q2988), 0, IF(ISNA(VLOOKUP(Q2988, Wages!$A$2:$C$17, 2, 0)), Q2988, VLOOKUP(Q2988, Wages!$A$2:$C$17, 2, 0))) * IF(ISBLANK(N2988), 0, IF(ISNA(VLOOKUP(N2988, Crews!$A$2:$C$28, 2, 0)), N2988, VLOOKUP(N2988, Crews!$A$2:$C$28, 2, 0))))) * 400</f>
        <v>88194.44444</v>
      </c>
      <c r="K2988" s="3" t="s">
        <v>5732</v>
      </c>
      <c r="L2988" s="1" t="s">
        <v>5733</v>
      </c>
      <c r="M2988" s="1" t="n">
        <v>0</v>
      </c>
      <c r="N2988" s="1" t="s">
        <v>2342</v>
      </c>
      <c r="O2988" s="1"/>
      <c r="P2988" s="1" t="n">
        <v>0.02</v>
      </c>
      <c r="Q2988" s="1" t="s">
        <v>2229</v>
      </c>
      <c r="R2988" s="1" t="s">
        <v>4413</v>
      </c>
      <c r="S2988" s="1" t="s">
        <v>2229</v>
      </c>
      <c r="T2988" s="1" t="s">
        <v>5588</v>
      </c>
    </row>
    <row r="2989" customFormat="false" ht="15" hidden="false" customHeight="true" outlineLevel="0" collapsed="false">
      <c r="A2989" s="1" t="s">
        <v>5734</v>
      </c>
      <c r="B2989" s="1" t="n">
        <v>2017</v>
      </c>
      <c r="C2989" s="1" t="n">
        <v>5</v>
      </c>
      <c r="D2989" s="1" t="s">
        <v>2225</v>
      </c>
      <c r="E2989" s="1" t="s">
        <v>3660</v>
      </c>
      <c r="F2989" s="1" t="n">
        <v>46842</v>
      </c>
      <c r="G2989" s="1" t="n">
        <v>839</v>
      </c>
      <c r="H2989" s="2" t="n">
        <v>55500000</v>
      </c>
      <c r="I2989" s="2" t="n">
        <f aca="false">(((H2989 / 800) / IF(ISBLANK(R2989), 1000000, IF(ISNA(VLOOKUP(R2989, Mileages!$A$2:$C$34, 2, 0)), R2989, VLOOKUP(R2989, Mileages!$A$2:$C$34, 2, 0)))) + (F2989 * IF(ISBLANK(P2989), 1, P2989) * IF(ISBLANK(T2989), 0, IF(ISNA(VLOOKUP(T2989, 'Fuel Costs'!$A$2:$C$42, 2, 0)), T2989, VLOOKUP(T2989, 'Fuel Costs'!$A$2:$C$42, 2, 0))) / IF(ISBLANK(O2989), 1, O2989))) * 100</f>
        <v>164.17825</v>
      </c>
      <c r="J2989" s="2" t="n">
        <f aca="false">((H2989 / 800) / (IF(ISBLANK(S2989), 100, IF(ISNA(VLOOKUP(S2989, Lives!$A$2:$C$35, 2, 0)), S2989, VLOOKUP(S2989, Lives!$A$2:$C$35, 2, 0))) * 12) + (IF(ISBLANK(Q2989), 0, IF(ISNA(VLOOKUP(Q2989, Wages!$A$2:$C$17, 2, 0)), Q2989, VLOOKUP(Q2989, Wages!$A$2:$C$17, 2, 0))) * IF(ISBLANK(N2989), 0, IF(ISNA(VLOOKUP(N2989, Crews!$A$2:$C$28, 2, 0)), N2989, VLOOKUP(N2989, Crews!$A$2:$C$28, 2, 0))))) * 400</f>
        <v>88541.66667</v>
      </c>
      <c r="K2989" s="3" t="s">
        <v>5735</v>
      </c>
      <c r="L2989" s="1" t="s">
        <v>5733</v>
      </c>
      <c r="M2989" s="1" t="n">
        <v>1</v>
      </c>
      <c r="N2989" s="1" t="s">
        <v>2342</v>
      </c>
      <c r="O2989" s="1"/>
      <c r="P2989" s="1" t="n">
        <v>0.02</v>
      </c>
      <c r="Q2989" s="1" t="s">
        <v>2229</v>
      </c>
      <c r="R2989" s="1" t="s">
        <v>4413</v>
      </c>
      <c r="S2989" s="1" t="s">
        <v>2229</v>
      </c>
      <c r="T2989" s="1" t="s">
        <v>5588</v>
      </c>
    </row>
    <row r="2990" customFormat="false" ht="15" hidden="false" customHeight="true" outlineLevel="0" collapsed="false">
      <c r="A2990" s="1" t="s">
        <v>5736</v>
      </c>
      <c r="B2990" s="1" t="n">
        <v>2017</v>
      </c>
      <c r="C2990" s="1" t="n">
        <v>5</v>
      </c>
      <c r="D2990" s="1" t="s">
        <v>38</v>
      </c>
      <c r="E2990" s="1" t="s">
        <v>1346</v>
      </c>
      <c r="F2990" s="1" t="n">
        <v>750</v>
      </c>
      <c r="G2990" s="1" t="n">
        <v>160</v>
      </c>
      <c r="H2990" s="2" t="n">
        <v>1057500</v>
      </c>
      <c r="I2990" s="2" t="n">
        <f aca="false">(((H2990 / 800) / IF(ISBLANK(R2990), 1000000, IF(ISNA(VLOOKUP(R2990, Mileages!$A$2:$C$34, 2, 0)), R2990, VLOOKUP(R2990, Mileages!$A$2:$C$34, 2, 0)))) + (F2990 * IF(ISBLANK(P2990), 1, P2990) * IF(ISBLANK(T2990), 0, IF(ISNA(VLOOKUP(T2990, 'Fuel Costs'!$A$2:$C$42, 2, 0)), T2990, VLOOKUP(T2990, 'Fuel Costs'!$A$2:$C$42, 2, 0))) / IF(ISBLANK(O2990), 1, O2990))) * 100</f>
        <v>150.0660938</v>
      </c>
      <c r="J2990" s="2" t="n">
        <f aca="false">((H2990 / 800) / (IF(ISBLANK(S2990), 100, IF(ISNA(VLOOKUP(S2990, Lives!$A$2:$C$35, 2, 0)), S2990, VLOOKUP(S2990, Lives!$A$2:$C$35, 2, 0))) * 12) + (IF(ISBLANK(Q2990), 0, IF(ISNA(VLOOKUP(Q2990, Wages!$A$2:$C$17, 2, 0)), Q2990, VLOOKUP(Q2990, Wages!$A$2:$C$17, 2, 0))) * IF(ISBLANK(N2990), 0, IF(ISNA(VLOOKUP(N2990, Crews!$A$2:$C$28, 2, 0)), N2990, VLOOKUP(N2990, Crews!$A$2:$C$28, 2, 0))))) * 400</f>
        <v>6881.25</v>
      </c>
      <c r="K2990" s="3" t="s">
        <v>5737</v>
      </c>
      <c r="L2990" s="1" t="s">
        <v>5738</v>
      </c>
      <c r="M2990" s="1" t="n">
        <v>0</v>
      </c>
      <c r="N2990" s="1" t="s">
        <v>1512</v>
      </c>
      <c r="O2990" s="1" t="n">
        <v>1</v>
      </c>
      <c r="P2990" s="1"/>
      <c r="Q2990" s="1" t="str">
        <f aca="false">IF(ISBLANK('Pak128 Britain In'!$N2990),,'Pak128 Britain In'!$N2990)</f>
        <v>ElectricMultipleUnit</v>
      </c>
      <c r="R2990" s="1" t="s">
        <v>4696</v>
      </c>
      <c r="S2990" s="1" t="s">
        <v>1350</v>
      </c>
      <c r="T2990" s="1" t="s">
        <v>5548</v>
      </c>
    </row>
    <row r="2991" customFormat="false" ht="15" hidden="false" customHeight="true" outlineLevel="0" collapsed="false">
      <c r="A2991" s="1" t="s">
        <v>5739</v>
      </c>
      <c r="B2991" s="1" t="n">
        <v>2017</v>
      </c>
      <c r="C2991" s="1" t="n">
        <v>5</v>
      </c>
      <c r="D2991" s="1" t="s">
        <v>38</v>
      </c>
      <c r="E2991" s="1" t="s">
        <v>1346</v>
      </c>
      <c r="F2991" s="1" t="n">
        <v>0</v>
      </c>
      <c r="G2991" s="1" t="n">
        <v>160</v>
      </c>
      <c r="H2991" s="2" t="n">
        <v>1899100</v>
      </c>
      <c r="I2991" s="2" t="n">
        <f aca="false">(((H2991 / 800) / IF(ISBLANK(R2991), 1000000, IF(ISNA(VLOOKUP(R2991, Mileages!$A$2:$C$34, 2, 0)), R2991, VLOOKUP(R2991, Mileages!$A$2:$C$34, 2, 0)))) + (F2991 * IF(ISBLANK(P2991), 1, P2991) * IF(ISBLANK(T2991), 0, IF(ISNA(VLOOKUP(T2991, 'Fuel Costs'!$A$2:$C$42, 2, 0)), T2991, VLOOKUP(T2991, 'Fuel Costs'!$A$2:$C$42, 2, 0))) / IF(ISBLANK(O2991), 1, O2991))) * 100</f>
        <v>0.09891145833</v>
      </c>
      <c r="J2991" s="2" t="n">
        <f aca="false">((H2991 / 800) / (IF(ISBLANK(S2991), 100, IF(ISNA(VLOOKUP(S2991, Lives!$A$2:$C$35, 2, 0)), S2991, VLOOKUP(S2991, Lives!$A$2:$C$35, 2, 0))) * 12) + (IF(ISBLANK(Q2991), 0, IF(ISNA(VLOOKUP(Q2991, Wages!$A$2:$C$17, 2, 0)), Q2991, VLOOKUP(Q2991, Wages!$A$2:$C$17, 2, 0))) * IF(ISBLANK(N2991), 0, IF(ISNA(VLOOKUP(N2991, Crews!$A$2:$C$28, 2, 0)), N2991, VLOOKUP(N2991, Crews!$A$2:$C$28, 2, 0))))) * 400</f>
        <v>3956.458333</v>
      </c>
      <c r="K2991" s="1"/>
      <c r="L2991" s="1" t="s">
        <v>5738</v>
      </c>
      <c r="M2991" s="1" t="n">
        <v>1</v>
      </c>
      <c r="N2991" s="1"/>
      <c r="O2991" s="1"/>
      <c r="P2991" s="1"/>
      <c r="Q2991" s="1"/>
      <c r="R2991" s="1" t="s">
        <v>4419</v>
      </c>
      <c r="S2991" s="1" t="s">
        <v>4470</v>
      </c>
      <c r="T2991" s="1"/>
    </row>
    <row r="2992" customFormat="false" ht="15" hidden="false" customHeight="true" outlineLevel="0" collapsed="false">
      <c r="A2992" s="1" t="s">
        <v>5740</v>
      </c>
      <c r="B2992" s="1" t="n">
        <v>2017</v>
      </c>
      <c r="C2992" s="1" t="n">
        <v>5</v>
      </c>
      <c r="D2992" s="1" t="s">
        <v>38</v>
      </c>
      <c r="E2992" s="1" t="s">
        <v>1346</v>
      </c>
      <c r="F2992" s="1" t="n">
        <v>0</v>
      </c>
      <c r="G2992" s="1" t="n">
        <v>160</v>
      </c>
      <c r="H2992" s="2" t="n">
        <v>1899100</v>
      </c>
      <c r="I2992" s="2" t="n">
        <f aca="false">(((H2992 / 800) / IF(ISBLANK(R2992), 1000000, IF(ISNA(VLOOKUP(R2992, Mileages!$A$2:$C$34, 2, 0)), R2992, VLOOKUP(R2992, Mileages!$A$2:$C$34, 2, 0)))) + (F2992 * IF(ISBLANK(P2992), 1, P2992) * IF(ISBLANK(T2992), 0, IF(ISNA(VLOOKUP(T2992, 'Fuel Costs'!$A$2:$C$42, 2, 0)), T2992, VLOOKUP(T2992, 'Fuel Costs'!$A$2:$C$42, 2, 0))) / IF(ISBLANK(O2992), 1, O2992))) * 100</f>
        <v>0.09891145833</v>
      </c>
      <c r="J2992" s="2" t="n">
        <f aca="false">((H2992 / 800) / (IF(ISBLANK(S2992), 100, IF(ISNA(VLOOKUP(S2992, Lives!$A$2:$C$35, 2, 0)), S2992, VLOOKUP(S2992, Lives!$A$2:$C$35, 2, 0))) * 12) + (IF(ISBLANK(Q2992), 0, IF(ISNA(VLOOKUP(Q2992, Wages!$A$2:$C$17, 2, 0)), Q2992, VLOOKUP(Q2992, Wages!$A$2:$C$17, 2, 0))) * IF(ISBLANK(N2992), 0, IF(ISNA(VLOOKUP(N2992, Crews!$A$2:$C$28, 2, 0)), N2992, VLOOKUP(N2992, Crews!$A$2:$C$28, 2, 0))))) * 400</f>
        <v>3956.458333</v>
      </c>
      <c r="K2992" s="1"/>
      <c r="L2992" s="1" t="s">
        <v>5738</v>
      </c>
      <c r="M2992" s="1" t="n">
        <v>2</v>
      </c>
      <c r="N2992" s="1"/>
      <c r="O2992" s="1"/>
      <c r="P2992" s="1"/>
      <c r="Q2992" s="1"/>
      <c r="R2992" s="1" t="s">
        <v>4419</v>
      </c>
      <c r="S2992" s="1" t="s">
        <v>4470</v>
      </c>
      <c r="T2992" s="1"/>
    </row>
    <row r="2993" customFormat="false" ht="15" hidden="false" customHeight="true" outlineLevel="0" collapsed="false">
      <c r="A2993" s="1" t="s">
        <v>5741</v>
      </c>
      <c r="B2993" s="1" t="n">
        <v>2017</v>
      </c>
      <c r="C2993" s="1" t="n">
        <v>5</v>
      </c>
      <c r="D2993" s="1" t="s">
        <v>38</v>
      </c>
      <c r="E2993" s="1" t="s">
        <v>1346</v>
      </c>
      <c r="F2993" s="1" t="n">
        <v>750</v>
      </c>
      <c r="G2993" s="1" t="n">
        <v>160</v>
      </c>
      <c r="H2993" s="2" t="n">
        <v>1057500</v>
      </c>
      <c r="I2993" s="2" t="n">
        <f aca="false">(((H2993 / 800) / IF(ISBLANK(R2993), 1000000, IF(ISNA(VLOOKUP(R2993, Mileages!$A$2:$C$34, 2, 0)), R2993, VLOOKUP(R2993, Mileages!$A$2:$C$34, 2, 0)))) + (F2993 * IF(ISBLANK(P2993), 1, P2993) * IF(ISBLANK(T2993), 0, IF(ISNA(VLOOKUP(T2993, 'Fuel Costs'!$A$2:$C$42, 2, 0)), T2993, VLOOKUP(T2993, 'Fuel Costs'!$A$2:$C$42, 2, 0))) / IF(ISBLANK(O2993), 1, O2993))) * 100</f>
        <v>150.0660938</v>
      </c>
      <c r="J2993" s="2" t="n">
        <f aca="false">((H2993 / 800) / (IF(ISBLANK(S2993), 100, IF(ISNA(VLOOKUP(S2993, Lives!$A$2:$C$35, 2, 0)), S2993, VLOOKUP(S2993, Lives!$A$2:$C$35, 2, 0))) * 12) + (IF(ISBLANK(Q2993), 0, IF(ISNA(VLOOKUP(Q2993, Wages!$A$2:$C$17, 2, 0)), Q2993, VLOOKUP(Q2993, Wages!$A$2:$C$17, 2, 0))) * IF(ISBLANK(N2993), 0, IF(ISNA(VLOOKUP(N2993, Crews!$A$2:$C$28, 2, 0)), N2993, VLOOKUP(N2993, Crews!$A$2:$C$28, 2, 0))))) * 400</f>
        <v>6881.25</v>
      </c>
      <c r="K2993" s="1"/>
      <c r="L2993" s="1" t="s">
        <v>5738</v>
      </c>
      <c r="M2993" s="1" t="n">
        <v>3</v>
      </c>
      <c r="N2993" s="1" t="s">
        <v>1512</v>
      </c>
      <c r="O2993" s="1" t="n">
        <v>1</v>
      </c>
      <c r="P2993" s="1"/>
      <c r="Q2993" s="1" t="str">
        <f aca="false">IF(ISBLANK('Pak128 Britain In'!$N2993),,'Pak128 Britain In'!$N2993)</f>
        <v>ElectricMultipleUnit</v>
      </c>
      <c r="R2993" s="1" t="s">
        <v>4696</v>
      </c>
      <c r="S2993" s="1" t="s">
        <v>1350</v>
      </c>
      <c r="T2993" s="1" t="s">
        <v>5548</v>
      </c>
    </row>
    <row r="2994" customFormat="false" ht="15" hidden="false" customHeight="true" outlineLevel="0" collapsed="false">
      <c r="A2994" s="1" t="s">
        <v>5742</v>
      </c>
      <c r="B2994" s="1" t="n">
        <v>2017</v>
      </c>
      <c r="C2994" s="1" t="n">
        <v>6</v>
      </c>
      <c r="D2994" s="1" t="s">
        <v>38</v>
      </c>
      <c r="E2994" s="1" t="s">
        <v>1346</v>
      </c>
      <c r="F2994" s="1" t="n">
        <v>850</v>
      </c>
      <c r="G2994" s="1" t="n">
        <v>160</v>
      </c>
      <c r="H2994" s="2" t="n">
        <v>1008000</v>
      </c>
      <c r="I2994" s="2" t="n">
        <f aca="false">(((H2994 / 800) / IF(ISBLANK(R2994), 1000000, IF(ISNA(VLOOKUP(R2994, Mileages!$A$2:$C$34, 2, 0)), R2994, VLOOKUP(R2994, Mileages!$A$2:$C$34, 2, 0)))) + (F2994 * IF(ISBLANK(P2994), 1, P2994) * IF(ISBLANK(T2994), 0, IF(ISNA(VLOOKUP(T2994, 'Fuel Costs'!$A$2:$C$42, 2, 0)), T2994, VLOOKUP(T2994, 'Fuel Costs'!$A$2:$C$42, 2, 0))) / IF(ISBLANK(O2994), 1, O2994))) * 100</f>
        <v>170.063</v>
      </c>
      <c r="J2994" s="2" t="n">
        <f aca="false">((H2994 / 800) / (IF(ISBLANK(S2994), 100, IF(ISNA(VLOOKUP(S2994, Lives!$A$2:$C$35, 2, 0)), S2994, VLOOKUP(S2994, Lives!$A$2:$C$35, 2, 0))) * 12) + (IF(ISBLANK(Q2994), 0, IF(ISNA(VLOOKUP(Q2994, Wages!$A$2:$C$17, 2, 0)), Q2994, VLOOKUP(Q2994, Wages!$A$2:$C$17, 2, 0))) * IF(ISBLANK(N2994), 0, IF(ISNA(VLOOKUP(N2994, Crews!$A$2:$C$28, 2, 0)), N2994, VLOOKUP(N2994, Crews!$A$2:$C$28, 2, 0))))) * 400</f>
        <v>6840</v>
      </c>
      <c r="K2994" s="1" t="s">
        <v>5743</v>
      </c>
      <c r="L2994" s="1" t="s">
        <v>5744</v>
      </c>
      <c r="M2994" s="1" t="n">
        <v>0</v>
      </c>
      <c r="N2994" s="1" t="s">
        <v>1512</v>
      </c>
      <c r="O2994" s="1" t="n">
        <v>1</v>
      </c>
      <c r="P2994" s="1"/>
      <c r="Q2994" s="1" t="str">
        <f aca="false">IF(ISBLANK('Pak128 Britain In'!$N2994),,'Pak128 Britain In'!$N2994)</f>
        <v>ElectricMultipleUnit</v>
      </c>
      <c r="R2994" s="1" t="s">
        <v>4696</v>
      </c>
      <c r="S2994" s="1" t="s">
        <v>1350</v>
      </c>
      <c r="T2994" s="1" t="s">
        <v>5548</v>
      </c>
    </row>
    <row r="2995" customFormat="false" ht="15" hidden="false" customHeight="true" outlineLevel="0" collapsed="false">
      <c r="A2995" s="1" t="s">
        <v>5745</v>
      </c>
      <c r="B2995" s="1" t="n">
        <v>2017</v>
      </c>
      <c r="C2995" s="1" t="n">
        <v>6</v>
      </c>
      <c r="D2995" s="1" t="s">
        <v>38</v>
      </c>
      <c r="E2995" s="1" t="s">
        <v>1346</v>
      </c>
      <c r="F2995" s="1" t="n">
        <v>850</v>
      </c>
      <c r="G2995" s="1" t="n">
        <v>160</v>
      </c>
      <c r="H2995" s="2" t="n">
        <v>1512000</v>
      </c>
      <c r="I2995" s="2" t="n">
        <f aca="false">(((H2995 / 800) / IF(ISBLANK(R2995), 1000000, IF(ISNA(VLOOKUP(R2995, Mileages!$A$2:$C$34, 2, 0)), R2995, VLOOKUP(R2995, Mileages!$A$2:$C$34, 2, 0)))) + (F2995 * IF(ISBLANK(P2995), 1, P2995) * IF(ISBLANK(T2995), 0, IF(ISNA(VLOOKUP(T2995, 'Fuel Costs'!$A$2:$C$42, 2, 0)), T2995, VLOOKUP(T2995, 'Fuel Costs'!$A$2:$C$42, 2, 0))) / IF(ISBLANK(O2995), 1, O2995))) * 100</f>
        <v>170.0945</v>
      </c>
      <c r="J2995" s="2" t="n">
        <f aca="false">((H2995 / 800) / (IF(ISBLANK(S2995), 100, IF(ISNA(VLOOKUP(S2995, Lives!$A$2:$C$35, 2, 0)), S2995, VLOOKUP(S2995, Lives!$A$2:$C$35, 2, 0))) * 12) + (IF(ISBLANK(Q2995), 0, IF(ISNA(VLOOKUP(Q2995, Wages!$A$2:$C$17, 2, 0)), Q2995, VLOOKUP(Q2995, Wages!$A$2:$C$17, 2, 0))) * IF(ISBLANK(N2995), 0, IF(ISNA(VLOOKUP(N2995, Crews!$A$2:$C$28, 2, 0)), N2995, VLOOKUP(N2995, Crews!$A$2:$C$28, 2, 0))))) * 400</f>
        <v>1260</v>
      </c>
      <c r="K2995" s="1"/>
      <c r="L2995" s="1" t="s">
        <v>5744</v>
      </c>
      <c r="M2995" s="1" t="n">
        <v>1</v>
      </c>
      <c r="N2995" s="1"/>
      <c r="O2995" s="1" t="n">
        <v>1</v>
      </c>
      <c r="P2995" s="1"/>
      <c r="Q2995" s="1"/>
      <c r="R2995" s="1" t="s">
        <v>4696</v>
      </c>
      <c r="S2995" s="1" t="s">
        <v>1350</v>
      </c>
      <c r="T2995" s="1" t="s">
        <v>5548</v>
      </c>
    </row>
    <row r="2996" customFormat="false" ht="15" hidden="false" customHeight="true" outlineLevel="0" collapsed="false">
      <c r="A2996" s="1" t="s">
        <v>5746</v>
      </c>
      <c r="B2996" s="1" t="n">
        <v>2017</v>
      </c>
      <c r="C2996" s="1" t="n">
        <v>6</v>
      </c>
      <c r="D2996" s="1" t="s">
        <v>38</v>
      </c>
      <c r="E2996" s="1" t="s">
        <v>1346</v>
      </c>
      <c r="F2996" s="1"/>
      <c r="G2996" s="1" t="n">
        <v>160</v>
      </c>
      <c r="H2996" s="2" t="n">
        <v>1012000</v>
      </c>
      <c r="I2996" s="2" t="n">
        <f aca="false">(((H2996 / 800) / IF(ISBLANK(R2996), 1000000, IF(ISNA(VLOOKUP(R2996, Mileages!$A$2:$C$34, 2, 0)), R2996, VLOOKUP(R2996, Mileages!$A$2:$C$34, 2, 0)))) + (F2996 * IF(ISBLANK(P2996), 1, P2996) * IF(ISBLANK(T2996), 0, IF(ISNA(VLOOKUP(T2996, 'Fuel Costs'!$A$2:$C$42, 2, 0)), T2996, VLOOKUP(T2996, 'Fuel Costs'!$A$2:$C$42, 2, 0))) / IF(ISBLANK(O2996), 1, O2996))) * 100</f>
        <v>0.05270833333</v>
      </c>
      <c r="J2996" s="2" t="n">
        <f aca="false">((H2996 / 800) / (IF(ISBLANK(S2996), 100, IF(ISNA(VLOOKUP(S2996, Lives!$A$2:$C$35, 2, 0)), S2996, VLOOKUP(S2996, Lives!$A$2:$C$35, 2, 0))) * 12) + (IF(ISBLANK(Q2996), 0, IF(ISNA(VLOOKUP(Q2996, Wages!$A$2:$C$17, 2, 0)), Q2996, VLOOKUP(Q2996, Wages!$A$2:$C$17, 2, 0))) * IF(ISBLANK(N2996), 0, IF(ISNA(VLOOKUP(N2996, Crews!$A$2:$C$28, 2, 0)), N2996, VLOOKUP(N2996, Crews!$A$2:$C$28, 2, 0))))) * 400</f>
        <v>2108.333333</v>
      </c>
      <c r="K2996" s="1"/>
      <c r="L2996" s="1" t="s">
        <v>5744</v>
      </c>
      <c r="M2996" s="1" t="n">
        <v>2</v>
      </c>
      <c r="N2996" s="1"/>
      <c r="O2996" s="1"/>
      <c r="P2996" s="1"/>
      <c r="Q2996" s="1"/>
      <c r="R2996" s="1" t="s">
        <v>4419</v>
      </c>
      <c r="S2996" s="1" t="s">
        <v>4470</v>
      </c>
      <c r="T2996" s="1"/>
    </row>
    <row r="2997" customFormat="false" ht="15" hidden="false" customHeight="true" outlineLevel="0" collapsed="false">
      <c r="A2997" s="1" t="s">
        <v>5747</v>
      </c>
      <c r="B2997" s="1" t="n">
        <v>2017</v>
      </c>
      <c r="C2997" s="1" t="n">
        <v>6</v>
      </c>
      <c r="D2997" s="1" t="s">
        <v>38</v>
      </c>
      <c r="E2997" s="1" t="s">
        <v>1346</v>
      </c>
      <c r="F2997" s="1" t="n">
        <v>850</v>
      </c>
      <c r="G2997" s="1" t="n">
        <v>160</v>
      </c>
      <c r="H2997" s="2" t="n">
        <v>1008000</v>
      </c>
      <c r="I2997" s="2" t="n">
        <f aca="false">(((H2997 / 800) / IF(ISBLANK(R2997), 1000000, IF(ISNA(VLOOKUP(R2997, Mileages!$A$2:$C$34, 2, 0)), R2997, VLOOKUP(R2997, Mileages!$A$2:$C$34, 2, 0)))) + (F2997 * IF(ISBLANK(P2997), 1, P2997) * IF(ISBLANK(T2997), 0, IF(ISNA(VLOOKUP(T2997, 'Fuel Costs'!$A$2:$C$42, 2, 0)), T2997, VLOOKUP(T2997, 'Fuel Costs'!$A$2:$C$42, 2, 0))) / IF(ISBLANK(O2997), 1, O2997))) * 100</f>
        <v>170.063</v>
      </c>
      <c r="J2997" s="2" t="n">
        <f aca="false">((H2997 / 800) / (IF(ISBLANK(S2997), 100, IF(ISNA(VLOOKUP(S2997, Lives!$A$2:$C$35, 2, 0)), S2997, VLOOKUP(S2997, Lives!$A$2:$C$35, 2, 0))) * 12) + (IF(ISBLANK(Q2997), 0, IF(ISNA(VLOOKUP(Q2997, Wages!$A$2:$C$17, 2, 0)), Q2997, VLOOKUP(Q2997, Wages!$A$2:$C$17, 2, 0))) * IF(ISBLANK(N2997), 0, IF(ISNA(VLOOKUP(N2997, Crews!$A$2:$C$28, 2, 0)), N2997, VLOOKUP(N2997, Crews!$A$2:$C$28, 2, 0))))) * 400</f>
        <v>6840</v>
      </c>
      <c r="K2997" s="1"/>
      <c r="L2997" s="1" t="s">
        <v>5744</v>
      </c>
      <c r="M2997" s="1" t="n">
        <v>3</v>
      </c>
      <c r="N2997" s="1" t="s">
        <v>1512</v>
      </c>
      <c r="O2997" s="1" t="n">
        <v>1</v>
      </c>
      <c r="P2997" s="1"/>
      <c r="Q2997" s="1" t="str">
        <f aca="false">IF(ISBLANK('Pak128 Britain In'!$N2997),,'Pak128 Britain In'!$N2997)</f>
        <v>ElectricMultipleUnit</v>
      </c>
      <c r="R2997" s="1" t="s">
        <v>4696</v>
      </c>
      <c r="S2997" s="1" t="s">
        <v>1350</v>
      </c>
      <c r="T2997" s="1" t="s">
        <v>5548</v>
      </c>
    </row>
    <row r="2998" customFormat="false" ht="15" hidden="false" customHeight="true" outlineLevel="0" collapsed="false">
      <c r="A2998" s="1" t="s">
        <v>5748</v>
      </c>
      <c r="B2998" s="1" t="n">
        <v>2017</v>
      </c>
      <c r="C2998" s="1" t="n">
        <v>10</v>
      </c>
      <c r="D2998" s="1" t="s">
        <v>38</v>
      </c>
      <c r="E2998" s="1" t="s">
        <v>2039</v>
      </c>
      <c r="F2998" s="1" t="n">
        <v>0</v>
      </c>
      <c r="G2998" s="1" t="n">
        <v>225</v>
      </c>
      <c r="H2998" s="2" t="n">
        <v>2067000</v>
      </c>
      <c r="I2998" s="2" t="n">
        <f aca="false">(((H2998 / 800) / IF(ISBLANK(R2998), 1000000, IF(ISNA(VLOOKUP(R2998, Mileages!$A$2:$C$34, 2, 0)), R2998, VLOOKUP(R2998, Mileages!$A$2:$C$34, 2, 0)))) + (F2998 * IF(ISBLANK(P2998), 1, P2998) * IF(ISBLANK(T2998), 0, IF(ISNA(VLOOKUP(T2998, 'Fuel Costs'!$A$2:$C$42, 2, 0)), T2998, VLOOKUP(T2998, 'Fuel Costs'!$A$2:$C$42, 2, 0))) / IF(ISBLANK(O2998), 1, O2998))) * 100</f>
        <v>0.10765625</v>
      </c>
      <c r="J2998" s="2" t="n">
        <f aca="false">((H2998 / 800) / (IF(ISBLANK(S2998), 100, IF(ISNA(VLOOKUP(S2998, Lives!$A$2:$C$35, 2, 0)), S2998, VLOOKUP(S2998, Lives!$A$2:$C$35, 2, 0))) * 12) + (IF(ISBLANK(Q2998), 0, IF(ISNA(VLOOKUP(Q2998, Wages!$A$2:$C$17, 2, 0)), Q2998, VLOOKUP(Q2998, Wages!$A$2:$C$17, 2, 0))) * IF(ISBLANK(N2998), 0, IF(ISNA(VLOOKUP(N2998, Crews!$A$2:$C$28, 2, 0)), N2998, VLOOKUP(N2998, Crews!$A$2:$C$28, 2, 0))))) * 400</f>
        <v>4306.25</v>
      </c>
      <c r="K2998" s="3" t="s">
        <v>5749</v>
      </c>
      <c r="L2998" s="1" t="s">
        <v>5750</v>
      </c>
      <c r="M2998" s="1" t="n">
        <v>0</v>
      </c>
      <c r="N2998" s="1"/>
      <c r="O2998" s="1"/>
      <c r="P2998" s="1"/>
      <c r="Q2998" s="1"/>
      <c r="R2998" s="1" t="s">
        <v>4419</v>
      </c>
      <c r="S2998" s="1" t="s">
        <v>4470</v>
      </c>
      <c r="T2998" s="1"/>
    </row>
    <row r="2999" customFormat="false" ht="15" hidden="false" customHeight="true" outlineLevel="0" collapsed="false">
      <c r="A2999" s="1" t="s">
        <v>5751</v>
      </c>
      <c r="B2999" s="1" t="n">
        <v>2017</v>
      </c>
      <c r="C2999" s="1" t="n">
        <v>10</v>
      </c>
      <c r="D2999" s="1" t="s">
        <v>38</v>
      </c>
      <c r="E2999" s="1" t="s">
        <v>2039</v>
      </c>
      <c r="F2999" s="1" t="n">
        <v>700</v>
      </c>
      <c r="G2999" s="1" t="n">
        <v>225</v>
      </c>
      <c r="H2999" s="2" t="n">
        <v>2067000</v>
      </c>
      <c r="I2999" s="2" t="n">
        <f aca="false">(((H2999 / 800) / IF(ISBLANK(R2999), 1000000, IF(ISNA(VLOOKUP(R2999, Mileages!$A$2:$C$34, 2, 0)), R2999, VLOOKUP(R2999, Mileages!$A$2:$C$34, 2, 0)))) + (F2999 * IF(ISBLANK(P2999), 1, P2999) * IF(ISBLANK(T2999), 0, IF(ISNA(VLOOKUP(T2999, 'Fuel Costs'!$A$2:$C$42, 2, 0)), T2999, VLOOKUP(T2999, 'Fuel Costs'!$A$2:$C$42, 2, 0))) / IF(ISBLANK(O2999), 1, O2999))) * 100</f>
        <v>210.1291875</v>
      </c>
      <c r="J2999" s="2" t="n">
        <f aca="false">((H2999 / 800) / (IF(ISBLANK(S2999), 100, IF(ISNA(VLOOKUP(S2999, Lives!$A$2:$C$35, 2, 0)), S2999, VLOOKUP(S2999, Lives!$A$2:$C$35, 2, 0))) * 12) + (IF(ISBLANK(Q2999), 0, IF(ISNA(VLOOKUP(Q2999, Wages!$A$2:$C$17, 2, 0)), Q2999, VLOOKUP(Q2999, Wages!$A$2:$C$17, 2, 0))) * IF(ISBLANK(N2999), 0, IF(ISNA(VLOOKUP(N2999, Crews!$A$2:$C$28, 2, 0)), N2999, VLOOKUP(N2999, Crews!$A$2:$C$28, 2, 0))))) * 400</f>
        <v>1076.5625</v>
      </c>
      <c r="K2999" s="1"/>
      <c r="L2999" s="1" t="s">
        <v>5750</v>
      </c>
      <c r="M2999" s="1" t="n">
        <v>1</v>
      </c>
      <c r="N2999" s="1"/>
      <c r="O2999" s="1" t="n">
        <v>1</v>
      </c>
      <c r="P2999" s="1"/>
      <c r="Q2999" s="1"/>
      <c r="R2999" s="1" t="s">
        <v>4747</v>
      </c>
      <c r="S2999" s="1" t="s">
        <v>4747</v>
      </c>
      <c r="T2999" s="1" t="s">
        <v>5542</v>
      </c>
    </row>
    <row r="3000" customFormat="false" ht="15" hidden="false" customHeight="true" outlineLevel="0" collapsed="false">
      <c r="A3000" s="1" t="s">
        <v>5752</v>
      </c>
      <c r="B3000" s="1" t="n">
        <v>2017</v>
      </c>
      <c r="C3000" s="1" t="n">
        <v>10</v>
      </c>
      <c r="D3000" s="1" t="s">
        <v>38</v>
      </c>
      <c r="E3000" s="1" t="s">
        <v>2039</v>
      </c>
      <c r="F3000" s="1"/>
      <c r="G3000" s="1" t="n">
        <v>225</v>
      </c>
      <c r="H3000" s="2" t="n">
        <v>2067000</v>
      </c>
      <c r="I3000" s="2" t="n">
        <f aca="false">(((H3000 / 800) / IF(ISBLANK(R3000), 1000000, IF(ISNA(VLOOKUP(R3000, Mileages!$A$2:$C$34, 2, 0)), R3000, VLOOKUP(R3000, Mileages!$A$2:$C$34, 2, 0)))) + (F3000 * IF(ISBLANK(P3000), 1, P3000) * IF(ISBLANK(T3000), 0, IF(ISNA(VLOOKUP(T3000, 'Fuel Costs'!$A$2:$C$42, 2, 0)), T3000, VLOOKUP(T3000, 'Fuel Costs'!$A$2:$C$42, 2, 0))) / IF(ISBLANK(O3000), 1, O3000))) * 100</f>
        <v>0.10765625</v>
      </c>
      <c r="J3000" s="2" t="n">
        <f aca="false">((H3000 / 800) / (IF(ISBLANK(S3000), 100, IF(ISNA(VLOOKUP(S3000, Lives!$A$2:$C$35, 2, 0)), S3000, VLOOKUP(S3000, Lives!$A$2:$C$35, 2, 0))) * 12) + (IF(ISBLANK(Q3000), 0, IF(ISNA(VLOOKUP(Q3000, Wages!$A$2:$C$17, 2, 0)), Q3000, VLOOKUP(Q3000, Wages!$A$2:$C$17, 2, 0))) * IF(ISBLANK(N3000), 0, IF(ISNA(VLOOKUP(N3000, Crews!$A$2:$C$28, 2, 0)), N3000, VLOOKUP(N3000, Crews!$A$2:$C$28, 2, 0))))) * 400</f>
        <v>4306.25</v>
      </c>
      <c r="K3000" s="1"/>
      <c r="L3000" s="1" t="s">
        <v>5750</v>
      </c>
      <c r="M3000" s="1" t="n">
        <v>2</v>
      </c>
      <c r="N3000" s="1"/>
      <c r="O3000" s="1"/>
      <c r="P3000" s="1"/>
      <c r="Q3000" s="1"/>
      <c r="R3000" s="1" t="s">
        <v>4419</v>
      </c>
      <c r="S3000" s="1" t="s">
        <v>4470</v>
      </c>
      <c r="T3000" s="1"/>
    </row>
    <row r="3001" customFormat="false" ht="15" hidden="false" customHeight="true" outlineLevel="0" collapsed="false">
      <c r="A3001" s="1" t="s">
        <v>5753</v>
      </c>
      <c r="B3001" s="1" t="n">
        <v>2017</v>
      </c>
      <c r="C3001" s="1" t="n">
        <v>10</v>
      </c>
      <c r="D3001" s="1" t="s">
        <v>38</v>
      </c>
      <c r="E3001" s="1" t="s">
        <v>2039</v>
      </c>
      <c r="F3001" s="1"/>
      <c r="G3001" s="1" t="n">
        <v>225</v>
      </c>
      <c r="H3001" s="2" t="n">
        <v>2067000</v>
      </c>
      <c r="I3001" s="2" t="n">
        <f aca="false">(((H3001 / 800) / IF(ISBLANK(R3001), 1000000, IF(ISNA(VLOOKUP(R3001, Mileages!$A$2:$C$34, 2, 0)), R3001, VLOOKUP(R3001, Mileages!$A$2:$C$34, 2, 0)))) + (F3001 * IF(ISBLANK(P3001), 1, P3001) * IF(ISBLANK(T3001), 0, IF(ISNA(VLOOKUP(T3001, 'Fuel Costs'!$A$2:$C$42, 2, 0)), T3001, VLOOKUP(T3001, 'Fuel Costs'!$A$2:$C$42, 2, 0))) / IF(ISBLANK(O3001), 1, O3001))) * 100</f>
        <v>0.10765625</v>
      </c>
      <c r="J3001" s="2" t="n">
        <f aca="false">((H3001 / 800) / (IF(ISBLANK(S3001), 100, IF(ISNA(VLOOKUP(S3001, Lives!$A$2:$C$35, 2, 0)), S3001, VLOOKUP(S3001, Lives!$A$2:$C$35, 2, 0))) * 12) + (IF(ISBLANK(Q3001), 0, IF(ISNA(VLOOKUP(Q3001, Wages!$A$2:$C$17, 2, 0)), Q3001, VLOOKUP(Q3001, Wages!$A$2:$C$17, 2, 0))) * IF(ISBLANK(N3001), 0, IF(ISNA(VLOOKUP(N3001, Crews!$A$2:$C$28, 2, 0)), N3001, VLOOKUP(N3001, Crews!$A$2:$C$28, 2, 0))))) * 400</f>
        <v>4306.25</v>
      </c>
      <c r="K3001" s="1"/>
      <c r="L3001" s="1" t="s">
        <v>5750</v>
      </c>
      <c r="M3001" s="1" t="n">
        <v>3</v>
      </c>
      <c r="N3001" s="1"/>
      <c r="O3001" s="1"/>
      <c r="P3001" s="1"/>
      <c r="Q3001" s="1"/>
      <c r="R3001" s="1" t="s">
        <v>4419</v>
      </c>
      <c r="S3001" s="1" t="s">
        <v>4470</v>
      </c>
      <c r="T3001" s="1"/>
    </row>
    <row r="3002" customFormat="false" ht="15" hidden="false" customHeight="true" outlineLevel="0" collapsed="false">
      <c r="A3002" s="1" t="s">
        <v>5754</v>
      </c>
      <c r="B3002" s="1" t="n">
        <v>2017</v>
      </c>
      <c r="C3002" s="1" t="n">
        <v>10</v>
      </c>
      <c r="D3002" s="1" t="s">
        <v>38</v>
      </c>
      <c r="E3002" s="1" t="s">
        <v>2039</v>
      </c>
      <c r="F3002" s="1" t="n">
        <v>0</v>
      </c>
      <c r="G3002" s="1" t="n">
        <v>225</v>
      </c>
      <c r="H3002" s="2" t="n">
        <v>2067000</v>
      </c>
      <c r="I3002" s="2" t="n">
        <f aca="false">(((H3002 / 800) / IF(ISBLANK(R3002), 1000000, IF(ISNA(VLOOKUP(R3002, Mileages!$A$2:$C$34, 2, 0)), R3002, VLOOKUP(R3002, Mileages!$A$2:$C$34, 2, 0)))) + (F3002 * IF(ISBLANK(P3002), 1, P3002) * IF(ISBLANK(T3002), 0, IF(ISNA(VLOOKUP(T3002, 'Fuel Costs'!$A$2:$C$42, 2, 0)), T3002, VLOOKUP(T3002, 'Fuel Costs'!$A$2:$C$42, 2, 0))) / IF(ISBLANK(O3002), 1, O3002))) * 100</f>
        <v>0.10765625</v>
      </c>
      <c r="J3002" s="2" t="n">
        <f aca="false">((H3002 / 800) / (IF(ISBLANK(S3002), 100, IF(ISNA(VLOOKUP(S3002, Lives!$A$2:$C$35, 2, 0)), S3002, VLOOKUP(S3002, Lives!$A$2:$C$35, 2, 0))) * 12) + (IF(ISBLANK(Q3002), 0, IF(ISNA(VLOOKUP(Q3002, Wages!$A$2:$C$17, 2, 0)), Q3002, VLOOKUP(Q3002, Wages!$A$2:$C$17, 2, 0))) * IF(ISBLANK(N3002), 0, IF(ISNA(VLOOKUP(N3002, Crews!$A$2:$C$28, 2, 0)), N3002, VLOOKUP(N3002, Crews!$A$2:$C$28, 2, 0))))) * 400</f>
        <v>14306.25</v>
      </c>
      <c r="K3002" s="1"/>
      <c r="L3002" s="1" t="s">
        <v>5750</v>
      </c>
      <c r="M3002" s="1" t="n">
        <v>4</v>
      </c>
      <c r="N3002" s="1" t="s">
        <v>1488</v>
      </c>
      <c r="O3002" s="1"/>
      <c r="P3002" s="1"/>
      <c r="Q3002" s="1" t="s">
        <v>1488</v>
      </c>
      <c r="R3002" s="1" t="s">
        <v>4419</v>
      </c>
      <c r="S3002" s="1" t="s">
        <v>4470</v>
      </c>
      <c r="T3002" s="1"/>
    </row>
    <row r="3003" customFormat="false" ht="15" hidden="false" customHeight="true" outlineLevel="0" collapsed="false">
      <c r="A3003" s="1" t="s">
        <v>5755</v>
      </c>
      <c r="B3003" s="1" t="n">
        <v>2017</v>
      </c>
      <c r="C3003" s="1" t="n">
        <v>10</v>
      </c>
      <c r="D3003" s="1" t="s">
        <v>38</v>
      </c>
      <c r="E3003" s="1" t="s">
        <v>1346</v>
      </c>
      <c r="F3003" s="1" t="n">
        <v>0</v>
      </c>
      <c r="G3003" s="1" t="n">
        <v>225</v>
      </c>
      <c r="H3003" s="2" t="n">
        <v>2067000</v>
      </c>
      <c r="I3003" s="2" t="n">
        <f aca="false">(((H3003 / 800) / IF(ISBLANK(R3003), 1000000, IF(ISNA(VLOOKUP(R3003, Mileages!$A$2:$C$34, 2, 0)), R3003, VLOOKUP(R3003, Mileages!$A$2:$C$34, 2, 0)))) + (F3003 * IF(ISBLANK(P3003), 1, P3003) * IF(ISBLANK(T3003), 0, IF(ISNA(VLOOKUP(T3003, 'Fuel Costs'!$A$2:$C$42, 2, 0)), T3003, VLOOKUP(T3003, 'Fuel Costs'!$A$2:$C$42, 2, 0))) / IF(ISBLANK(O3003), 1, O3003))) * 100</f>
        <v>0.10765625</v>
      </c>
      <c r="J3003" s="2" t="n">
        <f aca="false">((H3003 / 800) / (IF(ISBLANK(S3003), 100, IF(ISNA(VLOOKUP(S3003, Lives!$A$2:$C$35, 2, 0)), S3003, VLOOKUP(S3003, Lives!$A$2:$C$35, 2, 0))) * 12) + (IF(ISBLANK(Q3003), 0, IF(ISNA(VLOOKUP(Q3003, Wages!$A$2:$C$17, 2, 0)), Q3003, VLOOKUP(Q3003, Wages!$A$2:$C$17, 2, 0))) * IF(ISBLANK(N3003), 0, IF(ISNA(VLOOKUP(N3003, Crews!$A$2:$C$28, 2, 0)), N3003, VLOOKUP(N3003, Crews!$A$2:$C$28, 2, 0))))) * 400</f>
        <v>4306.25</v>
      </c>
      <c r="K3003" s="3" t="s">
        <v>5756</v>
      </c>
      <c r="L3003" s="1" t="s">
        <v>5757</v>
      </c>
      <c r="M3003" s="1" t="n">
        <v>0</v>
      </c>
      <c r="N3003" s="1"/>
      <c r="O3003" s="1"/>
      <c r="P3003" s="1"/>
      <c r="Q3003" s="1"/>
      <c r="R3003" s="1" t="s">
        <v>4419</v>
      </c>
      <c r="S3003" s="1" t="s">
        <v>4470</v>
      </c>
      <c r="T3003" s="1"/>
    </row>
    <row r="3004" customFormat="false" ht="15" hidden="false" customHeight="true" outlineLevel="0" collapsed="false">
      <c r="A3004" s="1" t="s">
        <v>5758</v>
      </c>
      <c r="B3004" s="1" t="n">
        <v>2017</v>
      </c>
      <c r="C3004" s="1" t="n">
        <v>10</v>
      </c>
      <c r="D3004" s="1" t="s">
        <v>38</v>
      </c>
      <c r="E3004" s="1" t="s">
        <v>1346</v>
      </c>
      <c r="F3004" s="1" t="n">
        <v>700</v>
      </c>
      <c r="G3004" s="1" t="n">
        <v>225</v>
      </c>
      <c r="H3004" s="2" t="n">
        <v>2067000</v>
      </c>
      <c r="I3004" s="2" t="n">
        <f aca="false">(((H3004 / 800) / IF(ISBLANK(R3004), 1000000, IF(ISNA(VLOOKUP(R3004, Mileages!$A$2:$C$34, 2, 0)), R3004, VLOOKUP(R3004, Mileages!$A$2:$C$34, 2, 0)))) + (F3004 * IF(ISBLANK(P3004), 1, P3004) * IF(ISBLANK(T3004), 0, IF(ISNA(VLOOKUP(T3004, 'Fuel Costs'!$A$2:$C$42, 2, 0)), T3004, VLOOKUP(T3004, 'Fuel Costs'!$A$2:$C$42, 2, 0))) / IF(ISBLANK(O3004), 1, O3004))) * 100</f>
        <v>140.1291875</v>
      </c>
      <c r="J3004" s="2" t="n">
        <f aca="false">((H3004 / 800) / (IF(ISBLANK(S3004), 100, IF(ISNA(VLOOKUP(S3004, Lives!$A$2:$C$35, 2, 0)), S3004, VLOOKUP(S3004, Lives!$A$2:$C$35, 2, 0))) * 12) + (IF(ISBLANK(Q3004), 0, IF(ISNA(VLOOKUP(Q3004, Wages!$A$2:$C$17, 2, 0)), Q3004, VLOOKUP(Q3004, Wages!$A$2:$C$17, 2, 0))) * IF(ISBLANK(N3004), 0, IF(ISNA(VLOOKUP(N3004, Crews!$A$2:$C$28, 2, 0)), N3004, VLOOKUP(N3004, Crews!$A$2:$C$28, 2, 0))))) * 400</f>
        <v>1722.5</v>
      </c>
      <c r="K3004" s="1"/>
      <c r="L3004" s="1" t="s">
        <v>5757</v>
      </c>
      <c r="M3004" s="1" t="n">
        <v>1</v>
      </c>
      <c r="N3004" s="1"/>
      <c r="O3004" s="1" t="n">
        <v>1</v>
      </c>
      <c r="P3004" s="1"/>
      <c r="Q3004" s="1"/>
      <c r="R3004" s="1" t="s">
        <v>4696</v>
      </c>
      <c r="S3004" s="1" t="s">
        <v>1350</v>
      </c>
      <c r="T3004" s="1" t="s">
        <v>5548</v>
      </c>
    </row>
    <row r="3005" customFormat="false" ht="15" hidden="false" customHeight="true" outlineLevel="0" collapsed="false">
      <c r="A3005" s="1" t="s">
        <v>5759</v>
      </c>
      <c r="B3005" s="1" t="n">
        <v>2017</v>
      </c>
      <c r="C3005" s="1" t="n">
        <v>10</v>
      </c>
      <c r="D3005" s="1" t="s">
        <v>38</v>
      </c>
      <c r="E3005" s="1" t="s">
        <v>1346</v>
      </c>
      <c r="F3005" s="1"/>
      <c r="G3005" s="1" t="n">
        <v>225</v>
      </c>
      <c r="H3005" s="2" t="n">
        <v>2067000</v>
      </c>
      <c r="I3005" s="2" t="n">
        <f aca="false">(((H3005 / 800) / IF(ISBLANK(R3005), 1000000, IF(ISNA(VLOOKUP(R3005, Mileages!$A$2:$C$34, 2, 0)), R3005, VLOOKUP(R3005, Mileages!$A$2:$C$34, 2, 0)))) + (F3005 * IF(ISBLANK(P3005), 1, P3005) * IF(ISBLANK(T3005), 0, IF(ISNA(VLOOKUP(T3005, 'Fuel Costs'!$A$2:$C$42, 2, 0)), T3005, VLOOKUP(T3005, 'Fuel Costs'!$A$2:$C$42, 2, 0))) / IF(ISBLANK(O3005), 1, O3005))) * 100</f>
        <v>0.10765625</v>
      </c>
      <c r="J3005" s="2" t="n">
        <f aca="false">((H3005 / 800) / (IF(ISBLANK(S3005), 100, IF(ISNA(VLOOKUP(S3005, Lives!$A$2:$C$35, 2, 0)), S3005, VLOOKUP(S3005, Lives!$A$2:$C$35, 2, 0))) * 12) + (IF(ISBLANK(Q3005), 0, IF(ISNA(VLOOKUP(Q3005, Wages!$A$2:$C$17, 2, 0)), Q3005, VLOOKUP(Q3005, Wages!$A$2:$C$17, 2, 0))) * IF(ISBLANK(N3005), 0, IF(ISNA(VLOOKUP(N3005, Crews!$A$2:$C$28, 2, 0)), N3005, VLOOKUP(N3005, Crews!$A$2:$C$28, 2, 0))))) * 400</f>
        <v>4306.25</v>
      </c>
      <c r="K3005" s="1"/>
      <c r="L3005" s="1" t="s">
        <v>5757</v>
      </c>
      <c r="M3005" s="1" t="n">
        <v>2</v>
      </c>
      <c r="N3005" s="1"/>
      <c r="O3005" s="1"/>
      <c r="P3005" s="1"/>
      <c r="Q3005" s="1"/>
      <c r="R3005" s="1" t="s">
        <v>4419</v>
      </c>
      <c r="S3005" s="1" t="s">
        <v>4470</v>
      </c>
      <c r="T3005" s="1"/>
    </row>
    <row r="3006" customFormat="false" ht="15" hidden="false" customHeight="true" outlineLevel="0" collapsed="false">
      <c r="A3006" s="1" t="s">
        <v>5760</v>
      </c>
      <c r="B3006" s="1" t="n">
        <v>2017</v>
      </c>
      <c r="C3006" s="1" t="n">
        <v>10</v>
      </c>
      <c r="D3006" s="1" t="s">
        <v>38</v>
      </c>
      <c r="E3006" s="1" t="s">
        <v>1346</v>
      </c>
      <c r="F3006" s="1"/>
      <c r="G3006" s="1" t="n">
        <v>225</v>
      </c>
      <c r="H3006" s="2" t="n">
        <v>2067000</v>
      </c>
      <c r="I3006" s="2" t="n">
        <f aca="false">(((H3006 / 800) / IF(ISBLANK(R3006), 1000000, IF(ISNA(VLOOKUP(R3006, Mileages!$A$2:$C$34, 2, 0)), R3006, VLOOKUP(R3006, Mileages!$A$2:$C$34, 2, 0)))) + (F3006 * IF(ISBLANK(P3006), 1, P3006) * IF(ISBLANK(T3006), 0, IF(ISNA(VLOOKUP(T3006, 'Fuel Costs'!$A$2:$C$42, 2, 0)), T3006, VLOOKUP(T3006, 'Fuel Costs'!$A$2:$C$42, 2, 0))) / IF(ISBLANK(O3006), 1, O3006))) * 100</f>
        <v>0.10765625</v>
      </c>
      <c r="J3006" s="2" t="n">
        <f aca="false">((H3006 / 800) / (IF(ISBLANK(S3006), 100, IF(ISNA(VLOOKUP(S3006, Lives!$A$2:$C$35, 2, 0)), S3006, VLOOKUP(S3006, Lives!$A$2:$C$35, 2, 0))) * 12) + (IF(ISBLANK(Q3006), 0, IF(ISNA(VLOOKUP(Q3006, Wages!$A$2:$C$17, 2, 0)), Q3006, VLOOKUP(Q3006, Wages!$A$2:$C$17, 2, 0))) * IF(ISBLANK(N3006), 0, IF(ISNA(VLOOKUP(N3006, Crews!$A$2:$C$28, 2, 0)), N3006, VLOOKUP(N3006, Crews!$A$2:$C$28, 2, 0))))) * 400</f>
        <v>4306.25</v>
      </c>
      <c r="K3006" s="1"/>
      <c r="L3006" s="1" t="s">
        <v>5757</v>
      </c>
      <c r="M3006" s="1" t="n">
        <v>3</v>
      </c>
      <c r="N3006" s="1"/>
      <c r="O3006" s="1"/>
      <c r="P3006" s="1"/>
      <c r="Q3006" s="1"/>
      <c r="R3006" s="1" t="s">
        <v>4419</v>
      </c>
      <c r="S3006" s="1" t="s">
        <v>4470</v>
      </c>
      <c r="T3006" s="1"/>
    </row>
    <row r="3007" customFormat="false" ht="15" hidden="false" customHeight="true" outlineLevel="0" collapsed="false">
      <c r="A3007" s="1" t="s">
        <v>5761</v>
      </c>
      <c r="B3007" s="1" t="n">
        <v>2017</v>
      </c>
      <c r="C3007" s="1" t="n">
        <v>10</v>
      </c>
      <c r="D3007" s="1" t="s">
        <v>38</v>
      </c>
      <c r="E3007" s="1" t="s">
        <v>1346</v>
      </c>
      <c r="F3007" s="1" t="n">
        <v>0</v>
      </c>
      <c r="G3007" s="1" t="n">
        <v>225</v>
      </c>
      <c r="H3007" s="2" t="n">
        <v>2067000</v>
      </c>
      <c r="I3007" s="2" t="n">
        <f aca="false">(((H3007 / 800) / IF(ISBLANK(R3007), 1000000, IF(ISNA(VLOOKUP(R3007, Mileages!$A$2:$C$34, 2, 0)), R3007, VLOOKUP(R3007, Mileages!$A$2:$C$34, 2, 0)))) + (F3007 * IF(ISBLANK(P3007), 1, P3007) * IF(ISBLANK(T3007), 0, IF(ISNA(VLOOKUP(T3007, 'Fuel Costs'!$A$2:$C$42, 2, 0)), T3007, VLOOKUP(T3007, 'Fuel Costs'!$A$2:$C$42, 2, 0))) / IF(ISBLANK(O3007), 1, O3007))) * 100</f>
        <v>0.10765625</v>
      </c>
      <c r="J3007" s="2" t="n">
        <f aca="false">((H3007 / 800) / (IF(ISBLANK(S3007), 100, IF(ISNA(VLOOKUP(S3007, Lives!$A$2:$C$35, 2, 0)), S3007, VLOOKUP(S3007, Lives!$A$2:$C$35, 2, 0))) * 12) + (IF(ISBLANK(Q3007), 0, IF(ISNA(VLOOKUP(Q3007, Wages!$A$2:$C$17, 2, 0)), Q3007, VLOOKUP(Q3007, Wages!$A$2:$C$17, 2, 0))) * IF(ISBLANK(N3007), 0, IF(ISNA(VLOOKUP(N3007, Crews!$A$2:$C$28, 2, 0)), N3007, VLOOKUP(N3007, Crews!$A$2:$C$28, 2, 0))))) * 400</f>
        <v>4306.25</v>
      </c>
      <c r="K3007" s="1"/>
      <c r="L3007" s="1" t="s">
        <v>5757</v>
      </c>
      <c r="M3007" s="1" t="n">
        <v>4</v>
      </c>
      <c r="N3007" s="1"/>
      <c r="O3007" s="1"/>
      <c r="P3007" s="1"/>
      <c r="Q3007" s="1"/>
      <c r="R3007" s="1" t="s">
        <v>4419</v>
      </c>
      <c r="S3007" s="1" t="s">
        <v>4470</v>
      </c>
      <c r="T3007" s="1"/>
    </row>
    <row r="3008" customFormat="false" ht="15" hidden="false" customHeight="true" outlineLevel="0" collapsed="false">
      <c r="A3008" s="1" t="s">
        <v>5762</v>
      </c>
      <c r="B3008" s="1" t="n">
        <v>2018</v>
      </c>
      <c r="C3008" s="1" t="n">
        <v>5</v>
      </c>
      <c r="D3008" s="1" t="s">
        <v>38</v>
      </c>
      <c r="E3008" s="1" t="s">
        <v>1346</v>
      </c>
      <c r="F3008" s="1" t="n">
        <v>600</v>
      </c>
      <c r="G3008" s="1" t="n">
        <v>120</v>
      </c>
      <c r="H3008" s="2" t="n">
        <v>1008000</v>
      </c>
      <c r="I3008" s="2" t="n">
        <f aca="false">(((H3008 / 800) / IF(ISBLANK(R3008), 1000000, IF(ISNA(VLOOKUP(R3008, Mileages!$A$2:$C$34, 2, 0)), R3008, VLOOKUP(R3008, Mileages!$A$2:$C$34, 2, 0)))) + (F3008 * IF(ISBLANK(P3008), 1, P3008) * IF(ISBLANK(T3008), 0, IF(ISNA(VLOOKUP(T3008, 'Fuel Costs'!$A$2:$C$42, 2, 0)), T3008, VLOOKUP(T3008, 'Fuel Costs'!$A$2:$C$42, 2, 0))) / IF(ISBLANK(O3008), 1, O3008))) * 100</f>
        <v>120.063</v>
      </c>
      <c r="J3008" s="2" t="n">
        <f aca="false">((H3008 / 800) / (IF(ISBLANK(S3008), 100, IF(ISNA(VLOOKUP(S3008, Lives!$A$2:$C$35, 2, 0)), S3008, VLOOKUP(S3008, Lives!$A$2:$C$35, 2, 0))) * 12) + (IF(ISBLANK(Q3008), 0, IF(ISNA(VLOOKUP(Q3008, Wages!$A$2:$C$17, 2, 0)), Q3008, VLOOKUP(Q3008, Wages!$A$2:$C$17, 2, 0))) * IF(ISBLANK(N3008), 0, IF(ISNA(VLOOKUP(N3008, Crews!$A$2:$C$28, 2, 0)), N3008, VLOOKUP(N3008, Crews!$A$2:$C$28, 2, 0))))) * 400</f>
        <v>6840</v>
      </c>
      <c r="K3008" s="3" t="s">
        <v>5763</v>
      </c>
      <c r="L3008" s="1" t="s">
        <v>5764</v>
      </c>
      <c r="M3008" s="1" t="n">
        <v>0</v>
      </c>
      <c r="N3008" s="1" t="s">
        <v>1512</v>
      </c>
      <c r="O3008" s="1" t="n">
        <v>1</v>
      </c>
      <c r="P3008" s="1"/>
      <c r="Q3008" s="1" t="str">
        <f aca="false">IF(ISBLANK('Pak128 Britain In'!$N3008),,'Pak128 Britain In'!$N3008)</f>
        <v>ElectricMultipleUnit</v>
      </c>
      <c r="R3008" s="1" t="s">
        <v>4696</v>
      </c>
      <c r="S3008" s="1" t="s">
        <v>1350</v>
      </c>
      <c r="T3008" s="1" t="s">
        <v>5548</v>
      </c>
    </row>
    <row r="3009" customFormat="false" ht="15" hidden="false" customHeight="true" outlineLevel="0" collapsed="false">
      <c r="A3009" s="1" t="s">
        <v>5765</v>
      </c>
      <c r="B3009" s="1" t="n">
        <v>2018</v>
      </c>
      <c r="C3009" s="1" t="n">
        <v>5</v>
      </c>
      <c r="D3009" s="1" t="s">
        <v>38</v>
      </c>
      <c r="E3009" s="1" t="s">
        <v>1346</v>
      </c>
      <c r="F3009" s="1" t="n">
        <v>500</v>
      </c>
      <c r="G3009" s="1" t="n">
        <v>120</v>
      </c>
      <c r="H3009" s="2" t="n">
        <v>1512000</v>
      </c>
      <c r="I3009" s="2" t="n">
        <f aca="false">(((H3009 / 800) / IF(ISBLANK(R3009), 1000000, IF(ISNA(VLOOKUP(R3009, Mileages!$A$2:$C$34, 2, 0)), R3009, VLOOKUP(R3009, Mileages!$A$2:$C$34, 2, 0)))) + (F3009 * IF(ISBLANK(P3009), 1, P3009) * IF(ISBLANK(T3009), 0, IF(ISNA(VLOOKUP(T3009, 'Fuel Costs'!$A$2:$C$42, 2, 0)), T3009, VLOOKUP(T3009, 'Fuel Costs'!$A$2:$C$42, 2, 0))) / IF(ISBLANK(O3009), 1, O3009))) * 100</f>
        <v>100.0945</v>
      </c>
      <c r="J3009" s="2" t="n">
        <f aca="false">((H3009 / 800) / (IF(ISBLANK(S3009), 100, IF(ISNA(VLOOKUP(S3009, Lives!$A$2:$C$35, 2, 0)), S3009, VLOOKUP(S3009, Lives!$A$2:$C$35, 2, 0))) * 12) + (IF(ISBLANK(Q3009), 0, IF(ISNA(VLOOKUP(Q3009, Wages!$A$2:$C$17, 2, 0)), Q3009, VLOOKUP(Q3009, Wages!$A$2:$C$17, 2, 0))) * IF(ISBLANK(N3009), 0, IF(ISNA(VLOOKUP(N3009, Crews!$A$2:$C$28, 2, 0)), N3009, VLOOKUP(N3009, Crews!$A$2:$C$28, 2, 0))))) * 400</f>
        <v>1260</v>
      </c>
      <c r="K3009" s="1"/>
      <c r="L3009" s="1" t="s">
        <v>5764</v>
      </c>
      <c r="M3009" s="1" t="n">
        <v>1</v>
      </c>
      <c r="N3009" s="1"/>
      <c r="O3009" s="1" t="n">
        <v>1</v>
      </c>
      <c r="P3009" s="1"/>
      <c r="Q3009" s="1"/>
      <c r="R3009" s="1" t="s">
        <v>4696</v>
      </c>
      <c r="S3009" s="1" t="s">
        <v>1350</v>
      </c>
      <c r="T3009" s="1" t="s">
        <v>5548</v>
      </c>
    </row>
    <row r="3010" customFormat="false" ht="15" hidden="false" customHeight="true" outlineLevel="0" collapsed="false">
      <c r="A3010" s="1" t="s">
        <v>5766</v>
      </c>
      <c r="B3010" s="1" t="n">
        <v>2018</v>
      </c>
      <c r="C3010" s="1" t="n">
        <v>5</v>
      </c>
      <c r="D3010" s="1" t="s">
        <v>38</v>
      </c>
      <c r="E3010" s="1" t="s">
        <v>1346</v>
      </c>
      <c r="F3010" s="1" t="n">
        <v>500</v>
      </c>
      <c r="G3010" s="1" t="n">
        <v>120</v>
      </c>
      <c r="H3010" s="2" t="n">
        <v>1512000</v>
      </c>
      <c r="I3010" s="2" t="n">
        <f aca="false">(((H3010 / 800) / IF(ISBLANK(R3010), 1000000, IF(ISNA(VLOOKUP(R3010, Mileages!$A$2:$C$34, 2, 0)), R3010, VLOOKUP(R3010, Mileages!$A$2:$C$34, 2, 0)))) + (F3010 * IF(ISBLANK(P3010), 1, P3010) * IF(ISBLANK(T3010), 0, IF(ISNA(VLOOKUP(T3010, 'Fuel Costs'!$A$2:$C$42, 2, 0)), T3010, VLOOKUP(T3010, 'Fuel Costs'!$A$2:$C$42, 2, 0))) / IF(ISBLANK(O3010), 1, O3010))) * 100</f>
        <v>100.0945</v>
      </c>
      <c r="J3010" s="2" t="n">
        <f aca="false">((H3010 / 800) / (IF(ISBLANK(S3010), 100, IF(ISNA(VLOOKUP(S3010, Lives!$A$2:$C$35, 2, 0)), S3010, VLOOKUP(S3010, Lives!$A$2:$C$35, 2, 0))) * 12) + (IF(ISBLANK(Q3010), 0, IF(ISNA(VLOOKUP(Q3010, Wages!$A$2:$C$17, 2, 0)), Q3010, VLOOKUP(Q3010, Wages!$A$2:$C$17, 2, 0))) * IF(ISBLANK(N3010), 0, IF(ISNA(VLOOKUP(N3010, Crews!$A$2:$C$28, 2, 0)), N3010, VLOOKUP(N3010, Crews!$A$2:$C$28, 2, 0))))) * 400</f>
        <v>1260</v>
      </c>
      <c r="K3010" s="1"/>
      <c r="L3010" s="1" t="s">
        <v>5764</v>
      </c>
      <c r="M3010" s="1" t="n">
        <v>2</v>
      </c>
      <c r="N3010" s="1"/>
      <c r="O3010" s="1" t="n">
        <v>1</v>
      </c>
      <c r="P3010" s="1"/>
      <c r="Q3010" s="1"/>
      <c r="R3010" s="1" t="s">
        <v>4696</v>
      </c>
      <c r="S3010" s="1" t="s">
        <v>1350</v>
      </c>
      <c r="T3010" s="1" t="s">
        <v>5548</v>
      </c>
    </row>
    <row r="3011" customFormat="false" ht="15" hidden="false" customHeight="true" outlineLevel="0" collapsed="false">
      <c r="A3011" s="1" t="s">
        <v>5767</v>
      </c>
      <c r="B3011" s="1" t="n">
        <v>2018</v>
      </c>
      <c r="C3011" s="1" t="n">
        <v>5</v>
      </c>
      <c r="D3011" s="1" t="s">
        <v>38</v>
      </c>
      <c r="E3011" s="1" t="s">
        <v>1346</v>
      </c>
      <c r="F3011" s="1" t="n">
        <v>250</v>
      </c>
      <c r="G3011" s="1" t="n">
        <v>120</v>
      </c>
      <c r="H3011" s="2" t="n">
        <v>1008000</v>
      </c>
      <c r="I3011" s="2" t="n">
        <f aca="false">(((H3011 / 800) / IF(ISBLANK(R3011), 1000000, IF(ISNA(VLOOKUP(R3011, Mileages!$A$2:$C$34, 2, 0)), R3011, VLOOKUP(R3011, Mileages!$A$2:$C$34, 2, 0)))) + (F3011 * IF(ISBLANK(P3011), 1, P3011) * IF(ISBLANK(T3011), 0, IF(ISNA(VLOOKUP(T3011, 'Fuel Costs'!$A$2:$C$42, 2, 0)), T3011, VLOOKUP(T3011, 'Fuel Costs'!$A$2:$C$42, 2, 0))) / IF(ISBLANK(O3011), 1, O3011))) * 100</f>
        <v>50.063</v>
      </c>
      <c r="J3011" s="2" t="n">
        <f aca="false">((H3011 / 800) / (IF(ISBLANK(S3011), 100, IF(ISNA(VLOOKUP(S3011, Lives!$A$2:$C$35, 2, 0)), S3011, VLOOKUP(S3011, Lives!$A$2:$C$35, 2, 0))) * 12) + (IF(ISBLANK(Q3011), 0, IF(ISNA(VLOOKUP(Q3011, Wages!$A$2:$C$17, 2, 0)), Q3011, VLOOKUP(Q3011, Wages!$A$2:$C$17, 2, 0))) * IF(ISBLANK(N3011), 0, IF(ISNA(VLOOKUP(N3011, Crews!$A$2:$C$28, 2, 0)), N3011, VLOOKUP(N3011, Crews!$A$2:$C$28, 2, 0))))) * 400</f>
        <v>6840</v>
      </c>
      <c r="K3011" s="1"/>
      <c r="L3011" s="1" t="s">
        <v>5764</v>
      </c>
      <c r="M3011" s="1" t="n">
        <v>3</v>
      </c>
      <c r="N3011" s="1" t="s">
        <v>1512</v>
      </c>
      <c r="O3011" s="1" t="n">
        <v>1</v>
      </c>
      <c r="P3011" s="1"/>
      <c r="Q3011" s="1" t="str">
        <f aca="false">IF(ISBLANK('Pak128 Britain In'!$N3011),,'Pak128 Britain In'!$N3011)</f>
        <v>ElectricMultipleUnit</v>
      </c>
      <c r="R3011" s="1" t="s">
        <v>4696</v>
      </c>
      <c r="S3011" s="1" t="s">
        <v>1350</v>
      </c>
      <c r="T3011" s="1" t="s">
        <v>5548</v>
      </c>
    </row>
    <row r="3012" customFormat="false" ht="15" hidden="false" customHeight="true" outlineLevel="0" collapsed="false">
      <c r="A3012" s="1" t="s">
        <v>5768</v>
      </c>
      <c r="B3012" s="1" t="n">
        <v>2022</v>
      </c>
      <c r="C3012" s="1" t="n">
        <v>1</v>
      </c>
      <c r="D3012" s="1" t="s">
        <v>5426</v>
      </c>
      <c r="E3012" s="1" t="s">
        <v>5427</v>
      </c>
      <c r="F3012" s="1" t="n">
        <v>5100</v>
      </c>
      <c r="G3012" s="1" t="n">
        <v>525</v>
      </c>
      <c r="H3012" s="2" t="n">
        <v>24000000</v>
      </c>
      <c r="I3012" s="2" t="n">
        <f aca="false">(((H3012 / 800) / IF(ISBLANK(R3012), 1000000, IF(ISNA(VLOOKUP(R3012, Mileages!$A$2:$C$34, 2, 0)), R3012, VLOOKUP(R3012, Mileages!$A$2:$C$34, 2, 0)))) + (F3012 * IF(ISBLANK(P3012), 1, P3012) * IF(ISBLANK(T3012), 0, IF(ISNA(VLOOKUP(T3012, 'Fuel Costs'!$A$2:$C$42, 2, 0)), T3012, VLOOKUP(T3012, 'Fuel Costs'!$A$2:$C$42, 2, 0))) / IF(ISBLANK(O3012), 1, O3012))) * 100</f>
        <v>425.12</v>
      </c>
      <c r="J3012" s="2" t="n">
        <f aca="false">((H3012 / 800) / (IF(ISBLANK(S3012), 100, IF(ISNA(VLOOKUP(S3012, Lives!$A$2:$C$35, 2, 0)), S3012, VLOOKUP(S3012, Lives!$A$2:$C$35, 2, 0))) * 12) + (IF(ISBLANK(Q3012), 0, IF(ISNA(VLOOKUP(Q3012, Wages!$A$2:$C$17, 2, 0)), Q3012, VLOOKUP(Q3012, Wages!$A$2:$C$17, 2, 0))) * IF(ISBLANK(N3012), 0, IF(ISNA(VLOOKUP(N3012, Crews!$A$2:$C$28, 2, 0)), N3012, VLOOKUP(N3012, Crews!$A$2:$C$28, 2, 0))))) * 400</f>
        <v>18500</v>
      </c>
      <c r="K3012" s="1" t="s">
        <v>5769</v>
      </c>
      <c r="L3012" s="1" t="s">
        <v>5770</v>
      </c>
      <c r="M3012" s="1" t="n">
        <v>0</v>
      </c>
      <c r="N3012" s="1" t="s">
        <v>1512</v>
      </c>
      <c r="O3012" s="1" t="n">
        <v>3</v>
      </c>
      <c r="P3012" s="1"/>
      <c r="Q3012" s="1" t="s">
        <v>1512</v>
      </c>
      <c r="R3012" s="1" t="s">
        <v>5429</v>
      </c>
      <c r="S3012" s="1" t="s">
        <v>5429</v>
      </c>
      <c r="T3012" s="1" t="s">
        <v>5771</v>
      </c>
    </row>
    <row r="3013" customFormat="false" ht="15" hidden="false" customHeight="true" outlineLevel="0" collapsed="false">
      <c r="A3013" s="1" t="s">
        <v>5772</v>
      </c>
      <c r="B3013" s="1" t="n">
        <v>2022</v>
      </c>
      <c r="C3013" s="1" t="n">
        <v>1</v>
      </c>
      <c r="D3013" s="1" t="s">
        <v>5426</v>
      </c>
      <c r="E3013" s="1" t="s">
        <v>5427</v>
      </c>
      <c r="F3013" s="1" t="n">
        <v>5100</v>
      </c>
      <c r="G3013" s="1" t="n">
        <v>525</v>
      </c>
      <c r="H3013" s="2" t="n">
        <v>24000000</v>
      </c>
      <c r="I3013" s="2" t="n">
        <f aca="false">(((H3013 / 800) / IF(ISBLANK(R3013), 1000000, IF(ISNA(VLOOKUP(R3013, Mileages!$A$2:$C$34, 2, 0)), R3013, VLOOKUP(R3013, Mileages!$A$2:$C$34, 2, 0)))) + (F3013 * IF(ISBLANK(P3013), 1, P3013) * IF(ISBLANK(T3013), 0, IF(ISNA(VLOOKUP(T3013, 'Fuel Costs'!$A$2:$C$42, 2, 0)), T3013, VLOOKUP(T3013, 'Fuel Costs'!$A$2:$C$42, 2, 0))) / IF(ISBLANK(O3013), 1, O3013))) * 100</f>
        <v>425.12</v>
      </c>
      <c r="J3013" s="2" t="n">
        <f aca="false">((H3013 / 800) / (IF(ISBLANK(S3013), 100, IF(ISNA(VLOOKUP(S3013, Lives!$A$2:$C$35, 2, 0)), S3013, VLOOKUP(S3013, Lives!$A$2:$C$35, 2, 0))) * 12) + (IF(ISBLANK(Q3013), 0, IF(ISNA(VLOOKUP(Q3013, Wages!$A$2:$C$17, 2, 0)), Q3013, VLOOKUP(Q3013, Wages!$A$2:$C$17, 2, 0))) * IF(ISBLANK(N3013), 0, IF(ISNA(VLOOKUP(N3013, Crews!$A$2:$C$28, 2, 0)), N3013, VLOOKUP(N3013, Crews!$A$2:$C$28, 2, 0))))) * 400</f>
        <v>12500</v>
      </c>
      <c r="K3013" s="1"/>
      <c r="L3013" s="1" t="s">
        <v>5770</v>
      </c>
      <c r="M3013" s="1" t="n">
        <v>1</v>
      </c>
      <c r="N3013" s="1"/>
      <c r="O3013" s="1" t="n">
        <v>3</v>
      </c>
      <c r="P3013" s="1"/>
      <c r="Q3013" s="1"/>
      <c r="R3013" s="1" t="s">
        <v>5429</v>
      </c>
      <c r="S3013" s="1" t="s">
        <v>5429</v>
      </c>
      <c r="T3013" s="1" t="s">
        <v>5771</v>
      </c>
    </row>
    <row r="3014" customFormat="false" ht="15" hidden="false" customHeight="true" outlineLevel="0" collapsed="false">
      <c r="A3014" s="1" t="s">
        <v>5773</v>
      </c>
      <c r="B3014" s="1" t="n">
        <v>2022</v>
      </c>
      <c r="C3014" s="1" t="n">
        <v>1</v>
      </c>
      <c r="D3014" s="1" t="s">
        <v>5426</v>
      </c>
      <c r="E3014" s="1" t="s">
        <v>5427</v>
      </c>
      <c r="F3014" s="1" t="n">
        <v>5100</v>
      </c>
      <c r="G3014" s="1" t="n">
        <v>525</v>
      </c>
      <c r="H3014" s="2" t="n">
        <v>25800000</v>
      </c>
      <c r="I3014" s="2" t="n">
        <f aca="false">(((H3014 / 800) / IF(ISBLANK(R3014), 1000000, IF(ISNA(VLOOKUP(R3014, Mileages!$A$2:$C$34, 2, 0)), R3014, VLOOKUP(R3014, Mileages!$A$2:$C$34, 2, 0)))) + (F3014 * IF(ISBLANK(P3014), 1, P3014) * IF(ISBLANK(T3014), 0, IF(ISNA(VLOOKUP(T3014, 'Fuel Costs'!$A$2:$C$42, 2, 0)), T3014, VLOOKUP(T3014, 'Fuel Costs'!$A$2:$C$42, 2, 0))) / IF(ISBLANK(O3014), 1, O3014))) * 100</f>
        <v>425.129</v>
      </c>
      <c r="J3014" s="2" t="n">
        <f aca="false">((H3014 / 800) / (IF(ISBLANK(S3014), 100, IF(ISNA(VLOOKUP(S3014, Lives!$A$2:$C$35, 2, 0)), S3014, VLOOKUP(S3014, Lives!$A$2:$C$35, 2, 0))) * 12) + (IF(ISBLANK(Q3014), 0, IF(ISNA(VLOOKUP(Q3014, Wages!$A$2:$C$17, 2, 0)), Q3014, VLOOKUP(Q3014, Wages!$A$2:$C$17, 2, 0))) * IF(ISBLANK(N3014), 0, IF(ISNA(VLOOKUP(N3014, Crews!$A$2:$C$28, 2, 0)), N3014, VLOOKUP(N3014, Crews!$A$2:$C$28, 2, 0))))) * 400</f>
        <v>31437.5</v>
      </c>
      <c r="K3014" s="1"/>
      <c r="L3014" s="1" t="s">
        <v>5770</v>
      </c>
      <c r="M3014" s="1" t="n">
        <v>2</v>
      </c>
      <c r="N3014" s="1" t="s">
        <v>1481</v>
      </c>
      <c r="O3014" s="1" t="n">
        <v>3</v>
      </c>
      <c r="P3014" s="1"/>
      <c r="Q3014" s="1" t="s">
        <v>1481</v>
      </c>
      <c r="R3014" s="1" t="s">
        <v>5429</v>
      </c>
      <c r="S3014" s="1" t="s">
        <v>5429</v>
      </c>
      <c r="T3014" s="1" t="s">
        <v>5771</v>
      </c>
    </row>
    <row r="3015" customFormat="false" ht="15" hidden="false" customHeight="true" outlineLevel="0" collapsed="false">
      <c r="A3015" s="1" t="s">
        <v>5774</v>
      </c>
      <c r="B3015" s="1" t="n">
        <v>2022</v>
      </c>
      <c r="C3015" s="1" t="n">
        <v>1</v>
      </c>
      <c r="D3015" s="1" t="s">
        <v>5426</v>
      </c>
      <c r="E3015" s="1" t="s">
        <v>5427</v>
      </c>
      <c r="F3015" s="1" t="n">
        <v>5100</v>
      </c>
      <c r="G3015" s="1" t="n">
        <v>525</v>
      </c>
      <c r="H3015" s="2" t="n">
        <v>2400000</v>
      </c>
      <c r="I3015" s="2" t="n">
        <f aca="false">(((H3015 / 800) / IF(ISBLANK(R3015), 1000000, IF(ISNA(VLOOKUP(R3015, Mileages!$A$2:$C$34, 2, 0)), R3015, VLOOKUP(R3015, Mileages!$A$2:$C$34, 2, 0)))) + (F3015 * IF(ISBLANK(P3015), 1, P3015) * IF(ISBLANK(T3015), 0, IF(ISNA(VLOOKUP(T3015, 'Fuel Costs'!$A$2:$C$42, 2, 0)), T3015, VLOOKUP(T3015, 'Fuel Costs'!$A$2:$C$42, 2, 0))) / IF(ISBLANK(O3015), 1, O3015))) * 100</f>
        <v>425.012</v>
      </c>
      <c r="J3015" s="2" t="n">
        <f aca="false">((H3015 / 800) / (IF(ISBLANK(S3015), 100, IF(ISNA(VLOOKUP(S3015, Lives!$A$2:$C$35, 2, 0)), S3015, VLOOKUP(S3015, Lives!$A$2:$C$35, 2, 0))) * 12) + (IF(ISBLANK(Q3015), 0, IF(ISNA(VLOOKUP(Q3015, Wages!$A$2:$C$17, 2, 0)), Q3015, VLOOKUP(Q3015, Wages!$A$2:$C$17, 2, 0))) * IF(ISBLANK(N3015), 0, IF(ISNA(VLOOKUP(N3015, Crews!$A$2:$C$28, 2, 0)), N3015, VLOOKUP(N3015, Crews!$A$2:$C$28, 2, 0))))) * 400</f>
        <v>7250</v>
      </c>
      <c r="K3015" s="1"/>
      <c r="L3015" s="1" t="s">
        <v>5770</v>
      </c>
      <c r="M3015" s="1" t="n">
        <v>3</v>
      </c>
      <c r="N3015" s="1" t="s">
        <v>1512</v>
      </c>
      <c r="O3015" s="1" t="n">
        <v>3</v>
      </c>
      <c r="P3015" s="1"/>
      <c r="Q3015" s="1" t="s">
        <v>1512</v>
      </c>
      <c r="R3015" s="1" t="s">
        <v>5429</v>
      </c>
      <c r="S3015" s="1" t="s">
        <v>5429</v>
      </c>
      <c r="T3015" s="1" t="s">
        <v>5771</v>
      </c>
    </row>
  </sheetData>
  <hyperlinks>
    <hyperlink ref="K73" r:id="rId1" display="https://en.wikipedia.org/wiki/Humber_Keel&#10;45-60 minutes"/>
    <hyperlink ref="K115" r:id="rId2" display="http://www.ltmcollection.org/resources/index.html?IXglossary=Public%20transport%20in%20Victorian%20London%3A%20Part%20One%3A%20Overground&#10;Eight whee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26" min="1" style="0" width="7.63"/>
  </cols>
  <sheetData>
    <row r="1" customFormat="false" ht="15" hidden="false" customHeight="false" outlineLevel="0" collapsed="false">
      <c r="A1" s="1" t="s">
        <v>0</v>
      </c>
      <c r="B1" s="1" t="s">
        <v>13</v>
      </c>
      <c r="C1" s="1" t="s">
        <v>5775</v>
      </c>
    </row>
    <row r="2" customFormat="false" ht="15" hidden="false" customHeight="false" outlineLevel="0" collapsed="false">
      <c r="A2" s="1" t="s">
        <v>65</v>
      </c>
      <c r="B2" s="1" t="n">
        <v>20</v>
      </c>
      <c r="C2" s="1"/>
    </row>
    <row r="3" customFormat="false" ht="15" hidden="false" customHeight="false" outlineLevel="0" collapsed="false">
      <c r="A3" s="1" t="s">
        <v>80</v>
      </c>
      <c r="B3" s="1" t="n">
        <v>30</v>
      </c>
      <c r="C3" s="1"/>
    </row>
    <row r="4" customFormat="false" ht="15" hidden="false" customHeight="false" outlineLevel="0" collapsed="false">
      <c r="A4" s="1" t="s">
        <v>33</v>
      </c>
      <c r="B4" s="1" t="n">
        <v>4</v>
      </c>
      <c r="C4" s="1"/>
    </row>
    <row r="5" customFormat="false" ht="15" hidden="false" customHeight="false" outlineLevel="0" collapsed="false">
      <c r="A5" s="1" t="s">
        <v>25</v>
      </c>
      <c r="B5" s="1" t="n">
        <v>1</v>
      </c>
      <c r="C5" s="1"/>
    </row>
    <row r="6" customFormat="false" ht="15" hidden="false" customHeight="false" outlineLevel="0" collapsed="false">
      <c r="A6" s="1" t="s">
        <v>153</v>
      </c>
      <c r="B6" s="1" t="n">
        <v>0.25</v>
      </c>
      <c r="C6" s="1"/>
    </row>
    <row r="7" customFormat="false" ht="15" hidden="false" customHeight="false" outlineLevel="0" collapsed="false">
      <c r="A7" s="1" t="s">
        <v>155</v>
      </c>
      <c r="B7" s="1" t="n">
        <v>0.5</v>
      </c>
      <c r="C7" s="1"/>
    </row>
    <row r="8" customFormat="false" ht="15" hidden="false" customHeight="false" outlineLevel="0" collapsed="false">
      <c r="A8" s="1" t="s">
        <v>283</v>
      </c>
      <c r="B8" s="1" t="n">
        <v>2</v>
      </c>
      <c r="C8" s="1"/>
    </row>
    <row r="9" customFormat="false" ht="15" hidden="false" customHeight="false" outlineLevel="0" collapsed="false">
      <c r="A9" s="1" t="s">
        <v>590</v>
      </c>
      <c r="B9" s="1" t="n">
        <v>3</v>
      </c>
      <c r="C9" s="1"/>
    </row>
    <row r="10" customFormat="false" ht="15" hidden="false" customHeight="false" outlineLevel="0" collapsed="false">
      <c r="A10" s="1" t="s">
        <v>1705</v>
      </c>
      <c r="B10" s="1" t="n">
        <v>5</v>
      </c>
      <c r="C10" s="1"/>
    </row>
    <row r="11" customFormat="false" ht="15" hidden="false" customHeight="false" outlineLevel="0" collapsed="false">
      <c r="A11" s="1" t="s">
        <v>551</v>
      </c>
      <c r="B11" s="1" t="n">
        <v>3</v>
      </c>
      <c r="C11" s="1"/>
    </row>
    <row r="12" customFormat="false" ht="15" hidden="false" customHeight="false" outlineLevel="0" collapsed="false">
      <c r="A12" s="1" t="s">
        <v>1481</v>
      </c>
      <c r="B12" s="1" t="n">
        <v>3</v>
      </c>
      <c r="C12" s="1"/>
    </row>
    <row r="13" customFormat="false" ht="15" hidden="false" customHeight="false" outlineLevel="0" collapsed="false">
      <c r="A13" s="1" t="s">
        <v>2131</v>
      </c>
      <c r="B13" s="1" t="n">
        <v>1</v>
      </c>
      <c r="C13" s="1"/>
    </row>
    <row r="14" customFormat="false" ht="15" hidden="false" customHeight="false" outlineLevel="0" collapsed="false">
      <c r="A14" s="1" t="s">
        <v>1488</v>
      </c>
      <c r="B14" s="1" t="n">
        <v>1</v>
      </c>
      <c r="C14" s="1" t="s">
        <v>5776</v>
      </c>
    </row>
    <row r="15" customFormat="false" ht="15" hidden="false" customHeight="false" outlineLevel="0" collapsed="false">
      <c r="A15" s="1" t="s">
        <v>1512</v>
      </c>
      <c r="B15" s="1" t="n">
        <v>1</v>
      </c>
      <c r="C15" s="1" t="s">
        <v>5776</v>
      </c>
    </row>
    <row r="16" customFormat="false" ht="15" hidden="false" customHeight="false" outlineLevel="0" collapsed="false">
      <c r="A16" s="1" t="s">
        <v>837</v>
      </c>
      <c r="B16" s="1" t="n">
        <v>2</v>
      </c>
      <c r="C16" s="1"/>
    </row>
    <row r="17" customFormat="false" ht="15" hidden="false" customHeight="false" outlineLevel="0" collapsed="false">
      <c r="A17" s="1" t="s">
        <v>3063</v>
      </c>
      <c r="B17" s="1" t="n">
        <v>2</v>
      </c>
      <c r="C17" s="1"/>
    </row>
    <row r="18" customFormat="false" ht="15" hidden="false" customHeight="false" outlineLevel="0" collapsed="false">
      <c r="A18" s="1" t="s">
        <v>1815</v>
      </c>
      <c r="B18" s="1" t="n">
        <v>1</v>
      </c>
      <c r="C18" s="1"/>
    </row>
    <row r="19" customFormat="false" ht="15" hidden="false" customHeight="false" outlineLevel="0" collapsed="false">
      <c r="A19" s="1" t="s">
        <v>3064</v>
      </c>
      <c r="B19" s="1" t="n">
        <v>1</v>
      </c>
      <c r="C19" s="1"/>
    </row>
    <row r="20" customFormat="false" ht="15" hidden="false" customHeight="false" outlineLevel="0" collapsed="false">
      <c r="A20" s="1" t="s">
        <v>3570</v>
      </c>
      <c r="B20" s="1" t="n">
        <v>2</v>
      </c>
      <c r="C20" s="1"/>
    </row>
    <row r="21" customFormat="false" ht="15.75" hidden="false" customHeight="true" outlineLevel="0" collapsed="false">
      <c r="A21" s="1" t="s">
        <v>2342</v>
      </c>
      <c r="B21" s="1" t="n">
        <v>5</v>
      </c>
      <c r="C21" s="1"/>
    </row>
    <row r="22" customFormat="false" ht="15.75" hidden="false" customHeight="true" outlineLevel="0" collapsed="false">
      <c r="A22" s="1" t="s">
        <v>4412</v>
      </c>
      <c r="B22" s="1" t="n">
        <v>7</v>
      </c>
      <c r="C22" s="1"/>
    </row>
    <row r="23" customFormat="false" ht="15.75" hidden="false" customHeight="true" outlineLevel="0" collapsed="false">
      <c r="A23" s="1" t="s">
        <v>4496</v>
      </c>
      <c r="B23" s="1" t="n">
        <v>15</v>
      </c>
      <c r="C23" s="1"/>
    </row>
    <row r="24" customFormat="false" ht="15.75" hidden="false" customHeight="true" outlineLevel="0" collapsed="false">
      <c r="A24" s="1" t="s">
        <v>2228</v>
      </c>
      <c r="B24" s="1" t="n">
        <v>30</v>
      </c>
      <c r="C24" s="1"/>
    </row>
    <row r="25" customFormat="false" ht="15.75" hidden="false" customHeight="true" outlineLevel="0" collapsed="false">
      <c r="A25" s="1" t="s">
        <v>323</v>
      </c>
      <c r="B25" s="1" t="n">
        <v>50</v>
      </c>
      <c r="C25" s="1"/>
    </row>
    <row r="26" customFormat="false" ht="15.75" hidden="false" customHeight="true" outlineLevel="0" collapsed="false">
      <c r="A26" s="1" t="s">
        <v>754</v>
      </c>
      <c r="B26" s="1" t="n">
        <v>150</v>
      </c>
      <c r="C26" s="1"/>
    </row>
    <row r="27" customFormat="false" ht="15.75" hidden="false" customHeight="true" outlineLevel="0" collapsed="false">
      <c r="A27" s="1" t="s">
        <v>4273</v>
      </c>
      <c r="B27" s="1" t="n">
        <v>10</v>
      </c>
      <c r="C27" s="1"/>
    </row>
    <row r="28" customFormat="false" ht="15.75" hidden="false" customHeight="true" outlineLevel="0" collapsed="false">
      <c r="A28" s="1" t="s">
        <v>895</v>
      </c>
      <c r="B28" s="1" t="n">
        <v>1</v>
      </c>
      <c r="C28" s="1"/>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26" min="1" style="0" width="7.63"/>
  </cols>
  <sheetData>
    <row r="1" customFormat="false" ht="15" hidden="false" customHeight="false" outlineLevel="0" collapsed="false">
      <c r="A1" s="1" t="s">
        <v>0</v>
      </c>
      <c r="B1" s="1" t="s">
        <v>16</v>
      </c>
      <c r="C1" s="1" t="s">
        <v>5777</v>
      </c>
    </row>
    <row r="2" customFormat="false" ht="15" hidden="false" customHeight="false" outlineLevel="0" collapsed="false">
      <c r="A2" s="1" t="s">
        <v>34</v>
      </c>
      <c r="B2" s="1" t="n">
        <v>10</v>
      </c>
      <c r="C2" s="1" t="s">
        <v>5778</v>
      </c>
    </row>
    <row r="3" customFormat="false" ht="15" hidden="false" customHeight="false" outlineLevel="0" collapsed="false">
      <c r="A3" s="1" t="s">
        <v>284</v>
      </c>
      <c r="B3" s="1" t="n">
        <v>20</v>
      </c>
      <c r="C3" s="1" t="s">
        <v>5779</v>
      </c>
    </row>
    <row r="4" customFormat="false" ht="15" hidden="false" customHeight="false" outlineLevel="0" collapsed="false">
      <c r="A4" s="1" t="s">
        <v>378</v>
      </c>
      <c r="B4" s="1" t="n">
        <v>12</v>
      </c>
      <c r="C4" s="1" t="s">
        <v>5780</v>
      </c>
    </row>
    <row r="5" customFormat="false" ht="15" hidden="false" customHeight="false" outlineLevel="0" collapsed="false">
      <c r="A5" s="1" t="s">
        <v>26</v>
      </c>
      <c r="B5" s="1" t="n">
        <v>15</v>
      </c>
      <c r="C5" s="1" t="s">
        <v>5781</v>
      </c>
    </row>
    <row r="6" customFormat="false" ht="15" hidden="false" customHeight="false" outlineLevel="0" collapsed="false">
      <c r="A6" s="1" t="s">
        <v>41</v>
      </c>
      <c r="B6" s="1" t="n">
        <v>12</v>
      </c>
      <c r="C6" s="1" t="s">
        <v>5782</v>
      </c>
    </row>
    <row r="7" customFormat="false" ht="15" hidden="false" customHeight="false" outlineLevel="0" collapsed="false">
      <c r="A7" s="1" t="s">
        <v>86</v>
      </c>
      <c r="B7" s="1" t="n">
        <v>7</v>
      </c>
      <c r="C7" s="1" t="s">
        <v>5783</v>
      </c>
    </row>
    <row r="8" customFormat="false" ht="15" hidden="false" customHeight="false" outlineLevel="0" collapsed="false">
      <c r="A8" s="1" t="s">
        <v>551</v>
      </c>
      <c r="B8" s="1" t="n">
        <v>20</v>
      </c>
      <c r="C8" s="1" t="s">
        <v>5784</v>
      </c>
    </row>
    <row r="9" customFormat="false" ht="15" hidden="false" customHeight="false" outlineLevel="0" collapsed="false">
      <c r="A9" s="1" t="s">
        <v>1481</v>
      </c>
      <c r="B9" s="1" t="n">
        <v>15</v>
      </c>
      <c r="C9" s="1" t="s">
        <v>5785</v>
      </c>
    </row>
    <row r="10" customFormat="false" ht="15" hidden="false" customHeight="false" outlineLevel="0" collapsed="false">
      <c r="A10" s="1" t="s">
        <v>1488</v>
      </c>
      <c r="B10" s="1" t="n">
        <v>25</v>
      </c>
      <c r="C10" s="1" t="s">
        <v>5786</v>
      </c>
    </row>
    <row r="11" customFormat="false" ht="15" hidden="false" customHeight="false" outlineLevel="0" collapsed="false">
      <c r="A11" s="1" t="s">
        <v>1512</v>
      </c>
      <c r="B11" s="1" t="n">
        <v>15</v>
      </c>
      <c r="C11" s="1" t="s">
        <v>5787</v>
      </c>
    </row>
    <row r="12" customFormat="false" ht="15" hidden="false" customHeight="false" outlineLevel="0" collapsed="false">
      <c r="A12" s="1" t="s">
        <v>1815</v>
      </c>
      <c r="B12" s="1" t="n">
        <v>20</v>
      </c>
      <c r="C12" s="1"/>
    </row>
    <row r="13" customFormat="false" ht="15" hidden="false" customHeight="false" outlineLevel="0" collapsed="false">
      <c r="A13" s="1" t="s">
        <v>837</v>
      </c>
      <c r="B13" s="1" t="n">
        <v>15</v>
      </c>
      <c r="C13" s="1"/>
    </row>
    <row r="14" customFormat="false" ht="15" hidden="false" customHeight="false" outlineLevel="0" collapsed="false">
      <c r="A14" s="1" t="s">
        <v>3064</v>
      </c>
      <c r="B14" s="1" t="n">
        <v>15</v>
      </c>
      <c r="C14" s="1"/>
    </row>
    <row r="15" customFormat="false" ht="15" hidden="false" customHeight="false" outlineLevel="0" collapsed="false">
      <c r="A15" s="1" t="s">
        <v>2228</v>
      </c>
      <c r="B15" s="1" t="n">
        <v>15</v>
      </c>
      <c r="C15" s="1"/>
    </row>
    <row r="16" customFormat="false" ht="15" hidden="false" customHeight="false" outlineLevel="0" collapsed="false">
      <c r="A16" s="1" t="s">
        <v>2229</v>
      </c>
      <c r="B16" s="1" t="n">
        <v>25</v>
      </c>
      <c r="C16" s="1" t="s">
        <v>5788</v>
      </c>
    </row>
    <row r="17" customFormat="false" ht="15" hidden="false" customHeight="false" outlineLevel="0" collapsed="false">
      <c r="A17" s="1" t="s">
        <v>895</v>
      </c>
      <c r="B17" s="1" t="n">
        <v>15</v>
      </c>
      <c r="C17" s="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1" min="1" style="0" width="7.63"/>
    <col collapsed="false" customWidth="true" hidden="false" outlineLevel="0" max="2" min="2" style="0" width="12.25"/>
    <col collapsed="false" customWidth="true" hidden="false" outlineLevel="0" max="26" min="3" style="0" width="7.63"/>
  </cols>
  <sheetData>
    <row r="1" customFormat="false" ht="15" hidden="false" customHeight="false" outlineLevel="0" collapsed="false">
      <c r="A1" s="1" t="s">
        <v>0</v>
      </c>
      <c r="B1" s="1" t="s">
        <v>17</v>
      </c>
      <c r="C1" s="1" t="s">
        <v>5775</v>
      </c>
    </row>
    <row r="2" customFormat="false" ht="15" hidden="false" customHeight="false" outlineLevel="0" collapsed="false">
      <c r="A2" s="1" t="s">
        <v>35</v>
      </c>
      <c r="B2" s="1" t="n">
        <v>800000</v>
      </c>
      <c r="C2" s="1"/>
    </row>
    <row r="3" customFormat="false" ht="15" hidden="false" customHeight="false" outlineLevel="0" collapsed="false">
      <c r="A3" s="1" t="s">
        <v>27</v>
      </c>
      <c r="B3" s="1" t="n">
        <v>1000000000000</v>
      </c>
      <c r="C3" s="1" t="s">
        <v>5789</v>
      </c>
    </row>
    <row r="4" customFormat="false" ht="15" hidden="false" customHeight="false" outlineLevel="0" collapsed="false">
      <c r="A4" s="1" t="s">
        <v>42</v>
      </c>
      <c r="B4" s="1" t="n">
        <v>200000</v>
      </c>
      <c r="C4" s="1" t="s">
        <v>5790</v>
      </c>
    </row>
    <row r="5" customFormat="false" ht="15" hidden="false" customHeight="false" outlineLevel="0" collapsed="false">
      <c r="A5" s="1" t="s">
        <v>87</v>
      </c>
      <c r="B5" s="1" t="n">
        <v>1000000000000</v>
      </c>
      <c r="C5" s="1" t="s">
        <v>5791</v>
      </c>
    </row>
    <row r="6" customFormat="false" ht="15" hidden="false" customHeight="false" outlineLevel="0" collapsed="false">
      <c r="A6" s="1" t="s">
        <v>285</v>
      </c>
      <c r="B6" s="1" t="n">
        <v>400000</v>
      </c>
      <c r="C6" s="1"/>
    </row>
    <row r="7" customFormat="false" ht="15" hidden="false" customHeight="false" outlineLevel="0" collapsed="false">
      <c r="A7" s="1" t="s">
        <v>327</v>
      </c>
      <c r="B7" s="1" t="n">
        <v>500000</v>
      </c>
      <c r="C7" s="1" t="s">
        <v>5792</v>
      </c>
    </row>
    <row r="8" customFormat="false" ht="15" hidden="false" customHeight="false" outlineLevel="0" collapsed="false">
      <c r="A8" s="1" t="s">
        <v>374</v>
      </c>
      <c r="B8" s="1" t="n">
        <v>600000</v>
      </c>
      <c r="C8" s="1" t="s">
        <v>5793</v>
      </c>
    </row>
    <row r="9" customFormat="false" ht="15" hidden="false" customHeight="false" outlineLevel="0" collapsed="false">
      <c r="A9" s="1" t="s">
        <v>677</v>
      </c>
      <c r="B9" s="1" t="n">
        <v>1000000</v>
      </c>
      <c r="C9" s="1"/>
    </row>
    <row r="10" customFormat="false" ht="15" hidden="false" customHeight="false" outlineLevel="0" collapsed="false">
      <c r="A10" s="1" t="s">
        <v>2617</v>
      </c>
      <c r="B10" s="1" t="n">
        <v>600000</v>
      </c>
      <c r="C10" s="1" t="s">
        <v>5794</v>
      </c>
    </row>
    <row r="11" customFormat="false" ht="15" hidden="false" customHeight="false" outlineLevel="0" collapsed="false">
      <c r="A11" s="1" t="s">
        <v>689</v>
      </c>
      <c r="B11" s="1" t="n">
        <v>1200000</v>
      </c>
      <c r="C11" s="1" t="s">
        <v>5795</v>
      </c>
    </row>
    <row r="12" customFormat="false" ht="15" hidden="false" customHeight="false" outlineLevel="0" collapsed="false">
      <c r="A12" s="1" t="s">
        <v>4419</v>
      </c>
      <c r="B12" s="1" t="n">
        <v>2400000</v>
      </c>
      <c r="C12" s="1" t="s">
        <v>5796</v>
      </c>
    </row>
    <row r="13" customFormat="false" ht="15" hidden="false" customHeight="false" outlineLevel="0" collapsed="false">
      <c r="A13" s="1" t="s">
        <v>1489</v>
      </c>
      <c r="B13" s="1" t="n">
        <v>750000</v>
      </c>
      <c r="C13" s="1" t="s">
        <v>5797</v>
      </c>
    </row>
    <row r="14" customFormat="false" ht="15" hidden="false" customHeight="false" outlineLevel="0" collapsed="false">
      <c r="A14" s="1" t="s">
        <v>1349</v>
      </c>
      <c r="B14" s="1" t="n">
        <v>1000000</v>
      </c>
      <c r="C14" s="1"/>
    </row>
    <row r="15" customFormat="false" ht="15" hidden="false" customHeight="false" outlineLevel="0" collapsed="false">
      <c r="A15" s="1" t="s">
        <v>4696</v>
      </c>
      <c r="B15" s="1" t="n">
        <v>2000000</v>
      </c>
      <c r="C15" s="1" t="s">
        <v>5798</v>
      </c>
    </row>
    <row r="16" customFormat="false" ht="15" hidden="false" customHeight="false" outlineLevel="0" collapsed="false">
      <c r="A16" s="1" t="s">
        <v>3179</v>
      </c>
      <c r="B16" s="1" t="n">
        <v>500000</v>
      </c>
      <c r="C16" s="1" t="s">
        <v>5799</v>
      </c>
    </row>
    <row r="17" customFormat="false" ht="15" hidden="false" customHeight="false" outlineLevel="0" collapsed="false">
      <c r="A17" s="1" t="s">
        <v>4088</v>
      </c>
      <c r="B17" s="1" t="n">
        <v>1000000</v>
      </c>
      <c r="C17" s="1"/>
    </row>
    <row r="18" customFormat="false" ht="15" hidden="false" customHeight="false" outlineLevel="0" collapsed="false">
      <c r="A18" s="1" t="s">
        <v>4747</v>
      </c>
      <c r="B18" s="1" t="n">
        <v>2000000</v>
      </c>
      <c r="C18" s="1" t="s">
        <v>5798</v>
      </c>
    </row>
    <row r="19" customFormat="false" ht="15" hidden="false" customHeight="false" outlineLevel="0" collapsed="false">
      <c r="A19" s="1" t="s">
        <v>828</v>
      </c>
      <c r="B19" s="1" t="n">
        <v>800000</v>
      </c>
      <c r="C19" s="1"/>
    </row>
    <row r="20" customFormat="false" ht="15" hidden="false" customHeight="false" outlineLevel="0" collapsed="false">
      <c r="A20" s="1" t="s">
        <v>829</v>
      </c>
      <c r="B20" s="1" t="n">
        <v>1200000</v>
      </c>
      <c r="C20" s="1"/>
    </row>
    <row r="21" customFormat="false" ht="15.75" hidden="false" customHeight="true" outlineLevel="0" collapsed="false">
      <c r="A21" s="1" t="s">
        <v>4880</v>
      </c>
      <c r="B21" s="1" t="n">
        <v>1600000</v>
      </c>
      <c r="C21" s="1"/>
    </row>
    <row r="22" customFormat="false" ht="15.75" hidden="false" customHeight="true" outlineLevel="0" collapsed="false">
      <c r="A22" s="1" t="s">
        <v>837</v>
      </c>
      <c r="B22" s="1" t="n">
        <v>500000</v>
      </c>
      <c r="C22" s="1"/>
    </row>
    <row r="23" customFormat="false" ht="15.75" hidden="false" customHeight="true" outlineLevel="0" collapsed="false">
      <c r="A23" s="1" t="s">
        <v>1344</v>
      </c>
      <c r="B23" s="1" t="n">
        <v>100000</v>
      </c>
      <c r="C23" s="1"/>
    </row>
    <row r="24" customFormat="false" ht="15.75" hidden="false" customHeight="true" outlineLevel="0" collapsed="false">
      <c r="A24" s="1" t="s">
        <v>1842</v>
      </c>
      <c r="B24" s="1" t="n">
        <v>500000</v>
      </c>
      <c r="C24" s="1"/>
    </row>
    <row r="25" customFormat="false" ht="15.75" hidden="false" customHeight="true" outlineLevel="0" collapsed="false">
      <c r="A25" s="1" t="s">
        <v>1843</v>
      </c>
      <c r="B25" s="1" t="n">
        <v>1000000</v>
      </c>
      <c r="C25" s="1"/>
    </row>
    <row r="26" customFormat="false" ht="15.75" hidden="false" customHeight="true" outlineLevel="0" collapsed="false">
      <c r="A26" s="1" t="s">
        <v>4725</v>
      </c>
      <c r="B26" s="1" t="n">
        <v>2000000</v>
      </c>
      <c r="C26" s="1"/>
    </row>
    <row r="27" customFormat="false" ht="15.75" hidden="false" customHeight="true" outlineLevel="0" collapsed="false">
      <c r="A27" s="1" t="s">
        <v>3064</v>
      </c>
      <c r="B27" s="1" t="n">
        <v>750000</v>
      </c>
      <c r="C27" s="1"/>
    </row>
    <row r="28" customFormat="false" ht="15.75" hidden="false" customHeight="true" outlineLevel="0" collapsed="false">
      <c r="A28" s="1" t="s">
        <v>4730</v>
      </c>
      <c r="B28" s="1" t="n">
        <v>1500000</v>
      </c>
      <c r="C28" s="1"/>
    </row>
    <row r="29" customFormat="false" ht="15.75" hidden="false" customHeight="true" outlineLevel="0" collapsed="false">
      <c r="A29" s="1" t="s">
        <v>2229</v>
      </c>
      <c r="B29" s="1" t="n">
        <v>5000000</v>
      </c>
      <c r="C29" s="1"/>
    </row>
    <row r="30" customFormat="false" ht="15.75" hidden="false" customHeight="true" outlineLevel="0" collapsed="false">
      <c r="A30" s="1" t="s">
        <v>4413</v>
      </c>
      <c r="B30" s="1" t="n">
        <v>30000000</v>
      </c>
      <c r="C30" s="1" t="s">
        <v>5800</v>
      </c>
    </row>
    <row r="31" customFormat="false" ht="15.75" hidden="false" customHeight="true" outlineLevel="0" collapsed="false">
      <c r="A31" s="1" t="s">
        <v>508</v>
      </c>
      <c r="B31" s="1" t="n">
        <v>400000</v>
      </c>
      <c r="C31" s="1" t="s">
        <v>5801</v>
      </c>
    </row>
    <row r="32" customFormat="false" ht="15.75" hidden="false" customHeight="true" outlineLevel="0" collapsed="false">
      <c r="A32" s="1" t="s">
        <v>574</v>
      </c>
      <c r="B32" s="1" t="n">
        <v>2000000</v>
      </c>
      <c r="C32" s="1"/>
    </row>
    <row r="33" customFormat="false" ht="15.75" hidden="false" customHeight="true" outlineLevel="0" collapsed="false">
      <c r="A33" s="1" t="s">
        <v>3933</v>
      </c>
      <c r="B33" s="1" t="n">
        <v>6000000</v>
      </c>
      <c r="C33" s="1"/>
    </row>
    <row r="34" customFormat="false" ht="15.75" hidden="false" customHeight="true" outlineLevel="0" collapsed="false">
      <c r="A34" s="1" t="s">
        <v>5429</v>
      </c>
      <c r="B34" s="1" t="n">
        <v>25000000</v>
      </c>
      <c r="C34" s="1" t="s">
        <v>5802</v>
      </c>
    </row>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1" min="1" style="0" width="7.63"/>
    <col collapsed="false" customWidth="true" hidden="false" outlineLevel="0" max="2" min="2" style="0" width="10.38"/>
    <col collapsed="false" customWidth="true" hidden="false" outlineLevel="0" max="26" min="3" style="0" width="7.63"/>
  </cols>
  <sheetData>
    <row r="1" customFormat="false" ht="15" hidden="false" customHeight="false" outlineLevel="0" collapsed="false">
      <c r="A1" s="1" t="s">
        <v>0</v>
      </c>
      <c r="B1" s="1" t="s">
        <v>18</v>
      </c>
      <c r="C1" s="1" t="s">
        <v>5775</v>
      </c>
    </row>
    <row r="2" customFormat="false" ht="15" hidden="false" customHeight="false" outlineLevel="0" collapsed="false">
      <c r="A2" s="1" t="s">
        <v>35</v>
      </c>
      <c r="B2" s="1" t="n">
        <v>60</v>
      </c>
      <c r="C2" s="1" t="s">
        <v>5803</v>
      </c>
    </row>
    <row r="3" customFormat="false" ht="15" hidden="false" customHeight="false" outlineLevel="0" collapsed="false">
      <c r="A3" s="1" t="s">
        <v>27</v>
      </c>
      <c r="B3" s="1" t="n">
        <v>1000000000</v>
      </c>
      <c r="C3" s="1" t="s">
        <v>5804</v>
      </c>
    </row>
    <row r="4" customFormat="false" ht="15" hidden="false" customHeight="false" outlineLevel="0" collapsed="false">
      <c r="A4" s="1" t="s">
        <v>43</v>
      </c>
      <c r="B4" s="1" t="n">
        <v>100</v>
      </c>
      <c r="C4" s="1" t="s">
        <v>5805</v>
      </c>
    </row>
    <row r="5" customFormat="false" ht="15" hidden="false" customHeight="false" outlineLevel="0" collapsed="false">
      <c r="A5" s="1" t="s">
        <v>87</v>
      </c>
      <c r="B5" s="1" t="n">
        <v>20</v>
      </c>
      <c r="C5" s="1" t="s">
        <v>5806</v>
      </c>
    </row>
    <row r="6" customFormat="false" ht="15" hidden="false" customHeight="false" outlineLevel="0" collapsed="false">
      <c r="A6" s="1" t="s">
        <v>285</v>
      </c>
      <c r="B6" s="1" t="n">
        <v>30</v>
      </c>
      <c r="C6" s="1"/>
    </row>
    <row r="7" customFormat="false" ht="15" hidden="false" customHeight="false" outlineLevel="0" collapsed="false">
      <c r="A7" s="1" t="s">
        <v>375</v>
      </c>
      <c r="B7" s="1" t="n">
        <v>50</v>
      </c>
      <c r="C7" s="1" t="s">
        <v>5807</v>
      </c>
    </row>
    <row r="8" customFormat="false" ht="15" hidden="false" customHeight="false" outlineLevel="0" collapsed="false">
      <c r="A8" s="1" t="s">
        <v>355</v>
      </c>
      <c r="B8" s="1" t="n">
        <v>25</v>
      </c>
      <c r="C8" s="1" t="s">
        <v>5808</v>
      </c>
    </row>
    <row r="9" customFormat="false" ht="15" hidden="false" customHeight="false" outlineLevel="0" collapsed="false">
      <c r="A9" s="1" t="s">
        <v>389</v>
      </c>
      <c r="B9" s="1" t="n">
        <v>100</v>
      </c>
      <c r="C9" s="1" t="s">
        <v>5809</v>
      </c>
    </row>
    <row r="10" customFormat="false" ht="15" hidden="false" customHeight="false" outlineLevel="0" collapsed="false">
      <c r="A10" s="1" t="s">
        <v>423</v>
      </c>
      <c r="B10" s="1" t="n">
        <v>20</v>
      </c>
      <c r="C10" s="1" t="s">
        <v>5810</v>
      </c>
    </row>
    <row r="11" customFormat="false" ht="15" hidden="false" customHeight="false" outlineLevel="0" collapsed="false">
      <c r="A11" s="1" t="s">
        <v>677</v>
      </c>
      <c r="B11" s="1" t="n">
        <v>50</v>
      </c>
      <c r="C11" s="1"/>
    </row>
    <row r="12" customFormat="false" ht="15" hidden="false" customHeight="false" outlineLevel="0" collapsed="false">
      <c r="A12" s="1" t="s">
        <v>2617</v>
      </c>
      <c r="B12" s="1" t="n">
        <v>20</v>
      </c>
      <c r="C12" s="1" t="s">
        <v>5794</v>
      </c>
    </row>
    <row r="13" customFormat="false" ht="15" hidden="false" customHeight="false" outlineLevel="0" collapsed="false">
      <c r="A13" s="1" t="s">
        <v>856</v>
      </c>
      <c r="B13" s="1" t="n">
        <v>35</v>
      </c>
      <c r="C13" s="1"/>
    </row>
    <row r="14" customFormat="false" ht="15" hidden="false" customHeight="false" outlineLevel="0" collapsed="false">
      <c r="A14" s="1" t="s">
        <v>785</v>
      </c>
      <c r="B14" s="1" t="n">
        <v>50</v>
      </c>
      <c r="C14" s="1" t="s">
        <v>5811</v>
      </c>
    </row>
    <row r="15" customFormat="false" ht="15" hidden="false" customHeight="false" outlineLevel="0" collapsed="false">
      <c r="A15" s="1" t="s">
        <v>4470</v>
      </c>
      <c r="B15" s="1" t="n">
        <v>20</v>
      </c>
      <c r="C15" s="1" t="s">
        <v>5812</v>
      </c>
    </row>
    <row r="16" customFormat="false" ht="15" hidden="false" customHeight="false" outlineLevel="0" collapsed="false">
      <c r="A16" s="1" t="s">
        <v>4289</v>
      </c>
      <c r="B16" s="1" t="n">
        <v>100</v>
      </c>
      <c r="C16" s="1" t="s">
        <v>5813</v>
      </c>
    </row>
    <row r="17" customFormat="false" ht="15" hidden="false" customHeight="false" outlineLevel="0" collapsed="false">
      <c r="A17" s="1" t="s">
        <v>4286</v>
      </c>
      <c r="B17" s="1" t="n">
        <v>75</v>
      </c>
      <c r="C17" s="1" t="s">
        <v>5814</v>
      </c>
    </row>
    <row r="18" customFormat="false" ht="15" hidden="false" customHeight="false" outlineLevel="0" collapsed="false">
      <c r="A18" s="1" t="s">
        <v>1489</v>
      </c>
      <c r="B18" s="1" t="n">
        <v>40</v>
      </c>
      <c r="C18" s="1"/>
    </row>
    <row r="19" customFormat="false" ht="15" hidden="false" customHeight="false" outlineLevel="0" collapsed="false">
      <c r="A19" s="1" t="s">
        <v>1350</v>
      </c>
      <c r="B19" s="1" t="n">
        <v>50</v>
      </c>
      <c r="C19" s="1" t="s">
        <v>5815</v>
      </c>
    </row>
    <row r="20" customFormat="false" ht="15" hidden="false" customHeight="false" outlineLevel="0" collapsed="false">
      <c r="A20" s="1" t="s">
        <v>1349</v>
      </c>
      <c r="B20" s="1" t="n">
        <v>60</v>
      </c>
      <c r="C20" s="1"/>
    </row>
    <row r="21" customFormat="false" ht="15.75" hidden="false" customHeight="true" outlineLevel="0" collapsed="false">
      <c r="A21" s="1" t="s">
        <v>4696</v>
      </c>
      <c r="B21" s="1" t="n">
        <v>80</v>
      </c>
      <c r="C21" s="1"/>
    </row>
    <row r="22" customFormat="false" ht="15.75" hidden="false" customHeight="true" outlineLevel="0" collapsed="false">
      <c r="A22" s="1" t="s">
        <v>4088</v>
      </c>
      <c r="B22" s="1" t="n">
        <v>60</v>
      </c>
      <c r="C22" s="1"/>
    </row>
    <row r="23" customFormat="false" ht="15.75" hidden="false" customHeight="true" outlineLevel="0" collapsed="false">
      <c r="A23" s="1" t="s">
        <v>4747</v>
      </c>
      <c r="B23" s="1" t="n">
        <v>80</v>
      </c>
      <c r="C23" s="1"/>
    </row>
    <row r="24" customFormat="false" ht="15.75" hidden="false" customHeight="true" outlineLevel="0" collapsed="false">
      <c r="A24" s="1" t="s">
        <v>3179</v>
      </c>
      <c r="B24" s="1" t="n">
        <v>40</v>
      </c>
      <c r="C24" s="1"/>
    </row>
    <row r="25" customFormat="false" ht="15.75" hidden="false" customHeight="true" outlineLevel="0" collapsed="false">
      <c r="A25" s="1" t="s">
        <v>5816</v>
      </c>
      <c r="B25" s="1" t="n">
        <v>30</v>
      </c>
      <c r="C25" s="1"/>
    </row>
    <row r="26" customFormat="false" ht="15.75" hidden="false" customHeight="true" outlineLevel="0" collapsed="false">
      <c r="A26" s="1" t="s">
        <v>5817</v>
      </c>
      <c r="B26" s="1" t="n">
        <v>50</v>
      </c>
      <c r="C26" s="1"/>
    </row>
    <row r="27" customFormat="false" ht="15.75" hidden="false" customHeight="true" outlineLevel="0" collapsed="false">
      <c r="A27" s="1" t="s">
        <v>829</v>
      </c>
      <c r="B27" s="1" t="n">
        <v>80</v>
      </c>
      <c r="C27" s="1"/>
    </row>
    <row r="28" customFormat="false" ht="15.75" hidden="false" customHeight="true" outlineLevel="0" collapsed="false">
      <c r="A28" s="1" t="s">
        <v>837</v>
      </c>
      <c r="B28" s="1" t="n">
        <v>80</v>
      </c>
      <c r="C28" s="1"/>
    </row>
    <row r="29" customFormat="false" ht="15.75" hidden="false" customHeight="true" outlineLevel="0" collapsed="false">
      <c r="A29" s="1" t="s">
        <v>1344</v>
      </c>
      <c r="B29" s="1" t="n">
        <v>100</v>
      </c>
      <c r="C29" s="1"/>
    </row>
    <row r="30" customFormat="false" ht="15.75" hidden="false" customHeight="true" outlineLevel="0" collapsed="false">
      <c r="A30" s="1" t="s">
        <v>1843</v>
      </c>
      <c r="B30" s="1" t="n">
        <v>80</v>
      </c>
      <c r="C30" s="1"/>
    </row>
    <row r="31" customFormat="false" ht="15.75" hidden="false" customHeight="true" outlineLevel="0" collapsed="false">
      <c r="A31" s="1" t="s">
        <v>3064</v>
      </c>
      <c r="B31" s="1" t="n">
        <v>40</v>
      </c>
      <c r="C31" s="1"/>
    </row>
    <row r="32" customFormat="false" ht="15.75" hidden="false" customHeight="true" outlineLevel="0" collapsed="false">
      <c r="A32" s="1" t="s">
        <v>2229</v>
      </c>
      <c r="B32" s="1" t="n">
        <v>60</v>
      </c>
      <c r="C32" s="1" t="s">
        <v>5818</v>
      </c>
    </row>
    <row r="33" customFormat="false" ht="15.75" hidden="false" customHeight="true" outlineLevel="0" collapsed="false">
      <c r="A33" s="1" t="s">
        <v>2228</v>
      </c>
      <c r="B33" s="1" t="n">
        <v>80</v>
      </c>
      <c r="C33" s="1" t="s">
        <v>5819</v>
      </c>
    </row>
    <row r="34" customFormat="false" ht="15.75" hidden="false" customHeight="true" outlineLevel="0" collapsed="false">
      <c r="A34" s="1" t="s">
        <v>574</v>
      </c>
      <c r="B34" s="1" t="n">
        <v>100</v>
      </c>
      <c r="C34" s="1" t="s">
        <v>5820</v>
      </c>
    </row>
    <row r="35" customFormat="false" ht="15.75" hidden="false" customHeight="true" outlineLevel="0" collapsed="false">
      <c r="A35" s="1" t="s">
        <v>5429</v>
      </c>
      <c r="B35" s="1" t="n">
        <v>80</v>
      </c>
      <c r="C35" s="1"/>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1" min="1" style="0" width="7.63"/>
    <col collapsed="false" customWidth="true" hidden="false" outlineLevel="0" max="2" min="2" style="0" width="16.25"/>
    <col collapsed="false" customWidth="true" hidden="false" outlineLevel="0" max="26" min="3" style="0" width="7.63"/>
  </cols>
  <sheetData>
    <row r="1" customFormat="false" ht="15" hidden="false" customHeight="false" outlineLevel="0" collapsed="false">
      <c r="A1" s="1" t="s">
        <v>0</v>
      </c>
      <c r="B1" s="1" t="s">
        <v>19</v>
      </c>
      <c r="C1" s="1" t="s">
        <v>5775</v>
      </c>
    </row>
    <row r="2" customFormat="false" ht="15" hidden="false" customHeight="false" outlineLevel="0" collapsed="false">
      <c r="A2" s="1" t="s">
        <v>36</v>
      </c>
      <c r="B2" s="1" t="n">
        <v>0</v>
      </c>
      <c r="C2" s="1" t="s">
        <v>5821</v>
      </c>
    </row>
    <row r="3" customFormat="false" ht="15" hidden="false" customHeight="false" outlineLevel="0" collapsed="false">
      <c r="A3" s="1" t="s">
        <v>87</v>
      </c>
      <c r="B3" s="1" t="n">
        <v>0.025</v>
      </c>
      <c r="C3" s="1" t="s">
        <v>5822</v>
      </c>
    </row>
    <row r="4" customFormat="false" ht="15" hidden="false" customHeight="false" outlineLevel="0" collapsed="false">
      <c r="A4" s="1" t="s">
        <v>27</v>
      </c>
      <c r="B4" s="1" t="n">
        <v>0</v>
      </c>
      <c r="C4" s="1" t="s">
        <v>5823</v>
      </c>
    </row>
    <row r="5" customFormat="false" ht="15" hidden="false" customHeight="false" outlineLevel="0" collapsed="false">
      <c r="A5" s="1" t="s">
        <v>277</v>
      </c>
      <c r="B5" s="1" t="n">
        <v>0.01</v>
      </c>
      <c r="C5" s="1" t="s">
        <v>5824</v>
      </c>
    </row>
    <row r="6" customFormat="false" ht="15" hidden="false" customHeight="false" outlineLevel="0" collapsed="false">
      <c r="A6" s="1" t="s">
        <v>569</v>
      </c>
      <c r="B6" s="1" t="n">
        <v>0.008</v>
      </c>
      <c r="C6" s="1" t="s">
        <v>5825</v>
      </c>
    </row>
    <row r="7" customFormat="false" ht="15" hidden="false" customHeight="false" outlineLevel="0" collapsed="false">
      <c r="A7" s="1" t="s">
        <v>889</v>
      </c>
      <c r="B7" s="1" t="n">
        <v>0.006</v>
      </c>
      <c r="C7" s="1"/>
    </row>
    <row r="8" customFormat="false" ht="15" hidden="false" customHeight="false" outlineLevel="0" collapsed="false">
      <c r="A8" s="1" t="s">
        <v>923</v>
      </c>
      <c r="B8" s="1" t="n">
        <v>0.004</v>
      </c>
      <c r="C8" s="1"/>
    </row>
    <row r="9" customFormat="false" ht="15" hidden="false" customHeight="false" outlineLevel="0" collapsed="false">
      <c r="A9" s="1" t="s">
        <v>1785</v>
      </c>
      <c r="B9" s="1" t="n">
        <v>0.003</v>
      </c>
      <c r="C9" s="1"/>
    </row>
    <row r="10" customFormat="false" ht="15" hidden="false" customHeight="false" outlineLevel="0" collapsed="false">
      <c r="A10" s="1" t="s">
        <v>2252</v>
      </c>
      <c r="B10" s="1" t="n">
        <v>0.004</v>
      </c>
      <c r="C10" s="1" t="s">
        <v>5826</v>
      </c>
    </row>
    <row r="11" customFormat="false" ht="15" hidden="false" customHeight="false" outlineLevel="0" collapsed="false">
      <c r="A11" s="1" t="s">
        <v>3477</v>
      </c>
      <c r="B11" s="1" t="n">
        <v>0.005</v>
      </c>
      <c r="C11" s="1" t="s">
        <v>5827</v>
      </c>
    </row>
    <row r="12" customFormat="false" ht="15" hidden="false" customHeight="false" outlineLevel="0" collapsed="false">
      <c r="A12" s="1" t="s">
        <v>3553</v>
      </c>
      <c r="B12" s="1" t="n">
        <v>0.006</v>
      </c>
      <c r="C12" s="1" t="s">
        <v>5828</v>
      </c>
    </row>
    <row r="13" customFormat="false" ht="15" hidden="false" customHeight="false" outlineLevel="0" collapsed="false">
      <c r="A13" s="1" t="s">
        <v>1351</v>
      </c>
      <c r="B13" s="1" t="n">
        <v>0.006</v>
      </c>
      <c r="C13" s="1" t="s">
        <v>5829</v>
      </c>
    </row>
    <row r="14" customFormat="false" ht="15" hidden="false" customHeight="false" outlineLevel="0" collapsed="false">
      <c r="A14" s="1" t="s">
        <v>2580</v>
      </c>
      <c r="B14" s="1" t="n">
        <v>0.004</v>
      </c>
      <c r="C14" s="1"/>
    </row>
    <row r="15" customFormat="false" ht="15" hidden="false" customHeight="false" outlineLevel="0" collapsed="false">
      <c r="A15" s="1" t="s">
        <v>3471</v>
      </c>
      <c r="B15" s="1" t="n">
        <v>0.002</v>
      </c>
      <c r="C15" s="1"/>
    </row>
    <row r="16" customFormat="false" ht="15" hidden="false" customHeight="false" outlineLevel="0" collapsed="false">
      <c r="A16" s="1" t="s">
        <v>4101</v>
      </c>
      <c r="B16" s="1" t="n">
        <v>0.0015</v>
      </c>
      <c r="C16" s="1"/>
    </row>
    <row r="17" customFormat="false" ht="15" hidden="false" customHeight="false" outlineLevel="0" collapsed="false">
      <c r="A17" s="1" t="s">
        <v>4697</v>
      </c>
      <c r="B17" s="1" t="n">
        <v>0.001</v>
      </c>
      <c r="C17" s="1" t="s">
        <v>5830</v>
      </c>
    </row>
    <row r="18" customFormat="false" ht="15" hidden="false" customHeight="false" outlineLevel="0" collapsed="false">
      <c r="A18" s="1" t="s">
        <v>5303</v>
      </c>
      <c r="B18" s="1" t="n">
        <v>0.0015</v>
      </c>
      <c r="C18" s="1" t="s">
        <v>5831</v>
      </c>
    </row>
    <row r="19" customFormat="false" ht="15" hidden="false" customHeight="false" outlineLevel="0" collapsed="false">
      <c r="A19" s="1" t="s">
        <v>5548</v>
      </c>
      <c r="B19" s="1" t="n">
        <v>0.002</v>
      </c>
      <c r="C19" s="1" t="s">
        <v>5832</v>
      </c>
    </row>
    <row r="20" customFormat="false" ht="15" hidden="false" customHeight="false" outlineLevel="0" collapsed="false">
      <c r="A20" s="1" t="s">
        <v>5771</v>
      </c>
      <c r="B20" s="1" t="n">
        <v>0.0025</v>
      </c>
      <c r="C20" s="1" t="s">
        <v>5833</v>
      </c>
    </row>
    <row r="21" customFormat="false" ht="15.75" hidden="false" customHeight="true" outlineLevel="0" collapsed="false">
      <c r="A21" s="1" t="s">
        <v>2041</v>
      </c>
      <c r="B21" s="1" t="n">
        <v>0.005</v>
      </c>
      <c r="C21" s="1"/>
    </row>
    <row r="22" customFormat="false" ht="15.75" hidden="false" customHeight="true" outlineLevel="0" collapsed="false">
      <c r="A22" s="1" t="s">
        <v>4079</v>
      </c>
      <c r="B22" s="1" t="n">
        <v>0.004</v>
      </c>
      <c r="C22" s="1"/>
    </row>
    <row r="23" customFormat="false" ht="15.75" hidden="false" customHeight="true" outlineLevel="0" collapsed="false">
      <c r="A23" s="1" t="s">
        <v>4726</v>
      </c>
      <c r="B23" s="1" t="n">
        <v>0.003</v>
      </c>
      <c r="C23" s="1"/>
    </row>
    <row r="24" customFormat="false" ht="15.75" hidden="false" customHeight="true" outlineLevel="0" collapsed="false">
      <c r="A24" s="1" t="s">
        <v>5292</v>
      </c>
      <c r="B24" s="1" t="n">
        <v>0.002</v>
      </c>
      <c r="C24" s="1"/>
    </row>
    <row r="25" customFormat="false" ht="15.75" hidden="false" customHeight="true" outlineLevel="0" collapsed="false">
      <c r="A25" s="1" t="s">
        <v>5542</v>
      </c>
      <c r="B25" s="1" t="n">
        <v>0.003</v>
      </c>
      <c r="C25" s="1"/>
    </row>
    <row r="26" customFormat="false" ht="15.75" hidden="false" customHeight="true" outlineLevel="0" collapsed="false">
      <c r="A26" s="1" t="s">
        <v>1844</v>
      </c>
      <c r="B26" s="1" t="n">
        <v>0.007</v>
      </c>
      <c r="C26" s="1"/>
    </row>
    <row r="27" customFormat="false" ht="15.75" hidden="false" customHeight="true" outlineLevel="0" collapsed="false">
      <c r="A27" s="1" t="s">
        <v>2534</v>
      </c>
      <c r="B27" s="1" t="n">
        <v>0.006</v>
      </c>
      <c r="C27" s="1"/>
    </row>
    <row r="28" customFormat="false" ht="15.75" hidden="false" customHeight="true" outlineLevel="0" collapsed="false">
      <c r="A28" s="1" t="s">
        <v>3457</v>
      </c>
      <c r="B28" s="1" t="n">
        <v>0.007</v>
      </c>
      <c r="C28" s="1"/>
    </row>
    <row r="29" customFormat="false" ht="15.75" hidden="false" customHeight="true" outlineLevel="0" collapsed="false">
      <c r="A29" s="1" t="s">
        <v>3617</v>
      </c>
      <c r="B29" s="1" t="n">
        <v>0.0065</v>
      </c>
      <c r="C29" s="1"/>
    </row>
    <row r="30" customFormat="false" ht="15.75" hidden="false" customHeight="true" outlineLevel="0" collapsed="false">
      <c r="A30" s="1" t="s">
        <v>4124</v>
      </c>
      <c r="B30" s="1" t="n">
        <v>0.006</v>
      </c>
      <c r="C30" s="1"/>
    </row>
    <row r="31" customFormat="false" ht="15.75" hidden="false" customHeight="true" outlineLevel="0" collapsed="false">
      <c r="A31" s="1" t="s">
        <v>4800</v>
      </c>
      <c r="B31" s="1" t="n">
        <v>0.005</v>
      </c>
      <c r="C31" s="1"/>
    </row>
    <row r="32" customFormat="false" ht="15.75" hidden="false" customHeight="true" outlineLevel="0" collapsed="false">
      <c r="A32" s="1" t="s">
        <v>2228</v>
      </c>
      <c r="B32" s="1" t="n">
        <v>0.005</v>
      </c>
      <c r="C32" s="1"/>
    </row>
    <row r="33" customFormat="false" ht="15.75" hidden="false" customHeight="true" outlineLevel="0" collapsed="false">
      <c r="A33" s="1" t="s">
        <v>2259</v>
      </c>
      <c r="B33" s="1" t="n">
        <v>0.008</v>
      </c>
      <c r="C33" s="1"/>
    </row>
    <row r="34" customFormat="false" ht="15.75" hidden="false" customHeight="true" outlineLevel="0" collapsed="false">
      <c r="A34" s="1" t="s">
        <v>2572</v>
      </c>
      <c r="B34" s="1" t="n">
        <v>0.005</v>
      </c>
      <c r="C34" s="1"/>
    </row>
    <row r="35" customFormat="false" ht="15.75" hidden="false" customHeight="true" outlineLevel="0" collapsed="false">
      <c r="A35" s="1" t="s">
        <v>3481</v>
      </c>
      <c r="B35" s="1" t="n">
        <v>0.004</v>
      </c>
      <c r="C35" s="1"/>
    </row>
    <row r="36" customFormat="false" ht="15.75" hidden="false" customHeight="true" outlineLevel="0" collapsed="false">
      <c r="A36" s="1" t="s">
        <v>4074</v>
      </c>
      <c r="B36" s="1" t="n">
        <v>0.003</v>
      </c>
      <c r="C36" s="1"/>
    </row>
    <row r="37" customFormat="false" ht="15.75" hidden="false" customHeight="true" outlineLevel="0" collapsed="false">
      <c r="A37" s="1" t="s">
        <v>4773</v>
      </c>
      <c r="B37" s="1" t="n">
        <v>0.002</v>
      </c>
      <c r="C37" s="1"/>
    </row>
    <row r="38" customFormat="false" ht="15.75" hidden="false" customHeight="true" outlineLevel="0" collapsed="false">
      <c r="A38" s="1" t="s">
        <v>5411</v>
      </c>
      <c r="B38" s="1" t="n">
        <v>0.00125</v>
      </c>
      <c r="C38" s="1"/>
    </row>
    <row r="39" customFormat="false" ht="15.75" hidden="false" customHeight="true" outlineLevel="0" collapsed="false">
      <c r="A39" s="1" t="s">
        <v>5588</v>
      </c>
      <c r="B39" s="1" t="n">
        <v>0.00175</v>
      </c>
      <c r="C39" s="1"/>
    </row>
    <row r="40" customFormat="false" ht="15.75" hidden="false" customHeight="true" outlineLevel="0" collapsed="false">
      <c r="A40" s="1" t="s">
        <v>5834</v>
      </c>
      <c r="B40" s="1" t="n">
        <v>0.003</v>
      </c>
      <c r="C40" s="1"/>
    </row>
    <row r="41" customFormat="false" ht="15.75" hidden="false" customHeight="true" outlineLevel="0" collapsed="false">
      <c r="A41" s="1" t="s">
        <v>5835</v>
      </c>
      <c r="B41" s="1" t="n">
        <v>0.002</v>
      </c>
      <c r="C41" s="1"/>
    </row>
    <row r="42" customFormat="false" ht="15.75" hidden="false" customHeight="true" outlineLevel="0" collapsed="false">
      <c r="A42" s="1" t="s">
        <v>5499</v>
      </c>
      <c r="B42" s="1" t="n">
        <v>0.0015</v>
      </c>
      <c r="C42" s="1"/>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2021-06-14T04:45:21Z</dcterms:modified>
  <cp:revision>1</cp:revision>
  <dc:subject/>
  <dc:title/>
</cp:coreProperties>
</file>