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PG_Price\"/>
    </mc:Choice>
  </mc:AlternateContent>
  <bookViews>
    <workbookView xWindow="0" yWindow="0" windowWidth="23040" windowHeight="9192" firstSheet="1" activeTab="1"/>
  </bookViews>
  <sheets>
    <sheet name="Cash_Feb22V1" sheetId="55" state="hidden" r:id="rId1"/>
    <sheet name="June-22" sheetId="93" r:id="rId2"/>
    <sheet name="OPEX" sheetId="97" r:id="rId3"/>
    <sheet name="Sheet3" sheetId="96" r:id="rId4"/>
    <sheet name="Competitors June-22" sheetId="94" r:id="rId5"/>
    <sheet name="Actual May-22" sheetId="95" r:id="rId6"/>
    <sheet name="Price Updated May-22" sheetId="89" r:id="rId7"/>
    <sheet name="LOAB May-22" sheetId="90" r:id="rId8"/>
    <sheet name="Sheet5" sheetId="92" r:id="rId9"/>
    <sheet name="Competitors May-22" sheetId="80" r:id="rId10"/>
    <sheet name="Target APR-22" sheetId="71" r:id="rId11"/>
    <sheet name="Actual APR-22" sheetId="84" r:id="rId12"/>
    <sheet name="April-22" sheetId="87" state="hidden" r:id="rId13"/>
    <sheet name="NLPG Price1005" sheetId="44" state="hidden" r:id="rId14"/>
    <sheet name="Sheet2" sheetId="88" state="hidden" r:id="rId15"/>
    <sheet name="Noakhali" sheetId="86" state="hidden" r:id="rId16"/>
    <sheet name="Fixed Cost" sheetId="83" state="hidden" r:id="rId17"/>
    <sheet name="Cash_Apr22V1" sheetId="64" state="hidden" r:id="rId18"/>
    <sheet name="Autogas" sheetId="73" state="hidden" r:id="rId19"/>
    <sheet name="Sheet1" sheetId="69" state="hidden" r:id="rId20"/>
    <sheet name="Market Price_Apr22" sheetId="66" state="hidden" r:id="rId21"/>
    <sheet name="Mongla" sheetId="67" state="hidden" r:id="rId22"/>
    <sheet name="Ashulia" sheetId="68" state="hidden" r:id="rId23"/>
    <sheet name="Sales Target Mar22" sheetId="65" state="hidden" r:id="rId24"/>
    <sheet name="Cash_Feb22V2" sheetId="56" state="hidden" r:id="rId25"/>
    <sheet name="Cash_Feb22V4" sheetId="59" state="hidden" r:id="rId26"/>
    <sheet name="Market Price_Feb22" sheetId="40" state="hidden" r:id="rId27"/>
    <sheet name="Cash_Feb22V3" sheetId="57" state="hidden" r:id="rId28"/>
    <sheet name="P&amp;L Jul-Dec21" sheetId="41" state="hidden" r:id="rId29"/>
    <sheet name="LPG Pricing (Local)" sheetId="7" state="hidden" r:id="rId30"/>
    <sheet name="LPG Pricing (Import)" sheetId="9" state="hidden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____________________CNG2" localSheetId="24">#REF!</definedName>
    <definedName name="______________________CNG2" localSheetId="25">#REF!</definedName>
    <definedName name="______________________CNG2" localSheetId="26">#REF!</definedName>
    <definedName name="______________________CNG2" localSheetId="6">#REF!</definedName>
    <definedName name="______________________CNG2">#REF!</definedName>
    <definedName name="_____________________CNG2" localSheetId="24">#REF!</definedName>
    <definedName name="_____________________CNG2" localSheetId="25">#REF!</definedName>
    <definedName name="_____________________CNG2" localSheetId="26">#REF!</definedName>
    <definedName name="_____________________CNG2" localSheetId="6">#REF!</definedName>
    <definedName name="_____________________CNG2">#REF!</definedName>
    <definedName name="____________________CNG2" localSheetId="24">#REF!</definedName>
    <definedName name="____________________CNG2" localSheetId="25">#REF!</definedName>
    <definedName name="____________________CNG2" localSheetId="26">#REF!</definedName>
    <definedName name="____________________CNG2" localSheetId="6">#REF!</definedName>
    <definedName name="____________________CNG2">#REF!</definedName>
    <definedName name="___________________CNG2" localSheetId="24">#REF!</definedName>
    <definedName name="___________________CNG2" localSheetId="25">#REF!</definedName>
    <definedName name="___________________CNG2" localSheetId="26">#REF!</definedName>
    <definedName name="___________________CNG2" localSheetId="6">#REF!</definedName>
    <definedName name="___________________CNG2">#REF!</definedName>
    <definedName name="__________________CNG2" localSheetId="24">#REF!</definedName>
    <definedName name="__________________CNG2" localSheetId="25">#REF!</definedName>
    <definedName name="__________________CNG2" localSheetId="26">#REF!</definedName>
    <definedName name="__________________CNG2" localSheetId="6">#REF!</definedName>
    <definedName name="__________________CNG2">#REF!</definedName>
    <definedName name="_________________CNG2" localSheetId="24">#REF!</definedName>
    <definedName name="_________________CNG2" localSheetId="25">#REF!</definedName>
    <definedName name="_________________CNG2" localSheetId="26">#REF!</definedName>
    <definedName name="_________________CNG2" localSheetId="6">#REF!</definedName>
    <definedName name="_________________CNG2">#REF!</definedName>
    <definedName name="________________CNG2" localSheetId="24">#REF!</definedName>
    <definedName name="________________CNG2" localSheetId="25">#REF!</definedName>
    <definedName name="________________CNG2" localSheetId="26">#REF!</definedName>
    <definedName name="________________CNG2" localSheetId="6">#REF!</definedName>
    <definedName name="________________CNG2">#REF!</definedName>
    <definedName name="_______________CNG2" localSheetId="24">#REF!</definedName>
    <definedName name="_______________CNG2" localSheetId="25">#REF!</definedName>
    <definedName name="_______________CNG2" localSheetId="26">#REF!</definedName>
    <definedName name="_______________CNG2" localSheetId="6">#REF!</definedName>
    <definedName name="_______________CNG2">#REF!</definedName>
    <definedName name="______________CNG2" localSheetId="24">#REF!</definedName>
    <definedName name="______________CNG2" localSheetId="25">#REF!</definedName>
    <definedName name="______________CNG2" localSheetId="26">#REF!</definedName>
    <definedName name="______________CNG2" localSheetId="6">#REF!</definedName>
    <definedName name="______________CNG2">#REF!</definedName>
    <definedName name="_____________CNG2" localSheetId="24">#REF!</definedName>
    <definedName name="_____________CNG2" localSheetId="25">#REF!</definedName>
    <definedName name="_____________CNG2" localSheetId="26">#REF!</definedName>
    <definedName name="_____________CNG2" localSheetId="6">#REF!</definedName>
    <definedName name="_____________CNG2">#REF!</definedName>
    <definedName name="____________CNG2" localSheetId="24">#REF!</definedName>
    <definedName name="____________CNG2" localSheetId="25">#REF!</definedName>
    <definedName name="____________CNG2" localSheetId="26">#REF!</definedName>
    <definedName name="____________CNG2" localSheetId="6">#REF!</definedName>
    <definedName name="____________CNG2">#REF!</definedName>
    <definedName name="___________CNG2" localSheetId="24">#REF!</definedName>
    <definedName name="___________CNG2" localSheetId="25">#REF!</definedName>
    <definedName name="___________CNG2" localSheetId="26">#REF!</definedName>
    <definedName name="___________CNG2" localSheetId="6">#REF!</definedName>
    <definedName name="___________CNG2">#REF!</definedName>
    <definedName name="__________CNG2" localSheetId="24">#REF!</definedName>
    <definedName name="__________CNG2" localSheetId="25">#REF!</definedName>
    <definedName name="__________CNG2" localSheetId="26">#REF!</definedName>
    <definedName name="__________CNG2" localSheetId="6">#REF!</definedName>
    <definedName name="__________CNG2">#REF!</definedName>
    <definedName name="________CNG2" localSheetId="24">#REF!</definedName>
    <definedName name="________CNG2" localSheetId="25">#REF!</definedName>
    <definedName name="________CNG2" localSheetId="26">#REF!</definedName>
    <definedName name="________CNG2" localSheetId="6">#REF!</definedName>
    <definedName name="________CNG2">#REF!</definedName>
    <definedName name="_______CNG2" localSheetId="24">#REF!</definedName>
    <definedName name="_______CNG2" localSheetId="25">#REF!</definedName>
    <definedName name="_______CNG2" localSheetId="26">#REF!</definedName>
    <definedName name="_______CNG2" localSheetId="6">#REF!</definedName>
    <definedName name="_______CNG2">#REF!</definedName>
    <definedName name="______CNG2" localSheetId="24">#REF!</definedName>
    <definedName name="______CNG2" localSheetId="25">#REF!</definedName>
    <definedName name="______CNG2" localSheetId="26">#REF!</definedName>
    <definedName name="______CNG2" localSheetId="6">#REF!</definedName>
    <definedName name="______CNG2">#REF!</definedName>
    <definedName name="_____CNG2" localSheetId="24">#REF!</definedName>
    <definedName name="_____CNG2" localSheetId="25">#REF!</definedName>
    <definedName name="_____CNG2" localSheetId="26">#REF!</definedName>
    <definedName name="_____CNG2" localSheetId="6">#REF!</definedName>
    <definedName name="_____CNG2">#REF!</definedName>
    <definedName name="____CNG2" localSheetId="24">#REF!</definedName>
    <definedName name="____CNG2" localSheetId="25">#REF!</definedName>
    <definedName name="____CNG2" localSheetId="26">#REF!</definedName>
    <definedName name="____CNG2" localSheetId="6">#REF!</definedName>
    <definedName name="____CNG2">#REF!</definedName>
    <definedName name="___CNG2" localSheetId="24">#REF!</definedName>
    <definedName name="___CNG2" localSheetId="25">#REF!</definedName>
    <definedName name="___CNG2" localSheetId="26">#REF!</definedName>
    <definedName name="___CNG2" localSheetId="6">#REF!</definedName>
    <definedName name="___CNG2">#REF!</definedName>
    <definedName name="__CNG2" localSheetId="24">#REF!</definedName>
    <definedName name="__CNG2" localSheetId="25">#REF!</definedName>
    <definedName name="__CNG2" localSheetId="26">#REF!</definedName>
    <definedName name="__CNG2" localSheetId="6">#REF!</definedName>
    <definedName name="__CNG2">#REF!</definedName>
    <definedName name="_CNG2" localSheetId="24">#REF!</definedName>
    <definedName name="_CNG2" localSheetId="25">#REF!</definedName>
    <definedName name="_CNG2" localSheetId="26">#REF!</definedName>
    <definedName name="_CNG2" localSheetId="6">#REF!</definedName>
    <definedName name="_CNG2">#REF!</definedName>
    <definedName name="_xlnm._FilterDatabase" localSheetId="1" hidden="1">'June-22'!$A$10:$AW$42</definedName>
    <definedName name="_xlnm._FilterDatabase" localSheetId="21" hidden="1">Mongla!$A$4:$J$24</definedName>
    <definedName name="a" localSheetId="24">#REF!</definedName>
    <definedName name="a" localSheetId="25">#REF!</definedName>
    <definedName name="a" localSheetId="26">#REF!</definedName>
    <definedName name="a" localSheetId="6">#REF!</definedName>
    <definedName name="a">#REF!</definedName>
    <definedName name="aaaaaaaaaaaa" localSheetId="24">#REF!</definedName>
    <definedName name="aaaaaaaaaaaa" localSheetId="25">#REF!</definedName>
    <definedName name="aaaaaaaaaaaa" localSheetId="26">#REF!</definedName>
    <definedName name="aaaaaaaaaaaa" localSheetId="6">#REF!</definedName>
    <definedName name="aaaaaaaaaaaa">#REF!</definedName>
    <definedName name="Active_Item_List" localSheetId="24">#REF!</definedName>
    <definedName name="Active_Item_List" localSheetId="25">#REF!</definedName>
    <definedName name="Active_Item_List" localSheetId="26">#REF!</definedName>
    <definedName name="Active_Item_List" localSheetId="6">#REF!</definedName>
    <definedName name="Active_Item_List">#REF!</definedName>
    <definedName name="Add_Name" localSheetId="24">#REF!</definedName>
    <definedName name="Add_Name" localSheetId="25">#REF!</definedName>
    <definedName name="Add_Name" localSheetId="26">#REF!</definedName>
    <definedName name="Add_Name" localSheetId="6">#REF!</definedName>
    <definedName name="Add_Name">#REF!</definedName>
    <definedName name="b" localSheetId="24">#REF!</definedName>
    <definedName name="b" localSheetId="25">#REF!</definedName>
    <definedName name="b" localSheetId="26">#REF!</definedName>
    <definedName name="b" localSheetId="6">#REF!</definedName>
    <definedName name="b">#REF!</definedName>
    <definedName name="BALANCE_SHEET" localSheetId="24">#REF!</definedName>
    <definedName name="BALANCE_SHEET" localSheetId="25">#REF!</definedName>
    <definedName name="BALANCE_SHEET" localSheetId="26">#REF!</definedName>
    <definedName name="BALANCE_SHEET" localSheetId="6">#REF!</definedName>
    <definedName name="BALANCE_SHEET">#REF!</definedName>
    <definedName name="BankInterest">[1]Rate!$E$6</definedName>
    <definedName name="bb" localSheetId="24">#REF!</definedName>
    <definedName name="bb" localSheetId="25">#REF!</definedName>
    <definedName name="bb" localSheetId="26">#REF!</definedName>
    <definedName name="bb" localSheetId="6">#REF!</definedName>
    <definedName name="bb">#REF!</definedName>
    <definedName name="Beg_Bal">'[2]Loan Amortization Schedule'!$C$18:$C$497</definedName>
    <definedName name="ColumnTitle1">[3]!Loan[[#Headers],[Pmt No.]]</definedName>
    <definedName name="Crore">'[4]Budget Crore'!$V$1</definedName>
    <definedName name="Cum_Int" localSheetId="24">#REF!</definedName>
    <definedName name="Cum_Int" localSheetId="25">#REF!</definedName>
    <definedName name="Cum_Int" localSheetId="26">#REF!</definedName>
    <definedName name="Cum_Int" localSheetId="6">#REF!</definedName>
    <definedName name="Cum_Int">#REF!</definedName>
    <definedName name="Data" localSheetId="24">#REF!</definedName>
    <definedName name="Data" localSheetId="25">#REF!</definedName>
    <definedName name="Data" localSheetId="26">#REF!</definedName>
    <definedName name="Data" localSheetId="6">#REF!</definedName>
    <definedName name="Data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6">#REF!</definedName>
    <definedName name="_xlnm.Database">#REF!</definedName>
    <definedName name="Dis">'[5]Price-RAW'!$D$65</definedName>
    <definedName name="eeeee" localSheetId="24">#REF!</definedName>
    <definedName name="eeeee" localSheetId="25">#REF!</definedName>
    <definedName name="eeeee" localSheetId="26">#REF!</definedName>
    <definedName name="eeeee" localSheetId="6">#REF!</definedName>
    <definedName name="eeeee">#REF!</definedName>
    <definedName name="eeeeee" localSheetId="24">#REF!</definedName>
    <definedName name="eeeeee" localSheetId="25">#REF!</definedName>
    <definedName name="eeeeee" localSheetId="26">#REF!</definedName>
    <definedName name="eeeeee" localSheetId="6">#REF!</definedName>
    <definedName name="eeeeee">#REF!</definedName>
    <definedName name="End_Bal">'[2]Loan Amortization Schedule'!$I$18:$I$497</definedName>
    <definedName name="EndingBalance">-FV(InterestRate/12,PaymentNumber,-MonthlyPayment,LoanAmount)</definedName>
    <definedName name="ewe">#N/A</definedName>
    <definedName name="Extra_Pay">'[2]Loan Amortization Schedule'!$E$18:$E$497</definedName>
    <definedName name="f" localSheetId="24">#REF!</definedName>
    <definedName name="f" localSheetId="25">#REF!</definedName>
    <definedName name="f" localSheetId="26">#REF!</definedName>
    <definedName name="f" localSheetId="6">#REF!</definedName>
    <definedName name="f">#REF!</definedName>
    <definedName name="FA" localSheetId="24">#REF!</definedName>
    <definedName name="FA" localSheetId="25">#REF!</definedName>
    <definedName name="FA" localSheetId="26">#REF!</definedName>
    <definedName name="FA" localSheetId="6">#REF!</definedName>
    <definedName name="FA">#REF!</definedName>
    <definedName name="fdr" localSheetId="24">#REF!</definedName>
    <definedName name="fdr" localSheetId="25">#REF!</definedName>
    <definedName name="fdr" localSheetId="26">#REF!</definedName>
    <definedName name="fdr" localSheetId="6">#REF!</definedName>
    <definedName name="fdr">#REF!</definedName>
    <definedName name="Full_Print">'[2]Loan Amortization Schedule'!$A$1:$J$497</definedName>
    <definedName name="Header_Row" localSheetId="24">ROW(#REF!)</definedName>
    <definedName name="Header_Row" localSheetId="25">ROW(#REF!)</definedName>
    <definedName name="Header_Row" localSheetId="26">ROW(#REF!)</definedName>
    <definedName name="Header_Row" localSheetId="6">ROW(#REF!)</definedName>
    <definedName name="Header_Row">ROW(#REF!)</definedName>
    <definedName name="HeaderRow">ROW('[3]SJIBL Term'!$9:$9)</definedName>
    <definedName name="IEx">'[5]Price-RAW'!$D$64</definedName>
    <definedName name="Int">'[2]Loan Amortization Schedule'!$H$18:$H$497</definedName>
    <definedName name="Interest">[6]Rate!$C$3</definedName>
    <definedName name="Interest_Rate">'[2]Loan Amortization Schedule'!$D$6</definedName>
    <definedName name="InterestAmt">-IPMT(InterestRate/12,PaymentNumber,NumberOfPayments,LoanAmount)</definedName>
    <definedName name="InterestRate">'[3]SJIBL Term'!$D$5</definedName>
    <definedName name="IS">'[5]Price-RAW'!$D$63</definedName>
    <definedName name="iuygv">#N/A</definedName>
    <definedName name="iuytr" localSheetId="24">ROW(#REF!)</definedName>
    <definedName name="iuytr" localSheetId="25">ROW(#REF!)</definedName>
    <definedName name="iuytr" localSheetId="26">ROW(#REF!)</definedName>
    <definedName name="iuytr" localSheetId="6">ROW(#REF!)</definedName>
    <definedName name="iuytr">ROW(#REF!)</definedName>
    <definedName name="JPYIndent">[1]Rate!$E$17</definedName>
    <definedName name="JPYRate">[6]Rate!$C$1</definedName>
    <definedName name="JPYRateN">[1]Rate!$E$4</definedName>
    <definedName name="JPYRateOld">[1]Rate!$E$15</definedName>
    <definedName name="Last_Row">#N/A</definedName>
    <definedName name="LastCol">COUNTA('[3]SJIBL Term'!$9:$9)</definedName>
    <definedName name="LastRow">MATCH(9.99E+307,'[3]SJIBL Term'!$B:$B)</definedName>
    <definedName name="lkh" localSheetId="24">#REF!</definedName>
    <definedName name="lkh" localSheetId="25">#REF!</definedName>
    <definedName name="lkh" localSheetId="26">#REF!</definedName>
    <definedName name="lkh" localSheetId="6">#REF!</definedName>
    <definedName name="lkh">#REF!</definedName>
    <definedName name="Loan_Amount">'[2]Loan Amortization Schedule'!$D$5</definedName>
    <definedName name="Loan_Start">'[2]Loan Amortization Schedule'!$D$9</definedName>
    <definedName name="Loan_Years">'[2]Loan Amortization Schedule'!$D$7</definedName>
    <definedName name="LoanAmount">'[3]SJIBL Term'!$D$4</definedName>
    <definedName name="LoanIsGood">IF(LoanAmount*InterestRate*LoanYears*LoanStartDate&gt;0,1,0)</definedName>
    <definedName name="LoanIsNotPaid">IF(PaymentNumber&lt;=NumberOfPayments,1,0)</definedName>
    <definedName name="LoanStartDate">'[3]SJIBL Term'!$D$7</definedName>
    <definedName name="LoanValue">-FV(InterestRate/12,PaymentNumber-1,-MonthlyPayment,LoanAmount)</definedName>
    <definedName name="LoanYears">'[3]SJIBL Term'!$D$6</definedName>
    <definedName name="loj" localSheetId="24">#REF!</definedName>
    <definedName name="loj" localSheetId="25">#REF!</definedName>
    <definedName name="loj" localSheetId="26">#REF!</definedName>
    <definedName name="loj" localSheetId="6">#REF!</definedName>
    <definedName name="loj">#REF!</definedName>
    <definedName name="Master">[7]Rate!$C$6</definedName>
    <definedName name="MonthlyPayment">-PMT(InterestRate/12,NumberOfPayments,LoanAmount)</definedName>
    <definedName name="Num_Pmt_Per_Year">'[2]Loan Amortization Schedule'!$D$8</definedName>
    <definedName name="Number_of_Payments">MATCH(0.01,End_Bal,-1)+1</definedName>
    <definedName name="NumberOfPayments">'[3]SJIBL Term'!$H$5</definedName>
    <definedName name="OPEX">[1]Rate!$E$9</definedName>
    <definedName name="p" localSheetId="24">#REF!</definedName>
    <definedName name="p" localSheetId="25">#REF!</definedName>
    <definedName name="p" localSheetId="26">#REF!</definedName>
    <definedName name="p" localSheetId="6">#REF!</definedName>
    <definedName name="p">#REF!</definedName>
    <definedName name="Pay_Date" localSheetId="24">#REF!</definedName>
    <definedName name="Pay_Date" localSheetId="25">#REF!</definedName>
    <definedName name="Pay_Date" localSheetId="26">#REF!</definedName>
    <definedName name="Pay_Date" localSheetId="6">#REF!</definedName>
    <definedName name="Pay_Date">#REF!</definedName>
    <definedName name="Pay_Num">'[2]Loan Amortization Schedule'!$A$18:$A$497</definedName>
    <definedName name="Payment_Date" localSheetId="24">DATE(YEAR([0]!Loan_Start),MONTH([0]!Loan_Start)+Payment_Number,DAY([0]!Loan_Start))</definedName>
    <definedName name="Payment_Date" localSheetId="25">DATE(YEAR([0]!Loan_Start),MONTH([0]!Loan_Start)+Payment_Number,DAY([0]!Loan_Start))</definedName>
    <definedName name="Payment_Date" localSheetId="26">DATE(YEAR([0]!Loan_Start),MONTH([0]!Loan_Start)+Payment_Number,DAY([0]!Loan_Start))</definedName>
    <definedName name="Payment_Date" localSheetId="6">DATE(YEAR([0]!Loan_Start),MONTH([0]!Loan_Start)+Payment_Number,DAY([0]!Loan_Start))</definedName>
    <definedName name="Payment_Date">DATE(YEAR(Loan_Start),MONTH(Loan_Start)+Payment_Number,DAY(Loan_Start))</definedName>
    <definedName name="PaymentDate">DATE(YEAR(LoanStartDate),MONTH(LoanStartDate)+PaymentNumber,DAY(LoanStartDate))</definedName>
    <definedName name="PaymentNumber">ROW()-HeaderRow</definedName>
    <definedName name="pp" localSheetId="24">#REF!</definedName>
    <definedName name="pp" localSheetId="25">#REF!</definedName>
    <definedName name="pp" localSheetId="26">#REF!</definedName>
    <definedName name="pp" localSheetId="6">#REF!</definedName>
    <definedName name="pp">#REF!</definedName>
    <definedName name="Princ">'[2]Loan Amortization Schedule'!$G$18:$G$497</definedName>
    <definedName name="Principal">-PPMT(InterestRate/12,PaymentNumber,NumberOfPayments,LoanAmount)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1">Mongla!$A$1:$J$31</definedName>
    <definedName name="_xlnm.Print_Area" localSheetId="6">#REF!</definedName>
    <definedName name="_xlnm.Print_Area">#REF!</definedName>
    <definedName name="Print_Area_Reset">OFFSET(Full_Print,0,0,Last_Row)</definedName>
    <definedName name="_xlnm.Print_Titles">#N/A</definedName>
    <definedName name="PrintArea_SET">OFFSET('[3]SJIBL Term'!$B$1,,,LastRow,LastCol)</definedName>
    <definedName name="qqqqqq" localSheetId="24">#REF!</definedName>
    <definedName name="qqqqqq" localSheetId="25">#REF!</definedName>
    <definedName name="qqqqqq" localSheetId="26">#REF!</definedName>
    <definedName name="qqqqqq" localSheetId="6">#REF!</definedName>
    <definedName name="qqqqqq">#REF!</definedName>
    <definedName name="qqqqqqqq" localSheetId="24">#REF!</definedName>
    <definedName name="qqqqqqqq" localSheetId="25">#REF!</definedName>
    <definedName name="qqqqqqqq" localSheetId="26">#REF!</definedName>
    <definedName name="qqqqqqqq" localSheetId="6">#REF!</definedName>
    <definedName name="qqqqqqqq">#REF!</definedName>
    <definedName name="qqqqqqqqqqqq" localSheetId="24">#REF!</definedName>
    <definedName name="qqqqqqqqqqqq" localSheetId="25">#REF!</definedName>
    <definedName name="qqqqqqqqqqqq" localSheetId="26">#REF!</definedName>
    <definedName name="qqqqqqqqqqqq" localSheetId="6">#REF!</definedName>
    <definedName name="qqqqqqqqqqqq">#REF!</definedName>
    <definedName name="Qty_12_Molly" localSheetId="24">#REF!</definedName>
    <definedName name="Qty_12_Molly" localSheetId="25">#REF!</definedName>
    <definedName name="Qty_12_Molly" localSheetId="26">#REF!</definedName>
    <definedName name="Qty_12_Molly" localSheetId="6">#REF!</definedName>
    <definedName name="Qty_12_Molly">#REF!</definedName>
    <definedName name="Qty_12_Ollie" localSheetId="24">#REF!</definedName>
    <definedName name="Qty_12_Ollie" localSheetId="25">#REF!</definedName>
    <definedName name="Qty_12_Ollie" localSheetId="26">#REF!</definedName>
    <definedName name="Qty_12_Ollie" localSheetId="6">#REF!</definedName>
    <definedName name="Qty_12_Ollie">#REF!</definedName>
    <definedName name="QTY_14_Molly" localSheetId="24">#REF!</definedName>
    <definedName name="QTY_14_Molly" localSheetId="25">#REF!</definedName>
    <definedName name="QTY_14_Molly" localSheetId="26">#REF!</definedName>
    <definedName name="QTY_14_Molly" localSheetId="6">#REF!</definedName>
    <definedName name="QTY_14_Molly">#REF!</definedName>
    <definedName name="QTY_14_Ollie" localSheetId="24">#REF!</definedName>
    <definedName name="QTY_14_Ollie" localSheetId="25">#REF!</definedName>
    <definedName name="QTY_14_Ollie" localSheetId="26">#REF!</definedName>
    <definedName name="QTY_14_Ollie" localSheetId="6">#REF!</definedName>
    <definedName name="QTY_14_Ollie">#REF!</definedName>
    <definedName name="QTY_16_Burner" localSheetId="24">#REF!</definedName>
    <definedName name="QTY_16_Burner" localSheetId="25">#REF!</definedName>
    <definedName name="QTY_16_Burner" localSheetId="26">#REF!</definedName>
    <definedName name="QTY_16_Burner" localSheetId="6">#REF!</definedName>
    <definedName name="QTY_16_Burner">#REF!</definedName>
    <definedName name="QTY_16_kool_XFS" localSheetId="24">#REF!</definedName>
    <definedName name="QTY_16_kool_XFS" localSheetId="25">#REF!</definedName>
    <definedName name="QTY_16_kool_XFS" localSheetId="26">#REF!</definedName>
    <definedName name="QTY_16_kool_XFS" localSheetId="6">#REF!</definedName>
    <definedName name="QTY_16_kool_XFS">#REF!</definedName>
    <definedName name="QTY_16_Krush" localSheetId="24">#REF!</definedName>
    <definedName name="QTY_16_Krush" localSheetId="25">#REF!</definedName>
    <definedName name="QTY_16_Krush" localSheetId="26">#REF!</definedName>
    <definedName name="QTY_16_Krush" localSheetId="6">#REF!</definedName>
    <definedName name="QTY_16_Krush">#REF!</definedName>
    <definedName name="QTY_16_Miniviper" localSheetId="24">#REF!</definedName>
    <definedName name="QTY_16_Miniviper" localSheetId="25">#REF!</definedName>
    <definedName name="QTY_16_Miniviper" localSheetId="26">#REF!</definedName>
    <definedName name="QTY_16_Miniviper" localSheetId="6">#REF!</definedName>
    <definedName name="QTY_16_Miniviper">#REF!</definedName>
    <definedName name="QTY_16_Molly" localSheetId="24">#REF!</definedName>
    <definedName name="QTY_16_Molly" localSheetId="25">#REF!</definedName>
    <definedName name="QTY_16_Molly" localSheetId="26">#REF!</definedName>
    <definedName name="QTY_16_Molly" localSheetId="6">#REF!</definedName>
    <definedName name="QTY_16_Molly">#REF!</definedName>
    <definedName name="QTY_16_mtb" localSheetId="24">#REF!</definedName>
    <definedName name="QTY_16_mtb" localSheetId="25">#REF!</definedName>
    <definedName name="QTY_16_mtb" localSheetId="26">#REF!</definedName>
    <definedName name="QTY_16_mtb" localSheetId="6">#REF!</definedName>
    <definedName name="QTY_16_mtb">#REF!</definedName>
    <definedName name="QTY_16_MXFS" localSheetId="24">#REF!</definedName>
    <definedName name="QTY_16_MXFS" localSheetId="25">#REF!</definedName>
    <definedName name="QTY_16_MXFS" localSheetId="26">#REF!</definedName>
    <definedName name="QTY_16_MXFS" localSheetId="6">#REF!</definedName>
    <definedName name="QTY_16_MXFS">#REF!</definedName>
    <definedName name="QTY_16_pirate" localSheetId="24">#REF!</definedName>
    <definedName name="QTY_16_pirate" localSheetId="25">#REF!</definedName>
    <definedName name="QTY_16_pirate" localSheetId="26">#REF!</definedName>
    <definedName name="QTY_16_pirate" localSheetId="6">#REF!</definedName>
    <definedName name="QTY_16_pirate">#REF!</definedName>
    <definedName name="QTY_16_RAC_RD" localSheetId="24">#REF!</definedName>
    <definedName name="QTY_16_RAC_RD" localSheetId="25">#REF!</definedName>
    <definedName name="QTY_16_RAC_RD" localSheetId="26">#REF!</definedName>
    <definedName name="QTY_16_RAC_RD" localSheetId="6">#REF!</definedName>
    <definedName name="QTY_16_RAC_RD">#REF!</definedName>
    <definedName name="QTY_16_Starz" localSheetId="24">#REF!</definedName>
    <definedName name="QTY_16_Starz" localSheetId="25">#REF!</definedName>
    <definedName name="QTY_16_Starz" localSheetId="26">#REF!</definedName>
    <definedName name="QTY_16_Starz" localSheetId="6">#REF!</definedName>
    <definedName name="QTY_16_Starz">#REF!</definedName>
    <definedName name="QTY_16_Striker" localSheetId="24">#REF!</definedName>
    <definedName name="QTY_16_Striker" localSheetId="25">#REF!</definedName>
    <definedName name="QTY_16_Striker" localSheetId="26">#REF!</definedName>
    <definedName name="QTY_16_Striker" localSheetId="6">#REF!</definedName>
    <definedName name="QTY_16_Striker">#REF!</definedName>
    <definedName name="QTY_16_Zero_G" localSheetId="24">#REF!</definedName>
    <definedName name="QTY_16_Zero_G" localSheetId="25">#REF!</definedName>
    <definedName name="QTY_16_Zero_G" localSheetId="26">#REF!</definedName>
    <definedName name="QTY_16_Zero_G" localSheetId="6">#REF!</definedName>
    <definedName name="QTY_16_Zero_G">#REF!</definedName>
    <definedName name="QTY_16MX16FS" localSheetId="24">#REF!</definedName>
    <definedName name="QTY_16MX16FS" localSheetId="25">#REF!</definedName>
    <definedName name="QTY_16MX16FS" localSheetId="26">#REF!</definedName>
    <definedName name="QTY_16MX16FS" localSheetId="6">#REF!</definedName>
    <definedName name="QTY_16MX16FS">#REF!</definedName>
    <definedName name="QTY_18_Hotrod" localSheetId="24">#REF!</definedName>
    <definedName name="QTY_18_Hotrod" localSheetId="25">#REF!</definedName>
    <definedName name="QTY_18_Hotrod" localSheetId="26">#REF!</definedName>
    <definedName name="QTY_18_Hotrod" localSheetId="6">#REF!</definedName>
    <definedName name="QTY_18_Hotrod">#REF!</definedName>
    <definedName name="QTY_18_Krush" localSheetId="24">#REF!</definedName>
    <definedName name="QTY_18_Krush" localSheetId="25">#REF!</definedName>
    <definedName name="QTY_18_Krush" localSheetId="26">#REF!</definedName>
    <definedName name="QTY_18_Krush" localSheetId="6">#REF!</definedName>
    <definedName name="QTY_18_Krush">#REF!</definedName>
    <definedName name="QTY_20_Attitude" localSheetId="24">#REF!</definedName>
    <definedName name="QTY_20_Attitude" localSheetId="25">#REF!</definedName>
    <definedName name="QTY_20_Attitude" localSheetId="26">#REF!</definedName>
    <definedName name="QTY_20_Attitude" localSheetId="6">#REF!</definedName>
    <definedName name="QTY_20_Attitude">#REF!</definedName>
    <definedName name="QTY_20_Chloe" localSheetId="24">#REF!</definedName>
    <definedName name="QTY_20_Chloe" localSheetId="25">#REF!</definedName>
    <definedName name="QTY_20_Chloe" localSheetId="26">#REF!</definedName>
    <definedName name="QTY_20_Chloe" localSheetId="6">#REF!</definedName>
    <definedName name="QTY_20_Chloe">#REF!</definedName>
    <definedName name="QTY_20_Diva" localSheetId="24">#REF!</definedName>
    <definedName name="QTY_20_Diva" localSheetId="25">#REF!</definedName>
    <definedName name="QTY_20_Diva" localSheetId="26">#REF!</definedName>
    <definedName name="QTY_20_Diva" localSheetId="6">#REF!</definedName>
    <definedName name="QTY_20_Diva">#REF!</definedName>
    <definedName name="QTY_20_Force" localSheetId="24">#REF!</definedName>
    <definedName name="QTY_20_Force" localSheetId="25">#REF!</definedName>
    <definedName name="QTY_20_Force" localSheetId="26">#REF!</definedName>
    <definedName name="QTY_20_Force" localSheetId="6">#REF!</definedName>
    <definedName name="QTY_20_Force">#REF!</definedName>
    <definedName name="QTY_20_Hotrod" localSheetId="24">#REF!</definedName>
    <definedName name="QTY_20_Hotrod" localSheetId="25">#REF!</definedName>
    <definedName name="QTY_20_Hotrod" localSheetId="26">#REF!</definedName>
    <definedName name="QTY_20_Hotrod" localSheetId="6">#REF!</definedName>
    <definedName name="QTY_20_Hotrod">#REF!</definedName>
    <definedName name="QTY_20_Kraze" localSheetId="24">#REF!</definedName>
    <definedName name="QTY_20_Kraze" localSheetId="25">#REF!</definedName>
    <definedName name="QTY_20_Kraze" localSheetId="26">#REF!</definedName>
    <definedName name="QTY_20_Kraze" localSheetId="6">#REF!</definedName>
    <definedName name="QTY_20_Kraze">#REF!</definedName>
    <definedName name="QTY_20_Krush" localSheetId="24">#REF!</definedName>
    <definedName name="QTY_20_Krush" localSheetId="25">#REF!</definedName>
    <definedName name="QTY_20_Krush" localSheetId="26">#REF!</definedName>
    <definedName name="QTY_20_Krush" localSheetId="6">#REF!</definedName>
    <definedName name="QTY_20_Krush">#REF!</definedName>
    <definedName name="QTY_20_pirate" localSheetId="24">#REF!</definedName>
    <definedName name="QTY_20_pirate" localSheetId="25">#REF!</definedName>
    <definedName name="QTY_20_pirate" localSheetId="26">#REF!</definedName>
    <definedName name="QTY_20_pirate" localSheetId="6">#REF!</definedName>
    <definedName name="QTY_20_pirate">#REF!</definedName>
    <definedName name="QTY_20_Shine_Girls" localSheetId="24">#REF!</definedName>
    <definedName name="QTY_20_Shine_Girls" localSheetId="25">#REF!</definedName>
    <definedName name="QTY_20_Shine_Girls" localSheetId="26">#REF!</definedName>
    <definedName name="QTY_20_Shine_Girls" localSheetId="6">#REF!</definedName>
    <definedName name="QTY_20_Shine_Girls">#REF!</definedName>
    <definedName name="QTY_20_Skulk" localSheetId="24">#REF!</definedName>
    <definedName name="QTY_20_Skulk" localSheetId="25">#REF!</definedName>
    <definedName name="QTY_20_Skulk" localSheetId="26">#REF!</definedName>
    <definedName name="QTY_20_Skulk" localSheetId="6">#REF!</definedName>
    <definedName name="QTY_20_Skulk">#REF!</definedName>
    <definedName name="QTY_20_Starz" localSheetId="24">#REF!</definedName>
    <definedName name="QTY_20_Starz" localSheetId="25">#REF!</definedName>
    <definedName name="QTY_20_Starz" localSheetId="26">#REF!</definedName>
    <definedName name="QTY_20_Starz" localSheetId="6">#REF!</definedName>
    <definedName name="QTY_20_Starz">#REF!</definedName>
    <definedName name="QTY_20_Viper" localSheetId="24">#REF!</definedName>
    <definedName name="QTY_20_Viper" localSheetId="25">#REF!</definedName>
    <definedName name="QTY_20_Viper" localSheetId="26">#REF!</definedName>
    <definedName name="QTY_20_Viper" localSheetId="6">#REF!</definedName>
    <definedName name="QTY_20_Viper">#REF!</definedName>
    <definedName name="QTY_20_Volt" localSheetId="24">#REF!</definedName>
    <definedName name="QTY_20_Volt" localSheetId="25">#REF!</definedName>
    <definedName name="QTY_20_Volt" localSheetId="26">#REF!</definedName>
    <definedName name="QTY_20_Volt" localSheetId="6">#REF!</definedName>
    <definedName name="QTY_20_Volt">#REF!</definedName>
    <definedName name="QTY_24_13_airblade" localSheetId="24">#REF!</definedName>
    <definedName name="QTY_24_13_airblade" localSheetId="25">#REF!</definedName>
    <definedName name="QTY_24_13_airblade" localSheetId="26">#REF!</definedName>
    <definedName name="QTY_24_13_airblade" localSheetId="6">#REF!</definedName>
    <definedName name="QTY_24_13_airblade">#REF!</definedName>
    <definedName name="QTY_24_14Roxz" localSheetId="24">#REF!</definedName>
    <definedName name="QTY_24_14Roxz" localSheetId="25">#REF!</definedName>
    <definedName name="QTY_24_14Roxz" localSheetId="26">#REF!</definedName>
    <definedName name="QTY_24_14Roxz" localSheetId="6">#REF!</definedName>
    <definedName name="QTY_24_14Roxz">#REF!</definedName>
    <definedName name="QTY_24_Attutude_Girls" localSheetId="24">#REF!</definedName>
    <definedName name="QTY_24_Attutude_Girls" localSheetId="25">#REF!</definedName>
    <definedName name="QTY_24_Attutude_Girls" localSheetId="26">#REF!</definedName>
    <definedName name="QTY_24_Attutude_Girls" localSheetId="6">#REF!</definedName>
    <definedName name="QTY_24_Attutude_Girls">#REF!</definedName>
    <definedName name="QTY_24_Awesome" localSheetId="24">#REF!</definedName>
    <definedName name="QTY_24_Awesome" localSheetId="25">#REF!</definedName>
    <definedName name="QTY_24_Awesome" localSheetId="26">#REF!</definedName>
    <definedName name="QTY_24_Awesome" localSheetId="6">#REF!</definedName>
    <definedName name="QTY_24_Awesome">#REF!</definedName>
    <definedName name="QTY_24_Betrayal_Girls" localSheetId="24">#REF!</definedName>
    <definedName name="QTY_24_Betrayal_Girls" localSheetId="25">#REF!</definedName>
    <definedName name="QTY_24_Betrayal_Girls" localSheetId="26">#REF!</definedName>
    <definedName name="QTY_24_Betrayal_Girls" localSheetId="6">#REF!</definedName>
    <definedName name="QTY_24_Betrayal_Girls">#REF!</definedName>
    <definedName name="QTY_24_Denial_Boys" localSheetId="24">#REF!</definedName>
    <definedName name="QTY_24_Denial_Boys" localSheetId="25">#REF!</definedName>
    <definedName name="QTY_24_Denial_Boys" localSheetId="26">#REF!</definedName>
    <definedName name="QTY_24_Denial_Boys" localSheetId="6">#REF!</definedName>
    <definedName name="QTY_24_Denial_Boys">#REF!</definedName>
    <definedName name="QTY_24_Diva" localSheetId="24">#REF!</definedName>
    <definedName name="QTY_24_Diva" localSheetId="25">#REF!</definedName>
    <definedName name="QTY_24_Diva" localSheetId="26">#REF!</definedName>
    <definedName name="QTY_24_Diva" localSheetId="6">#REF!</definedName>
    <definedName name="QTY_24_Diva">#REF!</definedName>
    <definedName name="QTY_24_Figaro" localSheetId="24">#REF!</definedName>
    <definedName name="QTY_24_Figaro" localSheetId="25">#REF!</definedName>
    <definedName name="QTY_24_Figaro" localSheetId="26">#REF!</definedName>
    <definedName name="QTY_24_Figaro" localSheetId="6">#REF!</definedName>
    <definedName name="QTY_24_Figaro">#REF!</definedName>
    <definedName name="QTY_24_Force_Boys" localSheetId="24">#REF!</definedName>
    <definedName name="QTY_24_Force_Boys" localSheetId="25">#REF!</definedName>
    <definedName name="QTY_24_Force_Boys" localSheetId="26">#REF!</definedName>
    <definedName name="QTY_24_Force_Boys" localSheetId="6">#REF!</definedName>
    <definedName name="QTY_24_Force_Boys">#REF!</definedName>
    <definedName name="QTY_24_Krush" localSheetId="24">#REF!</definedName>
    <definedName name="QTY_24_Krush" localSheetId="25">#REF!</definedName>
    <definedName name="QTY_24_Krush" localSheetId="26">#REF!</definedName>
    <definedName name="QTY_24_Krush" localSheetId="6">#REF!</definedName>
    <definedName name="QTY_24_Krush">#REF!</definedName>
    <definedName name="QTY_24_Starz" localSheetId="24">#REF!</definedName>
    <definedName name="QTY_24_Starz" localSheetId="25">#REF!</definedName>
    <definedName name="QTY_24_Starz" localSheetId="26">#REF!</definedName>
    <definedName name="QTY_24_Starz" localSheetId="6">#REF!</definedName>
    <definedName name="QTY_24_Starz">#REF!</definedName>
    <definedName name="QTY_24_Velocity" localSheetId="24">#REF!</definedName>
    <definedName name="QTY_24_Velocity" localSheetId="25">#REF!</definedName>
    <definedName name="QTY_24_Velocity" localSheetId="26">#REF!</definedName>
    <definedName name="QTY_24_Velocity" localSheetId="6">#REF!</definedName>
    <definedName name="QTY_24_Velocity">#REF!</definedName>
    <definedName name="QTY_24_Wikid" localSheetId="24">#REF!</definedName>
    <definedName name="QTY_24_Wikid" localSheetId="25">#REF!</definedName>
    <definedName name="QTY_24_Wikid" localSheetId="26">#REF!</definedName>
    <definedName name="QTY_24_Wikid" localSheetId="6">#REF!</definedName>
    <definedName name="QTY_24_Wikid">#REF!</definedName>
    <definedName name="QTY_24Atlanta" localSheetId="24">#REF!</definedName>
    <definedName name="QTY_24Atlanta" localSheetId="25">#REF!</definedName>
    <definedName name="QTY_24Atlanta" localSheetId="26">#REF!</definedName>
    <definedName name="QTY_24Atlanta" localSheetId="6">#REF!</definedName>
    <definedName name="QTY_24Atlanta">#REF!</definedName>
    <definedName name="QTY_24DAKOTA" localSheetId="24">#REF!</definedName>
    <definedName name="QTY_24DAKOTA" localSheetId="25">#REF!</definedName>
    <definedName name="QTY_24DAKOTA" localSheetId="26">#REF!</definedName>
    <definedName name="QTY_24DAKOTA" localSheetId="6">#REF!</definedName>
    <definedName name="QTY_24DAKOTA">#REF!</definedName>
    <definedName name="QTY_24Daytona" localSheetId="24">#REF!</definedName>
    <definedName name="QTY_24Daytona" localSheetId="25">#REF!</definedName>
    <definedName name="QTY_24Daytona" localSheetId="26">#REF!</definedName>
    <definedName name="QTY_24Daytona" localSheetId="6">#REF!</definedName>
    <definedName name="QTY_24Daytona">#REF!</definedName>
    <definedName name="QTY_24Figaro" localSheetId="24">#REF!</definedName>
    <definedName name="QTY_24Figaro" localSheetId="25">#REF!</definedName>
    <definedName name="QTY_24Figaro" localSheetId="26">#REF!</definedName>
    <definedName name="QTY_24Figaro" localSheetId="6">#REF!</definedName>
    <definedName name="QTY_24Figaro">#REF!</definedName>
    <definedName name="QTY_24Milano" localSheetId="24">#REF!</definedName>
    <definedName name="QTY_24Milano" localSheetId="25">#REF!</definedName>
    <definedName name="QTY_24Milano" localSheetId="26">#REF!</definedName>
    <definedName name="QTY_24Milano" localSheetId="6">#REF!</definedName>
    <definedName name="QTY_24Milano">#REF!</definedName>
    <definedName name="QTY_24Roma" localSheetId="24">#REF!</definedName>
    <definedName name="QTY_24Roma" localSheetId="25">#REF!</definedName>
    <definedName name="QTY_24Roma" localSheetId="26">#REF!</definedName>
    <definedName name="QTY_24Roma" localSheetId="6">#REF!</definedName>
    <definedName name="QTY_24Roma">#REF!</definedName>
    <definedName name="QTY_26_14_Diva" localSheetId="24">#REF!</definedName>
    <definedName name="QTY_26_14_Diva" localSheetId="25">#REF!</definedName>
    <definedName name="QTY_26_14_Diva" localSheetId="26">#REF!</definedName>
    <definedName name="QTY_26_14_Diva" localSheetId="6">#REF!</definedName>
    <definedName name="QTY_26_14_Diva">#REF!</definedName>
    <definedName name="QTY_26_14_ExploreGents" localSheetId="24">#REF!</definedName>
    <definedName name="QTY_26_14_ExploreGents" localSheetId="25">#REF!</definedName>
    <definedName name="QTY_26_14_ExploreGents" localSheetId="26">#REF!</definedName>
    <definedName name="QTY_26_14_ExploreGents" localSheetId="6">#REF!</definedName>
    <definedName name="QTY_26_14_ExploreGents">#REF!</definedName>
    <definedName name="QTY_26_14_Gost_Ladies" localSheetId="24">#REF!</definedName>
    <definedName name="QTY_26_14_Gost_Ladies" localSheetId="25">#REF!</definedName>
    <definedName name="QTY_26_14_Gost_Ladies" localSheetId="26">#REF!</definedName>
    <definedName name="QTY_26_14_Gost_Ladies" localSheetId="6">#REF!</definedName>
    <definedName name="QTY_26_14_Gost_Ladies">#REF!</definedName>
    <definedName name="QTY_26_14_MT20" localSheetId="24">#REF!</definedName>
    <definedName name="QTY_26_14_MT20" localSheetId="25">#REF!</definedName>
    <definedName name="QTY_26_14_MT20" localSheetId="26">#REF!</definedName>
    <definedName name="QTY_26_14_MT20" localSheetId="6">#REF!</definedName>
    <definedName name="QTY_26_14_MT20">#REF!</definedName>
    <definedName name="QTY_26_14_MT20L" localSheetId="24">#REF!</definedName>
    <definedName name="QTY_26_14_MT20L" localSheetId="25">#REF!</definedName>
    <definedName name="QTY_26_14_MT20L" localSheetId="26">#REF!</definedName>
    <definedName name="QTY_26_14_MT20L" localSheetId="6">#REF!</definedName>
    <definedName name="QTY_26_14_MT20L">#REF!</definedName>
    <definedName name="QTY_26_14_RoamGents" localSheetId="24">#REF!</definedName>
    <definedName name="QTY_26_14_RoamGents" localSheetId="25">#REF!</definedName>
    <definedName name="QTY_26_14_RoamGents" localSheetId="26">#REF!</definedName>
    <definedName name="QTY_26_14_RoamGents" localSheetId="6">#REF!</definedName>
    <definedName name="QTY_26_14_RoamGents">#REF!</definedName>
    <definedName name="QTY_26_14_RoamLadies" localSheetId="24">#REF!</definedName>
    <definedName name="QTY_26_14_RoamLadies" localSheetId="25">#REF!</definedName>
    <definedName name="QTY_26_14_RoamLadies" localSheetId="26">#REF!</definedName>
    <definedName name="QTY_26_14_RoamLadies" localSheetId="6">#REF!</definedName>
    <definedName name="QTY_26_14_RoamLadies">#REF!</definedName>
    <definedName name="QTY_26_15_18_Figaro" localSheetId="24">#REF!</definedName>
    <definedName name="QTY_26_15_18_Figaro" localSheetId="25">#REF!</definedName>
    <definedName name="QTY_26_15_18_Figaro" localSheetId="26">#REF!</definedName>
    <definedName name="QTY_26_15_18_Figaro" localSheetId="6">#REF!</definedName>
    <definedName name="QTY_26_15_18_Figaro">#REF!</definedName>
    <definedName name="QTY_26_15_ExploreLadies" localSheetId="24">#REF!</definedName>
    <definedName name="QTY_26_15_ExploreLadies" localSheetId="25">#REF!</definedName>
    <definedName name="QTY_26_15_ExploreLadies" localSheetId="26">#REF!</definedName>
    <definedName name="QTY_26_15_ExploreLadies" localSheetId="6">#REF!</definedName>
    <definedName name="QTY_26_15_ExploreLadies">#REF!</definedName>
    <definedName name="QTY_26_15_Vista_ladies" localSheetId="24">#REF!</definedName>
    <definedName name="QTY_26_15_Vista_ladies" localSheetId="25">#REF!</definedName>
    <definedName name="QTY_26_15_Vista_ladies" localSheetId="26">#REF!</definedName>
    <definedName name="QTY_26_15_Vista_ladies" localSheetId="6">#REF!</definedName>
    <definedName name="QTY_26_15_Vista_ladies">#REF!</definedName>
    <definedName name="QTY_26_16_Alpine" localSheetId="24">#REF!</definedName>
    <definedName name="QTY_26_16_Alpine" localSheetId="25">#REF!</definedName>
    <definedName name="QTY_26_16_Alpine" localSheetId="26">#REF!</definedName>
    <definedName name="QTY_26_16_Alpine" localSheetId="6">#REF!</definedName>
    <definedName name="QTY_26_16_Alpine">#REF!</definedName>
    <definedName name="QTY_26_16_Alpine_Ladies" localSheetId="24">#REF!</definedName>
    <definedName name="QTY_26_16_Alpine_Ladies" localSheetId="25">#REF!</definedName>
    <definedName name="QTY_26_16_Alpine_Ladies" localSheetId="26">#REF!</definedName>
    <definedName name="QTY_26_16_Alpine_Ladies" localSheetId="6">#REF!</definedName>
    <definedName name="QTY_26_16_Alpine_Ladies">#REF!</definedName>
    <definedName name="QTY_26_17_ExploreGents" localSheetId="24">#REF!</definedName>
    <definedName name="QTY_26_17_ExploreGents" localSheetId="25">#REF!</definedName>
    <definedName name="QTY_26_17_ExploreGents" localSheetId="26">#REF!</definedName>
    <definedName name="QTY_26_17_ExploreGents" localSheetId="6">#REF!</definedName>
    <definedName name="QTY_26_17_ExploreGents">#REF!</definedName>
    <definedName name="QTY_26_17_ExploreLadies" localSheetId="24">#REF!</definedName>
    <definedName name="QTY_26_17_ExploreLadies" localSheetId="25">#REF!</definedName>
    <definedName name="QTY_26_17_ExploreLadies" localSheetId="26">#REF!</definedName>
    <definedName name="QTY_26_17_ExploreLadies" localSheetId="6">#REF!</definedName>
    <definedName name="QTY_26_17_ExploreLadies">#REF!</definedName>
    <definedName name="QTY_26_17_Gost_Gents" localSheetId="24">#REF!</definedName>
    <definedName name="QTY_26_17_Gost_Gents" localSheetId="25">#REF!</definedName>
    <definedName name="QTY_26_17_Gost_Gents" localSheetId="26">#REF!</definedName>
    <definedName name="QTY_26_17_Gost_Gents" localSheetId="6">#REF!</definedName>
    <definedName name="QTY_26_17_Gost_Gents">#REF!</definedName>
    <definedName name="QTY_26_17_Gost_Ladies" localSheetId="24">#REF!</definedName>
    <definedName name="QTY_26_17_Gost_Ladies" localSheetId="25">#REF!</definedName>
    <definedName name="QTY_26_17_Gost_Ladies" localSheetId="26">#REF!</definedName>
    <definedName name="QTY_26_17_Gost_Ladies" localSheetId="6">#REF!</definedName>
    <definedName name="QTY_26_17_Gost_Ladies">#REF!</definedName>
    <definedName name="QTY_26_17_MT10G" localSheetId="24">#REF!</definedName>
    <definedName name="QTY_26_17_MT10G" localSheetId="25">#REF!</definedName>
    <definedName name="QTY_26_17_MT10G" localSheetId="26">#REF!</definedName>
    <definedName name="QTY_26_17_MT10G" localSheetId="6">#REF!</definedName>
    <definedName name="QTY_26_17_MT10G">#REF!</definedName>
    <definedName name="QTY_26_17_RoamGents" localSheetId="24">#REF!</definedName>
    <definedName name="QTY_26_17_RoamGents" localSheetId="25">#REF!</definedName>
    <definedName name="QTY_26_17_RoamGents" localSheetId="26">#REF!</definedName>
    <definedName name="QTY_26_17_RoamGents" localSheetId="6">#REF!</definedName>
    <definedName name="QTY_26_17_RoamGents">#REF!</definedName>
    <definedName name="QTY_26_17_RoamLadies" localSheetId="24">#REF!</definedName>
    <definedName name="QTY_26_17_RoamLadies" localSheetId="25">#REF!</definedName>
    <definedName name="QTY_26_17_RoamLadies" localSheetId="26">#REF!</definedName>
    <definedName name="QTY_26_17_RoamLadies" localSheetId="6">#REF!</definedName>
    <definedName name="QTY_26_17_RoamLadies">#REF!</definedName>
    <definedName name="QTY_26_18_21_Daytona" localSheetId="24">#REF!</definedName>
    <definedName name="QTY_26_18_21_Daytona" localSheetId="25">#REF!</definedName>
    <definedName name="QTY_26_18_21_Daytona" localSheetId="26">#REF!</definedName>
    <definedName name="QTY_26_18_21_Daytona" localSheetId="6">#REF!</definedName>
    <definedName name="QTY_26_18_21_Daytona">#REF!</definedName>
    <definedName name="QTY_26_18_Roma" localSheetId="24">#REF!</definedName>
    <definedName name="QTY_26_18_Roma" localSheetId="25">#REF!</definedName>
    <definedName name="QTY_26_18_Roma" localSheetId="26">#REF!</definedName>
    <definedName name="QTY_26_18_Roma" localSheetId="6">#REF!</definedName>
    <definedName name="QTY_26_18_Roma">#REF!</definedName>
    <definedName name="QTY_26_18_Suspense_Gents" localSheetId="24">#REF!</definedName>
    <definedName name="QTY_26_18_Suspense_Gents" localSheetId="25">#REF!</definedName>
    <definedName name="QTY_26_18_Suspense_Gents" localSheetId="26">#REF!</definedName>
    <definedName name="QTY_26_18_Suspense_Gents" localSheetId="6">#REF!</definedName>
    <definedName name="QTY_26_18_Suspense_Gents">#REF!</definedName>
    <definedName name="QTY_26_18_Vista_Ladies" localSheetId="24">#REF!</definedName>
    <definedName name="QTY_26_18_Vista_Ladies" localSheetId="25">#REF!</definedName>
    <definedName name="QTY_26_18_Vista_Ladies" localSheetId="26">#REF!</definedName>
    <definedName name="QTY_26_18_Vista_Ladies" localSheetId="6">#REF!</definedName>
    <definedName name="QTY_26_18_Vista_Ladies">#REF!</definedName>
    <definedName name="QTY_26_19_Blackout_Gents" localSheetId="24">#REF!</definedName>
    <definedName name="QTY_26_19_Blackout_Gents" localSheetId="25">#REF!</definedName>
    <definedName name="QTY_26_19_Blackout_Gents" localSheetId="26">#REF!</definedName>
    <definedName name="QTY_26_19_Blackout_Gents" localSheetId="6">#REF!</definedName>
    <definedName name="QTY_26_19_Blackout_Gents">#REF!</definedName>
    <definedName name="QTY_26_19_Claw" localSheetId="24">#REF!</definedName>
    <definedName name="QTY_26_19_Claw" localSheetId="25">#REF!</definedName>
    <definedName name="QTY_26_19_Claw" localSheetId="26">#REF!</definedName>
    <definedName name="QTY_26_19_Claw" localSheetId="6">#REF!</definedName>
    <definedName name="QTY_26_19_Claw">#REF!</definedName>
    <definedName name="QTY_26_19_Claw_Gents" localSheetId="24">#REF!</definedName>
    <definedName name="QTY_26_19_Claw_Gents" localSheetId="25">#REF!</definedName>
    <definedName name="QTY_26_19_Claw_Gents" localSheetId="26">#REF!</definedName>
    <definedName name="QTY_26_19_Claw_Gents" localSheetId="6">#REF!</definedName>
    <definedName name="QTY_26_19_Claw_Gents">#REF!</definedName>
    <definedName name="QTY_26_20_ExploreGents" localSheetId="24">#REF!</definedName>
    <definedName name="QTY_26_20_ExploreGents" localSheetId="25">#REF!</definedName>
    <definedName name="QTY_26_20_ExploreGents" localSheetId="26">#REF!</definedName>
    <definedName name="QTY_26_20_ExploreGents" localSheetId="6">#REF!</definedName>
    <definedName name="QTY_26_20_ExploreGents">#REF!</definedName>
    <definedName name="QTY_26_20_ExploreLadies" localSheetId="24">#REF!</definedName>
    <definedName name="QTY_26_20_ExploreLadies" localSheetId="25">#REF!</definedName>
    <definedName name="QTY_26_20_ExploreLadies" localSheetId="26">#REF!</definedName>
    <definedName name="QTY_26_20_ExploreLadies" localSheetId="6">#REF!</definedName>
    <definedName name="QTY_26_20_ExploreLadies">#REF!</definedName>
    <definedName name="QTY_26_20_Gost_Gents" localSheetId="24">#REF!</definedName>
    <definedName name="QTY_26_20_Gost_Gents" localSheetId="25">#REF!</definedName>
    <definedName name="QTY_26_20_Gost_Gents" localSheetId="26">#REF!</definedName>
    <definedName name="QTY_26_20_Gost_Gents" localSheetId="6">#REF!</definedName>
    <definedName name="QTY_26_20_Gost_Gents">#REF!</definedName>
    <definedName name="QTY_26_20_MT10G" localSheetId="24">#REF!</definedName>
    <definedName name="QTY_26_20_MT10G" localSheetId="25">#REF!</definedName>
    <definedName name="QTY_26_20_MT10G" localSheetId="26">#REF!</definedName>
    <definedName name="QTY_26_20_MT10G" localSheetId="6">#REF!</definedName>
    <definedName name="QTY_26_20_MT10G">#REF!</definedName>
    <definedName name="QTY_26_20_RoamGents" localSheetId="24">#REF!</definedName>
    <definedName name="QTY_26_20_RoamGents" localSheetId="25">#REF!</definedName>
    <definedName name="QTY_26_20_RoamGents" localSheetId="26">#REF!</definedName>
    <definedName name="QTY_26_20_RoamGents" localSheetId="6">#REF!</definedName>
    <definedName name="QTY_26_20_RoamGents">#REF!</definedName>
    <definedName name="QTY_26_20_RoamLadies" localSheetId="24">#REF!</definedName>
    <definedName name="QTY_26_20_RoamLadies" localSheetId="25">#REF!</definedName>
    <definedName name="QTY_26_20_RoamLadies" localSheetId="26">#REF!</definedName>
    <definedName name="QTY_26_20_RoamLadies" localSheetId="6">#REF!</definedName>
    <definedName name="QTY_26_20_RoamLadies">#REF!</definedName>
    <definedName name="QTY_26_21_Atlanta" localSheetId="24">#REF!</definedName>
    <definedName name="QTY_26_21_Atlanta" localSheetId="25">#REF!</definedName>
    <definedName name="QTY_26_21_Atlanta" localSheetId="26">#REF!</definedName>
    <definedName name="QTY_26_21_Atlanta" localSheetId="6">#REF!</definedName>
    <definedName name="QTY_26_21_Atlanta">#REF!</definedName>
    <definedName name="QTY_26_21_Daytona" localSheetId="24">#REF!</definedName>
    <definedName name="QTY_26_21_Daytona" localSheetId="25">#REF!</definedName>
    <definedName name="QTY_26_21_Daytona" localSheetId="26">#REF!</definedName>
    <definedName name="QTY_26_21_Daytona" localSheetId="6">#REF!</definedName>
    <definedName name="QTY_26_21_Daytona">#REF!</definedName>
    <definedName name="QTY_26_21_Manic_Gents" localSheetId="24">#REF!</definedName>
    <definedName name="QTY_26_21_Manic_Gents" localSheetId="25">#REF!</definedName>
    <definedName name="QTY_26_21_Manic_Gents" localSheetId="26">#REF!</definedName>
    <definedName name="QTY_26_21_Manic_Gents" localSheetId="6">#REF!</definedName>
    <definedName name="QTY_26_21_Manic_Gents">#REF!</definedName>
    <definedName name="QTY_26_DAYTONA" localSheetId="24">#REF!</definedName>
    <definedName name="QTY_26_DAYTONA" localSheetId="25">#REF!</definedName>
    <definedName name="QTY_26_DAYTONA" localSheetId="26">#REF!</definedName>
    <definedName name="QTY_26_DAYTONA" localSheetId="6">#REF!</definedName>
    <definedName name="QTY_26_DAYTONA">#REF!</definedName>
    <definedName name="QTY_26_Drift_G" localSheetId="24">#REF!</definedName>
    <definedName name="QTY_26_Drift_G" localSheetId="25">#REF!</definedName>
    <definedName name="QTY_26_Drift_G" localSheetId="26">#REF!</definedName>
    <definedName name="QTY_26_Drift_G" localSheetId="6">#REF!</definedName>
    <definedName name="QTY_26_Drift_G">#REF!</definedName>
    <definedName name="QTY_26_Drift_L" localSheetId="24">#REF!</definedName>
    <definedName name="QTY_26_Drift_L" localSheetId="25">#REF!</definedName>
    <definedName name="QTY_26_Drift_L" localSheetId="26">#REF!</definedName>
    <definedName name="QTY_26_Drift_L" localSheetId="6">#REF!</definedName>
    <definedName name="QTY_26_Drift_L">#REF!</definedName>
    <definedName name="QTY_26_DriftsGents" localSheetId="24">#REF!</definedName>
    <definedName name="QTY_26_DriftsGents" localSheetId="25">#REF!</definedName>
    <definedName name="QTY_26_DriftsGents" localSheetId="26">#REF!</definedName>
    <definedName name="QTY_26_DriftsGents" localSheetId="6">#REF!</definedName>
    <definedName name="QTY_26_DriftsGents">#REF!</definedName>
    <definedName name="QTY_26_DriftsLadies" localSheetId="24">#REF!</definedName>
    <definedName name="QTY_26_DriftsLadies" localSheetId="25">#REF!</definedName>
    <definedName name="QTY_26_DriftsLadies" localSheetId="26">#REF!</definedName>
    <definedName name="QTY_26_DriftsLadies" localSheetId="6">#REF!</definedName>
    <definedName name="QTY_26_DriftsLadies">#REF!</definedName>
    <definedName name="QTY_26_M_10_L" localSheetId="24">#REF!</definedName>
    <definedName name="QTY_26_M_10_L" localSheetId="25">#REF!</definedName>
    <definedName name="QTY_26_M_10_L" localSheetId="26">#REF!</definedName>
    <definedName name="QTY_26_M_10_L" localSheetId="6">#REF!</definedName>
    <definedName name="QTY_26_M_10_L">#REF!</definedName>
    <definedName name="QTY_26_Manic_Gents" localSheetId="24">#REF!</definedName>
    <definedName name="QTY_26_Manic_Gents" localSheetId="25">#REF!</definedName>
    <definedName name="QTY_26_Manic_Gents" localSheetId="26">#REF!</definedName>
    <definedName name="QTY_26_Manic_Gents" localSheetId="6">#REF!</definedName>
    <definedName name="QTY_26_Manic_Gents">#REF!</definedName>
    <definedName name="QTY_26_MT_10_G" localSheetId="24">#REF!</definedName>
    <definedName name="QTY_26_MT_10_G" localSheetId="25">#REF!</definedName>
    <definedName name="QTY_26_MT_10_G" localSheetId="26">#REF!</definedName>
    <definedName name="QTY_26_MT_10_G" localSheetId="6">#REF!</definedName>
    <definedName name="QTY_26_MT_10_G">#REF!</definedName>
    <definedName name="QTY_26_MT10_G" localSheetId="24">#REF!</definedName>
    <definedName name="QTY_26_MT10_G" localSheetId="25">#REF!</definedName>
    <definedName name="QTY_26_MT10_G" localSheetId="26">#REF!</definedName>
    <definedName name="QTY_26_MT10_G" localSheetId="6">#REF!</definedName>
    <definedName name="QTY_26_MT10_G">#REF!</definedName>
    <definedName name="QTY_26_MT10G" localSheetId="24">#REF!</definedName>
    <definedName name="QTY_26_MT10G" localSheetId="25">#REF!</definedName>
    <definedName name="QTY_26_MT10G" localSheetId="26">#REF!</definedName>
    <definedName name="QTY_26_MT10G" localSheetId="6">#REF!</definedName>
    <definedName name="QTY_26_MT10G">#REF!</definedName>
    <definedName name="QTY_26_pirate" localSheetId="24">#REF!</definedName>
    <definedName name="QTY_26_pirate" localSheetId="25">#REF!</definedName>
    <definedName name="QTY_26_pirate" localSheetId="26">#REF!</definedName>
    <definedName name="QTY_26_pirate" localSheetId="6">#REF!</definedName>
    <definedName name="QTY_26_pirate">#REF!</definedName>
    <definedName name="QTY_26Atlanta" localSheetId="24">#REF!</definedName>
    <definedName name="QTY_26Atlanta" localSheetId="25">#REF!</definedName>
    <definedName name="QTY_26Atlanta" localSheetId="26">#REF!</definedName>
    <definedName name="QTY_26Atlanta" localSheetId="6">#REF!</definedName>
    <definedName name="QTY_26Atlanta">#REF!</definedName>
    <definedName name="QTY_26Dakota" localSheetId="24">#REF!</definedName>
    <definedName name="QTY_26Dakota" localSheetId="25">#REF!</definedName>
    <definedName name="QTY_26Dakota" localSheetId="26">#REF!</definedName>
    <definedName name="QTY_26Dakota" localSheetId="6">#REF!</definedName>
    <definedName name="QTY_26Dakota">#REF!</definedName>
    <definedName name="QTY_26DAytona" localSheetId="24">#REF!</definedName>
    <definedName name="QTY_26DAytona" localSheetId="25">#REF!</definedName>
    <definedName name="QTY_26DAytona" localSheetId="26">#REF!</definedName>
    <definedName name="QTY_26DAytona" localSheetId="6">#REF!</definedName>
    <definedName name="QTY_26DAytona">#REF!</definedName>
    <definedName name="QTY_26Figaro" localSheetId="24">#REF!</definedName>
    <definedName name="QTY_26Figaro" localSheetId="25">#REF!</definedName>
    <definedName name="QTY_26Figaro" localSheetId="26">#REF!</definedName>
    <definedName name="QTY_26Figaro" localSheetId="6">#REF!</definedName>
    <definedName name="QTY_26Figaro">#REF!</definedName>
    <definedName name="QTY_26Milano" localSheetId="24">#REF!</definedName>
    <definedName name="QTY_26Milano" localSheetId="25">#REF!</definedName>
    <definedName name="QTY_26Milano" localSheetId="26">#REF!</definedName>
    <definedName name="QTY_26Milano" localSheetId="6">#REF!</definedName>
    <definedName name="QTY_26Milano">#REF!</definedName>
    <definedName name="QTY_26Roma" localSheetId="24">#REF!</definedName>
    <definedName name="QTY_26Roma" localSheetId="25">#REF!</definedName>
    <definedName name="QTY_26Roma" localSheetId="26">#REF!</definedName>
    <definedName name="QTY_26Roma" localSheetId="6">#REF!</definedName>
    <definedName name="QTY_26Roma">#REF!</definedName>
    <definedName name="QTY_28_Duranta_Classic" localSheetId="24">#REF!</definedName>
    <definedName name="QTY_28_Duranta_Classic" localSheetId="25">#REF!</definedName>
    <definedName name="QTY_28_Duranta_Classic" localSheetId="26">#REF!</definedName>
    <definedName name="QTY_28_Duranta_Classic" localSheetId="6">#REF!</definedName>
    <definedName name="QTY_28_Duranta_Classic">#REF!</definedName>
    <definedName name="QTY_700C_ACERoad" localSheetId="24">#REF!</definedName>
    <definedName name="QTY_700C_ACERoad" localSheetId="25">#REF!</definedName>
    <definedName name="QTY_700C_ACERoad" localSheetId="26">#REF!</definedName>
    <definedName name="QTY_700C_ACERoad" localSheetId="6">#REF!</definedName>
    <definedName name="QTY_700C_ACERoad">#REF!</definedName>
    <definedName name="QTY_Kraze" localSheetId="24">#REF!</definedName>
    <definedName name="QTY_Kraze" localSheetId="25">#REF!</definedName>
    <definedName name="QTY_Kraze" localSheetId="26">#REF!</definedName>
    <definedName name="QTY_Kraze" localSheetId="6">#REF!</definedName>
    <definedName name="QTY_Kraze">#REF!</definedName>
    <definedName name="QTY_MAX_24" localSheetId="24">#REF!</definedName>
    <definedName name="QTY_MAX_24" localSheetId="25">#REF!</definedName>
    <definedName name="QTY_MAX_24" localSheetId="26">#REF!</definedName>
    <definedName name="QTY_MAX_24" localSheetId="6">#REF!</definedName>
    <definedName name="QTY_MAX_24">#REF!</definedName>
    <definedName name="QTY_MAX24_F_set" localSheetId="24">#REF!</definedName>
    <definedName name="QTY_MAX24_F_set" localSheetId="25">#REF!</definedName>
    <definedName name="QTY_MAX24_F_set" localSheetId="26">#REF!</definedName>
    <definedName name="QTY_MAX24_F_set" localSheetId="6">#REF!</definedName>
    <definedName name="QTY_MAX24_F_set">#REF!</definedName>
    <definedName name="QTY_maxst_24st" localSheetId="24">#REF!</definedName>
    <definedName name="QTY_maxst_24st" localSheetId="25">#REF!</definedName>
    <definedName name="QTY_maxst_24st" localSheetId="26">#REF!</definedName>
    <definedName name="QTY_maxst_24st" localSheetId="6">#REF!</definedName>
    <definedName name="QTY_maxst_24st">#REF!</definedName>
    <definedName name="QTY_MT10_26_17" localSheetId="24">#REF!</definedName>
    <definedName name="QTY_MT10_26_17" localSheetId="25">#REF!</definedName>
    <definedName name="QTY_MT10_26_17" localSheetId="26">#REF!</definedName>
    <definedName name="QTY_MT10_26_17" localSheetId="6">#REF!</definedName>
    <definedName name="QTY_MT10_26_17">#REF!</definedName>
    <definedName name="QTY_MT10_26_20" localSheetId="24">#REF!</definedName>
    <definedName name="QTY_MT10_26_20" localSheetId="25">#REF!</definedName>
    <definedName name="QTY_MT10_26_20" localSheetId="26">#REF!</definedName>
    <definedName name="QTY_MT10_26_20" localSheetId="6">#REF!</definedName>
    <definedName name="QTY_MT10_26_20">#REF!</definedName>
    <definedName name="QTY_MT20G" localSheetId="24">#REF!</definedName>
    <definedName name="QTY_MT20G" localSheetId="25">#REF!</definedName>
    <definedName name="QTY_MT20G" localSheetId="26">#REF!</definedName>
    <definedName name="QTY_MT20G" localSheetId="6">#REF!</definedName>
    <definedName name="QTY_MT20G">#REF!</definedName>
    <definedName name="QTY_MT20L" localSheetId="24">#REF!</definedName>
    <definedName name="QTY_MT20L" localSheetId="25">#REF!</definedName>
    <definedName name="QTY_MT20L" localSheetId="26">#REF!</definedName>
    <definedName name="QTY_MT20L" localSheetId="6">#REF!</definedName>
    <definedName name="QTY_MT20L">#REF!</definedName>
    <definedName name="QTY_mx24st_fset" localSheetId="24">#REF!</definedName>
    <definedName name="QTY_mx24st_fset" localSheetId="25">#REF!</definedName>
    <definedName name="QTY_mx24st_fset" localSheetId="26">#REF!</definedName>
    <definedName name="QTY_mx24st_fset" localSheetId="6">#REF!</definedName>
    <definedName name="QTY_mx24st_fset">#REF!</definedName>
    <definedName name="QTY_Storm" localSheetId="24">#REF!</definedName>
    <definedName name="QTY_Storm" localSheetId="25">#REF!</definedName>
    <definedName name="QTY_Storm" localSheetId="26">#REF!</definedName>
    <definedName name="QTY_Storm" localSheetId="6">#REF!</definedName>
    <definedName name="QTY_Storm">#REF!</definedName>
    <definedName name="QTY_Viper" localSheetId="24">#REF!</definedName>
    <definedName name="QTY_Viper" localSheetId="25">#REF!</definedName>
    <definedName name="QTY_Viper" localSheetId="26">#REF!</definedName>
    <definedName name="QTY_Viper" localSheetId="6">#REF!</definedName>
    <definedName name="QTY_Viper">#REF!</definedName>
    <definedName name="QTY_Volt" localSheetId="24">#REF!</definedName>
    <definedName name="QTY_Volt" localSheetId="25">#REF!</definedName>
    <definedName name="QTY_Volt" localSheetId="26">#REF!</definedName>
    <definedName name="QTY_Volt" localSheetId="6">#REF!</definedName>
    <definedName name="QTY_Volt">#REF!</definedName>
    <definedName name="QTY_Warp" localSheetId="24">#REF!</definedName>
    <definedName name="QTY_Warp" localSheetId="25">#REF!</definedName>
    <definedName name="QTY_Warp" localSheetId="26">#REF!</definedName>
    <definedName name="QTY_Warp" localSheetId="6">#REF!</definedName>
    <definedName name="QTY_Warp">#REF!</definedName>
    <definedName name="QTY_WAve" localSheetId="24">#REF!</definedName>
    <definedName name="QTY_WAve" localSheetId="25">#REF!</definedName>
    <definedName name="QTY_WAve" localSheetId="26">#REF!</definedName>
    <definedName name="QTY_WAve" localSheetId="6">#REF!</definedName>
    <definedName name="QTY_WAve">#REF!</definedName>
    <definedName name="qw" localSheetId="24">#REF!</definedName>
    <definedName name="qw" localSheetId="25">#REF!</definedName>
    <definedName name="qw" localSheetId="26">#REF!</definedName>
    <definedName name="qw" localSheetId="6">#REF!</definedName>
    <definedName name="qw">#REF!</definedName>
    <definedName name="rty" localSheetId="24">#REF!</definedName>
    <definedName name="rty" localSheetId="25">#REF!</definedName>
    <definedName name="rty" localSheetId="26">#REF!</definedName>
    <definedName name="rty" localSheetId="6">#REF!</definedName>
    <definedName name="rty">#REF!</definedName>
    <definedName name="Sched_Pay">'[2]Loan Amortization Schedule'!$D$18:$D$497</definedName>
    <definedName name="Scheduled_Extra_Payments">'[2]Loan Amortization Schedule'!$D$10</definedName>
    <definedName name="Scheduled_Interest_Rate" localSheetId="24">#REF!</definedName>
    <definedName name="Scheduled_Interest_Rate" localSheetId="25">#REF!</definedName>
    <definedName name="Scheduled_Interest_Rate" localSheetId="26">#REF!</definedName>
    <definedName name="Scheduled_Interest_Rate" localSheetId="6">#REF!</definedName>
    <definedName name="Scheduled_Interest_Rate">#REF!</definedName>
    <definedName name="Scheduled_Monthly_Payment">'[2]Loan Amortization Schedule'!$J$5</definedName>
    <definedName name="Total_Interest" localSheetId="24">#REF!</definedName>
    <definedName name="Total_Interest" localSheetId="25">#REF!</definedName>
    <definedName name="Total_Interest" localSheetId="26">#REF!</definedName>
    <definedName name="Total_Interest" localSheetId="6">#REF!</definedName>
    <definedName name="Total_Interest">#REF!</definedName>
    <definedName name="Total_Pay">'[2]Loan Amortization Schedule'!$F$18:$F$497</definedName>
    <definedName name="Total_Payment" localSheetId="24">Scheduled_Payment+Extra_Payment</definedName>
    <definedName name="Total_Payment" localSheetId="25">Scheduled_Payment+Extra_Payment</definedName>
    <definedName name="Total_Payment" localSheetId="26">Scheduled_Payment+Extra_Payment</definedName>
    <definedName name="Total_Payment" localSheetId="6">Scheduled_Payment+Extra_Payment</definedName>
    <definedName name="Total_Payment">Scheduled_Payment+Extra_Payment</definedName>
    <definedName name="TotalLoanCost">'[3]SJIBL Term'!$H$7</definedName>
    <definedName name="trt">#N/A</definedName>
    <definedName name="uo" localSheetId="24">#REF!</definedName>
    <definedName name="uo" localSheetId="25">#REF!</definedName>
    <definedName name="uo" localSheetId="26">#REF!</definedName>
    <definedName name="uo" localSheetId="6">#REF!</definedName>
    <definedName name="uo">#REF!</definedName>
    <definedName name="USDIndent">[1]Rate!$E$18</definedName>
    <definedName name="USDRate">[1]Rate!$E$5</definedName>
    <definedName name="Values_Entered">IF(Loan_Amount*Interest_Rate*Loan_Years*Loan_Start&gt;0,1,0)</definedName>
    <definedName name="valuevx">42.314159</definedName>
    <definedName name="vertex42_copyright" hidden="1">"© 2008-2019 Vertex42 LLC"</definedName>
    <definedName name="vertex42_id" hidden="1">"loan-amortization-schedule.xlsx"</definedName>
    <definedName name="vertex42_title" hidden="1">"Loan Amortization Schedule"</definedName>
    <definedName name="w" localSheetId="24">#REF!</definedName>
    <definedName name="w" localSheetId="25">#REF!</definedName>
    <definedName name="w" localSheetId="26">#REF!</definedName>
    <definedName name="w" localSheetId="6">#REF!</definedName>
    <definedName name="w">#REF!</definedName>
    <definedName name="wwww" localSheetId="24">#REF!</definedName>
    <definedName name="wwww" localSheetId="25">#REF!</definedName>
    <definedName name="wwww" localSheetId="26">#REF!</definedName>
    <definedName name="wwww" localSheetId="6">#REF!</definedName>
    <definedName name="wwww">#REF!</definedName>
    <definedName name="xxxxx" localSheetId="24">#REF!</definedName>
    <definedName name="xxxxx" localSheetId="25">#REF!</definedName>
    <definedName name="xxxxx" localSheetId="26">#REF!</definedName>
    <definedName name="xxxxx" localSheetId="6">#REF!</definedName>
    <definedName name="xxxxx">#REF!</definedName>
    <definedName name="yui" localSheetId="24">#REF!</definedName>
    <definedName name="yui" localSheetId="25">#REF!</definedName>
    <definedName name="yui" localSheetId="26">#REF!</definedName>
    <definedName name="yui" localSheetId="6">#REF!</definedName>
    <definedName name="yui">#REF!</definedName>
    <definedName name="产品名称" localSheetId="24">#REF!</definedName>
    <definedName name="产品名称" localSheetId="25">#REF!</definedName>
    <definedName name="产品名称" localSheetId="26">#REF!</definedName>
    <definedName name="产品名称" localSheetId="6">#REF!</definedName>
    <definedName name="产品名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96" l="1"/>
  <c r="C26" i="96"/>
  <c r="AE45" i="93"/>
  <c r="AE44" i="93"/>
  <c r="R37" i="93"/>
  <c r="S37" i="93" s="1"/>
  <c r="T37" i="93" s="1"/>
  <c r="R38" i="93"/>
  <c r="S38" i="93" s="1"/>
  <c r="T38" i="93" s="1"/>
  <c r="R36" i="93"/>
  <c r="S36" i="93" s="1"/>
  <c r="T36" i="93" s="1"/>
  <c r="R35" i="93"/>
  <c r="S35" i="93" s="1"/>
  <c r="R33" i="93"/>
  <c r="R32" i="93"/>
  <c r="S32" i="93" s="1"/>
  <c r="T32" i="93" s="1"/>
  <c r="R31" i="93"/>
  <c r="R27" i="93"/>
  <c r="S27" i="93" s="1"/>
  <c r="T27" i="93" s="1"/>
  <c r="R28" i="93"/>
  <c r="R29" i="93"/>
  <c r="S29" i="93" s="1"/>
  <c r="T29" i="93" s="1"/>
  <c r="R26" i="93"/>
  <c r="S26" i="93" s="1"/>
  <c r="T26" i="93" s="1"/>
  <c r="R25" i="93"/>
  <c r="S25" i="93" s="1"/>
  <c r="R22" i="93"/>
  <c r="R23" i="93"/>
  <c r="R21" i="93"/>
  <c r="S21" i="93" s="1"/>
  <c r="T21" i="93" s="1"/>
  <c r="R20" i="93"/>
  <c r="S20" i="93" s="1"/>
  <c r="R17" i="93"/>
  <c r="R18" i="93"/>
  <c r="R16" i="93"/>
  <c r="S16" i="93" s="1"/>
  <c r="T16" i="93" s="1"/>
  <c r="R15" i="93"/>
  <c r="S15" i="93" s="1"/>
  <c r="R13" i="93"/>
  <c r="R12" i="93"/>
  <c r="S12" i="93" s="1"/>
  <c r="T12" i="93" s="1"/>
  <c r="R11" i="93"/>
  <c r="C100" i="97"/>
  <c r="C89" i="97"/>
  <c r="C77" i="97"/>
  <c r="C47" i="97"/>
  <c r="AD12" i="93"/>
  <c r="AD13" i="93"/>
  <c r="AD15" i="93"/>
  <c r="AD16" i="93"/>
  <c r="AD17" i="93"/>
  <c r="AD18" i="93"/>
  <c r="AD20" i="93"/>
  <c r="AD21" i="93"/>
  <c r="AD22" i="93"/>
  <c r="AD23" i="93"/>
  <c r="AD25" i="93"/>
  <c r="AD26" i="93"/>
  <c r="AD27" i="93"/>
  <c r="AD28" i="93"/>
  <c r="AD29" i="93"/>
  <c r="AD31" i="93"/>
  <c r="AD32" i="93"/>
  <c r="AD33" i="93"/>
  <c r="AD35" i="93"/>
  <c r="AD36" i="93"/>
  <c r="AD37" i="93"/>
  <c r="AD38" i="93"/>
  <c r="AD11" i="93"/>
  <c r="P12" i="93"/>
  <c r="P13" i="93"/>
  <c r="P15" i="93"/>
  <c r="P17" i="93"/>
  <c r="P20" i="93"/>
  <c r="P21" i="93"/>
  <c r="P22" i="93"/>
  <c r="P23" i="93"/>
  <c r="P26" i="93"/>
  <c r="P27" i="93"/>
  <c r="AI27" i="93" s="1"/>
  <c r="P28" i="93"/>
  <c r="AI28" i="93" s="1"/>
  <c r="P35" i="93"/>
  <c r="AI35" i="93" s="1"/>
  <c r="P37" i="93"/>
  <c r="P38" i="93"/>
  <c r="P11" i="93"/>
  <c r="V12" i="93"/>
  <c r="W12" i="93"/>
  <c r="V13" i="93"/>
  <c r="W13" i="93"/>
  <c r="V15" i="93"/>
  <c r="W15" i="93"/>
  <c r="V16" i="93"/>
  <c r="W16" i="93"/>
  <c r="V17" i="93"/>
  <c r="W17" i="93"/>
  <c r="V18" i="93"/>
  <c r="W18" i="93"/>
  <c r="V20" i="93"/>
  <c r="W20" i="93"/>
  <c r="V21" i="93"/>
  <c r="W21" i="93"/>
  <c r="V22" i="93"/>
  <c r="W22" i="93"/>
  <c r="V23" i="93"/>
  <c r="W23" i="93"/>
  <c r="V25" i="93"/>
  <c r="W25" i="93"/>
  <c r="V26" i="93"/>
  <c r="W26" i="93"/>
  <c r="V27" i="93"/>
  <c r="W27" i="93"/>
  <c r="V28" i="93"/>
  <c r="W28" i="93"/>
  <c r="V29" i="93"/>
  <c r="W29" i="93"/>
  <c r="V31" i="93"/>
  <c r="W31" i="93"/>
  <c r="V32" i="93"/>
  <c r="W32" i="93"/>
  <c r="V33" i="93"/>
  <c r="W33" i="93"/>
  <c r="V35" i="93"/>
  <c r="W35" i="93"/>
  <c r="V36" i="93"/>
  <c r="W36" i="93"/>
  <c r="V37" i="93"/>
  <c r="W37" i="93"/>
  <c r="V38" i="93"/>
  <c r="W38" i="93"/>
  <c r="S13" i="93"/>
  <c r="T13" i="93" s="1"/>
  <c r="S17" i="93"/>
  <c r="T17" i="93" s="1"/>
  <c r="S18" i="93"/>
  <c r="T18" i="93" s="1"/>
  <c r="S22" i="93"/>
  <c r="T22" i="93" s="1"/>
  <c r="S23" i="93"/>
  <c r="T23" i="93" s="1"/>
  <c r="S28" i="93"/>
  <c r="T28" i="93" s="1"/>
  <c r="S31" i="93"/>
  <c r="S33" i="93"/>
  <c r="T33" i="93" s="1"/>
  <c r="C36" i="93"/>
  <c r="H36" i="93" s="1"/>
  <c r="C33" i="93"/>
  <c r="P33" i="93" s="1"/>
  <c r="C32" i="93"/>
  <c r="P32" i="93" s="1"/>
  <c r="C31" i="93"/>
  <c r="H31" i="93" s="1"/>
  <c r="C29" i="93"/>
  <c r="P29" i="93" s="1"/>
  <c r="C25" i="93"/>
  <c r="E25" i="93" s="1"/>
  <c r="F25" i="93" s="1"/>
  <c r="C18" i="93"/>
  <c r="I18" i="93" s="1"/>
  <c r="C16" i="93"/>
  <c r="E16" i="93" s="1"/>
  <c r="Q39" i="93"/>
  <c r="Q34" i="93"/>
  <c r="Q30" i="93"/>
  <c r="Q24" i="93"/>
  <c r="Q19" i="93"/>
  <c r="Q14" i="93"/>
  <c r="AD14" i="93" s="1"/>
  <c r="C24" i="93"/>
  <c r="P24" i="93" s="1"/>
  <c r="C14" i="93"/>
  <c r="P14" i="93" s="1"/>
  <c r="E12" i="93"/>
  <c r="F12" i="93" s="1"/>
  <c r="H12" i="93"/>
  <c r="I12" i="93"/>
  <c r="E13" i="93"/>
  <c r="F13" i="93" s="1"/>
  <c r="H13" i="93"/>
  <c r="I13" i="93"/>
  <c r="E15" i="93"/>
  <c r="F15" i="93" s="1"/>
  <c r="H15" i="93"/>
  <c r="I15" i="93"/>
  <c r="H16" i="93"/>
  <c r="E17" i="93"/>
  <c r="F17" i="93" s="1"/>
  <c r="H17" i="93"/>
  <c r="I17" i="93"/>
  <c r="E20" i="93"/>
  <c r="F20" i="93" s="1"/>
  <c r="H20" i="93"/>
  <c r="I20" i="93"/>
  <c r="E21" i="93"/>
  <c r="F21" i="93" s="1"/>
  <c r="H21" i="93"/>
  <c r="I21" i="93"/>
  <c r="E22" i="93"/>
  <c r="F22" i="93" s="1"/>
  <c r="H22" i="93"/>
  <c r="I22" i="93"/>
  <c r="E23" i="93"/>
  <c r="F23" i="93" s="1"/>
  <c r="H23" i="93"/>
  <c r="I23" i="93"/>
  <c r="E26" i="93"/>
  <c r="F26" i="93" s="1"/>
  <c r="H26" i="93"/>
  <c r="I26" i="93"/>
  <c r="E27" i="93"/>
  <c r="F27" i="93" s="1"/>
  <c r="H27" i="93"/>
  <c r="I27" i="93"/>
  <c r="E28" i="93"/>
  <c r="F28" i="93" s="1"/>
  <c r="H28" i="93"/>
  <c r="I28" i="93"/>
  <c r="E35" i="93"/>
  <c r="F35" i="93" s="1"/>
  <c r="H35" i="93"/>
  <c r="I35" i="93"/>
  <c r="E37" i="93"/>
  <c r="H37" i="93"/>
  <c r="I37" i="93"/>
  <c r="E38" i="93"/>
  <c r="F38" i="93" s="1"/>
  <c r="H38" i="93"/>
  <c r="I38" i="93"/>
  <c r="AE17" i="93" l="1"/>
  <c r="AE25" i="93"/>
  <c r="AE37" i="93"/>
  <c r="AE22" i="93"/>
  <c r="AE16" i="93"/>
  <c r="AE26" i="93"/>
  <c r="AE28" i="93"/>
  <c r="AE20" i="93"/>
  <c r="AE12" i="93"/>
  <c r="AE38" i="93"/>
  <c r="AE21" i="93"/>
  <c r="AE13" i="93"/>
  <c r="AI33" i="93"/>
  <c r="AI23" i="93"/>
  <c r="AE35" i="93"/>
  <c r="AE27" i="93"/>
  <c r="AE23" i="93"/>
  <c r="AE15" i="93"/>
  <c r="C101" i="97"/>
  <c r="E36" i="93"/>
  <c r="AE36" i="93" s="1"/>
  <c r="E29" i="93"/>
  <c r="AI26" i="93"/>
  <c r="H32" i="93"/>
  <c r="I31" i="93"/>
  <c r="AI17" i="93"/>
  <c r="E31" i="93"/>
  <c r="AI32" i="93"/>
  <c r="AI37" i="93"/>
  <c r="AI22" i="93"/>
  <c r="AI12" i="93"/>
  <c r="AI13" i="93"/>
  <c r="AI29" i="93"/>
  <c r="AI11" i="93"/>
  <c r="AI15" i="93"/>
  <c r="AI20" i="93"/>
  <c r="I33" i="93"/>
  <c r="AI38" i="93"/>
  <c r="AI21" i="93"/>
  <c r="AI14" i="93"/>
  <c r="P25" i="93"/>
  <c r="AI25" i="93" s="1"/>
  <c r="I25" i="93"/>
  <c r="C30" i="93"/>
  <c r="P30" i="93" s="1"/>
  <c r="P36" i="93"/>
  <c r="AI36" i="93" s="1"/>
  <c r="P16" i="93"/>
  <c r="AI16" i="93" s="1"/>
  <c r="AD34" i="93"/>
  <c r="H33" i="93"/>
  <c r="E33" i="93"/>
  <c r="H25" i="93"/>
  <c r="P31" i="93"/>
  <c r="AI31" i="93" s="1"/>
  <c r="C34" i="93"/>
  <c r="P34" i="93" s="1"/>
  <c r="P18" i="93"/>
  <c r="AI18" i="93" s="1"/>
  <c r="AD39" i="93"/>
  <c r="AD30" i="93"/>
  <c r="AD19" i="93"/>
  <c r="AD24" i="93"/>
  <c r="AI24" i="93" s="1"/>
  <c r="V30" i="93"/>
  <c r="W24" i="93"/>
  <c r="E32" i="93"/>
  <c r="AE32" i="93" s="1"/>
  <c r="H24" i="93"/>
  <c r="V39" i="93"/>
  <c r="V24" i="93"/>
  <c r="V19" i="93"/>
  <c r="W34" i="93"/>
  <c r="W19" i="93"/>
  <c r="W39" i="93"/>
  <c r="W30" i="93"/>
  <c r="I32" i="93"/>
  <c r="V34" i="93"/>
  <c r="S34" i="93"/>
  <c r="R34" i="93" s="1"/>
  <c r="T31" i="93"/>
  <c r="T34" i="93" s="1"/>
  <c r="T35" i="93"/>
  <c r="T39" i="93" s="1"/>
  <c r="S39" i="93"/>
  <c r="R39" i="93" s="1"/>
  <c r="S30" i="93"/>
  <c r="R30" i="93" s="1"/>
  <c r="T25" i="93"/>
  <c r="T30" i="93" s="1"/>
  <c r="S24" i="93"/>
  <c r="R24" i="93" s="1"/>
  <c r="T20" i="93"/>
  <c r="T24" i="93" s="1"/>
  <c r="T15" i="93"/>
  <c r="T19" i="93" s="1"/>
  <c r="S19" i="93"/>
  <c r="R19" i="93" s="1"/>
  <c r="I36" i="93"/>
  <c r="I39" i="93" s="1"/>
  <c r="I29" i="93"/>
  <c r="C39" i="93"/>
  <c r="P39" i="93" s="1"/>
  <c r="H29" i="93"/>
  <c r="I24" i="93"/>
  <c r="F24" i="93"/>
  <c r="H39" i="93"/>
  <c r="E24" i="93"/>
  <c r="Q40" i="93"/>
  <c r="E18" i="93"/>
  <c r="E30" i="93"/>
  <c r="H18" i="93"/>
  <c r="F16" i="93"/>
  <c r="C19" i="93"/>
  <c r="P19" i="93" s="1"/>
  <c r="I16" i="93"/>
  <c r="I19" i="93" s="1"/>
  <c r="F37" i="93"/>
  <c r="F36" i="93" l="1"/>
  <c r="E39" i="93"/>
  <c r="F32" i="93"/>
  <c r="AE39" i="93"/>
  <c r="AE30" i="93"/>
  <c r="F29" i="93"/>
  <c r="F30" i="93" s="1"/>
  <c r="AE29" i="93"/>
  <c r="F18" i="93"/>
  <c r="F19" i="93" s="1"/>
  <c r="AE18" i="93"/>
  <c r="D24" i="93"/>
  <c r="AE24" i="93"/>
  <c r="F33" i="93"/>
  <c r="F34" i="93" s="1"/>
  <c r="AE33" i="93"/>
  <c r="F31" i="93"/>
  <c r="AE31" i="93"/>
  <c r="H34" i="93"/>
  <c r="D30" i="93"/>
  <c r="AI19" i="93"/>
  <c r="I34" i="93"/>
  <c r="E34" i="93"/>
  <c r="I30" i="93"/>
  <c r="AI34" i="93"/>
  <c r="H30" i="93"/>
  <c r="AD40" i="93"/>
  <c r="AI30" i="93"/>
  <c r="P40" i="93"/>
  <c r="AI39" i="93"/>
  <c r="D39" i="93"/>
  <c r="C40" i="93"/>
  <c r="E19" i="93"/>
  <c r="F39" i="93"/>
  <c r="H19" i="93"/>
  <c r="W11" i="93"/>
  <c r="V11" i="93"/>
  <c r="D34" i="93" l="1"/>
  <c r="AE34" i="93"/>
  <c r="D19" i="93"/>
  <c r="AE19" i="93"/>
  <c r="AI40" i="93"/>
  <c r="W14" i="93"/>
  <c r="W40" i="93" s="1"/>
  <c r="V14" i="93"/>
  <c r="V40" i="93" s="1"/>
  <c r="I11" i="93" l="1"/>
  <c r="I14" i="93" s="1"/>
  <c r="I40" i="93" s="1"/>
  <c r="H11" i="93"/>
  <c r="H14" i="93" s="1"/>
  <c r="H40" i="93" s="1"/>
  <c r="P7" i="95"/>
  <c r="J7" i="95"/>
  <c r="P12" i="95"/>
  <c r="K12" i="95"/>
  <c r="J12" i="95"/>
  <c r="R7" i="95" l="1"/>
  <c r="R8" i="95"/>
  <c r="R9" i="95"/>
  <c r="R10" i="95"/>
  <c r="R11" i="95"/>
  <c r="R12" i="95"/>
  <c r="R13" i="95"/>
  <c r="R14" i="95"/>
  <c r="R15" i="95"/>
  <c r="R16" i="95"/>
  <c r="R6" i="95"/>
  <c r="P17" i="95"/>
  <c r="N17" i="95"/>
  <c r="M17" i="95"/>
  <c r="L17" i="95"/>
  <c r="K17" i="95"/>
  <c r="J17" i="95"/>
  <c r="O16" i="95"/>
  <c r="Q16" i="95" s="1"/>
  <c r="O15" i="95"/>
  <c r="O14" i="95"/>
  <c r="O13" i="95"/>
  <c r="O12" i="95"/>
  <c r="Q12" i="95" s="1"/>
  <c r="O11" i="95"/>
  <c r="O10" i="95"/>
  <c r="O9" i="95"/>
  <c r="O8" i="95"/>
  <c r="Q8" i="95" s="1"/>
  <c r="O7" i="95"/>
  <c r="O6" i="95"/>
  <c r="Q6" i="95" s="1"/>
  <c r="G17" i="95"/>
  <c r="F17" i="95"/>
  <c r="E17" i="95"/>
  <c r="D17" i="95"/>
  <c r="H16" i="95"/>
  <c r="H15" i="95"/>
  <c r="H14" i="95"/>
  <c r="H13" i="95"/>
  <c r="C12" i="95"/>
  <c r="H12" i="95" s="1"/>
  <c r="H11" i="95"/>
  <c r="H10" i="95"/>
  <c r="C9" i="95"/>
  <c r="H9" i="95" s="1"/>
  <c r="H8" i="95"/>
  <c r="C7" i="95"/>
  <c r="H6" i="95"/>
  <c r="Q29" i="94"/>
  <c r="P29" i="94"/>
  <c r="P28" i="94"/>
  <c r="O28" i="94"/>
  <c r="Q28" i="94" s="1"/>
  <c r="N28" i="94"/>
  <c r="P27" i="94"/>
  <c r="O27" i="94"/>
  <c r="Q27" i="94" s="1"/>
  <c r="N27" i="94"/>
  <c r="P26" i="94"/>
  <c r="O26" i="94"/>
  <c r="Q26" i="94" s="1"/>
  <c r="N26" i="94"/>
  <c r="P25" i="94"/>
  <c r="O25" i="94"/>
  <c r="Q25" i="94" s="1"/>
  <c r="N25" i="94"/>
  <c r="P24" i="94"/>
  <c r="O24" i="94"/>
  <c r="Q24" i="94" s="1"/>
  <c r="N24" i="94"/>
  <c r="P23" i="94"/>
  <c r="O23" i="94"/>
  <c r="Q23" i="94" s="1"/>
  <c r="N23" i="94"/>
  <c r="P21" i="94"/>
  <c r="O21" i="94"/>
  <c r="Q21" i="94" s="1"/>
  <c r="N21" i="94"/>
  <c r="P20" i="94"/>
  <c r="O20" i="94"/>
  <c r="Q20" i="94" s="1"/>
  <c r="N20" i="94"/>
  <c r="Q19" i="94"/>
  <c r="P19" i="94"/>
  <c r="P18" i="94"/>
  <c r="N18" i="94"/>
  <c r="O18" i="94" s="1"/>
  <c r="Q18" i="94" s="1"/>
  <c r="P17" i="94"/>
  <c r="N17" i="94"/>
  <c r="O17" i="94" s="1"/>
  <c r="Q17" i="94" s="1"/>
  <c r="P16" i="94"/>
  <c r="N16" i="94"/>
  <c r="O16" i="94" s="1"/>
  <c r="Q16" i="94" s="1"/>
  <c r="Q15" i="94"/>
  <c r="P15" i="94"/>
  <c r="P14" i="94"/>
  <c r="O14" i="94"/>
  <c r="Q14" i="94" s="1"/>
  <c r="N14" i="94"/>
  <c r="P13" i="94"/>
  <c r="O13" i="94"/>
  <c r="Q13" i="94" s="1"/>
  <c r="N13" i="94"/>
  <c r="P12" i="94"/>
  <c r="O12" i="94"/>
  <c r="Q12" i="94" s="1"/>
  <c r="N12" i="94"/>
  <c r="P11" i="94"/>
  <c r="O11" i="94"/>
  <c r="Q11" i="94" s="1"/>
  <c r="N11" i="94"/>
  <c r="P10" i="94"/>
  <c r="N10" i="94"/>
  <c r="O10" i="94" s="1"/>
  <c r="Q10" i="94" s="1"/>
  <c r="P9" i="94"/>
  <c r="N9" i="94"/>
  <c r="O9" i="94" s="1"/>
  <c r="Q9" i="94" s="1"/>
  <c r="P8" i="94"/>
  <c r="N8" i="94"/>
  <c r="O8" i="94" s="1"/>
  <c r="Q8" i="94" s="1"/>
  <c r="P7" i="94"/>
  <c r="N7" i="94"/>
  <c r="O7" i="94" s="1"/>
  <c r="Q7" i="94" s="1"/>
  <c r="P6" i="94"/>
  <c r="N6" i="94"/>
  <c r="O6" i="94" s="1"/>
  <c r="Q6" i="94" s="1"/>
  <c r="P5" i="94"/>
  <c r="N5" i="94"/>
  <c r="O5" i="94" s="1"/>
  <c r="Q5" i="94" s="1"/>
  <c r="P4" i="94"/>
  <c r="N4" i="94"/>
  <c r="O4" i="94" s="1"/>
  <c r="Q4" i="94" s="1"/>
  <c r="P3" i="94"/>
  <c r="N3" i="94"/>
  <c r="O3" i="94" s="1"/>
  <c r="Q3" i="94" s="1"/>
  <c r="S11" i="93"/>
  <c r="E11" i="93"/>
  <c r="E14" i="93" s="1"/>
  <c r="E5" i="93"/>
  <c r="E4" i="93"/>
  <c r="S14" i="93" l="1"/>
  <c r="R14" i="93" s="1"/>
  <c r="AE11" i="93"/>
  <c r="AE14" i="93"/>
  <c r="AE40" i="93" s="1"/>
  <c r="D14" i="93"/>
  <c r="E40" i="93"/>
  <c r="T11" i="93"/>
  <c r="F11" i="93"/>
  <c r="F14" i="93" s="1"/>
  <c r="F40" i="93" s="1"/>
  <c r="Q9" i="95"/>
  <c r="Q13" i="95"/>
  <c r="Q10" i="95"/>
  <c r="Q14" i="95"/>
  <c r="Q11" i="95"/>
  <c r="Q15" i="95"/>
  <c r="O17" i="95"/>
  <c r="C17" i="95"/>
  <c r="H7" i="95"/>
  <c r="H17" i="95" s="1"/>
  <c r="E7" i="93"/>
  <c r="AG41" i="93" s="1"/>
  <c r="M4" i="92"/>
  <c r="M5" i="92"/>
  <c r="M6" i="92"/>
  <c r="M7" i="92"/>
  <c r="M8" i="92"/>
  <c r="M9" i="92"/>
  <c r="M10" i="92"/>
  <c r="M11" i="92"/>
  <c r="M12" i="92"/>
  <c r="M3" i="92"/>
  <c r="L4" i="92"/>
  <c r="L5" i="92"/>
  <c r="L6" i="92"/>
  <c r="L7" i="92"/>
  <c r="L8" i="92"/>
  <c r="L9" i="92"/>
  <c r="L10" i="92"/>
  <c r="L11" i="92"/>
  <c r="L12" i="92"/>
  <c r="L3" i="92"/>
  <c r="J4" i="92"/>
  <c r="K4" i="92"/>
  <c r="J5" i="92"/>
  <c r="K5" i="92"/>
  <c r="J6" i="92"/>
  <c r="K6" i="92"/>
  <c r="J7" i="92"/>
  <c r="K7" i="92"/>
  <c r="J8" i="92"/>
  <c r="K8" i="92"/>
  <c r="J9" i="92"/>
  <c r="K9" i="92"/>
  <c r="J10" i="92"/>
  <c r="K10" i="92"/>
  <c r="J11" i="92"/>
  <c r="K11" i="92"/>
  <c r="J12" i="92"/>
  <c r="K12" i="92"/>
  <c r="K3" i="92"/>
  <c r="J3" i="92"/>
  <c r="T14" i="93" l="1"/>
  <c r="T40" i="93" s="1"/>
  <c r="U16" i="93"/>
  <c r="X16" i="93" s="1"/>
  <c r="Y16" i="93" s="1"/>
  <c r="U21" i="93"/>
  <c r="X21" i="93" s="1"/>
  <c r="Y21" i="93" s="1"/>
  <c r="U26" i="93"/>
  <c r="X26" i="93" s="1"/>
  <c r="Y26" i="93" s="1"/>
  <c r="U31" i="93"/>
  <c r="U36" i="93"/>
  <c r="X36" i="93" s="1"/>
  <c r="Y36" i="93" s="1"/>
  <c r="G22" i="93"/>
  <c r="J22" i="93" s="1"/>
  <c r="K22" i="93" s="1"/>
  <c r="L22" i="93" s="1"/>
  <c r="G25" i="93"/>
  <c r="U12" i="93"/>
  <c r="X12" i="93" s="1"/>
  <c r="Y12" i="93" s="1"/>
  <c r="U17" i="93"/>
  <c r="X17" i="93" s="1"/>
  <c r="Y17" i="93" s="1"/>
  <c r="U22" i="93"/>
  <c r="X22" i="93" s="1"/>
  <c r="Y22" i="93" s="1"/>
  <c r="U27" i="93"/>
  <c r="X27" i="93" s="1"/>
  <c r="Y27" i="93" s="1"/>
  <c r="U32" i="93"/>
  <c r="X32" i="93" s="1"/>
  <c r="Y32" i="93" s="1"/>
  <c r="U37" i="93"/>
  <c r="X37" i="93" s="1"/>
  <c r="Y37" i="93" s="1"/>
  <c r="G12" i="93"/>
  <c r="G13" i="93"/>
  <c r="J13" i="93" s="1"/>
  <c r="K13" i="93" s="1"/>
  <c r="L13" i="93" s="1"/>
  <c r="G15" i="93"/>
  <c r="J15" i="93" s="1"/>
  <c r="G26" i="93"/>
  <c r="J26" i="93" s="1"/>
  <c r="K26" i="93" s="1"/>
  <c r="L26" i="93" s="1"/>
  <c r="G27" i="93"/>
  <c r="J27" i="93" s="1"/>
  <c r="K27" i="93" s="1"/>
  <c r="L27" i="93" s="1"/>
  <c r="G28" i="93"/>
  <c r="J28" i="93" s="1"/>
  <c r="K28" i="93" s="1"/>
  <c r="L28" i="93" s="1"/>
  <c r="G29" i="93"/>
  <c r="J29" i="93" s="1"/>
  <c r="K29" i="93" s="1"/>
  <c r="L29" i="93" s="1"/>
  <c r="G31" i="93"/>
  <c r="G32" i="93"/>
  <c r="J32" i="93" s="1"/>
  <c r="K32" i="93" s="1"/>
  <c r="L32" i="93" s="1"/>
  <c r="G33" i="93"/>
  <c r="J33" i="93" s="1"/>
  <c r="K33" i="93" s="1"/>
  <c r="L33" i="93" s="1"/>
  <c r="G35" i="93"/>
  <c r="G36" i="93"/>
  <c r="J36" i="93" s="1"/>
  <c r="K36" i="93" s="1"/>
  <c r="G37" i="93"/>
  <c r="J37" i="93" s="1"/>
  <c r="K37" i="93" s="1"/>
  <c r="L37" i="93" s="1"/>
  <c r="G38" i="93"/>
  <c r="J38" i="93" s="1"/>
  <c r="K38" i="93" s="1"/>
  <c r="L38" i="93" s="1"/>
  <c r="U15" i="93"/>
  <c r="U20" i="93"/>
  <c r="U25" i="93"/>
  <c r="U35" i="93"/>
  <c r="G20" i="93"/>
  <c r="G23" i="93"/>
  <c r="J23" i="93" s="1"/>
  <c r="K23" i="93" s="1"/>
  <c r="L23" i="93" s="1"/>
  <c r="U13" i="93"/>
  <c r="X13" i="93" s="1"/>
  <c r="Y13" i="93" s="1"/>
  <c r="U18" i="93"/>
  <c r="X18" i="93" s="1"/>
  <c r="Y18" i="93" s="1"/>
  <c r="U23" i="93"/>
  <c r="X23" i="93" s="1"/>
  <c r="Y23" i="93" s="1"/>
  <c r="U28" i="93"/>
  <c r="X28" i="93" s="1"/>
  <c r="Y28" i="93" s="1"/>
  <c r="U33" i="93"/>
  <c r="X33" i="93" s="1"/>
  <c r="Y33" i="93" s="1"/>
  <c r="U38" i="93"/>
  <c r="X38" i="93" s="1"/>
  <c r="Y38" i="93" s="1"/>
  <c r="G17" i="93"/>
  <c r="J17" i="93" s="1"/>
  <c r="K17" i="93" s="1"/>
  <c r="L17" i="93" s="1"/>
  <c r="U29" i="93"/>
  <c r="X29" i="93" s="1"/>
  <c r="Y29" i="93" s="1"/>
  <c r="U11" i="93"/>
  <c r="U14" i="93" s="1"/>
  <c r="G21" i="93"/>
  <c r="J21" i="93" s="1"/>
  <c r="K21" i="93" s="1"/>
  <c r="L21" i="93" s="1"/>
  <c r="G18" i="93"/>
  <c r="J18" i="93" s="1"/>
  <c r="K18" i="93" s="1"/>
  <c r="L18" i="93" s="1"/>
  <c r="G16" i="93"/>
  <c r="D40" i="93"/>
  <c r="S40" i="93"/>
  <c r="G11" i="93"/>
  <c r="J11" i="93" s="1"/>
  <c r="Q7" i="95"/>
  <c r="Q17" i="95"/>
  <c r="I17" i="95"/>
  <c r="R17" i="95" s="1"/>
  <c r="S17" i="92"/>
  <c r="U134" i="90"/>
  <c r="H4" i="92"/>
  <c r="H5" i="92"/>
  <c r="H6" i="92"/>
  <c r="H7" i="92"/>
  <c r="H8" i="92"/>
  <c r="H9" i="92"/>
  <c r="H10" i="92"/>
  <c r="H11" i="92"/>
  <c r="H12" i="92"/>
  <c r="H3" i="92"/>
  <c r="G5" i="92"/>
  <c r="G9" i="92"/>
  <c r="G3" i="92"/>
  <c r="N13" i="92"/>
  <c r="N14" i="92" s="1"/>
  <c r="R4" i="92"/>
  <c r="R5" i="92"/>
  <c r="R6" i="92"/>
  <c r="S6" i="92" s="1"/>
  <c r="R7" i="92"/>
  <c r="R8" i="92"/>
  <c r="R9" i="92"/>
  <c r="R10" i="92"/>
  <c r="R11" i="92"/>
  <c r="R12" i="92"/>
  <c r="R3" i="92"/>
  <c r="Q4" i="92"/>
  <c r="Q5" i="92"/>
  <c r="Q6" i="92"/>
  <c r="Q7" i="92"/>
  <c r="Q8" i="92"/>
  <c r="Q9" i="92"/>
  <c r="Q10" i="92"/>
  <c r="Q11" i="92"/>
  <c r="Q12" i="92"/>
  <c r="Q3" i="92"/>
  <c r="AG11" i="90"/>
  <c r="AG12" i="90"/>
  <c r="AG13" i="90"/>
  <c r="AG14" i="90"/>
  <c r="AG15" i="90"/>
  <c r="AG16" i="90"/>
  <c r="AG17" i="90"/>
  <c r="AG18" i="90"/>
  <c r="AG19" i="90"/>
  <c r="AG10" i="90"/>
  <c r="E12" i="92"/>
  <c r="G12" i="92" s="1"/>
  <c r="E11" i="92"/>
  <c r="G11" i="92" s="1"/>
  <c r="E10" i="92"/>
  <c r="G10" i="92" s="1"/>
  <c r="E9" i="92"/>
  <c r="E8" i="92"/>
  <c r="G8" i="92" s="1"/>
  <c r="E7" i="92"/>
  <c r="G7" i="92" s="1"/>
  <c r="E6" i="92"/>
  <c r="G6" i="92" s="1"/>
  <c r="E5" i="92"/>
  <c r="E4" i="92"/>
  <c r="G4" i="92" s="1"/>
  <c r="E3" i="92"/>
  <c r="AA22" i="90"/>
  <c r="AA21" i="90"/>
  <c r="AA20" i="90"/>
  <c r="X22" i="90"/>
  <c r="X21" i="90"/>
  <c r="X20" i="90"/>
  <c r="Y21" i="90"/>
  <c r="C11" i="90"/>
  <c r="C13" i="90"/>
  <c r="C16" i="90"/>
  <c r="AF19" i="90"/>
  <c r="AC21" i="90" s="1"/>
  <c r="X11" i="90"/>
  <c r="Y11" i="90" s="1"/>
  <c r="Z11" i="90" s="1"/>
  <c r="AC11" i="90" s="1"/>
  <c r="AD11" i="90" s="1"/>
  <c r="AB11" i="90" s="1"/>
  <c r="X12" i="90"/>
  <c r="X13" i="90"/>
  <c r="X14" i="90"/>
  <c r="Y14" i="90" s="1"/>
  <c r="X15" i="90"/>
  <c r="Y15" i="90" s="1"/>
  <c r="Z15" i="90" s="1"/>
  <c r="AC15" i="90" s="1"/>
  <c r="AD15" i="90" s="1"/>
  <c r="AB15" i="90" s="1"/>
  <c r="X16" i="90"/>
  <c r="X17" i="90"/>
  <c r="Y17" i="90" s="1"/>
  <c r="X18" i="90"/>
  <c r="Y18" i="90" s="1"/>
  <c r="X19" i="90"/>
  <c r="Y19" i="90" s="1"/>
  <c r="Z19" i="90" s="1"/>
  <c r="AC19" i="90" s="1"/>
  <c r="AD19" i="90" s="1"/>
  <c r="AB19" i="90" s="1"/>
  <c r="X10" i="90"/>
  <c r="Z38" i="93" l="1"/>
  <c r="Z18" i="93"/>
  <c r="Z27" i="93"/>
  <c r="Z26" i="93"/>
  <c r="Z33" i="93"/>
  <c r="Z13" i="93"/>
  <c r="Z22" i="93"/>
  <c r="Z21" i="93"/>
  <c r="Z29" i="93"/>
  <c r="Z28" i="93"/>
  <c r="Z37" i="93"/>
  <c r="Z17" i="93"/>
  <c r="Z36" i="93"/>
  <c r="Z16" i="93"/>
  <c r="AA14" i="93"/>
  <c r="AA18" i="93"/>
  <c r="AB18" i="93" s="1"/>
  <c r="AC18" i="93" s="1"/>
  <c r="AA23" i="93"/>
  <c r="AB23" i="93" s="1"/>
  <c r="AC23" i="93" s="1"/>
  <c r="AA28" i="93"/>
  <c r="AB28" i="93" s="1"/>
  <c r="AC28" i="93" s="1"/>
  <c r="AA33" i="93"/>
  <c r="AB33" i="93" s="1"/>
  <c r="AC33" i="93" s="1"/>
  <c r="AA38" i="93"/>
  <c r="AB38" i="93" s="1"/>
  <c r="AC38" i="93" s="1"/>
  <c r="M12" i="93"/>
  <c r="M16" i="93"/>
  <c r="M20" i="93"/>
  <c r="M24" i="93"/>
  <c r="M28" i="93"/>
  <c r="N28" i="93" s="1"/>
  <c r="M32" i="93"/>
  <c r="M36" i="93"/>
  <c r="N36" i="93" s="1"/>
  <c r="M11" i="93"/>
  <c r="AA15" i="93"/>
  <c r="AA20" i="93"/>
  <c r="AA25" i="93"/>
  <c r="AA29" i="93"/>
  <c r="AB29" i="93" s="1"/>
  <c r="AC29" i="93" s="1"/>
  <c r="AA35" i="93"/>
  <c r="AA39" i="93"/>
  <c r="M13" i="93"/>
  <c r="N13" i="93" s="1"/>
  <c r="M17" i="93"/>
  <c r="M21" i="93"/>
  <c r="N21" i="93" s="1"/>
  <c r="M25" i="93"/>
  <c r="M29" i="93"/>
  <c r="M33" i="93"/>
  <c r="N33" i="93" s="1"/>
  <c r="M37" i="93"/>
  <c r="N37" i="93" s="1"/>
  <c r="AA12" i="93"/>
  <c r="AB12" i="93" s="1"/>
  <c r="AC12" i="93" s="1"/>
  <c r="AA16" i="93"/>
  <c r="AB16" i="93" s="1"/>
  <c r="AC16" i="93" s="1"/>
  <c r="AA21" i="93"/>
  <c r="AB21" i="93" s="1"/>
  <c r="AC21" i="93" s="1"/>
  <c r="AA26" i="93"/>
  <c r="AB26" i="93" s="1"/>
  <c r="AC26" i="93" s="1"/>
  <c r="AA31" i="93"/>
  <c r="AA36" i="93"/>
  <c r="AB36" i="93" s="1"/>
  <c r="AC36" i="93" s="1"/>
  <c r="AA11" i="93"/>
  <c r="M14" i="93"/>
  <c r="M18" i="93"/>
  <c r="M22" i="93"/>
  <c r="N22" i="93" s="1"/>
  <c r="M26" i="93"/>
  <c r="M30" i="93"/>
  <c r="M34" i="93"/>
  <c r="M38" i="93"/>
  <c r="N38" i="93" s="1"/>
  <c r="AA13" i="93"/>
  <c r="AB13" i="93" s="1"/>
  <c r="AC13" i="93" s="1"/>
  <c r="AA32" i="93"/>
  <c r="AB32" i="93" s="1"/>
  <c r="AC32" i="93" s="1"/>
  <c r="M19" i="93"/>
  <c r="M35" i="93"/>
  <c r="AA17" i="93"/>
  <c r="AB17" i="93" s="1"/>
  <c r="AC17" i="93" s="1"/>
  <c r="AA37" i="93"/>
  <c r="AB37" i="93" s="1"/>
  <c r="AC37" i="93" s="1"/>
  <c r="M23" i="93"/>
  <c r="M39" i="93"/>
  <c r="AA22" i="93"/>
  <c r="AB22" i="93" s="1"/>
  <c r="AC22" i="93" s="1"/>
  <c r="M27" i="93"/>
  <c r="AA27" i="93"/>
  <c r="AB27" i="93" s="1"/>
  <c r="AC27" i="93" s="1"/>
  <c r="M15" i="93"/>
  <c r="M31" i="93"/>
  <c r="Z23" i="93"/>
  <c r="Z32" i="93"/>
  <c r="Z12" i="93"/>
  <c r="R40" i="93"/>
  <c r="G14" i="93"/>
  <c r="J12" i="93"/>
  <c r="K12" i="93" s="1"/>
  <c r="L12" i="93" s="1"/>
  <c r="U24" i="93"/>
  <c r="X20" i="93"/>
  <c r="G34" i="93"/>
  <c r="J31" i="93"/>
  <c r="X11" i="93"/>
  <c r="X14" i="93" s="1"/>
  <c r="G24" i="93"/>
  <c r="J20" i="93"/>
  <c r="U19" i="93"/>
  <c r="X15" i="93"/>
  <c r="J35" i="93"/>
  <c r="G39" i="93"/>
  <c r="K15" i="93"/>
  <c r="U34" i="93"/>
  <c r="X31" i="93"/>
  <c r="K11" i="93"/>
  <c r="U30" i="93"/>
  <c r="X25" i="93"/>
  <c r="G19" i="93"/>
  <c r="J16" i="93"/>
  <c r="K16" i="93" s="1"/>
  <c r="L36" i="93"/>
  <c r="U39" i="93"/>
  <c r="X35" i="93"/>
  <c r="J25" i="93"/>
  <c r="G30" i="93"/>
  <c r="S10" i="92"/>
  <c r="S3" i="92"/>
  <c r="S9" i="92"/>
  <c r="S5" i="92"/>
  <c r="R13" i="92"/>
  <c r="S12" i="92"/>
  <c r="S8" i="92"/>
  <c r="S4" i="92"/>
  <c r="S11" i="92"/>
  <c r="S7" i="92"/>
  <c r="Q13" i="92"/>
  <c r="AB21" i="90"/>
  <c r="Z17" i="90"/>
  <c r="Y13" i="90"/>
  <c r="Z13" i="90" s="1"/>
  <c r="AC13" i="90" s="1"/>
  <c r="AD13" i="90" s="1"/>
  <c r="AB13" i="90" s="1"/>
  <c r="Y16" i="90"/>
  <c r="Z16" i="90" s="1"/>
  <c r="AC16" i="90" s="1"/>
  <c r="AD16" i="90" s="1"/>
  <c r="AB16" i="90" s="1"/>
  <c r="Y12" i="90"/>
  <c r="Z12" i="90" s="1"/>
  <c r="AC12" i="90" s="1"/>
  <c r="AD12" i="90" s="1"/>
  <c r="AB12" i="90" s="1"/>
  <c r="Z18" i="90"/>
  <c r="AC18" i="90" s="1"/>
  <c r="AD18" i="90" s="1"/>
  <c r="AB18" i="90" s="1"/>
  <c r="Z14" i="90"/>
  <c r="AC14" i="90" s="1"/>
  <c r="AD14" i="90" s="1"/>
  <c r="AB14" i="90" s="1"/>
  <c r="Y10" i="90"/>
  <c r="Z10" i="90" s="1"/>
  <c r="AC10" i="90" s="1"/>
  <c r="AD10" i="90" s="1"/>
  <c r="AB10" i="90" s="1"/>
  <c r="R127" i="90"/>
  <c r="R116" i="90"/>
  <c r="R104" i="90"/>
  <c r="R74" i="90"/>
  <c r="O74" i="90"/>
  <c r="L74" i="90"/>
  <c r="L29" i="90"/>
  <c r="I27" i="90"/>
  <c r="F27" i="90"/>
  <c r="C27" i="90"/>
  <c r="O21" i="90"/>
  <c r="L21" i="90"/>
  <c r="I21" i="90"/>
  <c r="F21" i="90"/>
  <c r="R20" i="90"/>
  <c r="K20" i="90"/>
  <c r="H20" i="90"/>
  <c r="E20" i="90"/>
  <c r="R19" i="90"/>
  <c r="J19" i="90"/>
  <c r="K19" i="90" s="1"/>
  <c r="G19" i="90"/>
  <c r="H19" i="90" s="1"/>
  <c r="E19" i="90"/>
  <c r="R18" i="90"/>
  <c r="J18" i="90"/>
  <c r="K18" i="90" s="1"/>
  <c r="G18" i="90"/>
  <c r="H18" i="90" s="1"/>
  <c r="E18" i="90"/>
  <c r="R17" i="90"/>
  <c r="J17" i="90"/>
  <c r="K17" i="90" s="1"/>
  <c r="G17" i="90"/>
  <c r="H17" i="90" s="1"/>
  <c r="E17" i="90"/>
  <c r="D16" i="90"/>
  <c r="G16" i="90" s="1"/>
  <c r="H16" i="90" s="1"/>
  <c r="R15" i="90"/>
  <c r="D15" i="90"/>
  <c r="G15" i="90" s="1"/>
  <c r="H15" i="90" s="1"/>
  <c r="R14" i="90"/>
  <c r="J14" i="90"/>
  <c r="K14" i="90" s="1"/>
  <c r="G14" i="90"/>
  <c r="H14" i="90" s="1"/>
  <c r="E14" i="90"/>
  <c r="D13" i="90"/>
  <c r="J13" i="90" s="1"/>
  <c r="K13" i="90" s="1"/>
  <c r="R13" i="90"/>
  <c r="R12" i="90"/>
  <c r="D12" i="90"/>
  <c r="G12" i="90" s="1"/>
  <c r="H12" i="90" s="1"/>
  <c r="D11" i="90"/>
  <c r="G11" i="90" s="1"/>
  <c r="H11" i="90" s="1"/>
  <c r="R11" i="90"/>
  <c r="R10" i="90"/>
  <c r="J10" i="90"/>
  <c r="K10" i="90" s="1"/>
  <c r="G10" i="90"/>
  <c r="H10" i="90" s="1"/>
  <c r="E10" i="90"/>
  <c r="R4" i="90"/>
  <c r="R3" i="90"/>
  <c r="AA34" i="93" l="1"/>
  <c r="AF34" i="93" s="1"/>
  <c r="AF25" i="93"/>
  <c r="N12" i="93"/>
  <c r="O12" i="93" s="1"/>
  <c r="J14" i="93"/>
  <c r="AF33" i="93"/>
  <c r="O36" i="93"/>
  <c r="AG36" i="93"/>
  <c r="AH36" i="93" s="1"/>
  <c r="O13" i="93"/>
  <c r="AG13" i="93"/>
  <c r="AH13" i="93" s="1"/>
  <c r="O21" i="93"/>
  <c r="AG21" i="93"/>
  <c r="AH21" i="93" s="1"/>
  <c r="O37" i="93"/>
  <c r="AG37" i="93"/>
  <c r="AH37" i="93" s="1"/>
  <c r="O22" i="93"/>
  <c r="AG22" i="93"/>
  <c r="AH22" i="93" s="1"/>
  <c r="O38" i="93"/>
  <c r="AG38" i="93"/>
  <c r="AH38" i="93" s="1"/>
  <c r="AA24" i="93"/>
  <c r="AF24" i="93" s="1"/>
  <c r="AF32" i="93"/>
  <c r="AF16" i="93"/>
  <c r="O33" i="93"/>
  <c r="AG33" i="93"/>
  <c r="AH33" i="93" s="1"/>
  <c r="O28" i="93"/>
  <c r="AG28" i="93"/>
  <c r="AH28" i="93" s="1"/>
  <c r="AF21" i="93"/>
  <c r="AA19" i="93"/>
  <c r="AF23" i="93"/>
  <c r="N23" i="93"/>
  <c r="AF18" i="93"/>
  <c r="N18" i="93"/>
  <c r="AF27" i="93"/>
  <c r="AF14" i="93"/>
  <c r="M40" i="93"/>
  <c r="AF37" i="93"/>
  <c r="AF28" i="93"/>
  <c r="AF12" i="93"/>
  <c r="N32" i="93"/>
  <c r="N27" i="93"/>
  <c r="AF31" i="93"/>
  <c r="AF26" i="93"/>
  <c r="N26" i="93"/>
  <c r="AF17" i="93"/>
  <c r="N17" i="93"/>
  <c r="AF11" i="93"/>
  <c r="AF15" i="93"/>
  <c r="AF39" i="93"/>
  <c r="AF35" i="93"/>
  <c r="AF38" i="93"/>
  <c r="AF22" i="93"/>
  <c r="AF29" i="93"/>
  <c r="N29" i="93"/>
  <c r="AF13" i="93"/>
  <c r="AA30" i="93"/>
  <c r="AF30" i="93" s="1"/>
  <c r="AF36" i="93"/>
  <c r="AF20" i="93"/>
  <c r="J19" i="93"/>
  <c r="U40" i="93"/>
  <c r="X19" i="93"/>
  <c r="Y15" i="93"/>
  <c r="AB15" i="93" s="1"/>
  <c r="K25" i="93"/>
  <c r="J30" i="93"/>
  <c r="X30" i="93"/>
  <c r="Y25" i="93"/>
  <c r="AB25" i="93" s="1"/>
  <c r="L11" i="93"/>
  <c r="K14" i="93"/>
  <c r="N11" i="93"/>
  <c r="L15" i="93"/>
  <c r="N15" i="93"/>
  <c r="K19" i="93"/>
  <c r="L19" i="93" s="1"/>
  <c r="J34" i="93"/>
  <c r="K31" i="93"/>
  <c r="X39" i="93"/>
  <c r="Y35" i="93"/>
  <c r="AB35" i="93" s="1"/>
  <c r="N16" i="93"/>
  <c r="L16" i="93"/>
  <c r="Y31" i="93"/>
  <c r="AB31" i="93" s="1"/>
  <c r="X34" i="93"/>
  <c r="K20" i="93"/>
  <c r="J24" i="93"/>
  <c r="Y11" i="93"/>
  <c r="AB11" i="93" s="1"/>
  <c r="AC11" i="93" s="1"/>
  <c r="G40" i="93"/>
  <c r="K35" i="93"/>
  <c r="J39" i="93"/>
  <c r="Y20" i="93"/>
  <c r="AB20" i="93" s="1"/>
  <c r="X24" i="93"/>
  <c r="S13" i="92"/>
  <c r="AC17" i="90"/>
  <c r="AD17" i="90" s="1"/>
  <c r="AB17" i="90" s="1"/>
  <c r="R6" i="90"/>
  <c r="L26" i="90" s="1"/>
  <c r="J16" i="90"/>
  <c r="K16" i="90" s="1"/>
  <c r="S18" i="90"/>
  <c r="S19" i="90"/>
  <c r="E16" i="90"/>
  <c r="S14" i="90"/>
  <c r="J11" i="90"/>
  <c r="K11" i="90" s="1"/>
  <c r="G13" i="90"/>
  <c r="H13" i="90" s="1"/>
  <c r="M20" i="90"/>
  <c r="N20" i="90" s="1"/>
  <c r="N21" i="90" s="1"/>
  <c r="O26" i="90"/>
  <c r="P20" i="90"/>
  <c r="R29" i="90"/>
  <c r="J15" i="90"/>
  <c r="K15" i="90" s="1"/>
  <c r="S17" i="90"/>
  <c r="R128" i="90"/>
  <c r="H21" i="90"/>
  <c r="F23" i="90" s="1"/>
  <c r="S10" i="90"/>
  <c r="I26" i="90"/>
  <c r="C21" i="90"/>
  <c r="AF18" i="90" s="1"/>
  <c r="R16" i="90"/>
  <c r="R21" i="90" s="1"/>
  <c r="E12" i="90"/>
  <c r="E11" i="90"/>
  <c r="E13" i="90"/>
  <c r="E15" i="90"/>
  <c r="J12" i="90"/>
  <c r="K12" i="90" s="1"/>
  <c r="R132" i="89"/>
  <c r="R6" i="89"/>
  <c r="V4" i="89" s="1"/>
  <c r="V5" i="89" s="1"/>
  <c r="V6" i="89" s="1"/>
  <c r="R4" i="89"/>
  <c r="R3" i="89"/>
  <c r="P28" i="80"/>
  <c r="Q28" i="80"/>
  <c r="P15" i="80"/>
  <c r="Q19" i="80"/>
  <c r="P19" i="80"/>
  <c r="X19" i="89"/>
  <c r="X18" i="89"/>
  <c r="X17" i="89"/>
  <c r="X16" i="89"/>
  <c r="X15" i="89"/>
  <c r="X14" i="89"/>
  <c r="X13" i="89"/>
  <c r="X12" i="89"/>
  <c r="X11" i="89"/>
  <c r="X10" i="89"/>
  <c r="X4" i="89"/>
  <c r="X5" i="89" s="1"/>
  <c r="AG12" i="93" l="1"/>
  <c r="AH12" i="93" s="1"/>
  <c r="AA40" i="93"/>
  <c r="AF19" i="93"/>
  <c r="O32" i="93"/>
  <c r="AG32" i="93"/>
  <c r="AH32" i="93" s="1"/>
  <c r="Z11" i="93"/>
  <c r="O16" i="93"/>
  <c r="AG16" i="93"/>
  <c r="AH16" i="93" s="1"/>
  <c r="AG11" i="93"/>
  <c r="O29" i="93"/>
  <c r="AG29" i="93"/>
  <c r="AH29" i="93" s="1"/>
  <c r="O23" i="93"/>
  <c r="AG23" i="93"/>
  <c r="AH23" i="93" s="1"/>
  <c r="O26" i="93"/>
  <c r="AG26" i="93"/>
  <c r="AH26" i="93" s="1"/>
  <c r="O17" i="93"/>
  <c r="AG17" i="93"/>
  <c r="AH17" i="93" s="1"/>
  <c r="AG15" i="93"/>
  <c r="AH15" i="93" s="1"/>
  <c r="O27" i="93"/>
  <c r="AG27" i="93"/>
  <c r="AH27" i="93" s="1"/>
  <c r="O18" i="93"/>
  <c r="AG18" i="93"/>
  <c r="AH18" i="93" s="1"/>
  <c r="AB30" i="93"/>
  <c r="AC30" i="93" s="1"/>
  <c r="AC25" i="93"/>
  <c r="AC35" i="93"/>
  <c r="AC39" i="93" s="1"/>
  <c r="AB39" i="93"/>
  <c r="AB19" i="93"/>
  <c r="AC19" i="93" s="1"/>
  <c r="AC15" i="93"/>
  <c r="AB24" i="93"/>
  <c r="AC24" i="93" s="1"/>
  <c r="AC20" i="93"/>
  <c r="AB34" i="93"/>
  <c r="AC34" i="93" s="1"/>
  <c r="AC31" i="93"/>
  <c r="J40" i="93"/>
  <c r="X40" i="93"/>
  <c r="Y19" i="93"/>
  <c r="Z19" i="93" s="1"/>
  <c r="Z15" i="93"/>
  <c r="L35" i="93"/>
  <c r="N35" i="93"/>
  <c r="AG35" i="93" s="1"/>
  <c r="K39" i="93"/>
  <c r="L39" i="93" s="1"/>
  <c r="K24" i="93"/>
  <c r="L24" i="93" s="1"/>
  <c r="L20" i="93"/>
  <c r="N20" i="93"/>
  <c r="AG20" i="93" s="1"/>
  <c r="O11" i="93"/>
  <c r="N14" i="93"/>
  <c r="O14" i="93" s="1"/>
  <c r="Z35" i="93"/>
  <c r="Y39" i="93"/>
  <c r="Z39" i="93" s="1"/>
  <c r="L14" i="93"/>
  <c r="K34" i="93"/>
  <c r="L34" i="93" s="1"/>
  <c r="L31" i="93"/>
  <c r="N31" i="93"/>
  <c r="AG31" i="93" s="1"/>
  <c r="Z25" i="93"/>
  <c r="Y30" i="93"/>
  <c r="Z30" i="93" s="1"/>
  <c r="Z20" i="93"/>
  <c r="Y24" i="93"/>
  <c r="Z24" i="93" s="1"/>
  <c r="Y14" i="93"/>
  <c r="AB14" i="93" s="1"/>
  <c r="Z31" i="93"/>
  <c r="Y34" i="93"/>
  <c r="Z34" i="93" s="1"/>
  <c r="O15" i="93"/>
  <c r="N19" i="93"/>
  <c r="O19" i="93" s="1"/>
  <c r="L25" i="93"/>
  <c r="K30" i="93"/>
  <c r="L30" i="93" s="1"/>
  <c r="N25" i="93"/>
  <c r="AG25" i="93" s="1"/>
  <c r="AH25" i="93" s="1"/>
  <c r="S14" i="92"/>
  <c r="S15" i="92" s="1"/>
  <c r="L23" i="90"/>
  <c r="C26" i="90"/>
  <c r="R132" i="90"/>
  <c r="R26" i="90"/>
  <c r="F26" i="90"/>
  <c r="S16" i="90"/>
  <c r="K21" i="90"/>
  <c r="I23" i="90" s="1"/>
  <c r="I25" i="90" s="1"/>
  <c r="I30" i="90" s="1"/>
  <c r="I31" i="90" s="1"/>
  <c r="S13" i="90"/>
  <c r="Q20" i="90"/>
  <c r="Q21" i="90" s="1"/>
  <c r="O23" i="90"/>
  <c r="O25" i="90" s="1"/>
  <c r="O30" i="90" s="1"/>
  <c r="O31" i="90" s="1"/>
  <c r="S15" i="90"/>
  <c r="L25" i="90"/>
  <c r="L30" i="90" s="1"/>
  <c r="L31" i="90" s="1"/>
  <c r="S11" i="90"/>
  <c r="E21" i="90"/>
  <c r="C23" i="90" s="1"/>
  <c r="S12" i="90"/>
  <c r="R28" i="90"/>
  <c r="R27" i="90"/>
  <c r="F25" i="90"/>
  <c r="K20" i="89"/>
  <c r="R127" i="89"/>
  <c r="R116" i="89"/>
  <c r="R104" i="89"/>
  <c r="R74" i="89"/>
  <c r="O74" i="89"/>
  <c r="L74" i="89"/>
  <c r="L29" i="89"/>
  <c r="I27" i="89"/>
  <c r="F27" i="89"/>
  <c r="C27" i="89"/>
  <c r="O21" i="89"/>
  <c r="L21" i="89"/>
  <c r="I21" i="89"/>
  <c r="F21" i="89"/>
  <c r="R20" i="89"/>
  <c r="H20" i="89"/>
  <c r="E20" i="89"/>
  <c r="R19" i="89"/>
  <c r="J19" i="89"/>
  <c r="K19" i="89" s="1"/>
  <c r="G19" i="89"/>
  <c r="H19" i="89" s="1"/>
  <c r="E19" i="89"/>
  <c r="R18" i="89"/>
  <c r="J18" i="89"/>
  <c r="K18" i="89" s="1"/>
  <c r="G18" i="89"/>
  <c r="H18" i="89" s="1"/>
  <c r="E18" i="89"/>
  <c r="R17" i="89"/>
  <c r="J17" i="89"/>
  <c r="K17" i="89" s="1"/>
  <c r="G17" i="89"/>
  <c r="H17" i="89" s="1"/>
  <c r="E17" i="89"/>
  <c r="D16" i="89"/>
  <c r="J16" i="89" s="1"/>
  <c r="K16" i="89" s="1"/>
  <c r="C16" i="89"/>
  <c r="R15" i="89"/>
  <c r="D15" i="89"/>
  <c r="G15" i="89" s="1"/>
  <c r="H15" i="89" s="1"/>
  <c r="R14" i="89"/>
  <c r="J14" i="89"/>
  <c r="K14" i="89" s="1"/>
  <c r="G14" i="89"/>
  <c r="H14" i="89" s="1"/>
  <c r="E14" i="89"/>
  <c r="D13" i="89"/>
  <c r="J13" i="89" s="1"/>
  <c r="K13" i="89" s="1"/>
  <c r="C13" i="89"/>
  <c r="R12" i="89"/>
  <c r="D12" i="89"/>
  <c r="J12" i="89" s="1"/>
  <c r="K12" i="89" s="1"/>
  <c r="D11" i="89"/>
  <c r="J11" i="89" s="1"/>
  <c r="K11" i="89" s="1"/>
  <c r="C11" i="89"/>
  <c r="R10" i="89"/>
  <c r="J10" i="89"/>
  <c r="K10" i="89" s="1"/>
  <c r="G10" i="89"/>
  <c r="H10" i="89" s="1"/>
  <c r="E10" i="89"/>
  <c r="S33" i="44"/>
  <c r="S39" i="44"/>
  <c r="S25" i="44"/>
  <c r="C32" i="44"/>
  <c r="E12" i="44"/>
  <c r="E13" i="44"/>
  <c r="E14" i="44"/>
  <c r="E15" i="44"/>
  <c r="E16" i="44"/>
  <c r="E17" i="44"/>
  <c r="E18" i="44"/>
  <c r="E19" i="44"/>
  <c r="K12" i="44"/>
  <c r="K13" i="44"/>
  <c r="K14" i="44"/>
  <c r="K15" i="44"/>
  <c r="K16" i="44"/>
  <c r="K17" i="44"/>
  <c r="K18" i="44"/>
  <c r="K19" i="44"/>
  <c r="H12" i="44"/>
  <c r="H13" i="44"/>
  <c r="H14" i="44"/>
  <c r="H15" i="44"/>
  <c r="H16" i="44"/>
  <c r="H17" i="44"/>
  <c r="H18" i="44"/>
  <c r="H19" i="44"/>
  <c r="Q21" i="44"/>
  <c r="N21" i="44"/>
  <c r="Q20" i="44"/>
  <c r="N20" i="44"/>
  <c r="E21" i="44"/>
  <c r="C23" i="44" s="1"/>
  <c r="K11" i="44"/>
  <c r="K10" i="44"/>
  <c r="J17" i="44"/>
  <c r="J18" i="44"/>
  <c r="J19" i="44"/>
  <c r="G17" i="44"/>
  <c r="G18" i="44"/>
  <c r="G19" i="44"/>
  <c r="H11" i="44"/>
  <c r="H20" i="44"/>
  <c r="H10" i="44"/>
  <c r="E11" i="44"/>
  <c r="E20" i="44"/>
  <c r="E10" i="44"/>
  <c r="R17" i="44"/>
  <c r="R18" i="44"/>
  <c r="R19" i="44"/>
  <c r="C16" i="44"/>
  <c r="C13" i="44"/>
  <c r="C11" i="44"/>
  <c r="X17" i="44"/>
  <c r="X18" i="44"/>
  <c r="X19" i="44"/>
  <c r="X11" i="44"/>
  <c r="X12" i="44"/>
  <c r="X13" i="44"/>
  <c r="X14" i="44"/>
  <c r="X15" i="44"/>
  <c r="X16" i="44"/>
  <c r="X10" i="44"/>
  <c r="R135" i="44"/>
  <c r="AD13" i="44"/>
  <c r="AD14" i="44"/>
  <c r="AD16" i="44"/>
  <c r="AD15" i="44"/>
  <c r="AG34" i="93" l="1"/>
  <c r="AH34" i="93" s="1"/>
  <c r="AH31" i="93"/>
  <c r="AG24" i="93"/>
  <c r="AH24" i="93" s="1"/>
  <c r="AH20" i="93"/>
  <c r="AG39" i="93"/>
  <c r="AH39" i="93" s="1"/>
  <c r="AH35" i="93"/>
  <c r="AG14" i="93"/>
  <c r="AH14" i="93" s="1"/>
  <c r="AH11" i="93"/>
  <c r="AG30" i="93"/>
  <c r="AH30" i="93" s="1"/>
  <c r="AG19" i="93"/>
  <c r="AH19" i="93" s="1"/>
  <c r="AC14" i="93"/>
  <c r="AB40" i="93"/>
  <c r="AC40" i="93" s="1"/>
  <c r="Y40" i="93"/>
  <c r="Z40" i="93" s="1"/>
  <c r="O25" i="93"/>
  <c r="N30" i="93"/>
  <c r="O30" i="93" s="1"/>
  <c r="Z14" i="93"/>
  <c r="K40" i="93"/>
  <c r="O31" i="93"/>
  <c r="N34" i="93"/>
  <c r="O34" i="93" s="1"/>
  <c r="O20" i="93"/>
  <c r="N24" i="93"/>
  <c r="O24" i="93" s="1"/>
  <c r="O35" i="93"/>
  <c r="N39" i="93"/>
  <c r="O39" i="93" s="1"/>
  <c r="F30" i="90"/>
  <c r="F31" i="90" s="1"/>
  <c r="S20" i="90"/>
  <c r="O125" i="90"/>
  <c r="F99" i="90"/>
  <c r="O99" i="90"/>
  <c r="C79" i="90"/>
  <c r="I42" i="90"/>
  <c r="I39" i="90"/>
  <c r="L83" i="90"/>
  <c r="I79" i="90"/>
  <c r="F34" i="90"/>
  <c r="C46" i="90"/>
  <c r="C82" i="90"/>
  <c r="O124" i="90"/>
  <c r="I102" i="90"/>
  <c r="F94" i="90"/>
  <c r="F57" i="90"/>
  <c r="F114" i="90"/>
  <c r="F88" i="90"/>
  <c r="L126" i="90"/>
  <c r="L92" i="90"/>
  <c r="O80" i="90"/>
  <c r="I122" i="90"/>
  <c r="C49" i="90"/>
  <c r="L107" i="90"/>
  <c r="I77" i="90"/>
  <c r="F52" i="90"/>
  <c r="F96" i="90"/>
  <c r="L118" i="90"/>
  <c r="I43" i="90"/>
  <c r="F102" i="90"/>
  <c r="I66" i="90"/>
  <c r="I44" i="90"/>
  <c r="I67" i="90"/>
  <c r="C122" i="90"/>
  <c r="F89" i="90"/>
  <c r="I65" i="90"/>
  <c r="I107" i="90"/>
  <c r="S21" i="90"/>
  <c r="R23" i="90" s="1"/>
  <c r="C45" i="90"/>
  <c r="I109" i="90"/>
  <c r="I56" i="90"/>
  <c r="I89" i="90"/>
  <c r="L112" i="90"/>
  <c r="I54" i="90"/>
  <c r="C99" i="90"/>
  <c r="C42" i="90"/>
  <c r="I84" i="90"/>
  <c r="F110" i="90"/>
  <c r="F48" i="90"/>
  <c r="F81" i="90"/>
  <c r="C107" i="90"/>
  <c r="I51" i="90"/>
  <c r="F69" i="90"/>
  <c r="L84" i="90"/>
  <c r="I96" i="90"/>
  <c r="L108" i="90"/>
  <c r="C123" i="90"/>
  <c r="C48" i="90"/>
  <c r="I64" i="90"/>
  <c r="L81" i="90"/>
  <c r="I93" i="90"/>
  <c r="O106" i="90"/>
  <c r="C120" i="90"/>
  <c r="I57" i="90"/>
  <c r="C71" i="90"/>
  <c r="L82" i="90"/>
  <c r="I91" i="90"/>
  <c r="I99" i="90"/>
  <c r="L110" i="90"/>
  <c r="O121" i="90"/>
  <c r="F51" i="90"/>
  <c r="L113" i="90"/>
  <c r="C37" i="90"/>
  <c r="C60" i="90"/>
  <c r="L91" i="90"/>
  <c r="F119" i="90"/>
  <c r="F58" i="90"/>
  <c r="F103" i="90"/>
  <c r="F47" i="90"/>
  <c r="I86" i="90"/>
  <c r="I112" i="90"/>
  <c r="I35" i="90"/>
  <c r="F61" i="90"/>
  <c r="L89" i="90"/>
  <c r="L115" i="90"/>
  <c r="I58" i="90"/>
  <c r="F77" i="90"/>
  <c r="O88" i="90"/>
  <c r="L100" i="90"/>
  <c r="O112" i="90"/>
  <c r="I34" i="90"/>
  <c r="F49" i="90"/>
  <c r="C68" i="90"/>
  <c r="O82" i="90"/>
  <c r="I94" i="90"/>
  <c r="O108" i="90"/>
  <c r="F121" i="90"/>
  <c r="C59" i="90"/>
  <c r="I73" i="90"/>
  <c r="I83" i="90"/>
  <c r="F92" i="90"/>
  <c r="C101" i="90"/>
  <c r="I111" i="90"/>
  <c r="L122" i="90"/>
  <c r="I88" i="90"/>
  <c r="F40" i="90"/>
  <c r="F44" i="90"/>
  <c r="L76" i="90"/>
  <c r="C100" i="90"/>
  <c r="F36" i="90"/>
  <c r="I72" i="90"/>
  <c r="I120" i="90"/>
  <c r="F63" i="90"/>
  <c r="C95" i="90"/>
  <c r="O122" i="90"/>
  <c r="I37" i="90"/>
  <c r="C65" i="90"/>
  <c r="C94" i="90"/>
  <c r="L119" i="90"/>
  <c r="I60" i="90"/>
  <c r="F79" i="90"/>
  <c r="C90" i="90"/>
  <c r="L101" i="90"/>
  <c r="C115" i="90"/>
  <c r="C40" i="90"/>
  <c r="I55" i="90"/>
  <c r="I76" i="90"/>
  <c r="C87" i="90"/>
  <c r="O98" i="90"/>
  <c r="F113" i="90"/>
  <c r="I125" i="90"/>
  <c r="F64" i="90"/>
  <c r="L78" i="90"/>
  <c r="L86" i="90"/>
  <c r="I95" i="90"/>
  <c r="L106" i="90"/>
  <c r="L114" i="90"/>
  <c r="R25" i="90"/>
  <c r="R30" i="90" s="1"/>
  <c r="R31" i="90" s="1"/>
  <c r="R130" i="90" s="1"/>
  <c r="C25" i="90"/>
  <c r="C30" i="90" s="1"/>
  <c r="C31" i="90" s="1"/>
  <c r="F124" i="90"/>
  <c r="C121" i="90"/>
  <c r="I115" i="90"/>
  <c r="F112" i="90"/>
  <c r="C109" i="90"/>
  <c r="I103" i="90"/>
  <c r="F100" i="90"/>
  <c r="C97" i="90"/>
  <c r="O93" i="90"/>
  <c r="L90" i="90"/>
  <c r="I87" i="90"/>
  <c r="F84" i="90"/>
  <c r="C81" i="90"/>
  <c r="O77" i="90"/>
  <c r="F72" i="90"/>
  <c r="C67" i="90"/>
  <c r="I61" i="90"/>
  <c r="F56" i="90"/>
  <c r="I126" i="90"/>
  <c r="F122" i="90"/>
  <c r="C118" i="90"/>
  <c r="C112" i="90"/>
  <c r="O107" i="90"/>
  <c r="O100" i="90"/>
  <c r="L96" i="90"/>
  <c r="I92" i="90"/>
  <c r="C88" i="90"/>
  <c r="O83" i="90"/>
  <c r="L79" i="90"/>
  <c r="F73" i="90"/>
  <c r="F66" i="90"/>
  <c r="F59" i="90"/>
  <c r="C52" i="90"/>
  <c r="I46" i="90"/>
  <c r="F41" i="90"/>
  <c r="C36" i="90"/>
  <c r="F125" i="90"/>
  <c r="O120" i="90"/>
  <c r="C114" i="90"/>
  <c r="L109" i="90"/>
  <c r="O103" i="90"/>
  <c r="L99" i="90"/>
  <c r="F95" i="90"/>
  <c r="C91" i="90"/>
  <c r="O86" i="90"/>
  <c r="I82" i="90"/>
  <c r="F78" i="90"/>
  <c r="F71" i="90"/>
  <c r="C64" i="90"/>
  <c r="C57" i="90"/>
  <c r="F50" i="90"/>
  <c r="L121" i="90"/>
  <c r="F111" i="90"/>
  <c r="I100" i="90"/>
  <c r="O91" i="90"/>
  <c r="F83" i="90"/>
  <c r="C72" i="90"/>
  <c r="C58" i="90"/>
  <c r="F46" i="90"/>
  <c r="F39" i="90"/>
  <c r="I118" i="90"/>
  <c r="C108" i="90"/>
  <c r="F97" i="90"/>
  <c r="L88" i="90"/>
  <c r="C78" i="90"/>
  <c r="I59" i="90"/>
  <c r="I45" i="90"/>
  <c r="O126" i="90"/>
  <c r="L111" i="90"/>
  <c r="O94" i="90"/>
  <c r="L77" i="90"/>
  <c r="C62" i="90"/>
  <c r="C47" i="90"/>
  <c r="L125" i="90"/>
  <c r="O114" i="90"/>
  <c r="F106" i="90"/>
  <c r="O95" i="90"/>
  <c r="F87" i="90"/>
  <c r="O78" i="90"/>
  <c r="I63" i="90"/>
  <c r="C50" i="90"/>
  <c r="F42" i="90"/>
  <c r="F35" i="90"/>
  <c r="I49" i="90"/>
  <c r="L124" i="90"/>
  <c r="C38" i="90"/>
  <c r="O79" i="90"/>
  <c r="O96" i="90"/>
  <c r="F118" i="90"/>
  <c r="F82" i="90"/>
  <c r="C39" i="90"/>
  <c r="I47" i="90"/>
  <c r="F67" i="90"/>
  <c r="C83" i="90"/>
  <c r="L93" i="90"/>
  <c r="I108" i="90"/>
  <c r="I121" i="90"/>
  <c r="F43" i="90"/>
  <c r="F65" i="90"/>
  <c r="F86" i="90"/>
  <c r="F107" i="90"/>
  <c r="C35" i="90"/>
  <c r="I52" i="90"/>
  <c r="F70" i="90"/>
  <c r="O90" i="90"/>
  <c r="I101" i="90"/>
  <c r="I114" i="90"/>
  <c r="C41" i="90"/>
  <c r="C51" i="90"/>
  <c r="I68" i="90"/>
  <c r="I85" i="90"/>
  <c r="C96" i="90"/>
  <c r="F109" i="90"/>
  <c r="O123" i="90"/>
  <c r="F53" i="90"/>
  <c r="F62" i="90"/>
  <c r="C73" i="90"/>
  <c r="I80" i="90"/>
  <c r="L85" i="90"/>
  <c r="C92" i="90"/>
  <c r="I97" i="90"/>
  <c r="O102" i="90"/>
  <c r="O110" i="90"/>
  <c r="O118" i="90"/>
  <c r="C124" i="90"/>
  <c r="F37" i="90"/>
  <c r="C44" i="90"/>
  <c r="I50" i="90"/>
  <c r="C61" i="90"/>
  <c r="C70" i="90"/>
  <c r="I78" i="90"/>
  <c r="O84" i="90"/>
  <c r="F90" i="90"/>
  <c r="L95" i="90"/>
  <c r="C102" i="90"/>
  <c r="C110" i="90"/>
  <c r="F115" i="90"/>
  <c r="F123" i="90"/>
  <c r="I53" i="90"/>
  <c r="F60" i="90"/>
  <c r="F68" i="90"/>
  <c r="F76" i="90"/>
  <c r="F80" i="90"/>
  <c r="C85" i="90"/>
  <c r="C89" i="90"/>
  <c r="C93" i="90"/>
  <c r="O97" i="90"/>
  <c r="O101" i="90"/>
  <c r="F108" i="90"/>
  <c r="C113" i="90"/>
  <c r="I119" i="90"/>
  <c r="I123" i="90"/>
  <c r="I41" i="90"/>
  <c r="C84" i="90"/>
  <c r="F101" i="90"/>
  <c r="I36" i="90"/>
  <c r="L103" i="90"/>
  <c r="I40" i="90"/>
  <c r="C53" i="90"/>
  <c r="I70" i="90"/>
  <c r="F85" i="90"/>
  <c r="C98" i="90"/>
  <c r="I110" i="90"/>
  <c r="L123" i="90"/>
  <c r="I48" i="90"/>
  <c r="C69" i="90"/>
  <c r="I90" i="90"/>
  <c r="O115" i="90"/>
  <c r="F38" i="90"/>
  <c r="C56" i="90"/>
  <c r="C80" i="90"/>
  <c r="O92" i="90"/>
  <c r="C106" i="90"/>
  <c r="L120" i="90"/>
  <c r="C34" i="90"/>
  <c r="C43" i="90"/>
  <c r="F54" i="90"/>
  <c r="O76" i="90"/>
  <c r="L87" i="90"/>
  <c r="F98" i="90"/>
  <c r="I113" i="90"/>
  <c r="C126" i="90"/>
  <c r="F55" i="90"/>
  <c r="C66" i="90"/>
  <c r="C76" i="90"/>
  <c r="I81" i="90"/>
  <c r="O87" i="90"/>
  <c r="F93" i="90"/>
  <c r="I98" i="90"/>
  <c r="I106" i="90"/>
  <c r="O111" i="90"/>
  <c r="O119" i="90"/>
  <c r="F126" i="90"/>
  <c r="I38" i="90"/>
  <c r="F45" i="90"/>
  <c r="C54" i="90"/>
  <c r="I62" i="90"/>
  <c r="I71" i="90"/>
  <c r="L80" i="90"/>
  <c r="C86" i="90"/>
  <c r="F91" i="90"/>
  <c r="L97" i="90"/>
  <c r="C103" i="90"/>
  <c r="C111" i="90"/>
  <c r="C119" i="90"/>
  <c r="I124" i="90"/>
  <c r="C55" i="90"/>
  <c r="C63" i="90"/>
  <c r="I69" i="90"/>
  <c r="C77" i="90"/>
  <c r="O81" i="90"/>
  <c r="O85" i="90"/>
  <c r="O89" i="90"/>
  <c r="L94" i="90"/>
  <c r="L98" i="90"/>
  <c r="L102" i="90"/>
  <c r="O109" i="90"/>
  <c r="O113" i="90"/>
  <c r="F120" i="90"/>
  <c r="C125" i="90"/>
  <c r="S10" i="89"/>
  <c r="E11" i="89"/>
  <c r="E13" i="89"/>
  <c r="S14" i="89"/>
  <c r="J15" i="89"/>
  <c r="K15" i="89" s="1"/>
  <c r="K21" i="89" s="1"/>
  <c r="I23" i="89" s="1"/>
  <c r="I25" i="89" s="1"/>
  <c r="G16" i="89"/>
  <c r="H16" i="89" s="1"/>
  <c r="S17" i="89"/>
  <c r="S19" i="89"/>
  <c r="G13" i="89"/>
  <c r="H13" i="89" s="1"/>
  <c r="E16" i="89"/>
  <c r="S16" i="89" s="1"/>
  <c r="S18" i="89"/>
  <c r="R29" i="89"/>
  <c r="M20" i="89"/>
  <c r="N20" i="89" s="1"/>
  <c r="G12" i="89"/>
  <c r="H12" i="89" s="1"/>
  <c r="O26" i="89"/>
  <c r="E12" i="89"/>
  <c r="R13" i="89"/>
  <c r="C21" i="89"/>
  <c r="R28" i="89" s="1"/>
  <c r="G11" i="89"/>
  <c r="H11" i="89" s="1"/>
  <c r="P20" i="89"/>
  <c r="O23" i="89" s="1"/>
  <c r="O25" i="89" s="1"/>
  <c r="O30" i="89" s="1"/>
  <c r="O31" i="89" s="1"/>
  <c r="R128" i="89"/>
  <c r="R16" i="89"/>
  <c r="L23" i="89"/>
  <c r="L26" i="89"/>
  <c r="I26" i="89"/>
  <c r="F26" i="89"/>
  <c r="R11" i="89"/>
  <c r="E15" i="89"/>
  <c r="C26" i="89"/>
  <c r="H21" i="44"/>
  <c r="K21" i="44"/>
  <c r="AD20" i="44"/>
  <c r="D15" i="44"/>
  <c r="D16" i="44"/>
  <c r="D12" i="44"/>
  <c r="D13" i="44"/>
  <c r="AG40" i="93" l="1"/>
  <c r="L40" i="93"/>
  <c r="N40" i="93"/>
  <c r="O40" i="93" s="1"/>
  <c r="L127" i="90"/>
  <c r="L116" i="90"/>
  <c r="O116" i="90"/>
  <c r="I116" i="90"/>
  <c r="L104" i="90"/>
  <c r="O104" i="90"/>
  <c r="F104" i="90"/>
  <c r="I104" i="90"/>
  <c r="I74" i="90"/>
  <c r="F74" i="90"/>
  <c r="R133" i="90"/>
  <c r="R131" i="90"/>
  <c r="C104" i="90"/>
  <c r="C116" i="90"/>
  <c r="O127" i="90"/>
  <c r="I127" i="90"/>
  <c r="C127" i="90"/>
  <c r="F127" i="90"/>
  <c r="C74" i="90"/>
  <c r="F116" i="90"/>
  <c r="H21" i="89"/>
  <c r="F23" i="89" s="1"/>
  <c r="S13" i="89"/>
  <c r="N21" i="89"/>
  <c r="E21" i="89"/>
  <c r="C23" i="89" s="1"/>
  <c r="S15" i="89"/>
  <c r="S12" i="89"/>
  <c r="R21" i="89"/>
  <c r="R26" i="89"/>
  <c r="R27" i="89"/>
  <c r="S11" i="89"/>
  <c r="Q20" i="89"/>
  <c r="Q21" i="89" s="1"/>
  <c r="F25" i="89"/>
  <c r="F30" i="89" s="1"/>
  <c r="F31" i="89" s="1"/>
  <c r="L25" i="89"/>
  <c r="L30" i="89" s="1"/>
  <c r="L31" i="89" s="1"/>
  <c r="I30" i="89"/>
  <c r="I31" i="89" s="1"/>
  <c r="S21" i="44"/>
  <c r="H139" i="87"/>
  <c r="H134" i="87"/>
  <c r="H118" i="87"/>
  <c r="H96" i="87"/>
  <c r="H63" i="87"/>
  <c r="G63" i="87"/>
  <c r="F63" i="87"/>
  <c r="G22" i="87"/>
  <c r="F22" i="87"/>
  <c r="C22" i="87"/>
  <c r="G21" i="87"/>
  <c r="F21" i="87"/>
  <c r="E21" i="87"/>
  <c r="D21" i="87"/>
  <c r="C21" i="87"/>
  <c r="F17" i="87"/>
  <c r="E15" i="87"/>
  <c r="D15" i="87"/>
  <c r="C15" i="87"/>
  <c r="G13" i="87"/>
  <c r="F13" i="87"/>
  <c r="C13" i="87"/>
  <c r="E11" i="87"/>
  <c r="D11" i="87"/>
  <c r="H4" i="87"/>
  <c r="H3" i="87"/>
  <c r="AG42" i="93" l="1"/>
  <c r="AH40" i="93"/>
  <c r="L128" i="90"/>
  <c r="L129" i="90" s="1"/>
  <c r="L130" i="90" s="1"/>
  <c r="L131" i="90" s="1"/>
  <c r="O128" i="90"/>
  <c r="O129" i="90" s="1"/>
  <c r="O130" i="90" s="1"/>
  <c r="O131" i="90" s="1"/>
  <c r="F128" i="90"/>
  <c r="F129" i="90" s="1"/>
  <c r="F130" i="90" s="1"/>
  <c r="F131" i="90" s="1"/>
  <c r="I128" i="90"/>
  <c r="I129" i="90" s="1"/>
  <c r="I130" i="90" s="1"/>
  <c r="I131" i="90" s="1"/>
  <c r="C128" i="90"/>
  <c r="C129" i="90" s="1"/>
  <c r="C130" i="90" s="1"/>
  <c r="C131" i="90" s="1"/>
  <c r="S20" i="89"/>
  <c r="S21" i="89" s="1"/>
  <c r="R23" i="89" s="1"/>
  <c r="R25" i="89" s="1"/>
  <c r="R30" i="89" s="1"/>
  <c r="R31" i="89" s="1"/>
  <c r="R130" i="89" s="1"/>
  <c r="R131" i="89" s="1"/>
  <c r="C25" i="89"/>
  <c r="C30" i="89" s="1"/>
  <c r="C31" i="89" s="1"/>
  <c r="I126" i="89"/>
  <c r="I125" i="89"/>
  <c r="F122" i="89"/>
  <c r="C119" i="89"/>
  <c r="F114" i="89"/>
  <c r="C111" i="89"/>
  <c r="L125" i="89"/>
  <c r="L124" i="89"/>
  <c r="I121" i="89"/>
  <c r="F118" i="89"/>
  <c r="I113" i="89"/>
  <c r="F110" i="89"/>
  <c r="C107" i="89"/>
  <c r="F102" i="89"/>
  <c r="C99" i="89"/>
  <c r="O95" i="89"/>
  <c r="L92" i="89"/>
  <c r="I89" i="89"/>
  <c r="F86" i="89"/>
  <c r="C83" i="89"/>
  <c r="O79" i="89"/>
  <c r="L76" i="89"/>
  <c r="C69" i="89"/>
  <c r="I63" i="89"/>
  <c r="F58" i="89"/>
  <c r="O126" i="89"/>
  <c r="L123" i="89"/>
  <c r="I120" i="89"/>
  <c r="L115" i="89"/>
  <c r="I112" i="89"/>
  <c r="F109" i="89"/>
  <c r="C106" i="89"/>
  <c r="F101" i="89"/>
  <c r="C98" i="89"/>
  <c r="O94" i="89"/>
  <c r="L91" i="89"/>
  <c r="I88" i="89"/>
  <c r="F85" i="89"/>
  <c r="C82" i="89"/>
  <c r="O78" i="89"/>
  <c r="I72" i="89"/>
  <c r="F67" i="89"/>
  <c r="C62" i="89"/>
  <c r="I56" i="89"/>
  <c r="F123" i="89"/>
  <c r="I114" i="89"/>
  <c r="C108" i="89"/>
  <c r="F99" i="89"/>
  <c r="O92" i="89"/>
  <c r="I86" i="89"/>
  <c r="C80" i="89"/>
  <c r="I70" i="89"/>
  <c r="C60" i="89"/>
  <c r="F51" i="89"/>
  <c r="C46" i="89"/>
  <c r="I40" i="89"/>
  <c r="F34" i="89"/>
  <c r="C121" i="89"/>
  <c r="F112" i="89"/>
  <c r="I103" i="89"/>
  <c r="C97" i="89"/>
  <c r="L90" i="89"/>
  <c r="F84" i="89"/>
  <c r="O77" i="89"/>
  <c r="C67" i="89"/>
  <c r="F56" i="89"/>
  <c r="I49" i="89"/>
  <c r="F44" i="89"/>
  <c r="C39" i="89"/>
  <c r="C34" i="89"/>
  <c r="C113" i="89"/>
  <c r="I122" i="89"/>
  <c r="L113" i="89"/>
  <c r="F107" i="89"/>
  <c r="I98" i="89"/>
  <c r="C92" i="89"/>
  <c r="L85" i="89"/>
  <c r="F79" i="89"/>
  <c r="F69" i="89"/>
  <c r="I58" i="89"/>
  <c r="I50" i="89"/>
  <c r="F45" i="89"/>
  <c r="C40" i="89"/>
  <c r="C35" i="89"/>
  <c r="L114" i="89"/>
  <c r="C37" i="89"/>
  <c r="C63" i="89"/>
  <c r="O89" i="89"/>
  <c r="F38" i="89"/>
  <c r="O124" i="89"/>
  <c r="O123" i="89"/>
  <c r="L120" i="89"/>
  <c r="O115" i="89"/>
  <c r="L112" i="89"/>
  <c r="I109" i="89"/>
  <c r="F126" i="89"/>
  <c r="C123" i="89"/>
  <c r="O119" i="89"/>
  <c r="C115" i="89"/>
  <c r="O111" i="89"/>
  <c r="L108" i="89"/>
  <c r="O103" i="89"/>
  <c r="L100" i="89"/>
  <c r="I97" i="89"/>
  <c r="F94" i="89"/>
  <c r="C91" i="89"/>
  <c r="O87" i="89"/>
  <c r="L84" i="89"/>
  <c r="I81" i="89"/>
  <c r="F78" i="89"/>
  <c r="I71" i="89"/>
  <c r="F66" i="89"/>
  <c r="C61" i="89"/>
  <c r="I55" i="89"/>
  <c r="F125" i="89"/>
  <c r="C122" i="89"/>
  <c r="O118" i="89"/>
  <c r="C114" i="89"/>
  <c r="O110" i="89"/>
  <c r="L107" i="89"/>
  <c r="O102" i="89"/>
  <c r="L99" i="89"/>
  <c r="I96" i="89"/>
  <c r="F93" i="89"/>
  <c r="C90" i="89"/>
  <c r="O86" i="89"/>
  <c r="L83" i="89"/>
  <c r="I80" i="89"/>
  <c r="F77" i="89"/>
  <c r="C70" i="89"/>
  <c r="I64" i="89"/>
  <c r="F59" i="89"/>
  <c r="C54" i="89"/>
  <c r="C120" i="89"/>
  <c r="F111" i="89"/>
  <c r="I102" i="89"/>
  <c r="C96" i="89"/>
  <c r="L89" i="89"/>
  <c r="F83" i="89"/>
  <c r="O76" i="89"/>
  <c r="F65" i="89"/>
  <c r="I54" i="89"/>
  <c r="I48" i="89"/>
  <c r="F43" i="89"/>
  <c r="C38" i="89"/>
  <c r="F124" i="89"/>
  <c r="I115" i="89"/>
  <c r="C109" i="89"/>
  <c r="F100" i="89"/>
  <c r="O93" i="89"/>
  <c r="I87" i="89"/>
  <c r="C81" i="89"/>
  <c r="F72" i="89"/>
  <c r="I61" i="89"/>
  <c r="F52" i="89"/>
  <c r="C47" i="89"/>
  <c r="I41" i="89"/>
  <c r="I36" i="89"/>
  <c r="I123" i="89"/>
  <c r="L126" i="89"/>
  <c r="F119" i="89"/>
  <c r="I110" i="89"/>
  <c r="L101" i="89"/>
  <c r="F95" i="89"/>
  <c r="O88" i="89"/>
  <c r="I82" i="89"/>
  <c r="C76" i="89"/>
  <c r="C64" i="89"/>
  <c r="F53" i="89"/>
  <c r="C48" i="89"/>
  <c r="I42" i="89"/>
  <c r="F37" i="89"/>
  <c r="O121" i="89"/>
  <c r="O109" i="89"/>
  <c r="I47" i="89"/>
  <c r="C77" i="89"/>
  <c r="L102" i="89"/>
  <c r="C49" i="89"/>
  <c r="C85" i="89"/>
  <c r="O107" i="89"/>
  <c r="O99" i="89"/>
  <c r="I93" i="89"/>
  <c r="C87" i="89"/>
  <c r="L80" i="89"/>
  <c r="F70" i="89"/>
  <c r="I59" i="89"/>
  <c r="I124" i="89"/>
  <c r="C118" i="89"/>
  <c r="C110" i="89"/>
  <c r="C102" i="89"/>
  <c r="L95" i="89"/>
  <c r="F89" i="89"/>
  <c r="O82" i="89"/>
  <c r="I76" i="89"/>
  <c r="F63" i="89"/>
  <c r="C125" i="89"/>
  <c r="L109" i="89"/>
  <c r="I94" i="89"/>
  <c r="L81" i="89"/>
  <c r="I62" i="89"/>
  <c r="F47" i="89"/>
  <c r="I35" i="89"/>
  <c r="O113" i="89"/>
  <c r="L98" i="89"/>
  <c r="O85" i="89"/>
  <c r="I69" i="89"/>
  <c r="C51" i="89"/>
  <c r="F40" i="89"/>
  <c r="F120" i="89"/>
  <c r="F115" i="89"/>
  <c r="C100" i="89"/>
  <c r="F87" i="89"/>
  <c r="C72" i="89"/>
  <c r="C52" i="89"/>
  <c r="F41" i="89"/>
  <c r="L118" i="89"/>
  <c r="C53" i="89"/>
  <c r="I34" i="89"/>
  <c r="L78" i="89"/>
  <c r="I39" i="89"/>
  <c r="F68" i="89"/>
  <c r="I99" i="89"/>
  <c r="F46" i="89"/>
  <c r="O81" i="89"/>
  <c r="F106" i="89"/>
  <c r="F98" i="89"/>
  <c r="O91" i="89"/>
  <c r="I85" i="89"/>
  <c r="C79" i="89"/>
  <c r="I67" i="89"/>
  <c r="C57" i="89"/>
  <c r="O122" i="89"/>
  <c r="O114" i="89"/>
  <c r="I108" i="89"/>
  <c r="I100" i="89"/>
  <c r="C94" i="89"/>
  <c r="L87" i="89"/>
  <c r="F81" i="89"/>
  <c r="F71" i="89"/>
  <c r="I60" i="89"/>
  <c r="L121" i="89"/>
  <c r="I106" i="89"/>
  <c r="F91" i="89"/>
  <c r="I78" i="89"/>
  <c r="F57" i="89"/>
  <c r="I44" i="89"/>
  <c r="L110" i="89"/>
  <c r="I95" i="89"/>
  <c r="L82" i="89"/>
  <c r="F64" i="89"/>
  <c r="F48" i="89"/>
  <c r="I37" i="89"/>
  <c r="F108" i="89"/>
  <c r="C112" i="89"/>
  <c r="O96" i="89"/>
  <c r="C84" i="89"/>
  <c r="I66" i="89"/>
  <c r="F49" i="89"/>
  <c r="I38" i="89"/>
  <c r="I111" i="89"/>
  <c r="I73" i="89"/>
  <c r="I43" i="89"/>
  <c r="I91" i="89"/>
  <c r="C45" i="89"/>
  <c r="F80" i="89"/>
  <c r="I51" i="89"/>
  <c r="F88" i="89"/>
  <c r="C103" i="89"/>
  <c r="L96" i="89"/>
  <c r="F90" i="89"/>
  <c r="O83" i="89"/>
  <c r="I77" i="89"/>
  <c r="C65" i="89"/>
  <c r="F54" i="89"/>
  <c r="F121" i="89"/>
  <c r="F113" i="89"/>
  <c r="O106" i="89"/>
  <c r="O98" i="89"/>
  <c r="I92" i="89"/>
  <c r="C86" i="89"/>
  <c r="L79" i="89"/>
  <c r="I68" i="89"/>
  <c r="C58" i="89"/>
  <c r="I118" i="89"/>
  <c r="O100" i="89"/>
  <c r="C88" i="89"/>
  <c r="F73" i="89"/>
  <c r="I52" i="89"/>
  <c r="C42" i="89"/>
  <c r="L122" i="89"/>
  <c r="I107" i="89"/>
  <c r="F92" i="89"/>
  <c r="I79" i="89"/>
  <c r="C59" i="89"/>
  <c r="I45" i="89"/>
  <c r="F35" i="89"/>
  <c r="C124" i="89"/>
  <c r="O108" i="89"/>
  <c r="L93" i="89"/>
  <c r="O80" i="89"/>
  <c r="F61" i="89"/>
  <c r="I46" i="89"/>
  <c r="F36" i="89"/>
  <c r="L106" i="89"/>
  <c r="I83" i="89"/>
  <c r="C55" i="89"/>
  <c r="O97" i="89"/>
  <c r="F50" i="89"/>
  <c r="L86" i="89"/>
  <c r="F60" i="89"/>
  <c r="L94" i="89"/>
  <c r="I101" i="89"/>
  <c r="C95" i="89"/>
  <c r="L88" i="89"/>
  <c r="F82" i="89"/>
  <c r="C73" i="89"/>
  <c r="F62" i="89"/>
  <c r="C126" i="89"/>
  <c r="L119" i="89"/>
  <c r="L111" i="89"/>
  <c r="L103" i="89"/>
  <c r="F97" i="89"/>
  <c r="O90" i="89"/>
  <c r="I84" i="89"/>
  <c r="C78" i="89"/>
  <c r="C66" i="89"/>
  <c r="F55" i="89"/>
  <c r="O112" i="89"/>
  <c r="L97" i="89"/>
  <c r="O84" i="89"/>
  <c r="C68" i="89"/>
  <c r="C50" i="89"/>
  <c r="F39" i="89"/>
  <c r="I119" i="89"/>
  <c r="O101" i="89"/>
  <c r="C89" i="89"/>
  <c r="F76" i="89"/>
  <c r="I53" i="89"/>
  <c r="C43" i="89"/>
  <c r="O125" i="89"/>
  <c r="O120" i="89"/>
  <c r="F103" i="89"/>
  <c r="I90" i="89"/>
  <c r="L77" i="89"/>
  <c r="C56" i="89"/>
  <c r="C44" i="89"/>
  <c r="F42" i="89"/>
  <c r="F96" i="89"/>
  <c r="I65" i="89"/>
  <c r="C36" i="89"/>
  <c r="I57" i="89"/>
  <c r="C93" i="89"/>
  <c r="C41" i="89"/>
  <c r="C71" i="89"/>
  <c r="C101" i="89"/>
  <c r="H135" i="87"/>
  <c r="E22" i="87"/>
  <c r="E27" i="87"/>
  <c r="D30" i="87"/>
  <c r="C33" i="87"/>
  <c r="E35" i="87"/>
  <c r="D38" i="87"/>
  <c r="C41" i="87"/>
  <c r="E43" i="87"/>
  <c r="D46" i="87"/>
  <c r="C50" i="87"/>
  <c r="D55" i="87"/>
  <c r="E60" i="87"/>
  <c r="D67" i="87"/>
  <c r="F70" i="87"/>
  <c r="E83" i="87"/>
  <c r="F106" i="87"/>
  <c r="D132" i="87"/>
  <c r="G14" i="87"/>
  <c r="G19" i="87" s="1"/>
  <c r="G20" i="87" s="1"/>
  <c r="H6" i="87"/>
  <c r="H21" i="87"/>
  <c r="C26" i="87"/>
  <c r="E28" i="87"/>
  <c r="D31" i="87"/>
  <c r="C34" i="87"/>
  <c r="E36" i="87"/>
  <c r="D39" i="87"/>
  <c r="C42" i="87"/>
  <c r="E44" i="87"/>
  <c r="D47" i="87"/>
  <c r="D51" i="87"/>
  <c r="E56" i="87"/>
  <c r="C62" i="87"/>
  <c r="C68" i="87"/>
  <c r="G73" i="87"/>
  <c r="F86" i="87"/>
  <c r="G109" i="87"/>
  <c r="F122" i="87"/>
  <c r="E13" i="87"/>
  <c r="D26" i="87"/>
  <c r="C29" i="87"/>
  <c r="E31" i="87"/>
  <c r="D34" i="87"/>
  <c r="C37" i="87"/>
  <c r="E39" i="87"/>
  <c r="D42" i="87"/>
  <c r="C45" i="87"/>
  <c r="E47" i="87"/>
  <c r="E52" i="87"/>
  <c r="C58" i="87"/>
  <c r="F65" i="87"/>
  <c r="G68" i="87"/>
  <c r="C77" i="87"/>
  <c r="G89" i="87"/>
  <c r="D100" i="87"/>
  <c r="C113" i="87"/>
  <c r="G125" i="87"/>
  <c r="F133" i="87"/>
  <c r="G132" i="87"/>
  <c r="C132" i="87"/>
  <c r="D131" i="87"/>
  <c r="E130" i="87"/>
  <c r="F129" i="87"/>
  <c r="G128" i="87"/>
  <c r="C128" i="87"/>
  <c r="D127" i="87"/>
  <c r="E126" i="87"/>
  <c r="F125" i="87"/>
  <c r="G124" i="87"/>
  <c r="C124" i="87"/>
  <c r="D123" i="87"/>
  <c r="E122" i="87"/>
  <c r="F121" i="87"/>
  <c r="G120" i="87"/>
  <c r="C120" i="87"/>
  <c r="F117" i="87"/>
  <c r="G116" i="87"/>
  <c r="C116" i="87"/>
  <c r="D115" i="87"/>
  <c r="E114" i="87"/>
  <c r="F113" i="87"/>
  <c r="G112" i="87"/>
  <c r="C112" i="87"/>
  <c r="D111" i="87"/>
  <c r="E110" i="87"/>
  <c r="F109" i="87"/>
  <c r="G108" i="87"/>
  <c r="C108" i="87"/>
  <c r="D107" i="87"/>
  <c r="E106" i="87"/>
  <c r="F105" i="87"/>
  <c r="G104" i="87"/>
  <c r="C104" i="87"/>
  <c r="D103" i="87"/>
  <c r="E102" i="87"/>
  <c r="F101" i="87"/>
  <c r="G100" i="87"/>
  <c r="C100" i="87"/>
  <c r="D99" i="87"/>
  <c r="E98" i="87"/>
  <c r="D95" i="87"/>
  <c r="E94" i="87"/>
  <c r="F93" i="87"/>
  <c r="G92" i="87"/>
  <c r="C92" i="87"/>
  <c r="D91" i="87"/>
  <c r="E90" i="87"/>
  <c r="F89" i="87"/>
  <c r="G88" i="87"/>
  <c r="C88" i="87"/>
  <c r="D87" i="87"/>
  <c r="E86" i="87"/>
  <c r="F85" i="87"/>
  <c r="G84" i="87"/>
  <c r="C84" i="87"/>
  <c r="D83" i="87"/>
  <c r="E82" i="87"/>
  <c r="F81" i="87"/>
  <c r="G80" i="87"/>
  <c r="C80" i="87"/>
  <c r="D79" i="87"/>
  <c r="E78" i="87"/>
  <c r="F77" i="87"/>
  <c r="G76" i="87"/>
  <c r="C76" i="87"/>
  <c r="D75" i="87"/>
  <c r="E74" i="87"/>
  <c r="F73" i="87"/>
  <c r="G72" i="87"/>
  <c r="C72" i="87"/>
  <c r="D71" i="87"/>
  <c r="E133" i="87"/>
  <c r="F132" i="87"/>
  <c r="G131" i="87"/>
  <c r="C131" i="87"/>
  <c r="D130" i="87"/>
  <c r="E129" i="87"/>
  <c r="F128" i="87"/>
  <c r="G127" i="87"/>
  <c r="C127" i="87"/>
  <c r="D126" i="87"/>
  <c r="E125" i="87"/>
  <c r="F124" i="87"/>
  <c r="G123" i="87"/>
  <c r="C123" i="87"/>
  <c r="D122" i="87"/>
  <c r="E121" i="87"/>
  <c r="F120" i="87"/>
  <c r="E117" i="87"/>
  <c r="F116" i="87"/>
  <c r="G115" i="87"/>
  <c r="C115" i="87"/>
  <c r="D114" i="87"/>
  <c r="E113" i="87"/>
  <c r="F112" i="87"/>
  <c r="G111" i="87"/>
  <c r="C111" i="87"/>
  <c r="D110" i="87"/>
  <c r="E109" i="87"/>
  <c r="F108" i="87"/>
  <c r="G107" i="87"/>
  <c r="C107" i="87"/>
  <c r="D106" i="87"/>
  <c r="E105" i="87"/>
  <c r="F104" i="87"/>
  <c r="G103" i="87"/>
  <c r="C103" i="87"/>
  <c r="D102" i="87"/>
  <c r="E101" i="87"/>
  <c r="F100" i="87"/>
  <c r="G99" i="87"/>
  <c r="C99" i="87"/>
  <c r="D98" i="87"/>
  <c r="G95" i="87"/>
  <c r="C95" i="87"/>
  <c r="D94" i="87"/>
  <c r="E93" i="87"/>
  <c r="F92" i="87"/>
  <c r="G91" i="87"/>
  <c r="C91" i="87"/>
  <c r="D90" i="87"/>
  <c r="E89" i="87"/>
  <c r="F88" i="87"/>
  <c r="G87" i="87"/>
  <c r="C87" i="87"/>
  <c r="D86" i="87"/>
  <c r="E85" i="87"/>
  <c r="F84" i="87"/>
  <c r="G83" i="87"/>
  <c r="C83" i="87"/>
  <c r="D82" i="87"/>
  <c r="E81" i="87"/>
  <c r="F80" i="87"/>
  <c r="G79" i="87"/>
  <c r="C79" i="87"/>
  <c r="D78" i="87"/>
  <c r="E77" i="87"/>
  <c r="F76" i="87"/>
  <c r="G75" i="87"/>
  <c r="C75" i="87"/>
  <c r="D74" i="87"/>
  <c r="E73" i="87"/>
  <c r="F72" i="87"/>
  <c r="G71" i="87"/>
  <c r="C71" i="87"/>
  <c r="D70" i="87"/>
  <c r="D133" i="87"/>
  <c r="E132" i="87"/>
  <c r="F131" i="87"/>
  <c r="G130" i="87"/>
  <c r="C130" i="87"/>
  <c r="D129" i="87"/>
  <c r="E128" i="87"/>
  <c r="F127" i="87"/>
  <c r="G126" i="87"/>
  <c r="C126" i="87"/>
  <c r="D125" i="87"/>
  <c r="E124" i="87"/>
  <c r="F123" i="87"/>
  <c r="G122" i="87"/>
  <c r="C122" i="87"/>
  <c r="D121" i="87"/>
  <c r="E120" i="87"/>
  <c r="D117" i="87"/>
  <c r="E116" i="87"/>
  <c r="F115" i="87"/>
  <c r="G114" i="87"/>
  <c r="C114" i="87"/>
  <c r="D113" i="87"/>
  <c r="E112" i="87"/>
  <c r="F111" i="87"/>
  <c r="G110" i="87"/>
  <c r="C110" i="87"/>
  <c r="D109" i="87"/>
  <c r="E108" i="87"/>
  <c r="F107" i="87"/>
  <c r="G106" i="87"/>
  <c r="C106" i="87"/>
  <c r="D105" i="87"/>
  <c r="E104" i="87"/>
  <c r="F103" i="87"/>
  <c r="G102" i="87"/>
  <c r="C102" i="87"/>
  <c r="D101" i="87"/>
  <c r="E100" i="87"/>
  <c r="F99" i="87"/>
  <c r="G98" i="87"/>
  <c r="C98" i="87"/>
  <c r="F95" i="87"/>
  <c r="G94" i="87"/>
  <c r="C94" i="87"/>
  <c r="D93" i="87"/>
  <c r="E92" i="87"/>
  <c r="F91" i="87"/>
  <c r="G90" i="87"/>
  <c r="C90" i="87"/>
  <c r="D89" i="87"/>
  <c r="E88" i="87"/>
  <c r="F87" i="87"/>
  <c r="G86" i="87"/>
  <c r="C86" i="87"/>
  <c r="D85" i="87"/>
  <c r="E84" i="87"/>
  <c r="F83" i="87"/>
  <c r="G82" i="87"/>
  <c r="C82" i="87"/>
  <c r="D81" i="87"/>
  <c r="E80" i="87"/>
  <c r="F79" i="87"/>
  <c r="G78" i="87"/>
  <c r="C78" i="87"/>
  <c r="D77" i="87"/>
  <c r="E76" i="87"/>
  <c r="F75" i="87"/>
  <c r="G74" i="87"/>
  <c r="C74" i="87"/>
  <c r="D73" i="87"/>
  <c r="E72" i="87"/>
  <c r="F71" i="87"/>
  <c r="G70" i="87"/>
  <c r="E131" i="87"/>
  <c r="D128" i="87"/>
  <c r="C125" i="87"/>
  <c r="G121" i="87"/>
  <c r="E115" i="87"/>
  <c r="D112" i="87"/>
  <c r="C109" i="87"/>
  <c r="G105" i="87"/>
  <c r="F102" i="87"/>
  <c r="E99" i="87"/>
  <c r="E95" i="87"/>
  <c r="D92" i="87"/>
  <c r="C89" i="87"/>
  <c r="G85" i="87"/>
  <c r="F82" i="87"/>
  <c r="E79" i="87"/>
  <c r="D76" i="87"/>
  <c r="C73" i="87"/>
  <c r="E70" i="87"/>
  <c r="E69" i="87"/>
  <c r="F68" i="87"/>
  <c r="G67" i="87"/>
  <c r="C67" i="87"/>
  <c r="D66" i="87"/>
  <c r="E65" i="87"/>
  <c r="E61" i="87"/>
  <c r="D60" i="87"/>
  <c r="C59" i="87"/>
  <c r="E57" i="87"/>
  <c r="D56" i="87"/>
  <c r="C55" i="87"/>
  <c r="E53" i="87"/>
  <c r="D52" i="87"/>
  <c r="C51" i="87"/>
  <c r="E49" i="87"/>
  <c r="D48" i="87"/>
  <c r="C47" i="87"/>
  <c r="E45" i="87"/>
  <c r="D44" i="87"/>
  <c r="C43" i="87"/>
  <c r="E41" i="87"/>
  <c r="D40" i="87"/>
  <c r="C39" i="87"/>
  <c r="E37" i="87"/>
  <c r="D36" i="87"/>
  <c r="C35" i="87"/>
  <c r="E33" i="87"/>
  <c r="D32" i="87"/>
  <c r="C31" i="87"/>
  <c r="E29" i="87"/>
  <c r="D28" i="87"/>
  <c r="C27" i="87"/>
  <c r="D13" i="87"/>
  <c r="G133" i="87"/>
  <c r="F130" i="87"/>
  <c r="E127" i="87"/>
  <c r="D124" i="87"/>
  <c r="C121" i="87"/>
  <c r="G117" i="87"/>
  <c r="F114" i="87"/>
  <c r="E111" i="87"/>
  <c r="D108" i="87"/>
  <c r="C105" i="87"/>
  <c r="G101" i="87"/>
  <c r="F98" i="87"/>
  <c r="F94" i="87"/>
  <c r="E91" i="87"/>
  <c r="D88" i="87"/>
  <c r="C85" i="87"/>
  <c r="G81" i="87"/>
  <c r="F78" i="87"/>
  <c r="E75" i="87"/>
  <c r="D72" i="87"/>
  <c r="C70" i="87"/>
  <c r="D69" i="87"/>
  <c r="E68" i="87"/>
  <c r="F67" i="87"/>
  <c r="G66" i="87"/>
  <c r="C66" i="87"/>
  <c r="D65" i="87"/>
  <c r="E62" i="87"/>
  <c r="D61" i="87"/>
  <c r="C60" i="87"/>
  <c r="E58" i="87"/>
  <c r="D57" i="87"/>
  <c r="C56" i="87"/>
  <c r="E54" i="87"/>
  <c r="D53" i="87"/>
  <c r="C52" i="87"/>
  <c r="E50" i="87"/>
  <c r="D49" i="87"/>
  <c r="C48" i="87"/>
  <c r="E46" i="87"/>
  <c r="D45" i="87"/>
  <c r="C44" i="87"/>
  <c r="E42" i="87"/>
  <c r="D41" i="87"/>
  <c r="C40" i="87"/>
  <c r="E38" i="87"/>
  <c r="D37" i="87"/>
  <c r="C36" i="87"/>
  <c r="E34" i="87"/>
  <c r="D33" i="87"/>
  <c r="C32" i="87"/>
  <c r="E30" i="87"/>
  <c r="D29" i="87"/>
  <c r="C28" i="87"/>
  <c r="E26" i="87"/>
  <c r="C133" i="87"/>
  <c r="G129" i="87"/>
  <c r="F126" i="87"/>
  <c r="E123" i="87"/>
  <c r="D120" i="87"/>
  <c r="C117" i="87"/>
  <c r="G113" i="87"/>
  <c r="F110" i="87"/>
  <c r="E107" i="87"/>
  <c r="D104" i="87"/>
  <c r="C101" i="87"/>
  <c r="G93" i="87"/>
  <c r="F90" i="87"/>
  <c r="E87" i="87"/>
  <c r="D84" i="87"/>
  <c r="C81" i="87"/>
  <c r="G77" i="87"/>
  <c r="F74" i="87"/>
  <c r="E71" i="87"/>
  <c r="G69" i="87"/>
  <c r="C69" i="87"/>
  <c r="D68" i="87"/>
  <c r="E67" i="87"/>
  <c r="F66" i="87"/>
  <c r="G65" i="87"/>
  <c r="C65" i="87"/>
  <c r="D62" i="87"/>
  <c r="C61" i="87"/>
  <c r="E59" i="87"/>
  <c r="D58" i="87"/>
  <c r="C57" i="87"/>
  <c r="E55" i="87"/>
  <c r="D54" i="87"/>
  <c r="C53" i="87"/>
  <c r="E51" i="87"/>
  <c r="D50" i="87"/>
  <c r="C49" i="87"/>
  <c r="D22" i="87"/>
  <c r="H22" i="87" s="1"/>
  <c r="D27" i="87"/>
  <c r="C30" i="87"/>
  <c r="E32" i="87"/>
  <c r="D35" i="87"/>
  <c r="C38" i="87"/>
  <c r="E40" i="87"/>
  <c r="D43" i="87"/>
  <c r="C46" i="87"/>
  <c r="E48" i="87"/>
  <c r="C54" i="87"/>
  <c r="D59" i="87"/>
  <c r="E66" i="87"/>
  <c r="F69" i="87"/>
  <c r="D80" i="87"/>
  <c r="C93" i="87"/>
  <c r="E103" i="87"/>
  <c r="D116" i="87"/>
  <c r="C129" i="87"/>
  <c r="O116" i="89" l="1"/>
  <c r="L116" i="89"/>
  <c r="I127" i="89"/>
  <c r="L127" i="89"/>
  <c r="C127" i="89"/>
  <c r="O104" i="89"/>
  <c r="C116" i="89"/>
  <c r="C104" i="89"/>
  <c r="I116" i="89"/>
  <c r="I74" i="89"/>
  <c r="I104" i="89"/>
  <c r="C74" i="89"/>
  <c r="L104" i="89"/>
  <c r="F127" i="89"/>
  <c r="F104" i="89"/>
  <c r="F116" i="89"/>
  <c r="O127" i="89"/>
  <c r="F74" i="89"/>
  <c r="E134" i="87"/>
  <c r="G118" i="87"/>
  <c r="C134" i="87"/>
  <c r="F96" i="87"/>
  <c r="C63" i="87"/>
  <c r="F118" i="87"/>
  <c r="C96" i="87"/>
  <c r="G23" i="87"/>
  <c r="G96" i="87"/>
  <c r="D134" i="87"/>
  <c r="G134" i="87"/>
  <c r="E96" i="87"/>
  <c r="D118" i="87"/>
  <c r="E63" i="87"/>
  <c r="D96" i="87"/>
  <c r="C118" i="87"/>
  <c r="F134" i="87"/>
  <c r="E118" i="87"/>
  <c r="D63" i="87"/>
  <c r="C14" i="87"/>
  <c r="C19" i="87" s="1"/>
  <c r="C20" i="87" s="1"/>
  <c r="F14" i="87"/>
  <c r="F19" i="87" s="1"/>
  <c r="F20" i="87" s="1"/>
  <c r="E14" i="87"/>
  <c r="E19" i="87" s="1"/>
  <c r="E20" i="87" s="1"/>
  <c r="D14" i="87"/>
  <c r="D19" i="87" s="1"/>
  <c r="D20" i="87" s="1"/>
  <c r="C128" i="89" l="1"/>
  <c r="C129" i="89" s="1"/>
  <c r="C130" i="89" s="1"/>
  <c r="C131" i="89" s="1"/>
  <c r="L128" i="89"/>
  <c r="L129" i="89" s="1"/>
  <c r="L130" i="89" s="1"/>
  <c r="L131" i="89" s="1"/>
  <c r="F128" i="89"/>
  <c r="F129" i="89" s="1"/>
  <c r="F130" i="89" s="1"/>
  <c r="F131" i="89" s="1"/>
  <c r="I128" i="89"/>
  <c r="I129" i="89" s="1"/>
  <c r="I130" i="89" s="1"/>
  <c r="I131" i="89" s="1"/>
  <c r="O128" i="89"/>
  <c r="O129" i="89" s="1"/>
  <c r="O130" i="89" s="1"/>
  <c r="O131" i="89" s="1"/>
  <c r="E135" i="87"/>
  <c r="E136" i="87" s="1"/>
  <c r="E137" i="87" s="1"/>
  <c r="E138" i="87" s="1"/>
  <c r="D23" i="87"/>
  <c r="E23" i="87"/>
  <c r="F23" i="87"/>
  <c r="C23" i="87"/>
  <c r="G135" i="87"/>
  <c r="G136" i="87" s="1"/>
  <c r="G137" i="87" s="1"/>
  <c r="G138" i="87" s="1"/>
  <c r="F135" i="87"/>
  <c r="F136" i="87" s="1"/>
  <c r="F137" i="87" s="1"/>
  <c r="F138" i="87" s="1"/>
  <c r="D135" i="87"/>
  <c r="D136" i="87" s="1"/>
  <c r="D137" i="87" s="1"/>
  <c r="D138" i="87" s="1"/>
  <c r="C135" i="87"/>
  <c r="C136" i="87" s="1"/>
  <c r="C137" i="87" s="1"/>
  <c r="H23" i="87" l="1"/>
  <c r="H137" i="87"/>
  <c r="C138" i="87"/>
  <c r="R133" i="89" l="1"/>
  <c r="H140" i="87"/>
  <c r="H138" i="87"/>
  <c r="D11" i="44" l="1"/>
  <c r="F19" i="86"/>
  <c r="H19" i="86"/>
  <c r="J19" i="86"/>
  <c r="L19" i="86"/>
  <c r="N19" i="86"/>
  <c r="P19" i="86"/>
  <c r="R19" i="86"/>
  <c r="T19" i="86"/>
  <c r="V19" i="86"/>
  <c r="X19" i="86"/>
  <c r="Z19" i="86"/>
  <c r="AB19" i="86"/>
  <c r="AD19" i="86"/>
  <c r="AF19" i="86"/>
  <c r="C17" i="86"/>
  <c r="C18" i="86" s="1"/>
  <c r="N18" i="86"/>
  <c r="AF17" i="86"/>
  <c r="AF18" i="86" s="1"/>
  <c r="AE17" i="86"/>
  <c r="AE18" i="86" s="1"/>
  <c r="AD17" i="86"/>
  <c r="AD18" i="86" s="1"/>
  <c r="AC17" i="86"/>
  <c r="AC18" i="86" s="1"/>
  <c r="AB17" i="86"/>
  <c r="AB18" i="86" s="1"/>
  <c r="AA17" i="86"/>
  <c r="AA18" i="86" s="1"/>
  <c r="Z17" i="86"/>
  <c r="Z18" i="86" s="1"/>
  <c r="Y17" i="86"/>
  <c r="Y18" i="86" s="1"/>
  <c r="X17" i="86"/>
  <c r="X18" i="86" s="1"/>
  <c r="W17" i="86"/>
  <c r="W18" i="86" s="1"/>
  <c r="V17" i="86"/>
  <c r="V18" i="86" s="1"/>
  <c r="U17" i="86"/>
  <c r="U18" i="86" s="1"/>
  <c r="T17" i="86"/>
  <c r="T18" i="86" s="1"/>
  <c r="S17" i="86"/>
  <c r="S18" i="86" s="1"/>
  <c r="R17" i="86"/>
  <c r="R18" i="86" s="1"/>
  <c r="Q17" i="86"/>
  <c r="Q18" i="86" s="1"/>
  <c r="P17" i="86"/>
  <c r="P18" i="86" s="1"/>
  <c r="O17" i="86"/>
  <c r="O18" i="86" s="1"/>
  <c r="M17" i="86"/>
  <c r="M18" i="86" s="1"/>
  <c r="L17" i="86"/>
  <c r="L18" i="86" s="1"/>
  <c r="K17" i="86"/>
  <c r="K18" i="86" s="1"/>
  <c r="J17" i="86"/>
  <c r="J18" i="86" s="1"/>
  <c r="I17" i="86"/>
  <c r="I18" i="86" s="1"/>
  <c r="H17" i="86"/>
  <c r="H18" i="86" s="1"/>
  <c r="G17" i="86"/>
  <c r="G18" i="86" s="1"/>
  <c r="F17" i="86"/>
  <c r="F18" i="86" s="1"/>
  <c r="E17" i="86"/>
  <c r="E18" i="86" s="1"/>
  <c r="D17" i="86"/>
  <c r="D18" i="86" s="1"/>
  <c r="L7" i="71"/>
  <c r="L8" i="71"/>
  <c r="L9" i="71"/>
  <c r="L10" i="71"/>
  <c r="L11" i="71"/>
  <c r="L12" i="71"/>
  <c r="L13" i="71"/>
  <c r="L14" i="71"/>
  <c r="L6" i="71"/>
  <c r="H14" i="71"/>
  <c r="I14" i="71"/>
  <c r="J14" i="71"/>
  <c r="K14" i="71"/>
  <c r="E14" i="71"/>
  <c r="F14" i="71"/>
  <c r="G14" i="71"/>
  <c r="D14" i="71"/>
  <c r="J67" i="84"/>
  <c r="J66" i="84"/>
  <c r="J65" i="84"/>
  <c r="J64" i="84"/>
  <c r="J63" i="84"/>
  <c r="J62" i="84"/>
  <c r="J61" i="84"/>
  <c r="J60" i="84"/>
  <c r="J59" i="84"/>
  <c r="J58" i="84"/>
  <c r="J57" i="84"/>
  <c r="J56" i="84"/>
  <c r="J55" i="84"/>
  <c r="J54" i="84"/>
  <c r="J53" i="84"/>
  <c r="J52" i="84"/>
  <c r="J51" i="84"/>
  <c r="J50" i="84"/>
  <c r="J49" i="84"/>
  <c r="J48" i="84"/>
  <c r="J47" i="84"/>
  <c r="J46" i="84"/>
  <c r="J45" i="84"/>
  <c r="J44" i="84"/>
  <c r="J43" i="84"/>
  <c r="J42" i="84"/>
  <c r="J41" i="84"/>
  <c r="J40" i="84"/>
  <c r="J39" i="84"/>
  <c r="J38" i="84"/>
  <c r="J37" i="84"/>
  <c r="J36" i="84"/>
  <c r="J35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J6" i="84"/>
  <c r="J5" i="84"/>
  <c r="J4" i="84"/>
  <c r="J68" i="84" s="1"/>
  <c r="P16" i="80" l="1"/>
  <c r="N16" i="80"/>
  <c r="O16" i="80" s="1"/>
  <c r="Q16" i="80" s="1"/>
  <c r="F21" i="44" l="1"/>
  <c r="F23" i="44" s="1"/>
  <c r="J11" i="44"/>
  <c r="J12" i="44"/>
  <c r="J13" i="44"/>
  <c r="J14" i="44"/>
  <c r="J15" i="44"/>
  <c r="J16" i="44"/>
  <c r="J10" i="44"/>
  <c r="G11" i="44"/>
  <c r="G12" i="44"/>
  <c r="G13" i="44"/>
  <c r="G14" i="44"/>
  <c r="G15" i="44"/>
  <c r="G16" i="44"/>
  <c r="G10" i="44"/>
  <c r="D88" i="83"/>
  <c r="D77" i="83"/>
  <c r="D100" i="83"/>
  <c r="E78" i="83"/>
  <c r="E79" i="83"/>
  <c r="E80" i="83"/>
  <c r="E81" i="83"/>
  <c r="E82" i="83"/>
  <c r="E83" i="83"/>
  <c r="E84" i="83"/>
  <c r="E85" i="83"/>
  <c r="E86" i="83"/>
  <c r="E87" i="83"/>
  <c r="E88" i="83"/>
  <c r="E90" i="83"/>
  <c r="E91" i="83"/>
  <c r="E100" i="83" s="1"/>
  <c r="E92" i="83"/>
  <c r="E93" i="83"/>
  <c r="E94" i="83"/>
  <c r="E95" i="83"/>
  <c r="E96" i="83"/>
  <c r="E97" i="83"/>
  <c r="E98" i="83"/>
  <c r="E99" i="83"/>
  <c r="E8" i="83"/>
  <c r="E9" i="83"/>
  <c r="E10" i="83"/>
  <c r="E11" i="83"/>
  <c r="E12" i="83"/>
  <c r="E13" i="83"/>
  <c r="E14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" i="83"/>
  <c r="C100" i="83"/>
  <c r="C89" i="83"/>
  <c r="C77" i="83"/>
  <c r="C34" i="83"/>
  <c r="E34" i="83" s="1"/>
  <c r="D15" i="83"/>
  <c r="D47" i="83" s="1"/>
  <c r="C15" i="83"/>
  <c r="P27" i="80"/>
  <c r="N27" i="80"/>
  <c r="O27" i="80" s="1"/>
  <c r="Q27" i="80" s="1"/>
  <c r="P26" i="80"/>
  <c r="N26" i="80"/>
  <c r="O26" i="80" s="1"/>
  <c r="Q26" i="80" s="1"/>
  <c r="P25" i="80"/>
  <c r="N25" i="80"/>
  <c r="O25" i="80" s="1"/>
  <c r="Q25" i="80" s="1"/>
  <c r="P24" i="80"/>
  <c r="N24" i="80"/>
  <c r="O24" i="80" s="1"/>
  <c r="Q24" i="80" s="1"/>
  <c r="P23" i="80"/>
  <c r="N23" i="80"/>
  <c r="O23" i="80" s="1"/>
  <c r="Q23" i="80" s="1"/>
  <c r="P22" i="80"/>
  <c r="N22" i="80"/>
  <c r="O22" i="80" s="1"/>
  <c r="Q22" i="80" s="1"/>
  <c r="P21" i="80"/>
  <c r="N21" i="80"/>
  <c r="O21" i="80" s="1"/>
  <c r="Q21" i="80" s="1"/>
  <c r="P20" i="80"/>
  <c r="N20" i="80"/>
  <c r="O20" i="80" s="1"/>
  <c r="Q20" i="80" s="1"/>
  <c r="P18" i="80"/>
  <c r="N18" i="80"/>
  <c r="O18" i="80" s="1"/>
  <c r="Q18" i="80" s="1"/>
  <c r="P17" i="80"/>
  <c r="N17" i="80"/>
  <c r="O17" i="80" s="1"/>
  <c r="Q17" i="80" s="1"/>
  <c r="Q15" i="80"/>
  <c r="P14" i="80"/>
  <c r="N14" i="80"/>
  <c r="O14" i="80" s="1"/>
  <c r="Q14" i="80" s="1"/>
  <c r="P13" i="80"/>
  <c r="N13" i="80"/>
  <c r="O13" i="80" s="1"/>
  <c r="Q13" i="80" s="1"/>
  <c r="P12" i="80"/>
  <c r="N12" i="80"/>
  <c r="O12" i="80" s="1"/>
  <c r="Q12" i="80" s="1"/>
  <c r="P11" i="80"/>
  <c r="N11" i="80"/>
  <c r="O11" i="80" s="1"/>
  <c r="Q11" i="80" s="1"/>
  <c r="P10" i="80"/>
  <c r="N10" i="80"/>
  <c r="O10" i="80" s="1"/>
  <c r="Q10" i="80" s="1"/>
  <c r="P9" i="80"/>
  <c r="N9" i="80"/>
  <c r="O9" i="80" s="1"/>
  <c r="Q9" i="80" s="1"/>
  <c r="P8" i="80"/>
  <c r="N8" i="80"/>
  <c r="O8" i="80" s="1"/>
  <c r="Q8" i="80" s="1"/>
  <c r="P7" i="80"/>
  <c r="N7" i="80"/>
  <c r="O7" i="80" s="1"/>
  <c r="Q7" i="80" s="1"/>
  <c r="P6" i="80"/>
  <c r="N6" i="80"/>
  <c r="O6" i="80" s="1"/>
  <c r="Q6" i="80" s="1"/>
  <c r="P5" i="80"/>
  <c r="N5" i="80"/>
  <c r="O5" i="80" s="1"/>
  <c r="Q5" i="80" s="1"/>
  <c r="P4" i="80"/>
  <c r="N4" i="80"/>
  <c r="O4" i="80" s="1"/>
  <c r="Q4" i="80" s="1"/>
  <c r="P3" i="80"/>
  <c r="N3" i="80"/>
  <c r="O3" i="80" s="1"/>
  <c r="Q3" i="80" s="1"/>
  <c r="E77" i="83" l="1"/>
  <c r="E89" i="83"/>
  <c r="D89" i="83"/>
  <c r="E15" i="83"/>
  <c r="C47" i="83"/>
  <c r="E47" i="83" s="1"/>
  <c r="E102" i="83" s="1"/>
  <c r="L29" i="44"/>
  <c r="I21" i="44"/>
  <c r="I23" i="44" s="1"/>
  <c r="L21" i="44"/>
  <c r="O21" i="44"/>
  <c r="C21" i="44"/>
  <c r="R11" i="44"/>
  <c r="R12" i="44"/>
  <c r="R13" i="44"/>
  <c r="R14" i="44"/>
  <c r="R15" i="44"/>
  <c r="R16" i="44"/>
  <c r="R20" i="44"/>
  <c r="R10" i="44"/>
  <c r="C37" i="44" l="1"/>
  <c r="R21" i="44"/>
  <c r="D8" i="73" l="1"/>
  <c r="D7" i="73"/>
  <c r="D9" i="73" s="1"/>
  <c r="D10" i="73" s="1"/>
  <c r="B7" i="73"/>
  <c r="B5" i="73"/>
  <c r="B8" i="73" s="1"/>
  <c r="B9" i="73" l="1"/>
  <c r="B10" i="73" s="1"/>
  <c r="B11" i="73" l="1"/>
  <c r="B12" i="73"/>
  <c r="B13" i="73" l="1"/>
  <c r="D11" i="73"/>
  <c r="D12" i="73" s="1"/>
  <c r="G9" i="71"/>
  <c r="G10" i="71"/>
  <c r="G11" i="71"/>
  <c r="G7" i="71"/>
  <c r="G8" i="71"/>
  <c r="G6" i="71"/>
  <c r="K4" i="69" l="1"/>
  <c r="K3" i="69"/>
  <c r="J8" i="69"/>
  <c r="J7" i="69"/>
  <c r="J6" i="69"/>
  <c r="J4" i="69"/>
  <c r="J3" i="69"/>
  <c r="G9" i="69" l="1"/>
  <c r="F11" i="69" l="1"/>
  <c r="F10" i="69"/>
  <c r="F13" i="69" s="1"/>
  <c r="G13" i="69" s="1"/>
  <c r="F4" i="69"/>
  <c r="F3" i="69"/>
  <c r="F6" i="69" l="1"/>
  <c r="G6" i="69" s="1"/>
  <c r="G15" i="69" s="1"/>
  <c r="G16" i="69" s="1"/>
  <c r="B34" i="64"/>
  <c r="B33" i="64"/>
  <c r="B35" i="64" l="1"/>
  <c r="AS25" i="64"/>
  <c r="AS26" i="64" s="1"/>
  <c r="AS27" i="64"/>
  <c r="AS19" i="64"/>
  <c r="AS21" i="64"/>
  <c r="AQ28" i="64" s="1"/>
  <c r="AS16" i="64"/>
  <c r="K24" i="67"/>
  <c r="K8" i="67"/>
  <c r="K9" i="67"/>
  <c r="K10" i="67"/>
  <c r="K12" i="67"/>
  <c r="K13" i="67"/>
  <c r="K15" i="67"/>
  <c r="K16" i="67"/>
  <c r="K17" i="67"/>
  <c r="K18" i="67"/>
  <c r="K19" i="67"/>
  <c r="K23" i="67"/>
  <c r="D31" i="68"/>
  <c r="J26" i="67"/>
  <c r="I23" i="67"/>
  <c r="D23" i="67"/>
  <c r="C23" i="67"/>
  <c r="J22" i="67"/>
  <c r="H22" i="67"/>
  <c r="G22" i="67"/>
  <c r="F22" i="67"/>
  <c r="E21" i="67"/>
  <c r="I21" i="67" s="1"/>
  <c r="D21" i="67"/>
  <c r="D22" i="67" s="1"/>
  <c r="C21" i="67"/>
  <c r="E20" i="67"/>
  <c r="I20" i="67" s="1"/>
  <c r="I22" i="67" s="1"/>
  <c r="C20" i="67"/>
  <c r="C22" i="67" s="1"/>
  <c r="E19" i="67"/>
  <c r="I19" i="67" s="1"/>
  <c r="I18" i="67"/>
  <c r="G17" i="67"/>
  <c r="I17" i="67" s="1"/>
  <c r="I16" i="67"/>
  <c r="I15" i="67"/>
  <c r="F15" i="67"/>
  <c r="E14" i="67"/>
  <c r="I14" i="67" s="1"/>
  <c r="I13" i="67"/>
  <c r="H13" i="67"/>
  <c r="H24" i="67" s="1"/>
  <c r="H26" i="67" s="1"/>
  <c r="D12" i="67"/>
  <c r="G12" i="67" s="1"/>
  <c r="C12" i="67"/>
  <c r="E11" i="67"/>
  <c r="C11" i="67"/>
  <c r="I10" i="67"/>
  <c r="F10" i="67"/>
  <c r="C10" i="67"/>
  <c r="C24" i="67" s="1"/>
  <c r="C26" i="67" s="1"/>
  <c r="I9" i="67"/>
  <c r="G9" i="67"/>
  <c r="C9" i="67"/>
  <c r="F8" i="67"/>
  <c r="I8" i="67" s="1"/>
  <c r="I7" i="67"/>
  <c r="F6" i="67"/>
  <c r="I6" i="67" s="1"/>
  <c r="I5" i="67"/>
  <c r="F5" i="67"/>
  <c r="I12" i="67" l="1"/>
  <c r="G24" i="67"/>
  <c r="G26" i="67" s="1"/>
  <c r="I24" i="67"/>
  <c r="I26" i="67" s="1"/>
  <c r="F24" i="67"/>
  <c r="F26" i="67" s="1"/>
  <c r="I11" i="67"/>
  <c r="D24" i="67"/>
  <c r="D26" i="67" s="1"/>
  <c r="E22" i="67"/>
  <c r="E24" i="67" s="1"/>
  <c r="E26" i="67" s="1"/>
  <c r="AH18" i="64" l="1"/>
  <c r="C12" i="64"/>
  <c r="D12" i="64"/>
  <c r="E12" i="64"/>
  <c r="F12" i="64"/>
  <c r="G12" i="64"/>
  <c r="H12" i="64"/>
  <c r="I12" i="64"/>
  <c r="J12" i="64"/>
  <c r="K12" i="64"/>
  <c r="L12" i="64"/>
  <c r="M12" i="64"/>
  <c r="N12" i="64"/>
  <c r="O12" i="64"/>
  <c r="P12" i="64"/>
  <c r="Q12" i="64"/>
  <c r="R12" i="64"/>
  <c r="S12" i="64"/>
  <c r="T12" i="64"/>
  <c r="U12" i="64"/>
  <c r="V12" i="64"/>
  <c r="W12" i="64"/>
  <c r="X12" i="64"/>
  <c r="Y12" i="64"/>
  <c r="Z12" i="64"/>
  <c r="AA12" i="64"/>
  <c r="AB12" i="64"/>
  <c r="AC12" i="64"/>
  <c r="AD12" i="64"/>
  <c r="AE12" i="64"/>
  <c r="AF12" i="64"/>
  <c r="B12" i="64"/>
  <c r="AC30" i="64"/>
  <c r="AD30" i="64"/>
  <c r="AE30" i="64"/>
  <c r="C67" i="44" l="1"/>
  <c r="F68" i="44"/>
  <c r="C68" i="44"/>
  <c r="C70" i="44"/>
  <c r="F69" i="44"/>
  <c r="I70" i="44"/>
  <c r="C69" i="44"/>
  <c r="C71" i="44"/>
  <c r="I68" i="44"/>
  <c r="F67" i="44"/>
  <c r="F70" i="44"/>
  <c r="I67" i="44"/>
  <c r="I69" i="44"/>
  <c r="P27" i="66"/>
  <c r="P28" i="66"/>
  <c r="P29" i="66"/>
  <c r="P30" i="66"/>
  <c r="P31" i="66"/>
  <c r="P32" i="66"/>
  <c r="P33" i="66"/>
  <c r="P34" i="66"/>
  <c r="P35" i="66"/>
  <c r="P36" i="66"/>
  <c r="P37" i="66"/>
  <c r="P39" i="66"/>
  <c r="P38" i="66"/>
  <c r="P26" i="66"/>
  <c r="P23" i="66"/>
  <c r="P24" i="66"/>
  <c r="P25" i="66"/>
  <c r="P22" i="66"/>
  <c r="P4" i="66"/>
  <c r="P5" i="66"/>
  <c r="P6" i="66"/>
  <c r="P7" i="66"/>
  <c r="P8" i="66"/>
  <c r="Q8" i="66"/>
  <c r="P9" i="66"/>
  <c r="P21" i="66"/>
  <c r="P10" i="66"/>
  <c r="P11" i="66"/>
  <c r="P12" i="66"/>
  <c r="P13" i="66"/>
  <c r="P14" i="66"/>
  <c r="P15" i="66"/>
  <c r="P16" i="66"/>
  <c r="P17" i="66"/>
  <c r="P18" i="66"/>
  <c r="P19" i="66"/>
  <c r="P20" i="66"/>
  <c r="P3" i="66"/>
  <c r="N4" i="66"/>
  <c r="O4" i="66" s="1"/>
  <c r="Q4" i="66" s="1"/>
  <c r="N5" i="66"/>
  <c r="O5" i="66" s="1"/>
  <c r="Q5" i="66" s="1"/>
  <c r="N6" i="66"/>
  <c r="O6" i="66" s="1"/>
  <c r="Q6" i="66" s="1"/>
  <c r="N7" i="66"/>
  <c r="O7" i="66" s="1"/>
  <c r="Q7" i="66" s="1"/>
  <c r="N8" i="66"/>
  <c r="O8" i="66" s="1"/>
  <c r="N9" i="66"/>
  <c r="O9" i="66" s="1"/>
  <c r="Q9" i="66" s="1"/>
  <c r="N21" i="66"/>
  <c r="O21" i="66" s="1"/>
  <c r="Q21" i="66" s="1"/>
  <c r="N10" i="66"/>
  <c r="O10" i="66" s="1"/>
  <c r="Q10" i="66" s="1"/>
  <c r="N11" i="66"/>
  <c r="O11" i="66" s="1"/>
  <c r="Q11" i="66" s="1"/>
  <c r="N12" i="66"/>
  <c r="O12" i="66"/>
  <c r="Q12" i="66" s="1"/>
  <c r="N13" i="66"/>
  <c r="O13" i="66" s="1"/>
  <c r="Q13" i="66" s="1"/>
  <c r="N14" i="66"/>
  <c r="O14" i="66" s="1"/>
  <c r="Q14" i="66" s="1"/>
  <c r="N15" i="66"/>
  <c r="O15" i="66" s="1"/>
  <c r="Q15" i="66" s="1"/>
  <c r="N16" i="66"/>
  <c r="O16" i="66" s="1"/>
  <c r="Q16" i="66" s="1"/>
  <c r="N17" i="66"/>
  <c r="O17" i="66" s="1"/>
  <c r="Q17" i="66" s="1"/>
  <c r="N18" i="66"/>
  <c r="O18" i="66"/>
  <c r="Q18" i="66" s="1"/>
  <c r="N19" i="66"/>
  <c r="O19" i="66" s="1"/>
  <c r="Q19" i="66" s="1"/>
  <c r="N20" i="66"/>
  <c r="O20" i="66" s="1"/>
  <c r="Q20" i="66" s="1"/>
  <c r="N22" i="66"/>
  <c r="O22" i="66" s="1"/>
  <c r="Q22" i="66" s="1"/>
  <c r="N23" i="66"/>
  <c r="O23" i="66" s="1"/>
  <c r="Q23" i="66" s="1"/>
  <c r="N24" i="66"/>
  <c r="O24" i="66" s="1"/>
  <c r="Q24" i="66" s="1"/>
  <c r="N25" i="66"/>
  <c r="O25" i="66" s="1"/>
  <c r="Q25" i="66" s="1"/>
  <c r="N26" i="66"/>
  <c r="O26" i="66" s="1"/>
  <c r="Q26" i="66" s="1"/>
  <c r="N27" i="66"/>
  <c r="O27" i="66" s="1"/>
  <c r="Q27" i="66" s="1"/>
  <c r="N28" i="66"/>
  <c r="O28" i="66" s="1"/>
  <c r="Q28" i="66" s="1"/>
  <c r="N29" i="66"/>
  <c r="O29" i="66"/>
  <c r="Q29" i="66" s="1"/>
  <c r="N30" i="66"/>
  <c r="O30" i="66" s="1"/>
  <c r="Q30" i="66" s="1"/>
  <c r="N31" i="66"/>
  <c r="O31" i="66" s="1"/>
  <c r="Q31" i="66" s="1"/>
  <c r="N32" i="66"/>
  <c r="O32" i="66" s="1"/>
  <c r="Q32" i="66" s="1"/>
  <c r="N33" i="66"/>
  <c r="O33" i="66" s="1"/>
  <c r="Q33" i="66" s="1"/>
  <c r="N34" i="66"/>
  <c r="O34" i="66" s="1"/>
  <c r="Q34" i="66" s="1"/>
  <c r="N35" i="66"/>
  <c r="O35" i="66" s="1"/>
  <c r="Q35" i="66" s="1"/>
  <c r="N36" i="66"/>
  <c r="O36" i="66" s="1"/>
  <c r="Q36" i="66" s="1"/>
  <c r="N37" i="66"/>
  <c r="O37" i="66"/>
  <c r="Q37" i="66" s="1"/>
  <c r="N39" i="66"/>
  <c r="O39" i="66" s="1"/>
  <c r="Q39" i="66" s="1"/>
  <c r="N38" i="66"/>
  <c r="O38" i="66" s="1"/>
  <c r="Q38" i="66" s="1"/>
  <c r="N3" i="66"/>
  <c r="O3" i="66" s="1"/>
  <c r="Q3" i="66" s="1"/>
  <c r="F10" i="65" l="1"/>
  <c r="E10" i="65"/>
  <c r="D10" i="65"/>
  <c r="H9" i="65"/>
  <c r="H8" i="65"/>
  <c r="H7" i="65"/>
  <c r="H6" i="65"/>
  <c r="H5" i="65"/>
  <c r="H4" i="65"/>
  <c r="H10" i="65" s="1"/>
  <c r="R3" i="44" l="1"/>
  <c r="R4" i="44"/>
  <c r="AH23" i="64"/>
  <c r="AF30" i="64"/>
  <c r="AA30" i="64"/>
  <c r="Z30" i="64"/>
  <c r="Y30" i="64"/>
  <c r="X30" i="64"/>
  <c r="W30" i="64"/>
  <c r="V30" i="64"/>
  <c r="T30" i="64"/>
  <c r="S30" i="64"/>
  <c r="R30" i="64"/>
  <c r="P30" i="64"/>
  <c r="O30" i="64"/>
  <c r="N30" i="64"/>
  <c r="M30" i="64"/>
  <c r="L30" i="64"/>
  <c r="K30" i="64"/>
  <c r="J30" i="64"/>
  <c r="F30" i="64"/>
  <c r="E30" i="64"/>
  <c r="D30" i="64"/>
  <c r="C30" i="64"/>
  <c r="B30" i="64"/>
  <c r="AH29" i="64"/>
  <c r="AH28" i="64"/>
  <c r="AL27" i="64"/>
  <c r="AH27" i="64"/>
  <c r="AH26" i="64"/>
  <c r="AH25" i="64"/>
  <c r="AM24" i="64"/>
  <c r="AH24" i="64"/>
  <c r="AB30" i="64"/>
  <c r="U30" i="64"/>
  <c r="Q30" i="64"/>
  <c r="I30" i="64"/>
  <c r="H30" i="64"/>
  <c r="G30" i="64"/>
  <c r="AO20" i="64"/>
  <c r="AM20" i="64"/>
  <c r="AH17" i="64"/>
  <c r="AL16" i="64"/>
  <c r="AH16" i="64"/>
  <c r="AH15" i="64"/>
  <c r="AH11" i="64"/>
  <c r="AH10" i="64"/>
  <c r="AH9" i="64"/>
  <c r="AH8" i="64"/>
  <c r="AH7" i="64"/>
  <c r="AL20" i="59"/>
  <c r="X4" i="44" l="1"/>
  <c r="X5" i="44" s="1"/>
  <c r="P20" i="44"/>
  <c r="O23" i="44" s="1"/>
  <c r="M20" i="44"/>
  <c r="L23" i="44" s="1"/>
  <c r="AH12" i="64"/>
  <c r="AN24" i="64" s="1"/>
  <c r="AN16" i="64"/>
  <c r="AN28" i="64" s="1"/>
  <c r="AH22" i="64"/>
  <c r="AH30" i="64" s="1"/>
  <c r="AM16" i="64"/>
  <c r="AM25" i="64"/>
  <c r="AM27" i="64" s="1"/>
  <c r="AN25" i="64" l="1"/>
  <c r="AN27" i="64" s="1"/>
  <c r="AO16" i="64"/>
  <c r="W18" i="59" l="1"/>
  <c r="X22" i="59"/>
  <c r="AB22" i="59" l="1"/>
  <c r="AE25" i="59" l="1"/>
  <c r="AE26" i="59"/>
  <c r="AE17" i="59"/>
  <c r="AI27" i="59"/>
  <c r="AI29" i="59" s="1"/>
  <c r="AA30" i="59" l="1"/>
  <c r="Z30" i="59"/>
  <c r="V30" i="59"/>
  <c r="T30" i="59"/>
  <c r="S30" i="59"/>
  <c r="M30" i="59"/>
  <c r="L30" i="59"/>
  <c r="J30" i="59"/>
  <c r="F30" i="59"/>
  <c r="E30" i="59"/>
  <c r="D30" i="59"/>
  <c r="C30" i="59"/>
  <c r="AE29" i="59"/>
  <c r="AE28" i="59"/>
  <c r="AE27" i="59"/>
  <c r="AE24" i="59"/>
  <c r="AE23" i="59"/>
  <c r="AC30" i="59"/>
  <c r="AB30" i="59"/>
  <c r="Y30" i="59"/>
  <c r="W30" i="59"/>
  <c r="U22" i="59"/>
  <c r="U30" i="59" s="1"/>
  <c r="R22" i="59"/>
  <c r="R30" i="59" s="1"/>
  <c r="Q22" i="59"/>
  <c r="Q30" i="59" s="1"/>
  <c r="P22" i="59"/>
  <c r="P30" i="59" s="1"/>
  <c r="O22" i="59"/>
  <c r="O30" i="59" s="1"/>
  <c r="N22" i="59"/>
  <c r="N30" i="59" s="1"/>
  <c r="K21" i="59"/>
  <c r="K30" i="59" s="1"/>
  <c r="I21" i="59"/>
  <c r="I30" i="59" s="1"/>
  <c r="H21" i="59"/>
  <c r="H30" i="59" s="1"/>
  <c r="G21" i="59"/>
  <c r="G30" i="59" s="1"/>
  <c r="B21" i="59"/>
  <c r="B30" i="59" s="1"/>
  <c r="AJ20" i="59"/>
  <c r="B19" i="59"/>
  <c r="T18" i="59"/>
  <c r="AI17" i="59"/>
  <c r="AE16" i="59"/>
  <c r="AE15" i="59"/>
  <c r="W13" i="59"/>
  <c r="Z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AE11" i="59"/>
  <c r="AE10" i="59"/>
  <c r="AJ17" i="59" l="1"/>
  <c r="AJ25" i="59"/>
  <c r="C15" i="59"/>
  <c r="C19" i="59" s="1"/>
  <c r="D15" i="59" s="1"/>
  <c r="D19" i="59" s="1"/>
  <c r="E15" i="59" s="1"/>
  <c r="E19" i="59" s="1"/>
  <c r="F15" i="59" s="1"/>
  <c r="F19" i="59" s="1"/>
  <c r="G15" i="59" s="1"/>
  <c r="G19" i="59" s="1"/>
  <c r="H15" i="59" s="1"/>
  <c r="H19" i="59" s="1"/>
  <c r="I15" i="59" s="1"/>
  <c r="I19" i="59" s="1"/>
  <c r="J15" i="59" s="1"/>
  <c r="J19" i="59" s="1"/>
  <c r="K15" i="59" s="1"/>
  <c r="K19" i="59" s="1"/>
  <c r="L15" i="59" s="1"/>
  <c r="L19" i="59" s="1"/>
  <c r="M15" i="59" s="1"/>
  <c r="M19" i="59" s="1"/>
  <c r="N15" i="59" s="1"/>
  <c r="N19" i="59" s="1"/>
  <c r="O15" i="59" s="1"/>
  <c r="O19" i="59" s="1"/>
  <c r="P15" i="59" s="1"/>
  <c r="P19" i="59" s="1"/>
  <c r="Q15" i="59" s="1"/>
  <c r="Q19" i="59" s="1"/>
  <c r="R15" i="59" s="1"/>
  <c r="R19" i="59" s="1"/>
  <c r="S15" i="59" s="1"/>
  <c r="S19" i="59" s="1"/>
  <c r="T15" i="59" s="1"/>
  <c r="T19" i="59" s="1"/>
  <c r="U15" i="59" s="1"/>
  <c r="U19" i="59" s="1"/>
  <c r="V15" i="59" s="1"/>
  <c r="AE21" i="59"/>
  <c r="X30" i="59"/>
  <c r="AE22" i="59"/>
  <c r="AB21" i="57"/>
  <c r="Y21" i="57"/>
  <c r="X21" i="57"/>
  <c r="AM25" i="57"/>
  <c r="AM23" i="57"/>
  <c r="AE9" i="59" l="1"/>
  <c r="AJ24" i="59"/>
  <c r="AJ27" i="59" s="1"/>
  <c r="AJ29" i="59" s="1"/>
  <c r="AE30" i="59"/>
  <c r="AE8" i="59"/>
  <c r="AH8" i="59" s="1"/>
  <c r="AB12" i="59" l="1"/>
  <c r="AC12" i="59"/>
  <c r="Y12" i="59"/>
  <c r="X12" i="59"/>
  <c r="AK17" i="59" s="1"/>
  <c r="AE7" i="59"/>
  <c r="AH7" i="59" s="1"/>
  <c r="AH9" i="59" s="1"/>
  <c r="AA12" i="59"/>
  <c r="AK28" i="59" l="1"/>
  <c r="AK25" i="59"/>
  <c r="AL17" i="59"/>
  <c r="AE12" i="59"/>
  <c r="AK24" i="59" s="1"/>
  <c r="AK27" i="59" s="1"/>
  <c r="AK29" i="59" s="1"/>
  <c r="AK19" i="57" l="1"/>
  <c r="AK16" i="57"/>
  <c r="AJ16" i="57"/>
  <c r="W13" i="57"/>
  <c r="W17" i="57" s="1"/>
  <c r="AG7" i="57"/>
  <c r="AG8" i="57"/>
  <c r="AG9" i="57"/>
  <c r="AJ19" i="57"/>
  <c r="W21" i="57"/>
  <c r="U21" i="57"/>
  <c r="T17" i="57"/>
  <c r="AI16" i="57" l="1"/>
  <c r="AG10" i="57"/>
  <c r="AG11" i="57"/>
  <c r="AB28" i="57" l="1"/>
  <c r="AA28" i="57"/>
  <c r="Z28" i="57"/>
  <c r="V28" i="57"/>
  <c r="T28" i="57"/>
  <c r="S28" i="57"/>
  <c r="R28" i="57"/>
  <c r="O28" i="57"/>
  <c r="N28" i="57"/>
  <c r="M28" i="57"/>
  <c r="L28" i="57"/>
  <c r="K28" i="57"/>
  <c r="J28" i="57"/>
  <c r="F28" i="57"/>
  <c r="E28" i="57"/>
  <c r="D28" i="57"/>
  <c r="C28" i="57"/>
  <c r="B28" i="57"/>
  <c r="C15" i="57" s="1"/>
  <c r="C18" i="57" s="1"/>
  <c r="D15" i="57" s="1"/>
  <c r="D18" i="57" s="1"/>
  <c r="E15" i="57" s="1"/>
  <c r="E18" i="57" s="1"/>
  <c r="F15" i="57" s="1"/>
  <c r="F18" i="57" s="1"/>
  <c r="G15" i="57" s="1"/>
  <c r="G18" i="57" s="1"/>
  <c r="H15" i="57" s="1"/>
  <c r="H18" i="57" s="1"/>
  <c r="I15" i="57" s="1"/>
  <c r="I18" i="57" s="1"/>
  <c r="J15" i="57" s="1"/>
  <c r="J18" i="57" s="1"/>
  <c r="K15" i="57" s="1"/>
  <c r="K18" i="57" s="1"/>
  <c r="L15" i="57" s="1"/>
  <c r="L18" i="57" s="1"/>
  <c r="M15" i="57" s="1"/>
  <c r="M18" i="57" s="1"/>
  <c r="N15" i="57" s="1"/>
  <c r="N18" i="57" s="1"/>
  <c r="O15" i="57" s="1"/>
  <c r="O18" i="57" s="1"/>
  <c r="P15" i="57" s="1"/>
  <c r="P18" i="57" s="1"/>
  <c r="AE27" i="57"/>
  <c r="AE26" i="57"/>
  <c r="AI25" i="57"/>
  <c r="AE25" i="57"/>
  <c r="AE24" i="57"/>
  <c r="AE23" i="57"/>
  <c r="AE22" i="57"/>
  <c r="AC21" i="57"/>
  <c r="AC28" i="57" s="1"/>
  <c r="Y28" i="57"/>
  <c r="X28" i="57"/>
  <c r="U28" i="57"/>
  <c r="R21" i="57"/>
  <c r="Q21" i="57"/>
  <c r="Q28" i="57" s="1"/>
  <c r="P21" i="57"/>
  <c r="O21" i="57"/>
  <c r="N21" i="57"/>
  <c r="K20" i="57"/>
  <c r="I20" i="57"/>
  <c r="I28" i="57" s="1"/>
  <c r="H20" i="57"/>
  <c r="H28" i="57" s="1"/>
  <c r="G20" i="57"/>
  <c r="G28" i="57" s="1"/>
  <c r="B20" i="57"/>
  <c r="B18" i="57"/>
  <c r="AE16" i="57"/>
  <c r="AE15" i="57"/>
  <c r="Z12" i="57"/>
  <c r="V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AE11" i="57"/>
  <c r="AE10" i="57"/>
  <c r="AI9" i="57"/>
  <c r="AJ9" i="57" s="1"/>
  <c r="AI7" i="57"/>
  <c r="AJ7" i="57" s="1"/>
  <c r="AI8" i="57" l="1"/>
  <c r="AG12" i="57"/>
  <c r="AI23" i="57" s="1"/>
  <c r="AN20" i="57" s="1"/>
  <c r="AN23" i="57" s="1"/>
  <c r="AN25" i="57" s="1"/>
  <c r="AN27" i="57" s="1"/>
  <c r="AI10" i="57"/>
  <c r="AJ10" i="57" s="1"/>
  <c r="AA9" i="57"/>
  <c r="Y9" i="57"/>
  <c r="AC9" i="57"/>
  <c r="AB9" i="57"/>
  <c r="X9" i="57"/>
  <c r="Q15" i="57"/>
  <c r="Q18" i="57" s="1"/>
  <c r="R15" i="57" s="1"/>
  <c r="R18" i="57" s="1"/>
  <c r="S15" i="57" s="1"/>
  <c r="S18" i="57" s="1"/>
  <c r="T15" i="57" s="1"/>
  <c r="T18" i="57" s="1"/>
  <c r="U15" i="57" s="1"/>
  <c r="AH12" i="57"/>
  <c r="AI11" i="57"/>
  <c r="AJ11" i="57" s="1"/>
  <c r="AE20" i="57"/>
  <c r="P28" i="57"/>
  <c r="AE21" i="57"/>
  <c r="W28" i="57"/>
  <c r="AJ29" i="57"/>
  <c r="AB21" i="56"/>
  <c r="Y21" i="56"/>
  <c r="T17" i="56"/>
  <c r="AG11" i="56"/>
  <c r="AG10" i="56"/>
  <c r="AG9" i="56"/>
  <c r="AG8" i="56"/>
  <c r="AG7" i="56"/>
  <c r="AI22" i="57" l="1"/>
  <c r="AJ8" i="57"/>
  <c r="X8" i="57" s="1"/>
  <c r="AI12" i="57"/>
  <c r="AI24" i="57" s="1"/>
  <c r="AI26" i="57" s="1"/>
  <c r="AI28" i="57" s="1"/>
  <c r="AJ28" i="57" s="1"/>
  <c r="AJ30" i="57" s="1"/>
  <c r="AA7" i="57"/>
  <c r="Y7" i="57"/>
  <c r="AB7" i="57"/>
  <c r="X7" i="57"/>
  <c r="AC7" i="57"/>
  <c r="AE28" i="57"/>
  <c r="AE9" i="57"/>
  <c r="AH7" i="56"/>
  <c r="AI7" i="56" s="1"/>
  <c r="AJ7" i="56" s="1"/>
  <c r="AH8" i="56"/>
  <c r="AH9" i="56"/>
  <c r="AI9" i="56" s="1"/>
  <c r="AJ9" i="56" s="1"/>
  <c r="AH10" i="56"/>
  <c r="AH11" i="56"/>
  <c r="AI11" i="56" s="1"/>
  <c r="AJ11" i="56" s="1"/>
  <c r="AG12" i="56"/>
  <c r="AH12" i="56"/>
  <c r="AA28" i="56"/>
  <c r="Z28" i="56"/>
  <c r="V28" i="56"/>
  <c r="T28" i="56"/>
  <c r="S28" i="56"/>
  <c r="M28" i="56"/>
  <c r="L28" i="56"/>
  <c r="J28" i="56"/>
  <c r="F28" i="56"/>
  <c r="E28" i="56"/>
  <c r="D28" i="56"/>
  <c r="C28" i="56"/>
  <c r="AE27" i="56"/>
  <c r="AE26" i="56"/>
  <c r="AE25" i="56"/>
  <c r="AE24" i="56"/>
  <c r="AE23" i="56"/>
  <c r="AE22" i="56"/>
  <c r="AC21" i="56"/>
  <c r="AC28" i="56" s="1"/>
  <c r="AB28" i="56"/>
  <c r="Y28" i="56"/>
  <c r="X21" i="56"/>
  <c r="W21" i="56"/>
  <c r="W28" i="56" s="1"/>
  <c r="U21" i="56"/>
  <c r="U28" i="56" s="1"/>
  <c r="R21" i="56"/>
  <c r="R28" i="56" s="1"/>
  <c r="Q21" i="56"/>
  <c r="Q28" i="56" s="1"/>
  <c r="P21" i="56"/>
  <c r="P28" i="56" s="1"/>
  <c r="O21" i="56"/>
  <c r="O28" i="56" s="1"/>
  <c r="N21" i="56"/>
  <c r="N28" i="56" s="1"/>
  <c r="K20" i="56"/>
  <c r="K28" i="56" s="1"/>
  <c r="I20" i="56"/>
  <c r="I28" i="56" s="1"/>
  <c r="H20" i="56"/>
  <c r="H28" i="56" s="1"/>
  <c r="G20" i="56"/>
  <c r="G28" i="56" s="1"/>
  <c r="B20" i="56"/>
  <c r="B28" i="56" s="1"/>
  <c r="B18" i="56"/>
  <c r="AJ16" i="56"/>
  <c r="AE16" i="56"/>
  <c r="AE15" i="56"/>
  <c r="Z12" i="56"/>
  <c r="V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AE11" i="56"/>
  <c r="AE10" i="56"/>
  <c r="AB21" i="55"/>
  <c r="X21" i="55"/>
  <c r="W21" i="55"/>
  <c r="U21" i="55"/>
  <c r="AJ20" i="55" s="1"/>
  <c r="AC21" i="55"/>
  <c r="Y21" i="55"/>
  <c r="AJ31" i="55" s="1"/>
  <c r="B18" i="55"/>
  <c r="AI15" i="55"/>
  <c r="I25" i="44"/>
  <c r="F25" i="44"/>
  <c r="C25" i="44"/>
  <c r="AJ12" i="57" l="1"/>
  <c r="AC8" i="57"/>
  <c r="AB8" i="57"/>
  <c r="AB12" i="57" s="1"/>
  <c r="AA8" i="57"/>
  <c r="AA12" i="57" s="1"/>
  <c r="Y8" i="57"/>
  <c r="Y12" i="57" s="1"/>
  <c r="W12" i="57"/>
  <c r="X12" i="57"/>
  <c r="AE7" i="57"/>
  <c r="U12" i="57"/>
  <c r="AC12" i="57"/>
  <c r="AA9" i="56"/>
  <c r="U9" i="56"/>
  <c r="AB9" i="56"/>
  <c r="W9" i="56"/>
  <c r="Y9" i="56"/>
  <c r="AC9" i="56"/>
  <c r="X9" i="56"/>
  <c r="AC7" i="56"/>
  <c r="X7" i="56"/>
  <c r="AB7" i="56"/>
  <c r="W7" i="56"/>
  <c r="Y7" i="56"/>
  <c r="AA7" i="56"/>
  <c r="U7" i="56"/>
  <c r="AI10" i="56"/>
  <c r="AJ10" i="56" s="1"/>
  <c r="AI8" i="56"/>
  <c r="AJ8" i="56" s="1"/>
  <c r="C15" i="56"/>
  <c r="C18" i="56" s="1"/>
  <c r="D15" i="56" s="1"/>
  <c r="D18" i="56" s="1"/>
  <c r="E15" i="56" s="1"/>
  <c r="E18" i="56" s="1"/>
  <c r="F15" i="56" s="1"/>
  <c r="F18" i="56" s="1"/>
  <c r="G15" i="56" s="1"/>
  <c r="G18" i="56" s="1"/>
  <c r="H15" i="56" s="1"/>
  <c r="H18" i="56" s="1"/>
  <c r="I15" i="56" s="1"/>
  <c r="I18" i="56" s="1"/>
  <c r="J15" i="56" s="1"/>
  <c r="J18" i="56" s="1"/>
  <c r="K15" i="56" s="1"/>
  <c r="K18" i="56" s="1"/>
  <c r="L15" i="56" s="1"/>
  <c r="L18" i="56" s="1"/>
  <c r="M15" i="56" s="1"/>
  <c r="M18" i="56" s="1"/>
  <c r="N15" i="56" s="1"/>
  <c r="N18" i="56" s="1"/>
  <c r="O15" i="56" s="1"/>
  <c r="O18" i="56" s="1"/>
  <c r="P15" i="56" s="1"/>
  <c r="P18" i="56" s="1"/>
  <c r="Q15" i="56" s="1"/>
  <c r="Q18" i="56" s="1"/>
  <c r="R15" i="56" s="1"/>
  <c r="R18" i="56" s="1"/>
  <c r="S15" i="56" s="1"/>
  <c r="S18" i="56" s="1"/>
  <c r="T15" i="56" s="1"/>
  <c r="AJ29" i="56"/>
  <c r="AI29" i="56" s="1"/>
  <c r="AI25" i="56"/>
  <c r="AE20" i="56"/>
  <c r="AI22" i="56"/>
  <c r="AJ19" i="56"/>
  <c r="AE21" i="56"/>
  <c r="X28" i="56"/>
  <c r="AE8" i="57" l="1"/>
  <c r="AB8" i="56"/>
  <c r="W8" i="56"/>
  <c r="W12" i="56" s="1"/>
  <c r="AC8" i="56"/>
  <c r="X8" i="56"/>
  <c r="AA8" i="56"/>
  <c r="AA12" i="56" s="1"/>
  <c r="Y8" i="56"/>
  <c r="U8" i="56"/>
  <c r="AE7" i="56"/>
  <c r="U12" i="56"/>
  <c r="AB12" i="56"/>
  <c r="AE9" i="56"/>
  <c r="AC12" i="56"/>
  <c r="AI12" i="56"/>
  <c r="AI24" i="56" s="1"/>
  <c r="AI26" i="56" s="1"/>
  <c r="AI28" i="56" s="1"/>
  <c r="AJ28" i="56" s="1"/>
  <c r="AJ30" i="56" s="1"/>
  <c r="AI30" i="56" s="1"/>
  <c r="AJ12" i="56"/>
  <c r="AE28" i="56"/>
  <c r="T18" i="56"/>
  <c r="U15" i="56" s="1"/>
  <c r="AI23" i="56"/>
  <c r="U18" i="57" l="1"/>
  <c r="V15" i="57" s="1"/>
  <c r="Y12" i="56"/>
  <c r="X12" i="56"/>
  <c r="AE12" i="56" s="1"/>
  <c r="AE8" i="56"/>
  <c r="AJ17" i="56"/>
  <c r="AJ18" i="56" s="1"/>
  <c r="AJ20" i="56" s="1"/>
  <c r="AH11" i="55"/>
  <c r="AH10" i="55"/>
  <c r="AH9" i="55"/>
  <c r="AH8" i="55"/>
  <c r="AH7" i="55"/>
  <c r="AG10" i="55"/>
  <c r="AG11" i="55"/>
  <c r="AG8" i="55"/>
  <c r="AG9" i="55"/>
  <c r="AG7" i="55"/>
  <c r="AI7" i="55" l="1"/>
  <c r="AI10" i="55"/>
  <c r="AJ10" i="55" s="1"/>
  <c r="AI9" i="55"/>
  <c r="AJ9" i="55" s="1"/>
  <c r="AG12" i="55"/>
  <c r="AH12" i="55"/>
  <c r="AI11" i="55"/>
  <c r="AJ11" i="55" s="1"/>
  <c r="AI8" i="55"/>
  <c r="AJ8" i="55" s="1"/>
  <c r="AJ7" i="55" l="1"/>
  <c r="AI12" i="55"/>
  <c r="AJ23" i="55"/>
  <c r="AJ24" i="55"/>
  <c r="AJ12" i="55" l="1"/>
  <c r="AJ26" i="55"/>
  <c r="AJ17" i="55"/>
  <c r="AJ25" i="55"/>
  <c r="AJ27" i="55" s="1"/>
  <c r="AJ29" i="55" s="1"/>
  <c r="AJ30" i="55" s="1"/>
  <c r="AC28" i="55"/>
  <c r="AA28" i="55"/>
  <c r="Z28" i="55"/>
  <c r="X28" i="55"/>
  <c r="V28" i="55"/>
  <c r="T28" i="55"/>
  <c r="S28" i="55"/>
  <c r="M28" i="55"/>
  <c r="L28" i="55"/>
  <c r="J28" i="55"/>
  <c r="F28" i="55"/>
  <c r="E28" i="55"/>
  <c r="D28" i="55"/>
  <c r="C28" i="55"/>
  <c r="AE27" i="55"/>
  <c r="AE26" i="55"/>
  <c r="AE25" i="55"/>
  <c r="AE24" i="55"/>
  <c r="AE23" i="55"/>
  <c r="AE22" i="55"/>
  <c r="AB28" i="55"/>
  <c r="W28" i="55"/>
  <c r="R21" i="55"/>
  <c r="R28" i="55" s="1"/>
  <c r="Q21" i="55"/>
  <c r="Q28" i="55" s="1"/>
  <c r="P21" i="55"/>
  <c r="P28" i="55" s="1"/>
  <c r="O21" i="55"/>
  <c r="O28" i="55" s="1"/>
  <c r="N21" i="55"/>
  <c r="K20" i="55"/>
  <c r="K28" i="55" s="1"/>
  <c r="I20" i="55"/>
  <c r="I28" i="55" s="1"/>
  <c r="H20" i="55"/>
  <c r="H28" i="55" s="1"/>
  <c r="G20" i="55"/>
  <c r="B20" i="55"/>
  <c r="B28" i="55" s="1"/>
  <c r="C15" i="55" s="1"/>
  <c r="C18" i="55" s="1"/>
  <c r="D15" i="55" s="1"/>
  <c r="D18" i="55" s="1"/>
  <c r="E15" i="55" s="1"/>
  <c r="AE16" i="55"/>
  <c r="AE15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AE11" i="55"/>
  <c r="AE10" i="55"/>
  <c r="AE9" i="55"/>
  <c r="AE8" i="55"/>
  <c r="AE7" i="55"/>
  <c r="Y28" i="55" l="1"/>
  <c r="AJ32" i="55"/>
  <c r="U28" i="55"/>
  <c r="AE20" i="55"/>
  <c r="AE21" i="55"/>
  <c r="AE28" i="55" s="1"/>
  <c r="AE12" i="55"/>
  <c r="N28" i="55"/>
  <c r="G28" i="55"/>
  <c r="E18" i="55" l="1"/>
  <c r="F15" i="55" s="1"/>
  <c r="F18" i="55" l="1"/>
  <c r="G15" i="55" s="1"/>
  <c r="G18" i="55" l="1"/>
  <c r="H15" i="55" s="1"/>
  <c r="H18" i="55" l="1"/>
  <c r="I15" i="55" l="1"/>
  <c r="I18" i="55" s="1"/>
  <c r="J15" i="55" l="1"/>
  <c r="J18" i="55" s="1"/>
  <c r="K15" i="55" s="1"/>
  <c r="K18" i="55" s="1"/>
  <c r="L15" i="55" s="1"/>
  <c r="L18" i="55" s="1"/>
  <c r="M15" i="55" s="1"/>
  <c r="M18" i="55" l="1"/>
  <c r="N15" i="55" s="1"/>
  <c r="N18" i="55" l="1"/>
  <c r="O15" i="55" s="1"/>
  <c r="C33" i="44"/>
  <c r="O32" i="44"/>
  <c r="L32" i="44"/>
  <c r="I32" i="44"/>
  <c r="F32" i="44"/>
  <c r="R119" i="44"/>
  <c r="R130" i="44"/>
  <c r="R107" i="44"/>
  <c r="L77" i="44"/>
  <c r="O77" i="44"/>
  <c r="R77" i="44"/>
  <c r="I27" i="44"/>
  <c r="F27" i="44"/>
  <c r="C27" i="44"/>
  <c r="I33" i="44"/>
  <c r="F33" i="44"/>
  <c r="L25" i="44" l="1"/>
  <c r="O18" i="55"/>
  <c r="P15" i="55" s="1"/>
  <c r="R32" i="44"/>
  <c r="R131" i="44"/>
  <c r="C60" i="44"/>
  <c r="C44" i="44"/>
  <c r="F74" i="44"/>
  <c r="F62" i="44"/>
  <c r="F54" i="44"/>
  <c r="F46" i="44"/>
  <c r="F38" i="44"/>
  <c r="C57" i="44"/>
  <c r="C41" i="44"/>
  <c r="I72" i="44"/>
  <c r="I60" i="44"/>
  <c r="I52" i="44"/>
  <c r="I44" i="44"/>
  <c r="C72" i="44"/>
  <c r="C52" i="44"/>
  <c r="I37" i="44"/>
  <c r="F66" i="44"/>
  <c r="F58" i="44"/>
  <c r="F50" i="44"/>
  <c r="F42" i="44"/>
  <c r="C65" i="44"/>
  <c r="C49" i="44"/>
  <c r="I76" i="44"/>
  <c r="I64" i="44"/>
  <c r="I56" i="44"/>
  <c r="I48" i="44"/>
  <c r="I40" i="44"/>
  <c r="C76" i="44"/>
  <c r="C64" i="44"/>
  <c r="C56" i="44"/>
  <c r="C48" i="44"/>
  <c r="C40" i="44"/>
  <c r="F76" i="44"/>
  <c r="F72" i="44"/>
  <c r="F64" i="44"/>
  <c r="F60" i="44"/>
  <c r="F56" i="44"/>
  <c r="F52" i="44"/>
  <c r="F48" i="44"/>
  <c r="F44" i="44"/>
  <c r="F40" i="44"/>
  <c r="F39" i="44"/>
  <c r="F41" i="44"/>
  <c r="F43" i="44"/>
  <c r="F45" i="44"/>
  <c r="F47" i="44"/>
  <c r="F49" i="44"/>
  <c r="F51" i="44"/>
  <c r="F53" i="44"/>
  <c r="F55" i="44"/>
  <c r="F57" i="44"/>
  <c r="F59" i="44"/>
  <c r="F61" i="44"/>
  <c r="F63" i="44"/>
  <c r="F65" i="44"/>
  <c r="F71" i="44"/>
  <c r="F73" i="44"/>
  <c r="F75" i="44"/>
  <c r="C38" i="44"/>
  <c r="C42" i="44"/>
  <c r="C46" i="44"/>
  <c r="C50" i="44"/>
  <c r="C54" i="44"/>
  <c r="C58" i="44"/>
  <c r="C62" i="44"/>
  <c r="C66" i="44"/>
  <c r="C74" i="44"/>
  <c r="I39" i="44"/>
  <c r="I41" i="44"/>
  <c r="I43" i="44"/>
  <c r="I45" i="44"/>
  <c r="I47" i="44"/>
  <c r="I49" i="44"/>
  <c r="I51" i="44"/>
  <c r="I53" i="44"/>
  <c r="I55" i="44"/>
  <c r="I57" i="44"/>
  <c r="I59" i="44"/>
  <c r="I61" i="44"/>
  <c r="I63" i="44"/>
  <c r="I65" i="44"/>
  <c r="I71" i="44"/>
  <c r="I73" i="44"/>
  <c r="I75" i="44"/>
  <c r="C39" i="44"/>
  <c r="C43" i="44"/>
  <c r="C47" i="44"/>
  <c r="C51" i="44"/>
  <c r="C55" i="44"/>
  <c r="C59" i="44"/>
  <c r="C63" i="44"/>
  <c r="C75" i="44"/>
  <c r="C73" i="44"/>
  <c r="C61" i="44"/>
  <c r="C53" i="44"/>
  <c r="C45" i="44"/>
  <c r="F37" i="44"/>
  <c r="I74" i="44"/>
  <c r="I66" i="44"/>
  <c r="I62" i="44"/>
  <c r="I58" i="44"/>
  <c r="I54" i="44"/>
  <c r="I50" i="44"/>
  <c r="I46" i="44"/>
  <c r="I42" i="44"/>
  <c r="I38" i="44"/>
  <c r="R6" i="44"/>
  <c r="O26" i="44"/>
  <c r="L38" i="40"/>
  <c r="K36" i="40"/>
  <c r="K37" i="40"/>
  <c r="K38" i="40"/>
  <c r="J36" i="40"/>
  <c r="L36" i="40" s="1"/>
  <c r="J37" i="40"/>
  <c r="L37" i="40" s="1"/>
  <c r="J38" i="40"/>
  <c r="L26" i="40"/>
  <c r="K26" i="40"/>
  <c r="J26" i="40"/>
  <c r="L21" i="40"/>
  <c r="L22" i="40"/>
  <c r="K21" i="40"/>
  <c r="K22" i="40"/>
  <c r="J21" i="40"/>
  <c r="J22" i="40"/>
  <c r="K11" i="40"/>
  <c r="J11" i="40"/>
  <c r="L11" i="40" s="1"/>
  <c r="L5" i="40"/>
  <c r="K5" i="40"/>
  <c r="J5" i="40"/>
  <c r="V4" i="44" l="1"/>
  <c r="V5" i="44" s="1"/>
  <c r="V6" i="44" s="1"/>
  <c r="I26" i="44"/>
  <c r="I30" i="44" s="1"/>
  <c r="I31" i="44" s="1"/>
  <c r="I34" i="44" s="1"/>
  <c r="F26" i="44"/>
  <c r="F30" i="44" s="1"/>
  <c r="F31" i="44" s="1"/>
  <c r="F34" i="44" s="1"/>
  <c r="C26" i="44"/>
  <c r="C30" i="44" s="1"/>
  <c r="C31" i="44" s="1"/>
  <c r="C34" i="44" s="1"/>
  <c r="AD13" i="64"/>
  <c r="I13" i="64"/>
  <c r="P13" i="64"/>
  <c r="Z13" i="64"/>
  <c r="AA13" i="64"/>
  <c r="Q13" i="64"/>
  <c r="G13" i="64"/>
  <c r="T13" i="64"/>
  <c r="F13" i="64"/>
  <c r="E13" i="64"/>
  <c r="AE13" i="64"/>
  <c r="Y13" i="64"/>
  <c r="K13" i="64"/>
  <c r="X13" i="64"/>
  <c r="M13" i="64"/>
  <c r="D13" i="64"/>
  <c r="N13" i="64"/>
  <c r="B13" i="64"/>
  <c r="O13" i="64"/>
  <c r="AB13" i="64"/>
  <c r="U13" i="64"/>
  <c r="H13" i="64"/>
  <c r="J13" i="64"/>
  <c r="S13" i="64"/>
  <c r="V13" i="64"/>
  <c r="AF13" i="64"/>
  <c r="AC13" i="64"/>
  <c r="L13" i="64"/>
  <c r="R13" i="64"/>
  <c r="W13" i="64"/>
  <c r="C13" i="64"/>
  <c r="U13" i="59"/>
  <c r="Q13" i="59"/>
  <c r="M13" i="59"/>
  <c r="I13" i="59"/>
  <c r="E13" i="59"/>
  <c r="N13" i="59"/>
  <c r="B13" i="59"/>
  <c r="Z13" i="59"/>
  <c r="T13" i="59"/>
  <c r="P13" i="59"/>
  <c r="L13" i="59"/>
  <c r="H13" i="59"/>
  <c r="D13" i="59"/>
  <c r="R13" i="59"/>
  <c r="J13" i="59"/>
  <c r="S13" i="59"/>
  <c r="O13" i="59"/>
  <c r="K13" i="59"/>
  <c r="G13" i="59"/>
  <c r="C13" i="59"/>
  <c r="V13" i="59"/>
  <c r="V18" i="59" s="1"/>
  <c r="F13" i="59"/>
  <c r="Y13" i="59"/>
  <c r="AA13" i="59"/>
  <c r="AB13" i="59"/>
  <c r="AC13" i="59"/>
  <c r="X13" i="59"/>
  <c r="Z13" i="57"/>
  <c r="Z17" i="57" s="1"/>
  <c r="R13" i="57"/>
  <c r="N13" i="57"/>
  <c r="J13" i="57"/>
  <c r="F13" i="57"/>
  <c r="B13" i="57"/>
  <c r="O13" i="57"/>
  <c r="G13" i="57"/>
  <c r="V13" i="57"/>
  <c r="V17" i="57" s="1"/>
  <c r="Q13" i="57"/>
  <c r="M13" i="57"/>
  <c r="I13" i="57"/>
  <c r="E13" i="57"/>
  <c r="S13" i="57"/>
  <c r="K13" i="57"/>
  <c r="AG13" i="57"/>
  <c r="AJ23" i="57" s="1"/>
  <c r="T13" i="57"/>
  <c r="P13" i="57"/>
  <c r="L13" i="57"/>
  <c r="H13" i="57"/>
  <c r="D13" i="57"/>
  <c r="AH13" i="57"/>
  <c r="AJ22" i="57" s="1"/>
  <c r="C13" i="57"/>
  <c r="AI13" i="57"/>
  <c r="AJ24" i="57" s="1"/>
  <c r="AG13" i="56"/>
  <c r="AJ23" i="56" s="1"/>
  <c r="S13" i="56"/>
  <c r="O13" i="56"/>
  <c r="K13" i="56"/>
  <c r="G13" i="56"/>
  <c r="C13" i="56"/>
  <c r="T13" i="56"/>
  <c r="H13" i="56"/>
  <c r="Z13" i="56"/>
  <c r="Z17" i="56" s="1"/>
  <c r="R13" i="56"/>
  <c r="N13" i="56"/>
  <c r="J13" i="56"/>
  <c r="F13" i="56"/>
  <c r="B13" i="56"/>
  <c r="P13" i="56"/>
  <c r="D13" i="56"/>
  <c r="V13" i="56"/>
  <c r="V17" i="56" s="1"/>
  <c r="Q13" i="56"/>
  <c r="M13" i="56"/>
  <c r="I13" i="56"/>
  <c r="E13" i="56"/>
  <c r="AJ13" i="57"/>
  <c r="L13" i="56"/>
  <c r="U13" i="57"/>
  <c r="AA13" i="57"/>
  <c r="AA17" i="57" s="1"/>
  <c r="AH13" i="56"/>
  <c r="AJ22" i="56" s="1"/>
  <c r="AC13" i="57"/>
  <c r="AC17" i="57" s="1"/>
  <c r="X13" i="57"/>
  <c r="X17" i="57" s="1"/>
  <c r="AB13" i="57"/>
  <c r="AB17" i="57" s="1"/>
  <c r="Y13" i="57"/>
  <c r="Y17" i="57" s="1"/>
  <c r="U13" i="56"/>
  <c r="U17" i="56" s="1"/>
  <c r="AA13" i="56"/>
  <c r="AA17" i="56" s="1"/>
  <c r="AJ13" i="56"/>
  <c r="AI13" i="56"/>
  <c r="AJ24" i="56" s="1"/>
  <c r="Y13" i="56"/>
  <c r="Y17" i="56" s="1"/>
  <c r="AC13" i="56"/>
  <c r="AC17" i="56" s="1"/>
  <c r="W13" i="56"/>
  <c r="W17" i="56" s="1"/>
  <c r="AB13" i="56"/>
  <c r="AB17" i="56" s="1"/>
  <c r="X13" i="56"/>
  <c r="X17" i="56" s="1"/>
  <c r="AG13" i="55"/>
  <c r="AH13" i="55"/>
  <c r="AI13" i="55"/>
  <c r="AJ13" i="55"/>
  <c r="P18" i="55"/>
  <c r="Q15" i="55" s="1"/>
  <c r="D13" i="55"/>
  <c r="H13" i="55"/>
  <c r="L13" i="55"/>
  <c r="P13" i="55"/>
  <c r="T13" i="55"/>
  <c r="T17" i="55" s="1"/>
  <c r="X13" i="55"/>
  <c r="X17" i="55" s="1"/>
  <c r="AB13" i="55"/>
  <c r="AB17" i="55" s="1"/>
  <c r="F13" i="55"/>
  <c r="R13" i="55"/>
  <c r="Z13" i="55"/>
  <c r="Z17" i="55" s="1"/>
  <c r="G13" i="55"/>
  <c r="O13" i="55"/>
  <c r="AA13" i="55"/>
  <c r="AA17" i="55" s="1"/>
  <c r="E13" i="55"/>
  <c r="I13" i="55"/>
  <c r="M13" i="55"/>
  <c r="Q13" i="55"/>
  <c r="U13" i="55"/>
  <c r="U17" i="55" s="1"/>
  <c r="Y13" i="55"/>
  <c r="Y17" i="55" s="1"/>
  <c r="AC13" i="55"/>
  <c r="AC17" i="55" s="1"/>
  <c r="J13" i="55"/>
  <c r="N13" i="55"/>
  <c r="V13" i="55"/>
  <c r="V17" i="55" s="1"/>
  <c r="B13" i="55"/>
  <c r="C13" i="55"/>
  <c r="K13" i="55"/>
  <c r="S13" i="55"/>
  <c r="W13" i="55"/>
  <c r="W17" i="55" s="1"/>
  <c r="O33" i="44"/>
  <c r="O25" i="44"/>
  <c r="O30" i="44" s="1"/>
  <c r="O31" i="44" s="1"/>
  <c r="O34" i="44" s="1"/>
  <c r="L26" i="44"/>
  <c r="L30" i="44" s="1"/>
  <c r="L31" i="44" s="1"/>
  <c r="L34" i="44" s="1"/>
  <c r="O82" i="44"/>
  <c r="L33" i="44"/>
  <c r="L98" i="44"/>
  <c r="F83" i="44"/>
  <c r="O110" i="44"/>
  <c r="C125" i="44"/>
  <c r="F125" i="44"/>
  <c r="O123" i="44"/>
  <c r="I122" i="44"/>
  <c r="L96" i="44"/>
  <c r="O111" i="44"/>
  <c r="I115" i="44"/>
  <c r="F128" i="44"/>
  <c r="I128" i="44"/>
  <c r="C127" i="44"/>
  <c r="L125" i="44"/>
  <c r="O128" i="44"/>
  <c r="O121" i="44"/>
  <c r="C122" i="44"/>
  <c r="L81" i="44"/>
  <c r="I100" i="44"/>
  <c r="C114" i="44"/>
  <c r="O112" i="44"/>
  <c r="C115" i="44"/>
  <c r="I114" i="44"/>
  <c r="L118" i="44"/>
  <c r="L122" i="44"/>
  <c r="O125" i="44"/>
  <c r="C129" i="44"/>
  <c r="O122" i="44"/>
  <c r="C126" i="44"/>
  <c r="F129" i="44"/>
  <c r="I121" i="44"/>
  <c r="L124" i="44"/>
  <c r="O127" i="44"/>
  <c r="F123" i="44"/>
  <c r="I126" i="44"/>
  <c r="L129" i="44"/>
  <c r="L94" i="44"/>
  <c r="F117" i="44"/>
  <c r="F118" i="44"/>
  <c r="I123" i="44"/>
  <c r="L126" i="44"/>
  <c r="O129" i="44"/>
  <c r="L123" i="44"/>
  <c r="O126" i="44"/>
  <c r="F122" i="44"/>
  <c r="I125" i="44"/>
  <c r="L128" i="44"/>
  <c r="C124" i="44"/>
  <c r="F127" i="44"/>
  <c r="F98" i="44"/>
  <c r="F112" i="44"/>
  <c r="C121" i="44"/>
  <c r="F124" i="44"/>
  <c r="I127" i="44"/>
  <c r="F121" i="44"/>
  <c r="I124" i="44"/>
  <c r="L127" i="44"/>
  <c r="C123" i="44"/>
  <c r="F126" i="44"/>
  <c r="I129" i="44"/>
  <c r="L121" i="44"/>
  <c r="O124" i="44"/>
  <c r="C128" i="44"/>
  <c r="I77" i="44"/>
  <c r="L95" i="44"/>
  <c r="O97" i="44"/>
  <c r="C100" i="44"/>
  <c r="I98" i="44"/>
  <c r="O96" i="44"/>
  <c r="O93" i="44"/>
  <c r="F82" i="44"/>
  <c r="L80" i="44"/>
  <c r="C85" i="44"/>
  <c r="L111" i="44"/>
  <c r="O114" i="44"/>
  <c r="C118" i="44"/>
  <c r="C116" i="44"/>
  <c r="L112" i="44"/>
  <c r="O115" i="44"/>
  <c r="F115" i="44"/>
  <c r="C113" i="44"/>
  <c r="F116" i="44"/>
  <c r="O109" i="44"/>
  <c r="F97" i="44"/>
  <c r="F92" i="44"/>
  <c r="C84" i="44"/>
  <c r="I82" i="44"/>
  <c r="O80" i="44"/>
  <c r="C99" i="44"/>
  <c r="I97" i="44"/>
  <c r="O95" i="44"/>
  <c r="I112" i="44"/>
  <c r="L115" i="44"/>
  <c r="O118" i="44"/>
  <c r="O116" i="44"/>
  <c r="F110" i="44"/>
  <c r="I113" i="44"/>
  <c r="L116" i="44"/>
  <c r="I109" i="44"/>
  <c r="I110" i="44"/>
  <c r="L117" i="44"/>
  <c r="F109" i="44"/>
  <c r="L110" i="44"/>
  <c r="O113" i="44"/>
  <c r="C117" i="44"/>
  <c r="C109" i="44"/>
  <c r="C110" i="44"/>
  <c r="C98" i="44"/>
  <c r="I91" i="44"/>
  <c r="F99" i="44"/>
  <c r="L97" i="44"/>
  <c r="I103" i="44"/>
  <c r="C83" i="44"/>
  <c r="I81" i="44"/>
  <c r="O98" i="44"/>
  <c r="F113" i="44"/>
  <c r="I116" i="44"/>
  <c r="L109" i="44"/>
  <c r="C112" i="44"/>
  <c r="I118" i="44"/>
  <c r="C111" i="44"/>
  <c r="F114" i="44"/>
  <c r="I117" i="44"/>
  <c r="L113" i="44"/>
  <c r="I111" i="44"/>
  <c r="L114" i="44"/>
  <c r="O117" i="44"/>
  <c r="F111" i="44"/>
  <c r="I80" i="44"/>
  <c r="F105" i="44"/>
  <c r="C106" i="44"/>
  <c r="F84" i="44"/>
  <c r="I87" i="44"/>
  <c r="L90" i="44"/>
  <c r="O89" i="44"/>
  <c r="C96" i="44"/>
  <c r="C80" i="44"/>
  <c r="F95" i="44"/>
  <c r="I79" i="44"/>
  <c r="I94" i="44"/>
  <c r="L93" i="44"/>
  <c r="O92" i="44"/>
  <c r="F96" i="44"/>
  <c r="I95" i="44"/>
  <c r="L86" i="44"/>
  <c r="O85" i="44"/>
  <c r="C95" i="44"/>
  <c r="F79" i="44"/>
  <c r="F94" i="44"/>
  <c r="I93" i="44"/>
  <c r="L92" i="44"/>
  <c r="O91" i="44"/>
  <c r="L83" i="44"/>
  <c r="F85" i="44"/>
  <c r="C93" i="44"/>
  <c r="O94" i="44"/>
  <c r="I96" i="44"/>
  <c r="C82" i="44"/>
  <c r="I83" i="44"/>
  <c r="L82" i="44"/>
  <c r="O81" i="44"/>
  <c r="C92" i="44"/>
  <c r="F91" i="44"/>
  <c r="I106" i="44"/>
  <c r="I90" i="44"/>
  <c r="L105" i="44"/>
  <c r="L89" i="44"/>
  <c r="O104" i="44"/>
  <c r="O88" i="44"/>
  <c r="F88" i="44"/>
  <c r="L79" i="44"/>
  <c r="C77" i="44"/>
  <c r="C91" i="44"/>
  <c r="F106" i="44"/>
  <c r="F90" i="44"/>
  <c r="I105" i="44"/>
  <c r="I89" i="44"/>
  <c r="L104" i="44"/>
  <c r="L88" i="44"/>
  <c r="O103" i="44"/>
  <c r="O87" i="44"/>
  <c r="L99" i="44"/>
  <c r="F100" i="44"/>
  <c r="C101" i="44"/>
  <c r="O102" i="44"/>
  <c r="L103" i="44"/>
  <c r="I104" i="44"/>
  <c r="F101" i="44"/>
  <c r="C86" i="44"/>
  <c r="C79" i="44"/>
  <c r="O106" i="44"/>
  <c r="F104" i="44"/>
  <c r="O86" i="44"/>
  <c r="L87" i="44"/>
  <c r="I88" i="44"/>
  <c r="F89" i="44"/>
  <c r="C94" i="44"/>
  <c r="C102" i="44"/>
  <c r="O90" i="44"/>
  <c r="L91" i="44"/>
  <c r="I92" i="44"/>
  <c r="F93" i="44"/>
  <c r="C81" i="44"/>
  <c r="C89" i="44"/>
  <c r="C97" i="44"/>
  <c r="C105" i="44"/>
  <c r="O79" i="44"/>
  <c r="F81" i="44"/>
  <c r="C90" i="44"/>
  <c r="F77" i="44"/>
  <c r="I99" i="44"/>
  <c r="L106" i="44"/>
  <c r="O105" i="44"/>
  <c r="C104" i="44"/>
  <c r="C88" i="44"/>
  <c r="F103" i="44"/>
  <c r="F87" i="44"/>
  <c r="I102" i="44"/>
  <c r="I86" i="44"/>
  <c r="L101" i="44"/>
  <c r="L85" i="44"/>
  <c r="O100" i="44"/>
  <c r="O84" i="44"/>
  <c r="F80" i="44"/>
  <c r="L102" i="44"/>
  <c r="O101" i="44"/>
  <c r="C103" i="44"/>
  <c r="C87" i="44"/>
  <c r="F102" i="44"/>
  <c r="F86" i="44"/>
  <c r="I101" i="44"/>
  <c r="I85" i="44"/>
  <c r="L100" i="44"/>
  <c r="L84" i="44"/>
  <c r="O99" i="44"/>
  <c r="O83" i="44"/>
  <c r="I84" i="44"/>
  <c r="P258" i="41"/>
  <c r="M334" i="41"/>
  <c r="J317" i="41"/>
  <c r="J302" i="41"/>
  <c r="J296" i="41"/>
  <c r="J281" i="41"/>
  <c r="J277" i="41"/>
  <c r="J230" i="41"/>
  <c r="J320" i="41"/>
  <c r="J282" i="41"/>
  <c r="J272" i="41"/>
  <c r="J244" i="41"/>
  <c r="J298" i="41"/>
  <c r="J334" i="41"/>
  <c r="J331" i="41"/>
  <c r="D347" i="41"/>
  <c r="F347" i="41"/>
  <c r="G347" i="41"/>
  <c r="H347" i="41"/>
  <c r="I347" i="41"/>
  <c r="D342" i="41"/>
  <c r="D350" i="41" s="1"/>
  <c r="F342" i="41"/>
  <c r="F350" i="41" s="1"/>
  <c r="H342" i="41"/>
  <c r="H350" i="41" s="1"/>
  <c r="I342" i="41"/>
  <c r="I350" i="41" s="1"/>
  <c r="D335" i="41"/>
  <c r="F335" i="41"/>
  <c r="G335" i="41"/>
  <c r="H335" i="41"/>
  <c r="I335" i="41"/>
  <c r="D316" i="41"/>
  <c r="E316" i="41"/>
  <c r="G316" i="41"/>
  <c r="H316" i="41"/>
  <c r="I316" i="41"/>
  <c r="D305" i="41"/>
  <c r="G305" i="41"/>
  <c r="H305" i="41"/>
  <c r="I305" i="41"/>
  <c r="D292" i="41"/>
  <c r="I292" i="41"/>
  <c r="D258" i="41"/>
  <c r="E258" i="41"/>
  <c r="F258" i="41"/>
  <c r="G258" i="41"/>
  <c r="H258" i="41"/>
  <c r="I258" i="41"/>
  <c r="J222" i="41"/>
  <c r="J223" i="41"/>
  <c r="J224" i="41"/>
  <c r="J225" i="41"/>
  <c r="J226" i="41"/>
  <c r="J227" i="41"/>
  <c r="J228" i="41"/>
  <c r="J229" i="41"/>
  <c r="J231" i="41"/>
  <c r="J232" i="41"/>
  <c r="J233" i="41"/>
  <c r="J234" i="41"/>
  <c r="J235" i="41"/>
  <c r="J236" i="41"/>
  <c r="J237" i="41"/>
  <c r="J238" i="41"/>
  <c r="J239" i="41"/>
  <c r="J241" i="41"/>
  <c r="J242" i="41"/>
  <c r="J243" i="41"/>
  <c r="J245" i="41"/>
  <c r="J246" i="41"/>
  <c r="J249" i="41"/>
  <c r="J250" i="41"/>
  <c r="J251" i="41"/>
  <c r="J252" i="41"/>
  <c r="J253" i="41"/>
  <c r="J254" i="41"/>
  <c r="J255" i="41"/>
  <c r="J256" i="41"/>
  <c r="J257" i="41"/>
  <c r="J260" i="41"/>
  <c r="J261" i="41"/>
  <c r="J262" i="41"/>
  <c r="J263" i="41"/>
  <c r="J264" i="41"/>
  <c r="J266" i="41"/>
  <c r="J267" i="41"/>
  <c r="J268" i="41"/>
  <c r="J269" i="41"/>
  <c r="J271" i="41"/>
  <c r="J273" i="41"/>
  <c r="J274" i="41"/>
  <c r="J275" i="41"/>
  <c r="J276" i="41"/>
  <c r="J278" i="41"/>
  <c r="J279" i="41"/>
  <c r="J283" i="41"/>
  <c r="J284" i="41"/>
  <c r="J286" i="41"/>
  <c r="J287" i="41"/>
  <c r="J288" i="41"/>
  <c r="J289" i="41"/>
  <c r="J290" i="41"/>
  <c r="J295" i="41"/>
  <c r="J297" i="41"/>
  <c r="J299" i="41"/>
  <c r="J300" i="41"/>
  <c r="J301" i="41"/>
  <c r="J303" i="41"/>
  <c r="J304" i="41"/>
  <c r="J306" i="41"/>
  <c r="J307" i="41"/>
  <c r="J308" i="41"/>
  <c r="J309" i="41"/>
  <c r="J310" i="41"/>
  <c r="J311" i="41"/>
  <c r="J312" i="41"/>
  <c r="J313" i="41"/>
  <c r="J314" i="41"/>
  <c r="J315" i="41"/>
  <c r="J319" i="41"/>
  <c r="J322" i="41"/>
  <c r="J323" i="41"/>
  <c r="J324" i="41"/>
  <c r="J325" i="41"/>
  <c r="J326" i="41"/>
  <c r="J327" i="41"/>
  <c r="J328" i="41"/>
  <c r="J329" i="41"/>
  <c r="J330" i="41"/>
  <c r="J332" i="41"/>
  <c r="J333" i="41"/>
  <c r="J338" i="41"/>
  <c r="J339" i="41"/>
  <c r="J340" i="41"/>
  <c r="J341" i="41"/>
  <c r="J344" i="41"/>
  <c r="J345" i="41"/>
  <c r="J346" i="41"/>
  <c r="J349" i="41"/>
  <c r="R33" i="44" l="1"/>
  <c r="B20" i="64"/>
  <c r="C15" i="64" s="1"/>
  <c r="C20" i="64" s="1"/>
  <c r="D15" i="64" s="1"/>
  <c r="D20" i="64" s="1"/>
  <c r="E15" i="64" s="1"/>
  <c r="E20" i="64" s="1"/>
  <c r="F15" i="64" s="1"/>
  <c r="F20" i="64" s="1"/>
  <c r="G15" i="64" s="1"/>
  <c r="G20" i="64" s="1"/>
  <c r="H15" i="64" s="1"/>
  <c r="H20" i="64" s="1"/>
  <c r="I15" i="64" s="1"/>
  <c r="I20" i="64" s="1"/>
  <c r="J15" i="64" s="1"/>
  <c r="AH19" i="64"/>
  <c r="AH20" i="64" s="1"/>
  <c r="AH13" i="64"/>
  <c r="AE13" i="56"/>
  <c r="AE13" i="57"/>
  <c r="AE17" i="57"/>
  <c r="AE18" i="57" s="1"/>
  <c r="V18" i="57"/>
  <c r="W15" i="57" s="1"/>
  <c r="AE13" i="59"/>
  <c r="AE17" i="56"/>
  <c r="AE18" i="56" s="1"/>
  <c r="U18" i="56"/>
  <c r="V15" i="56" s="1"/>
  <c r="V18" i="56" s="1"/>
  <c r="W15" i="56" s="1"/>
  <c r="W18" i="56" s="1"/>
  <c r="X15" i="56" s="1"/>
  <c r="X18" i="56" s="1"/>
  <c r="Y15" i="56" s="1"/>
  <c r="Y18" i="56" s="1"/>
  <c r="Z15" i="56" s="1"/>
  <c r="Z18" i="56" s="1"/>
  <c r="AA15" i="56" s="1"/>
  <c r="AA18" i="56" s="1"/>
  <c r="AB15" i="56" s="1"/>
  <c r="AB18" i="56" s="1"/>
  <c r="AC15" i="56" s="1"/>
  <c r="AC18" i="56" s="1"/>
  <c r="AD15" i="56" s="1"/>
  <c r="V19" i="59"/>
  <c r="W15" i="59" s="1"/>
  <c r="AE18" i="59"/>
  <c r="AE19" i="59" s="1"/>
  <c r="Q18" i="55"/>
  <c r="R15" i="55" s="1"/>
  <c r="AE13" i="55"/>
  <c r="AE17" i="55"/>
  <c r="AE18" i="55" s="1"/>
  <c r="R34" i="44"/>
  <c r="L130" i="44"/>
  <c r="F130" i="44"/>
  <c r="C130" i="44"/>
  <c r="I130" i="44"/>
  <c r="O130" i="44"/>
  <c r="L119" i="44"/>
  <c r="O119" i="44"/>
  <c r="C119" i="44"/>
  <c r="F119" i="44"/>
  <c r="I119" i="44"/>
  <c r="C107" i="44"/>
  <c r="L107" i="44"/>
  <c r="I107" i="44"/>
  <c r="F107" i="44"/>
  <c r="O107" i="44"/>
  <c r="J347" i="41"/>
  <c r="J342" i="41"/>
  <c r="J350" i="41"/>
  <c r="J316" i="41"/>
  <c r="J305" i="41"/>
  <c r="J20" i="64" l="1"/>
  <c r="K15" i="64" s="1"/>
  <c r="K20" i="64" s="1"/>
  <c r="L15" i="64" s="1"/>
  <c r="L20" i="64" s="1"/>
  <c r="M15" i="64" s="1"/>
  <c r="M20" i="64" s="1"/>
  <c r="N15" i="64" s="1"/>
  <c r="N20" i="64" s="1"/>
  <c r="O15" i="64" s="1"/>
  <c r="AS17" i="64"/>
  <c r="AS18" i="64" s="1"/>
  <c r="AS20" i="64" s="1"/>
  <c r="AS22" i="64" s="1"/>
  <c r="W18" i="57"/>
  <c r="X15" i="57" s="1"/>
  <c r="X18" i="57" s="1"/>
  <c r="Y15" i="57" s="1"/>
  <c r="Y18" i="57" s="1"/>
  <c r="Z15" i="57" s="1"/>
  <c r="Z18" i="57" s="1"/>
  <c r="AA15" i="57" s="1"/>
  <c r="AA18" i="57" s="1"/>
  <c r="AB15" i="57" s="1"/>
  <c r="AB18" i="57" s="1"/>
  <c r="AC15" i="57" s="1"/>
  <c r="AC18" i="57" s="1"/>
  <c r="AD15" i="57" s="1"/>
  <c r="AJ17" i="57"/>
  <c r="AJ18" i="59"/>
  <c r="AJ19" i="59" s="1"/>
  <c r="AJ21" i="59" s="1"/>
  <c r="W19" i="59"/>
  <c r="X15" i="59" s="1"/>
  <c r="X19" i="59" s="1"/>
  <c r="Y15" i="59" s="1"/>
  <c r="Y19" i="59" s="1"/>
  <c r="Z15" i="59" s="1"/>
  <c r="Z19" i="59" s="1"/>
  <c r="AA15" i="59" s="1"/>
  <c r="AA19" i="59" s="1"/>
  <c r="AB15" i="59" s="1"/>
  <c r="AB19" i="59" s="1"/>
  <c r="AC15" i="59" s="1"/>
  <c r="AC19" i="59" s="1"/>
  <c r="AD15" i="59" s="1"/>
  <c r="AL18" i="59" s="1"/>
  <c r="AL19" i="59" s="1"/>
  <c r="AL21" i="59" s="1"/>
  <c r="R18" i="55"/>
  <c r="S15" i="55" s="1"/>
  <c r="I131" i="44"/>
  <c r="I132" i="44" s="1"/>
  <c r="I133" i="44" s="1"/>
  <c r="I134" i="44" s="1"/>
  <c r="L131" i="44"/>
  <c r="L132" i="44" s="1"/>
  <c r="O131" i="44"/>
  <c r="O132" i="44" s="1"/>
  <c r="C131" i="44"/>
  <c r="C132" i="44" s="1"/>
  <c r="F131" i="44"/>
  <c r="F132" i="44" s="1"/>
  <c r="O20" i="64" l="1"/>
  <c r="P15" i="64" s="1"/>
  <c r="P20" i="64" s="1"/>
  <c r="Q15" i="64" s="1"/>
  <c r="Q20" i="64" s="1"/>
  <c r="R15" i="64" s="1"/>
  <c r="R20" i="64" s="1"/>
  <c r="S15" i="64" s="1"/>
  <c r="S20" i="64" s="1"/>
  <c r="T15" i="64" s="1"/>
  <c r="T20" i="64" s="1"/>
  <c r="U15" i="64" s="1"/>
  <c r="U20" i="64" s="1"/>
  <c r="AK18" i="57"/>
  <c r="AK20" i="57" s="1"/>
  <c r="AJ18" i="57"/>
  <c r="AJ20" i="57" s="1"/>
  <c r="S18" i="55"/>
  <c r="T15" i="55" s="1"/>
  <c r="O133" i="44"/>
  <c r="O134" i="44" s="1"/>
  <c r="C133" i="44"/>
  <c r="C134" i="44" s="1"/>
  <c r="L133" i="44"/>
  <c r="L134" i="44" s="1"/>
  <c r="F133" i="44"/>
  <c r="V15" i="64" l="1"/>
  <c r="V20" i="64" s="1"/>
  <c r="W15" i="64" s="1"/>
  <c r="T18" i="55"/>
  <c r="U15" i="55" s="1"/>
  <c r="R133" i="44"/>
  <c r="F134" i="44"/>
  <c r="J221" i="41"/>
  <c r="G349" i="41"/>
  <c r="E349" i="41"/>
  <c r="C347" i="41"/>
  <c r="E346" i="41"/>
  <c r="E345" i="41"/>
  <c r="C342" i="41"/>
  <c r="E341" i="41"/>
  <c r="E340" i="41"/>
  <c r="E339" i="41"/>
  <c r="G338" i="41"/>
  <c r="G342" i="41" s="1"/>
  <c r="G350" i="41" s="1"/>
  <c r="E338" i="41"/>
  <c r="E334" i="41"/>
  <c r="E333" i="41"/>
  <c r="E330" i="41"/>
  <c r="C321" i="41"/>
  <c r="C316" i="41"/>
  <c r="F307" i="41"/>
  <c r="F316" i="41" s="1"/>
  <c r="C305" i="41"/>
  <c r="F300" i="41"/>
  <c r="E300" i="41"/>
  <c r="E299" i="41"/>
  <c r="F298" i="41"/>
  <c r="E298" i="41"/>
  <c r="E305" i="41" s="1"/>
  <c r="F295" i="41"/>
  <c r="C291" i="41"/>
  <c r="J291" i="41" s="1"/>
  <c r="H289" i="41"/>
  <c r="G289" i="41"/>
  <c r="F289" i="41"/>
  <c r="E289" i="41"/>
  <c r="H288" i="41"/>
  <c r="F287" i="41"/>
  <c r="E287" i="41"/>
  <c r="F286" i="41"/>
  <c r="E285" i="41"/>
  <c r="C285" i="41"/>
  <c r="J285" i="41" s="1"/>
  <c r="H282" i="41"/>
  <c r="F282" i="41"/>
  <c r="C282" i="41"/>
  <c r="G281" i="41"/>
  <c r="C280" i="41"/>
  <c r="J280" i="41" s="1"/>
  <c r="H270" i="41"/>
  <c r="C270" i="41"/>
  <c r="J270" i="41" s="1"/>
  <c r="H265" i="41"/>
  <c r="G265" i="41"/>
  <c r="C265" i="41"/>
  <c r="J265" i="41" s="1"/>
  <c r="D201" i="41"/>
  <c r="C248" i="41"/>
  <c r="J248" i="41" s="1"/>
  <c r="C247" i="41"/>
  <c r="J247" i="41" s="1"/>
  <c r="C240" i="41"/>
  <c r="J240" i="41" s="1"/>
  <c r="D218" i="41"/>
  <c r="D200" i="41" s="1"/>
  <c r="C217" i="41"/>
  <c r="C216" i="41"/>
  <c r="C215" i="41"/>
  <c r="D212" i="41"/>
  <c r="D199" i="41" s="1"/>
  <c r="H211" i="41"/>
  <c r="H212" i="41" s="1"/>
  <c r="H199" i="41" s="1"/>
  <c r="G211" i="41"/>
  <c r="F209" i="41" s="1"/>
  <c r="F211" i="41"/>
  <c r="E211" i="41"/>
  <c r="E212" i="41" s="1"/>
  <c r="E199" i="41" s="1"/>
  <c r="C211" i="41"/>
  <c r="F210" i="41"/>
  <c r="C210" i="41"/>
  <c r="G209" i="41"/>
  <c r="C209" i="41"/>
  <c r="C206" i="41"/>
  <c r="J206" i="41" s="1"/>
  <c r="G205" i="41"/>
  <c r="F205" i="41"/>
  <c r="F204" i="41"/>
  <c r="E202" i="41" s="1"/>
  <c r="E204" i="41"/>
  <c r="C204" i="41"/>
  <c r="F202" i="41"/>
  <c r="C202" i="41"/>
  <c r="H201" i="41"/>
  <c r="G201" i="41"/>
  <c r="F201" i="41"/>
  <c r="E201" i="41"/>
  <c r="A198" i="41"/>
  <c r="A259" i="41" s="1"/>
  <c r="A294" i="41" s="1"/>
  <c r="A306" i="41" s="1"/>
  <c r="A318" i="41" s="1"/>
  <c r="A336" i="41" s="1"/>
  <c r="E195" i="41"/>
  <c r="D195" i="41"/>
  <c r="C195" i="41"/>
  <c r="H194" i="41"/>
  <c r="G194" i="41"/>
  <c r="H191" i="41"/>
  <c r="G191" i="41"/>
  <c r="F191" i="41"/>
  <c r="F189" i="41"/>
  <c r="F188" i="41"/>
  <c r="F187" i="41"/>
  <c r="H185" i="41"/>
  <c r="G185" i="41"/>
  <c r="F185" i="41"/>
  <c r="E185" i="41"/>
  <c r="D175" i="41"/>
  <c r="C175" i="41"/>
  <c r="G174" i="41"/>
  <c r="G173" i="41"/>
  <c r="H172" i="41"/>
  <c r="G172" i="41"/>
  <c r="F172" i="41"/>
  <c r="F175" i="41" s="1"/>
  <c r="G171" i="41"/>
  <c r="E171" i="41"/>
  <c r="E175" i="41" s="1"/>
  <c r="H169" i="41"/>
  <c r="G169" i="41"/>
  <c r="H168" i="41"/>
  <c r="G168" i="41"/>
  <c r="F161" i="41"/>
  <c r="F160" i="41"/>
  <c r="D156" i="41"/>
  <c r="H155" i="41"/>
  <c r="F155" i="41"/>
  <c r="C155" i="41"/>
  <c r="F154" i="41"/>
  <c r="H153" i="41"/>
  <c r="H156" i="41" s="1"/>
  <c r="G153" i="41"/>
  <c r="G156" i="41" s="1"/>
  <c r="F153" i="41"/>
  <c r="E153" i="41"/>
  <c r="F152" i="41"/>
  <c r="E152" i="41"/>
  <c r="C152" i="41"/>
  <c r="C151" i="41"/>
  <c r="A149" i="41"/>
  <c r="D147" i="41"/>
  <c r="G146" i="41"/>
  <c r="G147" i="41" s="1"/>
  <c r="F146" i="41"/>
  <c r="H144" i="41"/>
  <c r="F144" i="41"/>
  <c r="E144" i="41"/>
  <c r="E146" i="41" s="1"/>
  <c r="H142" i="41"/>
  <c r="F142" i="41"/>
  <c r="C142" i="41"/>
  <c r="C147" i="41" s="1"/>
  <c r="D139" i="41"/>
  <c r="C139" i="41"/>
  <c r="D135" i="41"/>
  <c r="C135" i="41"/>
  <c r="G131" i="41"/>
  <c r="F131" i="41"/>
  <c r="E131" i="41"/>
  <c r="D131" i="41"/>
  <c r="C131" i="41"/>
  <c r="H129" i="41"/>
  <c r="H131" i="41" s="1"/>
  <c r="H124" i="41"/>
  <c r="G124" i="41"/>
  <c r="F124" i="41"/>
  <c r="D124" i="41"/>
  <c r="C124" i="41"/>
  <c r="E123" i="41"/>
  <c r="E124" i="41" s="1"/>
  <c r="H119" i="41"/>
  <c r="G119" i="41"/>
  <c r="F119" i="41"/>
  <c r="E119" i="41"/>
  <c r="D119" i="41"/>
  <c r="C119" i="41"/>
  <c r="H112" i="41"/>
  <c r="G112" i="41"/>
  <c r="F112" i="41"/>
  <c r="E112" i="41"/>
  <c r="D112" i="41"/>
  <c r="D113" i="41" s="1"/>
  <c r="C111" i="41" s="1"/>
  <c r="C112" i="41"/>
  <c r="H111" i="41"/>
  <c r="C109" i="41"/>
  <c r="H108" i="41"/>
  <c r="G108" i="41"/>
  <c r="F108" i="41"/>
  <c r="E108" i="41"/>
  <c r="D108" i="41"/>
  <c r="H107" i="41"/>
  <c r="G107" i="41"/>
  <c r="F107" i="41"/>
  <c r="E107" i="41"/>
  <c r="D107" i="41"/>
  <c r="A105" i="41"/>
  <c r="A110" i="41" s="1"/>
  <c r="A115" i="41" s="1"/>
  <c r="A121" i="41" s="1"/>
  <c r="A126" i="41" s="1"/>
  <c r="H101" i="41"/>
  <c r="G101" i="41"/>
  <c r="D101" i="41"/>
  <c r="F94" i="41"/>
  <c r="F101" i="41" s="1"/>
  <c r="E94" i="41"/>
  <c r="C94" i="41"/>
  <c r="C101" i="41" s="1"/>
  <c r="E86" i="41"/>
  <c r="E81" i="41"/>
  <c r="H79" i="41"/>
  <c r="G79" i="41"/>
  <c r="F79" i="41"/>
  <c r="E79" i="41"/>
  <c r="D79" i="41"/>
  <c r="C79" i="41"/>
  <c r="D72" i="41"/>
  <c r="G71" i="41"/>
  <c r="G72" i="41" s="1"/>
  <c r="F71" i="41"/>
  <c r="F72" i="41" s="1"/>
  <c r="E71" i="41"/>
  <c r="E72" i="41" s="1"/>
  <c r="C70" i="41"/>
  <c r="C72" i="41" s="1"/>
  <c r="H68" i="41"/>
  <c r="G68" i="41"/>
  <c r="F68" i="41"/>
  <c r="E68" i="41"/>
  <c r="D68" i="41"/>
  <c r="C68" i="41"/>
  <c r="A64" i="41"/>
  <c r="F63" i="41"/>
  <c r="E63" i="41"/>
  <c r="D63" i="41"/>
  <c r="H56" i="41"/>
  <c r="H63" i="41" s="1"/>
  <c r="G56" i="41"/>
  <c r="G63" i="41" s="1"/>
  <c r="C56" i="41"/>
  <c r="C63" i="41" s="1"/>
  <c r="H54" i="41"/>
  <c r="G54" i="41"/>
  <c r="F54" i="41"/>
  <c r="D54" i="41"/>
  <c r="C54" i="41"/>
  <c r="H47" i="41"/>
  <c r="D47" i="41"/>
  <c r="G42" i="41"/>
  <c r="G40" i="41"/>
  <c r="F40" i="41"/>
  <c r="F47" i="41" s="1"/>
  <c r="E40" i="41"/>
  <c r="E47" i="41" s="1"/>
  <c r="C40" i="41"/>
  <c r="C39" i="41"/>
  <c r="D36" i="41"/>
  <c r="G34" i="41"/>
  <c r="G36" i="41" s="1"/>
  <c r="F34" i="41"/>
  <c r="E34" i="41"/>
  <c r="E33" i="41"/>
  <c r="H32" i="41"/>
  <c r="H36" i="41" s="1"/>
  <c r="F31" i="41"/>
  <c r="F36" i="41" s="1"/>
  <c r="E31" i="41"/>
  <c r="C31" i="41"/>
  <c r="C36" i="41" s="1"/>
  <c r="H28" i="41"/>
  <c r="G28" i="41"/>
  <c r="F28" i="41"/>
  <c r="D28" i="41"/>
  <c r="C27" i="41"/>
  <c r="C26" i="41"/>
  <c r="F23" i="41"/>
  <c r="D23" i="41"/>
  <c r="H22" i="41"/>
  <c r="G22" i="41"/>
  <c r="C22" i="41"/>
  <c r="G21" i="41"/>
  <c r="C21" i="41"/>
  <c r="C20" i="41"/>
  <c r="C19" i="41"/>
  <c r="C18" i="41"/>
  <c r="G17" i="41"/>
  <c r="C17" i="41"/>
  <c r="H16" i="41"/>
  <c r="G16" i="41"/>
  <c r="C16" i="41"/>
  <c r="G15" i="41"/>
  <c r="C15" i="41"/>
  <c r="C14" i="41"/>
  <c r="D12" i="41"/>
  <c r="H11" i="41"/>
  <c r="H12" i="41" s="1"/>
  <c r="G11" i="41"/>
  <c r="C11" i="41"/>
  <c r="C10" i="41"/>
  <c r="C9" i="41"/>
  <c r="C8" i="41"/>
  <c r="C7" i="41"/>
  <c r="C6" i="41"/>
  <c r="G5" i="41"/>
  <c r="F5" i="41"/>
  <c r="F12" i="41" s="1"/>
  <c r="F24" i="41" s="1"/>
  <c r="C5" i="41"/>
  <c r="C4" i="41"/>
  <c r="C3" i="41"/>
  <c r="K45" i="40"/>
  <c r="I45" i="40"/>
  <c r="J45" i="40" s="1"/>
  <c r="L45" i="40" s="1"/>
  <c r="K44" i="40"/>
  <c r="I44" i="40"/>
  <c r="J44" i="40" s="1"/>
  <c r="L44" i="40" s="1"/>
  <c r="K43" i="40"/>
  <c r="I43" i="40"/>
  <c r="J43" i="40" s="1"/>
  <c r="L43" i="40" s="1"/>
  <c r="K42" i="40"/>
  <c r="I42" i="40"/>
  <c r="J42" i="40" s="1"/>
  <c r="L42" i="40" s="1"/>
  <c r="K41" i="40"/>
  <c r="I41" i="40"/>
  <c r="J41" i="40" s="1"/>
  <c r="L41" i="40" s="1"/>
  <c r="K40" i="40"/>
  <c r="I40" i="40"/>
  <c r="J40" i="40" s="1"/>
  <c r="L40" i="40" s="1"/>
  <c r="K39" i="40"/>
  <c r="J39" i="40"/>
  <c r="L39" i="40" s="1"/>
  <c r="K35" i="40"/>
  <c r="J35" i="40"/>
  <c r="L35" i="40" s="1"/>
  <c r="K34" i="40"/>
  <c r="I34" i="40"/>
  <c r="J34" i="40" s="1"/>
  <c r="L34" i="40" s="1"/>
  <c r="K33" i="40"/>
  <c r="I33" i="40"/>
  <c r="J33" i="40" s="1"/>
  <c r="L33" i="40" s="1"/>
  <c r="K32" i="40"/>
  <c r="I32" i="40"/>
  <c r="J32" i="40" s="1"/>
  <c r="L32" i="40" s="1"/>
  <c r="K31" i="40"/>
  <c r="I31" i="40"/>
  <c r="J31" i="40" s="1"/>
  <c r="L31" i="40" s="1"/>
  <c r="K30" i="40"/>
  <c r="I30" i="40"/>
  <c r="J30" i="40" s="1"/>
  <c r="L30" i="40" s="1"/>
  <c r="K29" i="40"/>
  <c r="I29" i="40"/>
  <c r="J29" i="40" s="1"/>
  <c r="L29" i="40" s="1"/>
  <c r="K28" i="40"/>
  <c r="I28" i="40"/>
  <c r="J28" i="40" s="1"/>
  <c r="L28" i="40" s="1"/>
  <c r="K27" i="40"/>
  <c r="I27" i="40"/>
  <c r="J27" i="40" s="1"/>
  <c r="L27" i="40" s="1"/>
  <c r="K25" i="40"/>
  <c r="I25" i="40"/>
  <c r="J25" i="40" s="1"/>
  <c r="L25" i="40" s="1"/>
  <c r="K24" i="40"/>
  <c r="I24" i="40"/>
  <c r="J24" i="40" s="1"/>
  <c r="L24" i="40" s="1"/>
  <c r="K23" i="40"/>
  <c r="I23" i="40"/>
  <c r="J23" i="40" s="1"/>
  <c r="L23" i="40" s="1"/>
  <c r="K20" i="40"/>
  <c r="I20" i="40"/>
  <c r="J20" i="40" s="1"/>
  <c r="L20" i="40" s="1"/>
  <c r="K19" i="40"/>
  <c r="I19" i="40"/>
  <c r="J19" i="40" s="1"/>
  <c r="L19" i="40" s="1"/>
  <c r="K18" i="40"/>
  <c r="I18" i="40"/>
  <c r="J18" i="40" s="1"/>
  <c r="L18" i="40" s="1"/>
  <c r="K17" i="40"/>
  <c r="I17" i="40"/>
  <c r="J17" i="40" s="1"/>
  <c r="L17" i="40" s="1"/>
  <c r="K16" i="40"/>
  <c r="I16" i="40"/>
  <c r="J16" i="40" s="1"/>
  <c r="L16" i="40" s="1"/>
  <c r="K15" i="40"/>
  <c r="I15" i="40"/>
  <c r="J15" i="40" s="1"/>
  <c r="L15" i="40" s="1"/>
  <c r="K14" i="40"/>
  <c r="I14" i="40"/>
  <c r="J14" i="40" s="1"/>
  <c r="L14" i="40" s="1"/>
  <c r="K13" i="40"/>
  <c r="I13" i="40"/>
  <c r="J13" i="40" s="1"/>
  <c r="L13" i="40" s="1"/>
  <c r="K12" i="40"/>
  <c r="I12" i="40"/>
  <c r="J12" i="40" s="1"/>
  <c r="L12" i="40" s="1"/>
  <c r="K10" i="40"/>
  <c r="I10" i="40"/>
  <c r="J10" i="40" s="1"/>
  <c r="L10" i="40" s="1"/>
  <c r="K9" i="40"/>
  <c r="I9" i="40"/>
  <c r="J9" i="40" s="1"/>
  <c r="L9" i="40" s="1"/>
  <c r="K8" i="40"/>
  <c r="I8" i="40"/>
  <c r="J8" i="40" s="1"/>
  <c r="L8" i="40" s="1"/>
  <c r="K7" i="40"/>
  <c r="I7" i="40"/>
  <c r="J7" i="40" s="1"/>
  <c r="L7" i="40" s="1"/>
  <c r="K6" i="40"/>
  <c r="I6" i="40"/>
  <c r="J6" i="40" s="1"/>
  <c r="L6" i="40" s="1"/>
  <c r="K4" i="40"/>
  <c r="I4" i="40"/>
  <c r="J4" i="40" s="1"/>
  <c r="L4" i="40" s="1"/>
  <c r="K3" i="40"/>
  <c r="I3" i="40"/>
  <c r="J3" i="40" s="1"/>
  <c r="L3" i="40" s="1"/>
  <c r="W20" i="64" l="1"/>
  <c r="X15" i="64" s="1"/>
  <c r="X20" i="64" s="1"/>
  <c r="Y15" i="64" s="1"/>
  <c r="Y20" i="64" s="1"/>
  <c r="Z15" i="64" s="1"/>
  <c r="Z20" i="64" s="1"/>
  <c r="AA15" i="64" s="1"/>
  <c r="AA20" i="64" s="1"/>
  <c r="AB15" i="64" s="1"/>
  <c r="AM17" i="64"/>
  <c r="AM19" i="64" s="1"/>
  <c r="AM21" i="64" s="1"/>
  <c r="E335" i="41"/>
  <c r="E342" i="41"/>
  <c r="E347" i="41"/>
  <c r="U18" i="55"/>
  <c r="V15" i="55" s="1"/>
  <c r="AJ18" i="55"/>
  <c r="AJ19" i="55" s="1"/>
  <c r="AJ21" i="55" s="1"/>
  <c r="R136" i="44"/>
  <c r="T25" i="44" s="1"/>
  <c r="U24" i="44" s="1"/>
  <c r="R134" i="44"/>
  <c r="F305" i="41"/>
  <c r="J292" i="41"/>
  <c r="F292" i="41"/>
  <c r="G292" i="41"/>
  <c r="H102" i="41"/>
  <c r="H292" i="41"/>
  <c r="E292" i="41"/>
  <c r="C102" i="41"/>
  <c r="G102" i="41"/>
  <c r="J258" i="41"/>
  <c r="C156" i="41"/>
  <c r="C335" i="41"/>
  <c r="J321" i="41"/>
  <c r="J335" i="41" s="1"/>
  <c r="G109" i="41"/>
  <c r="H113" i="41"/>
  <c r="G111" i="41" s="1"/>
  <c r="G113" i="41" s="1"/>
  <c r="F111" i="41" s="1"/>
  <c r="F113" i="41" s="1"/>
  <c r="E111" i="41" s="1"/>
  <c r="E113" i="41" s="1"/>
  <c r="C47" i="41"/>
  <c r="F212" i="41"/>
  <c r="F199" i="41" s="1"/>
  <c r="F207" i="41" s="1"/>
  <c r="E156" i="41"/>
  <c r="C196" i="41"/>
  <c r="D102" i="41"/>
  <c r="F109" i="41"/>
  <c r="G212" i="41"/>
  <c r="G199" i="41" s="1"/>
  <c r="E207" i="41"/>
  <c r="H147" i="41"/>
  <c r="E196" i="41"/>
  <c r="H23" i="41"/>
  <c r="C258" i="41"/>
  <c r="C292" i="41"/>
  <c r="C28" i="41"/>
  <c r="G47" i="41"/>
  <c r="E109" i="41"/>
  <c r="H195" i="41"/>
  <c r="C212" i="41"/>
  <c r="C199" i="41" s="1"/>
  <c r="H207" i="41"/>
  <c r="C12" i="41"/>
  <c r="G12" i="41"/>
  <c r="C23" i="41"/>
  <c r="H24" i="41"/>
  <c r="E36" i="41"/>
  <c r="F156" i="41"/>
  <c r="D196" i="41"/>
  <c r="G207" i="41"/>
  <c r="C350" i="41"/>
  <c r="D24" i="41"/>
  <c r="G23" i="41"/>
  <c r="E101" i="41"/>
  <c r="E102" i="41" s="1"/>
  <c r="F102" i="41"/>
  <c r="C113" i="41"/>
  <c r="H175" i="41"/>
  <c r="G175" i="41"/>
  <c r="D109" i="41"/>
  <c r="H109" i="41"/>
  <c r="F147" i="41"/>
  <c r="F162" i="41"/>
  <c r="F164" i="41" s="1"/>
  <c r="F195" i="41"/>
  <c r="F196" i="41" s="1"/>
  <c r="G195" i="41"/>
  <c r="D207" i="41"/>
  <c r="C218" i="41"/>
  <c r="C200" i="41" s="1"/>
  <c r="E147" i="41"/>
  <c r="AB20" i="64" l="1"/>
  <c r="AC15" i="64" s="1"/>
  <c r="E350" i="41"/>
  <c r="V18" i="55"/>
  <c r="W15" i="55" s="1"/>
  <c r="L258" i="41"/>
  <c r="G196" i="41"/>
  <c r="C201" i="41"/>
  <c r="C207" i="41" s="1"/>
  <c r="H196" i="41"/>
  <c r="G24" i="41"/>
  <c r="C24" i="41"/>
  <c r="AC20" i="64" l="1"/>
  <c r="AD15" i="64" s="1"/>
  <c r="W18" i="55"/>
  <c r="X15" i="55" s="1"/>
  <c r="AD20" i="64" l="1"/>
  <c r="AE15" i="64" s="1"/>
  <c r="X18" i="55"/>
  <c r="Y15" i="55" s="1"/>
  <c r="AE20" i="64" l="1"/>
  <c r="AF15" i="64" s="1"/>
  <c r="Y18" i="55"/>
  <c r="Z15" i="55" s="1"/>
  <c r="AF20" i="64" l="1"/>
  <c r="AG15" i="64" s="1"/>
  <c r="AO17" i="64" s="1"/>
  <c r="AO19" i="64" s="1"/>
  <c r="AO21" i="64" s="1"/>
  <c r="Z18" i="55"/>
  <c r="AA15" i="55" s="1"/>
  <c r="AA18" i="55" l="1"/>
  <c r="AB15" i="55" s="1"/>
  <c r="AB18" i="55" l="1"/>
  <c r="AC15" i="55" s="1"/>
  <c r="AC18" i="55" l="1"/>
  <c r="AD15" i="55" s="1"/>
  <c r="G19" i="7" l="1"/>
  <c r="E19" i="7"/>
  <c r="E18" i="7"/>
  <c r="E16" i="7"/>
  <c r="G18" i="7"/>
  <c r="G16" i="7"/>
  <c r="G15" i="7"/>
  <c r="H10" i="7"/>
  <c r="E15" i="7"/>
  <c r="G31" i="9" l="1"/>
  <c r="G33" i="9" s="1"/>
  <c r="G25" i="9"/>
  <c r="G16" i="9"/>
  <c r="G15" i="9"/>
  <c r="G17" i="9" s="1"/>
  <c r="G19" i="9" s="1"/>
  <c r="G14" i="9"/>
  <c r="G34" i="9" l="1"/>
  <c r="G20" i="9"/>
  <c r="G21" i="9" s="1"/>
  <c r="G22" i="9" l="1"/>
  <c r="G23" i="9" s="1"/>
  <c r="G36" i="9"/>
  <c r="G35" i="9"/>
  <c r="F23" i="9" l="1"/>
  <c r="G26" i="9"/>
  <c r="G27" i="9" s="1"/>
  <c r="G30" i="9"/>
  <c r="G46" i="9" s="1"/>
  <c r="G29" i="9"/>
  <c r="G45" i="9" s="1"/>
  <c r="G47" i="9" l="1"/>
  <c r="G43" i="9"/>
  <c r="G48" i="9" l="1"/>
  <c r="G50" i="9" s="1"/>
  <c r="G51" i="9" s="1"/>
  <c r="E6" i="7" l="1"/>
  <c r="E8" i="7" s="1"/>
  <c r="E10" i="7" s="1"/>
  <c r="E12" i="7" s="1"/>
  <c r="D6" i="7"/>
  <c r="E5" i="7"/>
  <c r="E4" i="7"/>
</calcChain>
</file>

<file path=xl/comments1.xml><?xml version="1.0" encoding="utf-8"?>
<comments xmlns="http://schemas.openxmlformats.org/spreadsheetml/2006/main">
  <authors>
    <author>Ahsraf</author>
  </authors>
  <commentList>
    <comment ref="D150" authorId="0" shapeId="0">
      <text>
        <r>
          <rPr>
            <b/>
            <sz val="9"/>
            <color indexed="81"/>
            <rFont val="Tahoma"/>
            <family val="2"/>
          </rPr>
          <t>Ahsraf:</t>
        </r>
        <r>
          <rPr>
            <sz val="9"/>
            <color indexed="81"/>
            <rFont val="Tahoma"/>
            <family val="2"/>
          </rPr>
          <t xml:space="preserve">
(68,52,625-184,055) was adjusted with Advance VAT Paid to keep July-2020 VDS payable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Ahsraf:</t>
        </r>
        <r>
          <rPr>
            <sz val="9"/>
            <color indexed="81"/>
            <rFont val="Tahoma"/>
            <family val="2"/>
          </rPr>
          <t xml:space="preserve">
Deducted from 3 months' sales vat entry pending &amp; adjustment with advance VAT Paid</t>
        </r>
      </text>
    </comment>
  </commentList>
</comments>
</file>

<file path=xl/sharedStrings.xml><?xml version="1.0" encoding="utf-8"?>
<sst xmlns="http://schemas.openxmlformats.org/spreadsheetml/2006/main" count="2931" uniqueCount="1010">
  <si>
    <t>Total</t>
  </si>
  <si>
    <t>Omera LPG</t>
  </si>
  <si>
    <t>Laugfs Gas</t>
  </si>
  <si>
    <t>Others</t>
  </si>
  <si>
    <t>General Commission</t>
  </si>
  <si>
    <t>Refill Target Commission</t>
  </si>
  <si>
    <t>Yearly Commission</t>
  </si>
  <si>
    <t>Exclusive Distributor Commission</t>
  </si>
  <si>
    <t>Total Commission</t>
  </si>
  <si>
    <t>Net Price (Company Account)</t>
  </si>
  <si>
    <t>Ex Factory Price</t>
  </si>
  <si>
    <t>G-Gas</t>
  </si>
  <si>
    <t>35 Kg</t>
  </si>
  <si>
    <t>Net Price (BDT/KG)</t>
  </si>
  <si>
    <t>Navana LPG  Limited</t>
  </si>
  <si>
    <t>LPG Cost Calculation for Purchases from Bashundhara LPG</t>
  </si>
  <si>
    <t>Sl</t>
  </si>
  <si>
    <t>Particulars</t>
  </si>
  <si>
    <t>Ratio</t>
  </si>
  <si>
    <t xml:space="preserve">Amount </t>
  </si>
  <si>
    <r>
      <t>PROPANE (C</t>
    </r>
    <r>
      <rPr>
        <vertAlign val="subscript"/>
        <sz val="11"/>
        <color rgb="FF444444"/>
        <rFont val="Times New Roman"/>
        <family val="1"/>
      </rPr>
      <t>3</t>
    </r>
    <r>
      <rPr>
        <sz val="11"/>
        <color rgb="FF444444"/>
        <rFont val="Times New Roman"/>
        <family val="1"/>
      </rPr>
      <t>)</t>
    </r>
  </si>
  <si>
    <r>
      <t>BUTANE (C</t>
    </r>
    <r>
      <rPr>
        <vertAlign val="subscript"/>
        <sz val="11"/>
        <color rgb="FF444444"/>
        <rFont val="Times New Roman"/>
        <family val="1"/>
      </rPr>
      <t>4</t>
    </r>
    <r>
      <rPr>
        <sz val="11"/>
        <color rgb="FF444444"/>
        <rFont val="Times New Roman"/>
        <family val="1"/>
      </rPr>
      <t>)</t>
    </r>
  </si>
  <si>
    <t>Sub Total CP (1 MT)</t>
  </si>
  <si>
    <t>Add : Premium (USD/MT)</t>
  </si>
  <si>
    <t>Quoted Total Cost (USD)</t>
  </si>
  <si>
    <t xml:space="preserve">Exchange Rate </t>
  </si>
  <si>
    <t>Quoted Total Cost (BDT)</t>
  </si>
  <si>
    <t>Quoted QTY (KG)</t>
  </si>
  <si>
    <t>Quoted Cost (Tk/KG)</t>
  </si>
  <si>
    <t>CP-NOV 2021</t>
  </si>
  <si>
    <t>Navana LPG Limited</t>
  </si>
  <si>
    <t>A</t>
  </si>
  <si>
    <t>a</t>
  </si>
  <si>
    <t>b</t>
  </si>
  <si>
    <t>Hose Clamp</t>
  </si>
  <si>
    <t>c</t>
  </si>
  <si>
    <t>d</t>
  </si>
  <si>
    <t>Distributor Fixed Commission</t>
  </si>
  <si>
    <t>B</t>
  </si>
  <si>
    <t>Total Direct Cost</t>
  </si>
  <si>
    <t>C</t>
  </si>
  <si>
    <t>D</t>
  </si>
  <si>
    <t>Electricity Expenses</t>
  </si>
  <si>
    <t>Repair &amp; Maintenance - Factory</t>
  </si>
  <si>
    <t>Subsidy for Food/Canteen</t>
  </si>
  <si>
    <t>Miscellaneous Expenses - Factory</t>
  </si>
  <si>
    <t>Festival Bonus</t>
  </si>
  <si>
    <t>Toll Charge</t>
  </si>
  <si>
    <t>Fuel &amp; Lubricant-Factory</t>
  </si>
  <si>
    <t>WASA &amp; Sewerage</t>
  </si>
  <si>
    <t>Printing &amp; Stationery-Factory</t>
  </si>
  <si>
    <t>Vehicle Insurance</t>
  </si>
  <si>
    <t>Cleaning Expense</t>
  </si>
  <si>
    <t>Conveyance  and allowance</t>
  </si>
  <si>
    <t>Daily Allowance</t>
  </si>
  <si>
    <t>Octane</t>
  </si>
  <si>
    <t>Laboratory &amp; Testing Fees - Factory</t>
  </si>
  <si>
    <t>Mobile Bill expenses</t>
  </si>
  <si>
    <t>Carriage Inward</t>
  </si>
  <si>
    <t>Local-Accomodation Expenses</t>
  </si>
  <si>
    <t>Fines &amp; Penalty</t>
  </si>
  <si>
    <t>Medical Expenses</t>
  </si>
  <si>
    <t>E</t>
  </si>
  <si>
    <t>F</t>
  </si>
  <si>
    <t>G</t>
  </si>
  <si>
    <t>Administrative Expenses</t>
  </si>
  <si>
    <t>Miscellaneous Exp</t>
  </si>
  <si>
    <t>Office Rent</t>
  </si>
  <si>
    <t>Mobile &amp; Telephone</t>
  </si>
  <si>
    <t>Professional &amp; Legal Fee</t>
  </si>
  <si>
    <t>Service Charge</t>
  </si>
  <si>
    <t>Printing &amp; Stationery</t>
  </si>
  <si>
    <t>Entertainment</t>
  </si>
  <si>
    <t>Vehicle Maintenance</t>
  </si>
  <si>
    <t>Repair &amp; Maintenance</t>
  </si>
  <si>
    <t>Employer Contribution to Provident Fund</t>
  </si>
  <si>
    <t>Overtime General</t>
  </si>
  <si>
    <t>Fuel &amp; Lubricant</t>
  </si>
  <si>
    <t>Computer &amp; Printer Accessories</t>
  </si>
  <si>
    <t>Conveyance Bill</t>
  </si>
  <si>
    <t>Postage &amp; Delivery</t>
  </si>
  <si>
    <t>Medical Expense</t>
  </si>
  <si>
    <t>Audit Fee</t>
  </si>
  <si>
    <t>H</t>
  </si>
  <si>
    <t>Postage &amp; Courier</t>
  </si>
  <si>
    <t>Overtime-Sales</t>
  </si>
  <si>
    <t>J</t>
  </si>
  <si>
    <t>Bank Charge</t>
  </si>
  <si>
    <t>Imported LPG Landed Cost Calculation</t>
  </si>
  <si>
    <t>Date:</t>
  </si>
  <si>
    <t>General Information:</t>
  </si>
  <si>
    <t>Supplier's Name</t>
  </si>
  <si>
    <t>PI Number</t>
  </si>
  <si>
    <t>Consignment Received Date</t>
  </si>
  <si>
    <t>LC Number/TT</t>
  </si>
  <si>
    <t>LC Opening Date</t>
  </si>
  <si>
    <t>LC Value (CCY)</t>
  </si>
  <si>
    <t>USD</t>
  </si>
  <si>
    <t>LC Value (LCY)</t>
  </si>
  <si>
    <t>Tk</t>
  </si>
  <si>
    <t>Exchange Rate</t>
  </si>
  <si>
    <t>(1USD = 85.00 Tk)</t>
  </si>
  <si>
    <t>Cost Calculation:</t>
  </si>
  <si>
    <t>Amount</t>
  </si>
  <si>
    <r>
      <t>Propane (C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) PI Value (1000 MT) CFR CTG</t>
    </r>
  </si>
  <si>
    <r>
      <t>Butane (C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) PI Value (1000 MT) CFR CTG</t>
    </r>
  </si>
  <si>
    <t>Premium</t>
  </si>
  <si>
    <t>CFR CTG Value</t>
  </si>
  <si>
    <t>Exchange Rate (Tk/USD)</t>
  </si>
  <si>
    <t>CFR Value (BDT)</t>
  </si>
  <si>
    <r>
      <rPr>
        <sz val="11"/>
        <color rgb="FF212121"/>
        <rFont val="Times New Roman"/>
        <family val="1"/>
      </rPr>
      <t>Insurance</t>
    </r>
  </si>
  <si>
    <r>
      <rPr>
        <b/>
        <sz val="11"/>
        <color rgb="FF212121"/>
        <rFont val="Times New Roman"/>
        <family val="1"/>
      </rPr>
      <t>CIF Value</t>
    </r>
  </si>
  <si>
    <r>
      <rPr>
        <sz val="11"/>
        <color rgb="FF212121"/>
        <rFont val="Times New Roman"/>
        <family val="1"/>
      </rPr>
      <t>Landing Charges</t>
    </r>
  </si>
  <si>
    <t>Assessment Value</t>
  </si>
  <si>
    <t>SWIFT Charge</t>
  </si>
  <si>
    <t>VAT on SWIFT Charge</t>
  </si>
  <si>
    <t>LC Commission</t>
  </si>
  <si>
    <t>VAT on LC Commission</t>
  </si>
  <si>
    <t>LC Miscellaneous</t>
  </si>
  <si>
    <t>AIT</t>
  </si>
  <si>
    <t>AT</t>
  </si>
  <si>
    <t>Shipping Charge @ Tk 250 per MT</t>
  </si>
  <si>
    <t>River Dues</t>
  </si>
  <si>
    <t>VAT on Shipping Charge &amp; River Dues</t>
  </si>
  <si>
    <t>C&amp;F Commission</t>
  </si>
  <si>
    <t>VAT on C&amp;F Commission</t>
  </si>
  <si>
    <t>AIT on C&amp;F Commission</t>
  </si>
  <si>
    <t>Berthing/ Earthing Cost</t>
  </si>
  <si>
    <t>Customs Misc.</t>
  </si>
  <si>
    <t>Load &amp; Light Draft Survey</t>
  </si>
  <si>
    <t>Misc Exp for Unloading Permission by 78</t>
  </si>
  <si>
    <t>Pay Order &amp; Association Charges</t>
  </si>
  <si>
    <t>Documents Processing Fees</t>
  </si>
  <si>
    <t>Grand Total Landed Cost</t>
  </si>
  <si>
    <t>Less: Adjustable Amount</t>
  </si>
  <si>
    <t xml:space="preserve">AIT   </t>
  </si>
  <si>
    <t xml:space="preserve">AT  </t>
  </si>
  <si>
    <t>Total Adjustable Amount</t>
  </si>
  <si>
    <t>Net Landed Cost for 2000 MT LPG</t>
  </si>
  <si>
    <t>Total LPG QTY (MT)</t>
  </si>
  <si>
    <t>Cost (Tk/MT)</t>
  </si>
  <si>
    <t>Cost (Tk/KG)</t>
  </si>
  <si>
    <t xml:space="preserve"> </t>
  </si>
  <si>
    <t>VAT</t>
  </si>
  <si>
    <t>Bulk</t>
  </si>
  <si>
    <t>Sales</t>
  </si>
  <si>
    <t>CM</t>
  </si>
  <si>
    <t>LPG Cost</t>
  </si>
  <si>
    <t>Commission</t>
  </si>
  <si>
    <t>CM %</t>
  </si>
  <si>
    <t>Nov</t>
  </si>
  <si>
    <t>Oct</t>
  </si>
  <si>
    <t>CP Premium</t>
  </si>
  <si>
    <t>Cost</t>
  </si>
  <si>
    <t>%</t>
  </si>
  <si>
    <t>Slab Commission</t>
  </si>
  <si>
    <t>Total Sales (MT)</t>
  </si>
  <si>
    <t>Component</t>
  </si>
  <si>
    <t>Direct Accessories</t>
  </si>
  <si>
    <t>Contribution Margin (CM)</t>
  </si>
  <si>
    <t>Total CM (Million)</t>
  </si>
  <si>
    <t>Purchases Price (Tk/MT)</t>
  </si>
  <si>
    <r>
      <t>Propen (C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H</t>
    </r>
    <r>
      <rPr>
        <vertAlign val="subscript"/>
        <sz val="9"/>
        <rFont val="Times New Roman"/>
        <family val="1"/>
      </rPr>
      <t>8</t>
    </r>
    <r>
      <rPr>
        <sz val="9"/>
        <rFont val="Times New Roman"/>
        <family val="1"/>
      </rPr>
      <t>)/MT</t>
    </r>
  </si>
  <si>
    <r>
      <t>Buten (C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H</t>
    </r>
    <r>
      <rPr>
        <vertAlign val="subscript"/>
        <sz val="9"/>
        <rFont val="Times New Roman"/>
        <family val="1"/>
      </rPr>
      <t>10</t>
    </r>
    <r>
      <rPr>
        <sz val="9"/>
        <rFont val="Times New Roman"/>
        <family val="1"/>
      </rPr>
      <t>)/MT</t>
    </r>
  </si>
  <si>
    <t>Collection</t>
  </si>
  <si>
    <t>Less: Fixed Cost-</t>
  </si>
  <si>
    <t>Selling Expenses</t>
  </si>
  <si>
    <t>Distribution Exp.</t>
  </si>
  <si>
    <t>Finance Cost</t>
  </si>
  <si>
    <t>Less: Variable Cost (BDT/Unit)-</t>
  </si>
  <si>
    <t>Transport Subsidies (TS)</t>
  </si>
  <si>
    <t>Total Sales (Million BDT)</t>
  </si>
  <si>
    <t>Autogas</t>
  </si>
  <si>
    <t>Particulars:</t>
  </si>
  <si>
    <t>Package Size (KG)</t>
  </si>
  <si>
    <t>Unit Profitability-</t>
  </si>
  <si>
    <t>Total Fixed Cost</t>
  </si>
  <si>
    <t xml:space="preserve">Pricing Report
</t>
  </si>
  <si>
    <t>Meghna Fresh LPG</t>
  </si>
  <si>
    <t>12Kg</t>
  </si>
  <si>
    <t>35Kg</t>
  </si>
  <si>
    <t>45Kg</t>
  </si>
  <si>
    <t>Bashundhara LPG</t>
  </si>
  <si>
    <t>30Kg</t>
  </si>
  <si>
    <t xml:space="preserve">12Kg </t>
  </si>
  <si>
    <t>Total Gaz</t>
  </si>
  <si>
    <t>33Kg</t>
  </si>
  <si>
    <t>Orion Gas</t>
  </si>
  <si>
    <t>JMI LPG</t>
  </si>
  <si>
    <t>Petromax LPG</t>
  </si>
  <si>
    <t>Beximco LPG</t>
  </si>
  <si>
    <t>Promita LPG</t>
  </si>
  <si>
    <t>Delta LPG</t>
  </si>
  <si>
    <t>Navana LPG</t>
  </si>
  <si>
    <t>Uni Gas</t>
  </si>
  <si>
    <t>Ex Factory Price (BDT/KG)</t>
  </si>
  <si>
    <t>Refill Package</t>
  </si>
  <si>
    <t>LPG Carriage Inward (Diesel)</t>
  </si>
  <si>
    <t>BDT (Million)</t>
  </si>
  <si>
    <t>DATE/DAY</t>
  </si>
  <si>
    <t>WED</t>
  </si>
  <si>
    <t>THU</t>
  </si>
  <si>
    <t>FRI</t>
  </si>
  <si>
    <t>SAT</t>
  </si>
  <si>
    <t>SUN</t>
  </si>
  <si>
    <t>MON</t>
  </si>
  <si>
    <t>TUE</t>
  </si>
  <si>
    <t>Sales (MT)</t>
  </si>
  <si>
    <t>12 KG Refill</t>
  </si>
  <si>
    <t>33 KG Refill</t>
  </si>
  <si>
    <t>45 KG Refill</t>
  </si>
  <si>
    <t>Total (MT)</t>
  </si>
  <si>
    <t>Cash Balance</t>
  </si>
  <si>
    <t>Cash Available</t>
  </si>
  <si>
    <t>Payment:</t>
  </si>
  <si>
    <t>Operating Expenses</t>
  </si>
  <si>
    <t>Payroll</t>
  </si>
  <si>
    <t>Janata Bank</t>
  </si>
  <si>
    <t>Total Payment</t>
  </si>
  <si>
    <t>Sub total</t>
  </si>
  <si>
    <t>Navana Engineering Ltd.</t>
  </si>
  <si>
    <t>Bashundhara LPG Pending</t>
  </si>
  <si>
    <t>Collection From Dues</t>
  </si>
  <si>
    <t>Target</t>
  </si>
  <si>
    <t>LPG Cylinder Refill Market Price - Feb22</t>
  </si>
  <si>
    <t>Property, Plant and Equipment</t>
  </si>
  <si>
    <t>At Cost</t>
  </si>
  <si>
    <t>Land and land development</t>
  </si>
  <si>
    <t>Building and Construction</t>
  </si>
  <si>
    <t>Plant and Machinery</t>
  </si>
  <si>
    <t>Pipeline</t>
  </si>
  <si>
    <t>Furniture and Fittings</t>
  </si>
  <si>
    <t>Motor Vehicle</t>
  </si>
  <si>
    <t>Tools and equipment</t>
  </si>
  <si>
    <t>Office decoration and interior design</t>
  </si>
  <si>
    <t>Cylinder (including CMP production)</t>
  </si>
  <si>
    <t>Less: Accumulated Depreciation</t>
  </si>
  <si>
    <t>Net Carrying Value</t>
  </si>
  <si>
    <t>Intangibles</t>
  </si>
  <si>
    <t>Less: Accumulated Amortization</t>
  </si>
  <si>
    <t>Net carrying Value</t>
  </si>
  <si>
    <t>Capital Work in Progress</t>
  </si>
  <si>
    <t>For Auto LPG Pump</t>
  </si>
  <si>
    <t>Tools and Equipment</t>
  </si>
  <si>
    <t>For Construction Work</t>
  </si>
  <si>
    <t>For Machinery</t>
  </si>
  <si>
    <t>For Motor Vehicles</t>
  </si>
  <si>
    <t/>
  </si>
  <si>
    <t>Advance,Deposit &amp; Pre-Payments</t>
  </si>
  <si>
    <t>Advance against local procurement</t>
  </si>
  <si>
    <t>Advance Income Tax</t>
  </si>
  <si>
    <t>Advance to employee</t>
  </si>
  <si>
    <t>Advance to Others</t>
  </si>
  <si>
    <t>Advance to Suppliers</t>
  </si>
  <si>
    <t xml:space="preserve">Deposit-LC Margin </t>
  </si>
  <si>
    <t xml:space="preserve">Security Deposit-Bank Guarantee </t>
  </si>
  <si>
    <t>Prepaid insurance</t>
  </si>
  <si>
    <t>Security deposit</t>
  </si>
  <si>
    <t xml:space="preserve"> Break-up of Advance to Others</t>
  </si>
  <si>
    <t>Advance To Jalal Uddin (Road Linkers Ltd.)</t>
  </si>
  <si>
    <t>Karnaphuli Ltd. C&amp;F Agent-Advance</t>
  </si>
  <si>
    <t>Navana Ltd. Chittagong C&amp;F-Advance</t>
  </si>
  <si>
    <t>Sayed Anwar Mobaraki-Advance</t>
  </si>
  <si>
    <t>Kaykobad Mondol-Navana Real Estate</t>
  </si>
  <si>
    <t>Loan to intercompany</t>
  </si>
  <si>
    <t>Navana Ltd. HO</t>
  </si>
  <si>
    <t>Aftab Automobiles Ltd.</t>
  </si>
  <si>
    <t>Navana Construction Ltd.</t>
  </si>
  <si>
    <t>Corporate 3S Centre</t>
  </si>
  <si>
    <t>Navana Electronics</t>
  </si>
  <si>
    <t>Navana Real Estate Ltd</t>
  </si>
  <si>
    <t>Other Receivable</t>
  </si>
  <si>
    <t xml:space="preserve">Accounts Receivable - Cylinder Loan </t>
  </si>
  <si>
    <t xml:space="preserve">Accounts Receivable - Claim Receivables </t>
  </si>
  <si>
    <t xml:space="preserve">Accounts Receivable - Others </t>
  </si>
  <si>
    <t>Sundry Debtors</t>
  </si>
  <si>
    <t>From Channel Partners &amp; Distributors</t>
  </si>
  <si>
    <t>From Corporate Customers</t>
  </si>
  <si>
    <t>Cash &amp; Bank Balance</t>
  </si>
  <si>
    <t>9.01 Cash in hand</t>
  </si>
  <si>
    <t>Cash at Head Office</t>
  </si>
  <si>
    <t>Cash at Mongla</t>
  </si>
  <si>
    <t>Cash at Ashulia</t>
  </si>
  <si>
    <t>9.02 Bank Balances:</t>
  </si>
  <si>
    <t>Agrani Bank CD#51584</t>
  </si>
  <si>
    <t>Bank Asia CD# 0077</t>
  </si>
  <si>
    <t>Bank Asia CD# 8922</t>
  </si>
  <si>
    <t>Janata Bank Ltd#8540</t>
  </si>
  <si>
    <t>City Bank Ltd CD#13001 (LPG Unit)</t>
  </si>
  <si>
    <t>City Bank Ltd CD#7001</t>
  </si>
  <si>
    <t>Dutch bangla bank ltd. CD#8713</t>
  </si>
  <si>
    <t>Jamuna Bank CD#6275</t>
  </si>
  <si>
    <t>Mutual Trust Bank Ltd (LPG Unit) CD#2079</t>
  </si>
  <si>
    <t>Mutual Trust Bank Ltd CD#3943</t>
  </si>
  <si>
    <t>NCC Bank #33246</t>
  </si>
  <si>
    <t>Rupali Bank Ltd. - A/C - 0018020010213</t>
  </si>
  <si>
    <t>Shahjalal Islami bank CD#2865</t>
  </si>
  <si>
    <t>Sonali Bank CD#2482 &amp; 5300</t>
  </si>
  <si>
    <t>National Bank Ltd</t>
  </si>
  <si>
    <t>Southeast Bank</t>
  </si>
  <si>
    <t>Standard Bank -3003</t>
  </si>
  <si>
    <t>Trust Bank Ltd (LPG Unit) CD# 3036</t>
  </si>
  <si>
    <t>Community Bank Ltd</t>
  </si>
  <si>
    <t>Trust Bank Ltd CD#5070</t>
  </si>
  <si>
    <t>Cash &amp; Cash Equivalents</t>
  </si>
  <si>
    <t>Share Capital</t>
  </si>
  <si>
    <t>Issued &amp; Paid up shares 1,00,000@Tk.10 per share</t>
  </si>
  <si>
    <t>Chairman Sir &amp; his family (0.05%)</t>
  </si>
  <si>
    <t>Navana CNG Ltd (99.95%)</t>
  </si>
  <si>
    <t>Retained Earnings</t>
  </si>
  <si>
    <t>Opening retained earnings</t>
  </si>
  <si>
    <t>Loss during the year/period</t>
  </si>
  <si>
    <t>Closing retained earnings</t>
  </si>
  <si>
    <t>Long Term Loan</t>
  </si>
  <si>
    <t>City Bank Ltd</t>
  </si>
  <si>
    <t>Shahjalal Islami Bank Ltd</t>
  </si>
  <si>
    <t xml:space="preserve">Security Retention Money </t>
  </si>
  <si>
    <t>From Suppliers</t>
  </si>
  <si>
    <t>Short Term Loan</t>
  </si>
  <si>
    <t>City bank Ltd.</t>
  </si>
  <si>
    <t>Janata Bank Ltd.</t>
  </si>
  <si>
    <t>Bills payable/LC payable</t>
  </si>
  <si>
    <t>Janata Bank Limited</t>
  </si>
  <si>
    <t>Sundry Creditors</t>
  </si>
  <si>
    <t>For local LPG purchase</t>
  </si>
  <si>
    <t>For supporting materials</t>
  </si>
  <si>
    <t>Liability for Expenses</t>
  </si>
  <si>
    <t>For Salary &amp; employee benefits</t>
  </si>
  <si>
    <t>For Insurance Premiums</t>
  </si>
  <si>
    <t>For Delivery/Loading &amp; Unloading Transport Services</t>
  </si>
  <si>
    <t>For Advertisement bill</t>
  </si>
  <si>
    <t>For other services</t>
  </si>
  <si>
    <t>Other Payable</t>
  </si>
  <si>
    <t xml:space="preserve">VAT Deducted at Source </t>
  </si>
  <si>
    <t xml:space="preserve">Tax Deducted at Source </t>
  </si>
  <si>
    <t>VAT Current Account</t>
  </si>
  <si>
    <t>Car Installment receive</t>
  </si>
  <si>
    <t>Advance receive for legal permissin</t>
  </si>
  <si>
    <t>Provision for income tax</t>
  </si>
  <si>
    <t>Opening balance</t>
  </si>
  <si>
    <t>Add: provision during the period-u/s:82( C)(4)</t>
  </si>
  <si>
    <t>Less: Tax paid/adjusted during the period u/s:53(3)</t>
  </si>
  <si>
    <t>Gross Revenue</t>
  </si>
  <si>
    <t>LPG 12 kg PKG+RFL</t>
  </si>
  <si>
    <t>LPG 33 kg PKG+RFL</t>
  </si>
  <si>
    <t>LPG 45 kg PKG+RFL</t>
  </si>
  <si>
    <t>LPG in Bulk</t>
  </si>
  <si>
    <t>Regulator High/Low pressure</t>
  </si>
  <si>
    <t>Stove Double Burner</t>
  </si>
  <si>
    <t>Stove Single Burner</t>
  </si>
  <si>
    <t>Less: Sales Return from Customers</t>
  </si>
  <si>
    <t>LPG 12 kg Package</t>
  </si>
  <si>
    <t>LPG 33 kg Package</t>
  </si>
  <si>
    <t>LPG refill 12 kg</t>
  </si>
  <si>
    <t>LPG refill 33 kg</t>
  </si>
  <si>
    <t>Regulator Low pressure</t>
  </si>
  <si>
    <t>Less: VAT collected on Sales</t>
  </si>
  <si>
    <t>VAT For LPG 12 KG</t>
  </si>
  <si>
    <t>VAT For LPG 33KG</t>
  </si>
  <si>
    <t>VAT For LPG 45KG</t>
  </si>
  <si>
    <t>VAT For Bulk LPG</t>
  </si>
  <si>
    <t>VAT For Regulator</t>
  </si>
  <si>
    <t>VAT For Stove Double Burner</t>
  </si>
  <si>
    <t>VAT For Stove Single Burner</t>
  </si>
  <si>
    <t>VAT for Stove</t>
  </si>
  <si>
    <t>Net Sales Revenue (Excluding. VAT)</t>
  </si>
  <si>
    <t>Cost of Goods Sold</t>
  </si>
  <si>
    <t>Raw Material consumed (20.01)</t>
  </si>
  <si>
    <t>Indirect  material consumed(20.02)</t>
  </si>
  <si>
    <t>Add: Factory overhead (20.03)</t>
  </si>
  <si>
    <t xml:space="preserve">Add: Opening finished goods </t>
  </si>
  <si>
    <t>Add: Purchase finished goods during the year</t>
  </si>
  <si>
    <t xml:space="preserve">Less: Closing Finished Goods </t>
  </si>
  <si>
    <t>Less: Raw material used in cylinder production</t>
  </si>
  <si>
    <t>Depreciation-(Building,Machine,Spherical Tank,Pipeline)</t>
  </si>
  <si>
    <t>20.01) Raw material consumed (LPG)</t>
  </si>
  <si>
    <t>Openning Stock of Raw Materials</t>
  </si>
  <si>
    <t>Add: Purchased during the year</t>
  </si>
  <si>
    <t>Less: Closing Stock of raw materials</t>
  </si>
  <si>
    <t>Raw material consumed</t>
  </si>
  <si>
    <t>20.02) Indirect  material consumed</t>
  </si>
  <si>
    <t>Openning Stock of Indirect  Materials</t>
  </si>
  <si>
    <t>Less: Closing Stock of Indirect  Materials</t>
  </si>
  <si>
    <t>Indirect  material consumed</t>
  </si>
  <si>
    <t>20.03) Factory Overhead (CRP)</t>
  </si>
  <si>
    <t>Canteen Subsidy</t>
  </si>
  <si>
    <t>Conveyance</t>
  </si>
  <si>
    <t>Repair &amp; Maintenance-Vehicle</t>
  </si>
  <si>
    <t>Interenet Bill</t>
  </si>
  <si>
    <t>Tolls &amp; Parking Fee</t>
  </si>
  <si>
    <t>Transport Allowance Expenses</t>
  </si>
  <si>
    <t>Registration &amp; Renewal - Vehicle</t>
  </si>
  <si>
    <t>Rent - A - Car</t>
  </si>
  <si>
    <t>Local-Travelling Epenses</t>
  </si>
  <si>
    <t>Electricity-Factory</t>
  </si>
  <si>
    <t>Entertainment-Factory</t>
  </si>
  <si>
    <t>Labor &amp; Unloading</t>
  </si>
  <si>
    <t>Diesel</t>
  </si>
  <si>
    <t>Insurance Premium-Factory</t>
  </si>
  <si>
    <t>Land Rent-Factory</t>
  </si>
  <si>
    <t>Rent For Industrial Gas Cylinder</t>
  </si>
  <si>
    <t>Salary &amp; Allowances</t>
  </si>
  <si>
    <t>Overtime-CRP</t>
  </si>
  <si>
    <t>Security Services - Factory</t>
  </si>
  <si>
    <t>Water Bill</t>
  </si>
  <si>
    <t>Tree Plantation &amp; Fencing-Factory</t>
  </si>
  <si>
    <t>Labour Bill</t>
  </si>
  <si>
    <t>Employee Settlement Benefits</t>
  </si>
  <si>
    <t>Transportatoin Expense</t>
  </si>
  <si>
    <t>Board meeting attendance fee</t>
  </si>
  <si>
    <t>Group Insurance</t>
  </si>
  <si>
    <t>License &amp; Renewal</t>
  </si>
  <si>
    <t>Registartion &amp; Renewal</t>
  </si>
  <si>
    <t>Salary &amp; Allowance-General &amp; Admin</t>
  </si>
  <si>
    <t>Vehicle Repair</t>
  </si>
  <si>
    <t>Depreciation Exp.</t>
  </si>
  <si>
    <t xml:space="preserve">Total </t>
  </si>
  <si>
    <t>Bonus-Sales &amp; MKT</t>
  </si>
  <si>
    <t>CP Fixed Commission</t>
  </si>
  <si>
    <t>RDC Rent for Stock</t>
  </si>
  <si>
    <t>Salary &amp; Allowance-Sales And MKT</t>
  </si>
  <si>
    <t>TA DA for Sales Team</t>
  </si>
  <si>
    <t>Commission For Target Achieved (CP/DIST)</t>
  </si>
  <si>
    <t>Vehicle Parking Expense</t>
  </si>
  <si>
    <t>Fuel cost</t>
  </si>
  <si>
    <t>Marketing Expenses</t>
  </si>
  <si>
    <t>Advertisement and Promotional Expenses</t>
  </si>
  <si>
    <t>Repair &amp; Maintenance Machineries &amp; Tools</t>
  </si>
  <si>
    <t xml:space="preserve">Meeting Exp. </t>
  </si>
  <si>
    <t xml:space="preserve"> Rental Expense-Road Tanker</t>
  </si>
  <si>
    <t>Misc. Expenses</t>
  </si>
  <si>
    <t>Bonus -Marketing &amp; Branding</t>
  </si>
  <si>
    <t>Salary &amp; Allowance-MKT &amp; Branding</t>
  </si>
  <si>
    <t>Distribution Expenses</t>
  </si>
  <si>
    <t>Bonus-Distribution</t>
  </si>
  <si>
    <t>Vehicle  Repair &amp; Maintenance</t>
  </si>
  <si>
    <t>Loading &amp; Unloading expenses</t>
  </si>
  <si>
    <t>Asset Clearing account</t>
  </si>
  <si>
    <t>Providend Fund Expense</t>
  </si>
  <si>
    <t>Overtime Officers</t>
  </si>
  <si>
    <t>Salary &amp; Allowance-Distribution</t>
  </si>
  <si>
    <t>Delivery expenses- Subsidy</t>
  </si>
  <si>
    <t>Trucks,Bullets &amp; Movers' Reg. &amp; Renewal</t>
  </si>
  <si>
    <t>Depreciation-Trucks,Prime Movers &amp; Bullet tanks</t>
  </si>
  <si>
    <t>The City Bank Ltd</t>
  </si>
  <si>
    <t>Interest on Demand Loan</t>
  </si>
  <si>
    <t>Interest on LATR</t>
  </si>
  <si>
    <t>Interest on Overdraft</t>
  </si>
  <si>
    <t>Interest on Term Loan</t>
  </si>
  <si>
    <t>Interest on UPAS Loans</t>
  </si>
  <si>
    <t>Selling &amp; Marketing Exp.</t>
  </si>
  <si>
    <t>Salary</t>
  </si>
  <si>
    <t>Cash Projection for Feb-22</t>
  </si>
  <si>
    <t>Januma LPG</t>
  </si>
  <si>
    <t>BM Gas</t>
  </si>
  <si>
    <t>Factory OH:</t>
  </si>
  <si>
    <t>Total Factory OH</t>
  </si>
  <si>
    <t>Administrative OH:</t>
  </si>
  <si>
    <t>Administrative OH Total</t>
  </si>
  <si>
    <t>Selling &amp; Mkt Expenses</t>
  </si>
  <si>
    <t>Selling &amp; Mkt Expenses Total</t>
  </si>
  <si>
    <t>Distribution Exp. Total</t>
  </si>
  <si>
    <t>Operating Profit Per Unit (BDT)</t>
  </si>
  <si>
    <t>Operating Profit % to Sales</t>
  </si>
  <si>
    <t>Total Operating Profit (BDT)</t>
  </si>
  <si>
    <t>Profit Before Interest &amp; Depreciation</t>
  </si>
  <si>
    <t>VAT/ CD</t>
  </si>
  <si>
    <t>Value (BDT)</t>
  </si>
  <si>
    <t>Final Settlement</t>
  </si>
  <si>
    <t>MT</t>
  </si>
  <si>
    <t>Till 18/02 (QTY)</t>
  </si>
  <si>
    <t>BTG (QTY)</t>
  </si>
  <si>
    <t>BTG/ (DAY)</t>
  </si>
  <si>
    <t>R Target (QTY)</t>
  </si>
  <si>
    <t>Opening Stock (MT)</t>
  </si>
  <si>
    <t>Target Sales (MT)</t>
  </si>
  <si>
    <t>BTG Sales (MT)</t>
  </si>
  <si>
    <t>Require Closing Stock (MT)</t>
  </si>
  <si>
    <t>Residual Cash Balance (BDT)</t>
  </si>
  <si>
    <t xml:space="preserve">Stock In Hand (MT) </t>
  </si>
  <si>
    <t>Total Sales</t>
  </si>
  <si>
    <t>BTG</t>
  </si>
  <si>
    <t>Balance To Go</t>
  </si>
  <si>
    <t>R Target</t>
  </si>
  <si>
    <t>Revised Target</t>
  </si>
  <si>
    <t>Rental Expense-Road Tanker</t>
  </si>
  <si>
    <t>Payment Due to BLPG</t>
  </si>
  <si>
    <t>Payment to BLPG in Feb-22</t>
  </si>
  <si>
    <t>Sales Price per MT (App.)</t>
  </si>
  <si>
    <t>Stock Sales Value (BDT) (App.)</t>
  </si>
  <si>
    <t>Cash Balance Op 19.02 (BDT)</t>
  </si>
  <si>
    <t>Cash &amp; Cash Equivalent Op 19.02 (BDT)</t>
  </si>
  <si>
    <t>Sold (MT) as of 18.02.22 end</t>
  </si>
  <si>
    <t>Payment Due to BLPG (BDT)</t>
  </si>
  <si>
    <t>Require Stock for BTG Sales (MT)</t>
  </si>
  <si>
    <t>Acehived as of 18.02.22 end</t>
  </si>
  <si>
    <t>BTG Sales</t>
  </si>
  <si>
    <t>Require Stock for BTG Sales</t>
  </si>
  <si>
    <t>Require Stock to Peak (MT)</t>
  </si>
  <si>
    <t>Require Cost to Peak Stock (BDT)</t>
  </si>
  <si>
    <t>Require Closing Stock</t>
  </si>
  <si>
    <t>Require Stock to Peak</t>
  </si>
  <si>
    <t>Stock On Hand Op 19.02.22</t>
  </si>
  <si>
    <t>Opening Stock 20.02</t>
  </si>
  <si>
    <t>Cash Balance Op 20.02</t>
  </si>
  <si>
    <t>Residual Cash Balance</t>
  </si>
  <si>
    <t>Target Sales</t>
  </si>
  <si>
    <t>Cash &amp; Equivalent Op 20.02</t>
  </si>
  <si>
    <t>Opening Stock 22.02</t>
  </si>
  <si>
    <t>Cash Balance Op 22.02</t>
  </si>
  <si>
    <t>Cash &amp; Equivalent Op 22.02</t>
  </si>
  <si>
    <t>Acehived as of 21.02 end</t>
  </si>
  <si>
    <t>Stock On Hand Op 22.02</t>
  </si>
  <si>
    <t>Till 20/02 (QTY)</t>
  </si>
  <si>
    <t>Payment Due to BLPG (Last Parcel)</t>
  </si>
  <si>
    <t>Sold</t>
  </si>
  <si>
    <t>Stock</t>
  </si>
  <si>
    <t>17th Feb</t>
  </si>
  <si>
    <t>Parcel To do</t>
  </si>
  <si>
    <t>Closing Stock</t>
  </si>
  <si>
    <t>17, Feb</t>
  </si>
  <si>
    <t>22, Feb</t>
  </si>
  <si>
    <t>Parcel to do</t>
  </si>
  <si>
    <t>Total Quantity</t>
  </si>
  <si>
    <t>Particulars in MT</t>
  </si>
  <si>
    <t>Stock In Hand (Opening)</t>
  </si>
  <si>
    <t>Inter Company Loan Rcv</t>
  </si>
  <si>
    <t>Inter Company Loan Return</t>
  </si>
  <si>
    <t>Sold till date (Opening)</t>
  </si>
  <si>
    <t>Cash &amp; Cash Equivalent Op 22.02</t>
  </si>
  <si>
    <t>01, Mar</t>
  </si>
  <si>
    <t>Target/ Actual Sales</t>
  </si>
  <si>
    <t>Sales target March,2022</t>
  </si>
  <si>
    <t xml:space="preserve">Name </t>
  </si>
  <si>
    <t>Zone</t>
  </si>
  <si>
    <t>12 KG</t>
  </si>
  <si>
    <t>33KG</t>
  </si>
  <si>
    <t>45 KG</t>
  </si>
  <si>
    <t>Total In MT</t>
  </si>
  <si>
    <t>Remarks</t>
  </si>
  <si>
    <t>Sarware</t>
  </si>
  <si>
    <t>Khulna &amp; Barisal</t>
  </si>
  <si>
    <t>Shahabuddin</t>
  </si>
  <si>
    <t>Habib</t>
  </si>
  <si>
    <t>Sakil</t>
  </si>
  <si>
    <t>North Bengal</t>
  </si>
  <si>
    <t>Noakhali</t>
  </si>
  <si>
    <t>Dhaka South</t>
  </si>
  <si>
    <t>Mehadi</t>
  </si>
  <si>
    <t>CTG</t>
  </si>
  <si>
    <t>Dhaka North</t>
  </si>
  <si>
    <t>Md. Nur Hossen Razib</t>
  </si>
  <si>
    <t>K</t>
  </si>
  <si>
    <t>Jamuna LPG</t>
  </si>
  <si>
    <t>Sena LPG</t>
  </si>
  <si>
    <t>BM LPG</t>
  </si>
  <si>
    <t>Uro LPG</t>
  </si>
  <si>
    <t>Universal LPG</t>
  </si>
  <si>
    <t>Rifill Size</t>
  </si>
  <si>
    <t>General Comm.</t>
  </si>
  <si>
    <t>Target Comm.</t>
  </si>
  <si>
    <t>Quarterly Comm.</t>
  </si>
  <si>
    <t>Yearly Comm.</t>
  </si>
  <si>
    <t>RDC Comm.</t>
  </si>
  <si>
    <t>Special Comm.</t>
  </si>
  <si>
    <t>Secondary TS</t>
  </si>
  <si>
    <t>Distance Base TS</t>
  </si>
  <si>
    <t>Slab Comm</t>
  </si>
  <si>
    <t>Exclusive Comm.</t>
  </si>
  <si>
    <t>Total Comm.</t>
  </si>
  <si>
    <t>LPG Cylinder Refill Market Price - Mar22</t>
  </si>
  <si>
    <t>Scrap Sales</t>
  </si>
  <si>
    <t>Collection from Current Sales</t>
  </si>
  <si>
    <t>Navana LPG Ltd.</t>
  </si>
  <si>
    <t xml:space="preserve">  Fund projection of Mongla Terminal for the Month of Mar'22</t>
  </si>
  <si>
    <t>SL. No</t>
  </si>
  <si>
    <t>Payable Amount</t>
  </si>
  <si>
    <t>Payment projection</t>
  </si>
  <si>
    <t>1st week</t>
  </si>
  <si>
    <t>2nd week</t>
  </si>
  <si>
    <t>3rd week</t>
  </si>
  <si>
    <t>4th week</t>
  </si>
  <si>
    <t>Navana Batteries Ltd.</t>
  </si>
  <si>
    <t>ARA Trims Mart</t>
  </si>
  <si>
    <t>New Light House</t>
  </si>
  <si>
    <t>JR Automation</t>
  </si>
  <si>
    <t>BBTSL (Internet Service)</t>
  </si>
  <si>
    <t>SA Engineering</t>
  </si>
  <si>
    <t>Mongla Port Authority Water Bill</t>
  </si>
  <si>
    <t>Navana Petroleum Ltd.</t>
  </si>
  <si>
    <t>Elite Paint &amp; Chemical Industries Ltd.</t>
  </si>
  <si>
    <t>Power Filling Station</t>
  </si>
  <si>
    <t>Jan'22 Bill</t>
  </si>
  <si>
    <t>Shayla Forhad Traders</t>
  </si>
  <si>
    <t>Road Tanker &amp; Truck Trip Expense (Appx)</t>
  </si>
  <si>
    <t>Bagerhat Palli Biddyut Samity</t>
  </si>
  <si>
    <t>Bill amount is approx.</t>
  </si>
  <si>
    <t>Petty Cash (Canteen,TDS, Ship Receiving, Pool Vehicle, Purchase, Emergency Service, Office Exp. Etc.)</t>
  </si>
  <si>
    <t>BRTA Registration and Renewal</t>
  </si>
  <si>
    <t>Last Date 6-Mar-22</t>
  </si>
  <si>
    <t>Kamal Filling Station</t>
  </si>
  <si>
    <t xml:space="preserve">up to Jan'22 </t>
  </si>
  <si>
    <t>Mongla Port Authority Land Rent</t>
  </si>
  <si>
    <t>Last Date 7-Mar-22</t>
  </si>
  <si>
    <t>Elite Security Services Ltd</t>
  </si>
  <si>
    <t>NB: Fund projection may be changed if any emergency required</t>
  </si>
  <si>
    <t>Asst. Manager-F&amp;A</t>
  </si>
  <si>
    <t>Sr. Manager-TOD</t>
  </si>
  <si>
    <t>Ashulia-CRP</t>
  </si>
  <si>
    <t xml:space="preserve">  Fund Projection for  the Month of March 2022</t>
  </si>
  <si>
    <t>Payable / Expense Projection</t>
  </si>
  <si>
    <t>Salary &amp; Allowance and Other Bills Payable of February-2022</t>
  </si>
  <si>
    <t>Salary Bank portion</t>
  </si>
  <si>
    <t>Salary Cash portion</t>
  </si>
  <si>
    <t>Festival Bonus for Holy Christmas Day-2021 Bank</t>
  </si>
  <si>
    <t>-</t>
  </si>
  <si>
    <t>Transport Allowance Cash</t>
  </si>
  <si>
    <t xml:space="preserve">Overtime </t>
  </si>
  <si>
    <t>Lunch Bill for Staff</t>
  </si>
  <si>
    <t xml:space="preserve">Provident Fund </t>
  </si>
  <si>
    <t>Tax Deduction at Source</t>
  </si>
  <si>
    <t>Security Service Bill</t>
  </si>
  <si>
    <t>Loading Unloading Bill</t>
  </si>
  <si>
    <t xml:space="preserve">Cleaning office bill </t>
  </si>
  <si>
    <t>Employee Coaster Service Bill</t>
  </si>
  <si>
    <t>Utility Bills Payable of February 2022</t>
  </si>
  <si>
    <t>Electricity Bill (February-2022)</t>
  </si>
  <si>
    <t>Water Bill (Drinking Water)</t>
  </si>
  <si>
    <t>Service charge</t>
  </si>
  <si>
    <t>Internet bill</t>
  </si>
  <si>
    <t>Car Traker Bill</t>
  </si>
  <si>
    <t xml:space="preserve">Fuel(Diesel) Bill RT &amp; Truck </t>
  </si>
  <si>
    <t>Fuel, Parking &amp; Maint. (Mongla Pull Vehicle)</t>
  </si>
  <si>
    <t>Port Charge Mongla</t>
  </si>
  <si>
    <t>Port Water Bill</t>
  </si>
  <si>
    <t>Distribution and Other  Petty Cash Expense for March-2022</t>
  </si>
  <si>
    <t>Road Tanker Movement Expense(Fuel , Food, Toll, Misc. etc.)</t>
  </si>
  <si>
    <t>Projection Based on Previous month Expenses</t>
  </si>
  <si>
    <t>Other Petty Cash Expense (Conveyance, Entertainment, Emergency Reapir &amp;Maintenance, Cleaning, Canteen Operation, Pool Car Operation,  etc.)</t>
  </si>
  <si>
    <t>Prepared by</t>
  </si>
  <si>
    <t>Checked &amp; Passed By</t>
  </si>
  <si>
    <t xml:space="preserve">Approved By </t>
  </si>
  <si>
    <t>Opening Stock 09.03</t>
  </si>
  <si>
    <t>Cash Balance Op 09.03</t>
  </si>
  <si>
    <t>Collection From Dues/Adv.</t>
  </si>
  <si>
    <t>Cash &amp; Cash Equivalent Op 09.03</t>
  </si>
  <si>
    <t>Advance Collection</t>
  </si>
  <si>
    <t>Available Cash Balance</t>
  </si>
  <si>
    <t>Interest on Delay Payment of VAT</t>
  </si>
  <si>
    <t>000 TK</t>
  </si>
  <si>
    <t>*Due Date for Payment 15th Mar-22</t>
  </si>
  <si>
    <t>Additional Payment for per MT</t>
  </si>
  <si>
    <t>Loss to Purchases 1000 MT</t>
  </si>
  <si>
    <t>BDT</t>
  </si>
  <si>
    <t>Cash Projection for Apr-22</t>
  </si>
  <si>
    <t>33 KG</t>
  </si>
  <si>
    <t>Corporate</t>
  </si>
  <si>
    <t>Khulna, Barisal</t>
  </si>
  <si>
    <t>Dk. North</t>
  </si>
  <si>
    <t>Dk. South</t>
  </si>
  <si>
    <t>Division</t>
  </si>
  <si>
    <t>Responsible</t>
  </si>
  <si>
    <t>Sales Target for Apr-22</t>
  </si>
  <si>
    <t>Necessary Data for 8MT LPG Sales to NCNG</t>
  </si>
  <si>
    <t>Navana CNG Limited</t>
  </si>
  <si>
    <t>Purchases Cost (8MT)</t>
  </si>
  <si>
    <t>LPG Conversion Rate (KG to Ltr)</t>
  </si>
  <si>
    <t>Transport Cost 24,000 Per Carrier (17MT)</t>
  </si>
  <si>
    <t>Sales Price (Tk/ Ltr)</t>
  </si>
  <si>
    <t>Fixed Cost @ Tk. 4,145 Per MT</t>
  </si>
  <si>
    <t>Sales Price Per KG</t>
  </si>
  <si>
    <t>Total Cost</t>
  </si>
  <si>
    <t>Royalty @ Tk. 2 per Ltr/ KG</t>
  </si>
  <si>
    <t>Add: Profit @ 5%</t>
  </si>
  <si>
    <t>Net Sales Per KG</t>
  </si>
  <si>
    <t>Sales Value Without VAT</t>
  </si>
  <si>
    <t>Net Sales Value (8MT)</t>
  </si>
  <si>
    <t>Add: VAT @ 7%</t>
  </si>
  <si>
    <t>Sales Value (8MT)</t>
  </si>
  <si>
    <t>Margin (8MT)</t>
  </si>
  <si>
    <t>Per MT Sales Value (BDT)</t>
  </si>
  <si>
    <t>Rangpur</t>
  </si>
  <si>
    <t>Mymensing</t>
  </si>
  <si>
    <t>Rajshahi</t>
  </si>
  <si>
    <t>Dhaka</t>
  </si>
  <si>
    <t>Chittagong</t>
  </si>
  <si>
    <t>Khulna</t>
  </si>
  <si>
    <t>Barishal</t>
  </si>
  <si>
    <t>Bulk Sales</t>
  </si>
  <si>
    <t>Sales Target</t>
  </si>
  <si>
    <t>Price Update May-22</t>
  </si>
  <si>
    <t>LPG Cylinder Refill Market Price - May22</t>
  </si>
  <si>
    <t>Nos</t>
  </si>
  <si>
    <t>33 KGRefill</t>
  </si>
  <si>
    <t xml:space="preserve">NAVANA LPG LIMITED </t>
  </si>
  <si>
    <t>Notes to the Financial Performance</t>
  </si>
  <si>
    <t>Mar.22</t>
  </si>
  <si>
    <t>Feb.22</t>
  </si>
  <si>
    <t>56010503 - CNG</t>
  </si>
  <si>
    <t>56011507 - Refreshment &amp; Entertainment</t>
  </si>
  <si>
    <t>56011524 - Cleaning Expenses</t>
  </si>
  <si>
    <t>56011505 - Conveyance  and allowance</t>
  </si>
  <si>
    <t>56010704 - Repair &amp; Maintenance others</t>
  </si>
  <si>
    <t>56011510 - Misc. Expenses</t>
  </si>
  <si>
    <t>56010701 - Repair &amp; Maintenance Machineries &amp; Tools</t>
  </si>
  <si>
    <t>56010404 - Stationery and Others</t>
  </si>
  <si>
    <t>56010802 - Security Services</t>
  </si>
  <si>
    <t>56010701 - Repair &amp; Maintenance Office Equipment</t>
  </si>
  <si>
    <t>56010703 - Repair &amp; Maintenance Building</t>
  </si>
  <si>
    <t>56011531 - Land Rent</t>
  </si>
  <si>
    <t>56010602 - WASA &amp; Sewerage</t>
  </si>
  <si>
    <t>56010601 - Electricity Expenses</t>
  </si>
  <si>
    <t>56010504 - Octane</t>
  </si>
  <si>
    <t>56010905 - Medical Expenses</t>
  </si>
  <si>
    <t>56010201 - Vehicle  Maintenance</t>
  </si>
  <si>
    <t>56010202 - Vehicle Repair</t>
  </si>
  <si>
    <t>51010213 - Carriage Inward</t>
  </si>
  <si>
    <t>56011304 - Daily Allowance</t>
  </si>
  <si>
    <t>56011529 - Toll Charge</t>
  </si>
  <si>
    <t>56010301 - Postage &amp; Courier</t>
  </si>
  <si>
    <t>56010505 - Petrol</t>
  </si>
  <si>
    <t>56011511 - Subsidy for Food/Canteen</t>
  </si>
  <si>
    <t>56012502 - Transport Allowance Expenses</t>
  </si>
  <si>
    <t>56010204 - Vehicle Parking Expense</t>
  </si>
  <si>
    <t>56011512 - Drinking Water Bill</t>
  </si>
  <si>
    <t>56010101 - Salary &amp; Wages</t>
  </si>
  <si>
    <t>51010204 - Overtime-Worker</t>
  </si>
  <si>
    <t>56010105 - Overtime-Support Staff</t>
  </si>
  <si>
    <t>56010104 - Overtime Officers</t>
  </si>
  <si>
    <t>56010103 - Providend Fund Expense</t>
  </si>
  <si>
    <t>56011201 - Mobile Bill expenses</t>
  </si>
  <si>
    <t>56010203 - Registration &amp; Renewal - Vehicle</t>
  </si>
  <si>
    <t>56011203 - Internet Bill Expenses</t>
  </si>
  <si>
    <t>56010502 - Diesel</t>
  </si>
  <si>
    <t>56011526 - Service charge</t>
  </si>
  <si>
    <t>56011523 - Labour Bill</t>
  </si>
  <si>
    <t>56012402 - Fire Insurance Premium</t>
  </si>
  <si>
    <t>56011303 - Local-Accomodation Expenses</t>
  </si>
  <si>
    <t>53010202 - Professional &amp; Legal Fee</t>
  </si>
  <si>
    <t>56011532 - Fines &amp; Penalty</t>
  </si>
  <si>
    <t>56010951 - Training &amp; Seminar Expenses</t>
  </si>
  <si>
    <t>56010702 - Repair &amp; Maintenance Office Equipment</t>
  </si>
  <si>
    <t>53010502 - Employee settlement Benefits</t>
  </si>
  <si>
    <t>56011522 - Office Rent</t>
  </si>
  <si>
    <t>53010205 - Land Development Tax</t>
  </si>
  <si>
    <t>56011530 - Meeting Expenses</t>
  </si>
  <si>
    <t>53010105 - License &amp; Renewal Fee</t>
  </si>
  <si>
    <t>56011301 - Local-Travelling Epenses</t>
  </si>
  <si>
    <t>Sales &amp; Marketing Expenses</t>
  </si>
  <si>
    <t>54020106 - Rental Expense-Road Tanker</t>
  </si>
  <si>
    <t>54020105 - TA DA for Sales Team</t>
  </si>
  <si>
    <t>54020102 - Distributor Commission</t>
  </si>
  <si>
    <t>56012301 - Loading &amp; Unloading expenses</t>
  </si>
  <si>
    <t>Average</t>
  </si>
  <si>
    <t>Factory Overhead (CRP)</t>
  </si>
  <si>
    <t>Month</t>
  </si>
  <si>
    <t>Total Administrative Exp.</t>
  </si>
  <si>
    <t>Total Distribution Expenses</t>
  </si>
  <si>
    <t>Total Sales and Marketing Exp.</t>
  </si>
  <si>
    <t>Total Selling &amp; Mkt Expenses</t>
  </si>
  <si>
    <t>Tk/Nos</t>
  </si>
  <si>
    <t>Tk/MT</t>
  </si>
  <si>
    <t>Total Administrative OH</t>
  </si>
  <si>
    <t>Add: Direct Materials Holding Gain/ (Loss)</t>
  </si>
  <si>
    <t>Chittagong/Sylhet</t>
  </si>
  <si>
    <t>NLPG Sales Summary Report</t>
  </si>
  <si>
    <t>April, 2022</t>
  </si>
  <si>
    <t>SL</t>
  </si>
  <si>
    <t>District</t>
  </si>
  <si>
    <t>Customer Name</t>
  </si>
  <si>
    <t>Div. Respnsible Person</t>
  </si>
  <si>
    <t>Sales Person</t>
  </si>
  <si>
    <t>B-Baria/Sylhet</t>
  </si>
  <si>
    <t>Comilla</t>
  </si>
  <si>
    <t>Bismillah Traders-1266</t>
  </si>
  <si>
    <t>Jaber Amin Shakil</t>
  </si>
  <si>
    <t>Md. Anwar Hossain</t>
  </si>
  <si>
    <t>Barisal</t>
  </si>
  <si>
    <t>Barguna</t>
  </si>
  <si>
    <t>M/S. Momtaj Enterprise-1078</t>
  </si>
  <si>
    <t>Md. Sarware Alam</t>
  </si>
  <si>
    <t>Md. Tanjimul Choudhury Tushar</t>
  </si>
  <si>
    <t>M/S. Rajib &amp; Brothers - Barguna-2595</t>
  </si>
  <si>
    <t>BSM Trading - Barishal-2521</t>
  </si>
  <si>
    <t>Anawar Hosen</t>
  </si>
  <si>
    <t>M/S. Shardar Enterprise - Barishal-2597</t>
  </si>
  <si>
    <t>Showkot Hosen</t>
  </si>
  <si>
    <t>Rifa Shafa Traders - Mehendiganj-2582</t>
  </si>
  <si>
    <t>Pirojpur</t>
  </si>
  <si>
    <t>Anam Mahim Traders-1151</t>
  </si>
  <si>
    <t>Showkot Hossain</t>
  </si>
  <si>
    <t>Roza Enterprise -1152</t>
  </si>
  <si>
    <t>Chittagong North</t>
  </si>
  <si>
    <t>M/S. Sahjalal Enterprise - CTG-2544</t>
  </si>
  <si>
    <t>Sitakunda</t>
  </si>
  <si>
    <t>Baro Aulia  Enterprise-1336</t>
  </si>
  <si>
    <t>DNCC - 1</t>
  </si>
  <si>
    <t>Abrar Enterprise-1290</t>
  </si>
  <si>
    <t>Md. Nur Hossain (Rajiv)</t>
  </si>
  <si>
    <t>Sobuj Ahmed</t>
  </si>
  <si>
    <t>Bismillah Enterprise - DNCC-1-2573</t>
  </si>
  <si>
    <t>Fatema Trading Corporation - Dhaka-2508</t>
  </si>
  <si>
    <t>Hossain Traders - Badda-2535</t>
  </si>
  <si>
    <t>Jui Motor Parts-1243</t>
  </si>
  <si>
    <t>M/S AL-Modina Enterprise-2626</t>
  </si>
  <si>
    <t>M/S.  H.K. Enterprise - Uttara-2514</t>
  </si>
  <si>
    <t>MS Corporation-1402</t>
  </si>
  <si>
    <t>New Star Engineering &amp; Workshop-1251</t>
  </si>
  <si>
    <t>Rana Enterprise - DNCC-1-2575</t>
  </si>
  <si>
    <t>Ratul Electric - Agargaon-2523</t>
  </si>
  <si>
    <t>Gazipur</t>
  </si>
  <si>
    <t>M. S. Enterprise-1434</t>
  </si>
  <si>
    <t>Md. Rashedul Haque</t>
  </si>
  <si>
    <t>M/S. U.S. Corporation - Gazipur-2491</t>
  </si>
  <si>
    <t>Manikganj</t>
  </si>
  <si>
    <t>M/S. Alomgir Store-2659</t>
  </si>
  <si>
    <t>Md. Shariful Islam</t>
  </si>
  <si>
    <t>Mymensingh</t>
  </si>
  <si>
    <t>M/S. AL-Amin Electric &amp; Solar House - Gaforgoan-2578</t>
  </si>
  <si>
    <t>Ziaul Karim</t>
  </si>
  <si>
    <t>M/S. Mim Enterprise - Mymensingh-2615</t>
  </si>
  <si>
    <t>M/S. Tania Tanim Enterprise - Mymensingh-2554</t>
  </si>
  <si>
    <t>Sherpur</t>
  </si>
  <si>
    <t>M/S. Tanvir Machinery House - Sherpur-2502</t>
  </si>
  <si>
    <t>Md. Shah Alam</t>
  </si>
  <si>
    <t>Tangail</t>
  </si>
  <si>
    <t>M/S. Ali Electic - Tangail-2466</t>
  </si>
  <si>
    <t>M/S. Razib Multi Traders-1036</t>
  </si>
  <si>
    <t>DSCC - 1</t>
  </si>
  <si>
    <t>M/S IMEXpro(BD) Corp.-1062</t>
  </si>
  <si>
    <t>Md. Mehedi Hasan</t>
  </si>
  <si>
    <t>Md. Zahidul Islam</t>
  </si>
  <si>
    <t>R R Service LP Gas-2649</t>
  </si>
  <si>
    <t>DSCC - 2</t>
  </si>
  <si>
    <t>M/S. Akhi Sanitary-2656</t>
  </si>
  <si>
    <t>Dohar</t>
  </si>
  <si>
    <t>M/S. Samiha Enterprise - Keraniganj-2627</t>
  </si>
  <si>
    <t>Remon Sharker</t>
  </si>
  <si>
    <t>Kishoreganj</t>
  </si>
  <si>
    <t>Brothers Traders-1248</t>
  </si>
  <si>
    <t>M/S. Mohammad Nancho-2650</t>
  </si>
  <si>
    <t>Shuruj &amp; Brothers-1333</t>
  </si>
  <si>
    <t>Zarif Enterprise-1023</t>
  </si>
  <si>
    <t>Munshiganj</t>
  </si>
  <si>
    <t>M/S Munshiganj Builders-1053</t>
  </si>
  <si>
    <t>GENERAL</t>
  </si>
  <si>
    <t>Mongla Internal Customers-1074</t>
  </si>
  <si>
    <t>Bagerhat</t>
  </si>
  <si>
    <t>Abdur Rahman Gas and Chula Center - Bagerhat-2445</t>
  </si>
  <si>
    <t>Mahtab Uddin Ahmad</t>
  </si>
  <si>
    <t>Akash Gas House - Bagerhat-2493</t>
  </si>
  <si>
    <t>M/S. Tamim Enterprise-2540</t>
  </si>
  <si>
    <t>Jessore</t>
  </si>
  <si>
    <t>M/S. Habib Traders-1085</t>
  </si>
  <si>
    <t>Hasan Mohammad Reza</t>
  </si>
  <si>
    <t>Jhenaidah</t>
  </si>
  <si>
    <t>Arif Filling Station-1030</t>
  </si>
  <si>
    <t>Md. Badrul Alam</t>
  </si>
  <si>
    <t>M/S Mofiz Traders-1007</t>
  </si>
  <si>
    <t>Kushtia</t>
  </si>
  <si>
    <t>M/S Bhai Bhai Machineries-1043</t>
  </si>
  <si>
    <t>Zahid Hossain</t>
  </si>
  <si>
    <t>Magura</t>
  </si>
  <si>
    <t>Alam &amp; Brothers-1066</t>
  </si>
  <si>
    <t>Meherpur</t>
  </si>
  <si>
    <t>M/S Agarwalla Enterprise-1013</t>
  </si>
  <si>
    <t>Rajbari</t>
  </si>
  <si>
    <t>M/S. S.P. Traders - Rajbari-2634</t>
  </si>
  <si>
    <t>Satkhira</t>
  </si>
  <si>
    <t>M/S. Babu Traders - Satkhira-2492</t>
  </si>
  <si>
    <t>Trade World -1183</t>
  </si>
  <si>
    <t>Shahrukh Shahabuddin</t>
  </si>
  <si>
    <t>Feni</t>
  </si>
  <si>
    <t>Majumder Traders-2680</t>
  </si>
  <si>
    <t>Md. Habibur Rahman</t>
  </si>
  <si>
    <t>Laxmipur</t>
  </si>
  <si>
    <t>M/S Turhan Trading - Laxmipur-2476</t>
  </si>
  <si>
    <t>M/S. Shofiq &amp; Brothers-1038</t>
  </si>
  <si>
    <t>Maa Steel-1422</t>
  </si>
  <si>
    <t>Bogra</t>
  </si>
  <si>
    <t>M/S. Afia Enterprise - Bogra-2552</t>
  </si>
  <si>
    <t>Md. Shahbuddin Jewel</t>
  </si>
  <si>
    <t>Hassan Ali</t>
  </si>
  <si>
    <t>Chapainababgonj</t>
  </si>
  <si>
    <t>M/S Abul Kalam &amp; Sons-1035</t>
  </si>
  <si>
    <t>Md. Shafi Kamal</t>
  </si>
  <si>
    <t>Naogaon</t>
  </si>
  <si>
    <t>M/S. Islam Traders &amp; Gash House - Naogaon-2579</t>
  </si>
  <si>
    <t>Pabna</t>
  </si>
  <si>
    <t>M/S Shikdar Gas Distribution-1054</t>
  </si>
  <si>
    <t>Panchagarh</t>
  </si>
  <si>
    <t>Akota Chulagarh &amp; Crokarage-1435</t>
  </si>
  <si>
    <t>Md. Faqrul Islam</t>
  </si>
  <si>
    <t>Rajshahi Hardwer Mart-1026</t>
  </si>
  <si>
    <t>Parul Engineering and Consultants Limited-1011</t>
  </si>
  <si>
    <t>Rabiul Karim</t>
  </si>
  <si>
    <t>HOUSEHOLD</t>
  </si>
  <si>
    <t>Cus. No</t>
  </si>
  <si>
    <t>Actual, April-22</t>
  </si>
  <si>
    <t>Target, April-22</t>
  </si>
  <si>
    <t>Auto Gas</t>
  </si>
  <si>
    <t>Acehivement %</t>
  </si>
  <si>
    <t>Region</t>
  </si>
  <si>
    <t>NAVANA LPG</t>
  </si>
  <si>
    <t>Bashundhara 
LPG</t>
  </si>
  <si>
    <t>Totalgaz</t>
  </si>
  <si>
    <t>Orion</t>
  </si>
  <si>
    <t>G. Gas</t>
  </si>
  <si>
    <t>JMI</t>
  </si>
  <si>
    <t>Petromax</t>
  </si>
  <si>
    <t>Beximco</t>
  </si>
  <si>
    <t>Unigas LPG</t>
  </si>
  <si>
    <t>Fresh LPG</t>
  </si>
  <si>
    <t>Cylinder</t>
  </si>
  <si>
    <t>Refill</t>
  </si>
  <si>
    <t xml:space="preserve"> Target Commission</t>
  </si>
  <si>
    <t>Quarterly Commission</t>
  </si>
  <si>
    <t>RDC Commission</t>
  </si>
  <si>
    <t>Special Commission</t>
  </si>
  <si>
    <t>Secondary Transport Subsidy</t>
  </si>
  <si>
    <t>Distance Base Transport Subsidy</t>
  </si>
  <si>
    <t>Slab base/Seasonal/ Growth</t>
  </si>
  <si>
    <t>Big pack(Commercial Size)</t>
  </si>
  <si>
    <t>Chittagong/sylhet</t>
  </si>
  <si>
    <t>Price Update April-22</t>
  </si>
  <si>
    <t>Target Sales Unit</t>
  </si>
  <si>
    <t>Target Sales Price (BDT/Unit)</t>
  </si>
  <si>
    <t>Add: Direct Materials Holding Gain</t>
  </si>
  <si>
    <t>Weight Average Sales Price (BDT/Unit)</t>
  </si>
  <si>
    <t>Reduce</t>
  </si>
  <si>
    <t>Decrease per MT</t>
  </si>
  <si>
    <t>Decrease per 12KG</t>
  </si>
  <si>
    <t>Surplus</t>
  </si>
  <si>
    <t>Tk/USD</t>
  </si>
  <si>
    <t>Kustia</t>
  </si>
  <si>
    <t>Bhola</t>
  </si>
  <si>
    <t>Pcs</t>
  </si>
  <si>
    <t>Coxbazar</t>
  </si>
  <si>
    <t>Transfer from Khulna</t>
  </si>
  <si>
    <t>April Price</t>
  </si>
  <si>
    <t>May Pro.</t>
  </si>
  <si>
    <t>Cox Bazar</t>
  </si>
  <si>
    <t>Exceptional Price for Barisal</t>
  </si>
  <si>
    <t>Exceptional Price for Ctg</t>
  </si>
  <si>
    <t>Khulna Division Other Than Kushtia</t>
  </si>
  <si>
    <t>Barishal Division Other Than Bhola</t>
  </si>
  <si>
    <t>Chittagong/Sylhet Other Than Cox Bazar</t>
  </si>
  <si>
    <t>Tk/Pcs</t>
  </si>
  <si>
    <t>Mymensinghh</t>
  </si>
  <si>
    <t>Ad. VAT</t>
  </si>
  <si>
    <t>LOAB</t>
  </si>
  <si>
    <t>Addition</t>
  </si>
  <si>
    <t>Net Gap</t>
  </si>
  <si>
    <t>Discount</t>
  </si>
  <si>
    <t>Add to Profit</t>
  </si>
  <si>
    <t>May Approved</t>
  </si>
  <si>
    <t>Net Price</t>
  </si>
  <si>
    <t>12 KG PCS</t>
  </si>
  <si>
    <t>LOAB Net Price</t>
  </si>
  <si>
    <t>Add to Revenue</t>
  </si>
  <si>
    <t>Net Sales Price</t>
  </si>
  <si>
    <t>Invoice Price (LOAB Decleared)</t>
  </si>
  <si>
    <t>Additional Price</t>
  </si>
  <si>
    <t>Additional Revenue at New Price</t>
  </si>
  <si>
    <t>May-22 Approved</t>
  </si>
  <si>
    <t>Discount to CP</t>
  </si>
  <si>
    <t>May-22 Approved Revenue</t>
  </si>
  <si>
    <t>LOAB Decleared Revenue</t>
  </si>
  <si>
    <t>Additional VAT</t>
  </si>
  <si>
    <t>NET Additional Profit</t>
  </si>
  <si>
    <t>Existing Profit</t>
  </si>
  <si>
    <t>Total Profit for 1026MT Sales</t>
  </si>
  <si>
    <t>Price Update June-22</t>
  </si>
  <si>
    <t>LPG Cylinder Refill Market Price - June22</t>
  </si>
  <si>
    <t>Cor MT</t>
  </si>
  <si>
    <t>AG MT</t>
  </si>
  <si>
    <t>Refill Size (KG)</t>
  </si>
  <si>
    <t>May-22 Target vs Actual Sales</t>
  </si>
  <si>
    <t>Actual</t>
  </si>
  <si>
    <t>Achieved %</t>
  </si>
  <si>
    <t>Potuakhali</t>
  </si>
  <si>
    <t>Jhalokhati</t>
  </si>
  <si>
    <t>Jashore</t>
  </si>
  <si>
    <t>Cumilla</t>
  </si>
  <si>
    <t>Sylhet</t>
  </si>
  <si>
    <t>Jamalpur</t>
  </si>
  <si>
    <t>Mymenshing</t>
  </si>
  <si>
    <t>Mirpur</t>
  </si>
  <si>
    <t>Narshingdi</t>
  </si>
  <si>
    <t>Rampura</t>
  </si>
  <si>
    <t>Naryanganj</t>
  </si>
  <si>
    <t>Bogura</t>
  </si>
  <si>
    <t>Dinajpur</t>
  </si>
  <si>
    <t>OPEX</t>
  </si>
  <si>
    <t>CTG-Region</t>
  </si>
  <si>
    <t>Refill PCS</t>
  </si>
  <si>
    <t>Sales (TK)</t>
  </si>
  <si>
    <t>Car. Cost</t>
  </si>
  <si>
    <t>Ind. Materials</t>
  </si>
  <si>
    <t>Holding Loss</t>
  </si>
  <si>
    <t>Net Profit</t>
  </si>
  <si>
    <t>Cost (TK)</t>
  </si>
  <si>
    <t>Jhenidah</t>
  </si>
  <si>
    <t>GP</t>
  </si>
  <si>
    <t>GP%</t>
  </si>
  <si>
    <t>OP</t>
  </si>
  <si>
    <t>OP%</t>
  </si>
  <si>
    <t>PCS</t>
  </si>
  <si>
    <t>Tk/ Refill</t>
  </si>
  <si>
    <t>Teritory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</si>
</sst>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F800]dddd\,\ mmmm\ dd\,\ yyyy"/>
    <numFmt numFmtId="167" formatCode="&quot;$&quot;#,##0.00"/>
    <numFmt numFmtId="168" formatCode="#,##0.00[$৳-845]"/>
    <numFmt numFmtId="169" formatCode="_-* #,##0.00[$৳-845]_-;\-* #,##0.00[$৳-845]_-;_-* &quot;-&quot;??[$৳-845]_-;_-@_-"/>
    <numFmt numFmtId="170" formatCode="0.0%"/>
    <numFmt numFmtId="171" formatCode="0.000%"/>
    <numFmt numFmtId="172" formatCode="[$BDT]\ #,##0.00"/>
    <numFmt numFmtId="173" formatCode="#,##0[$৳-845];\-#,##0[$৳-845]"/>
    <numFmt numFmtId="174" formatCode="0.00,,"/>
    <numFmt numFmtId="175" formatCode="0.0,,"/>
    <numFmt numFmtId="176" formatCode="0,"/>
    <numFmt numFmtId="177" formatCode="[$-409]dd/mmm/yy;@"/>
    <numFmt numFmtId="178" formatCode="0.0"/>
    <numFmt numFmtId="179" formatCode="#,##0.00_);#,##0.00"/>
    <numFmt numFmtId="180" formatCode="#,##0_);#,##0"/>
    <numFmt numFmtId="181" formatCode="0.00000000"/>
    <numFmt numFmtId="182" formatCode="_(* #,##0.000_);_(* \(#,##0.000\);_(* &quot;-&quot;??_);_(@_)"/>
    <numFmt numFmtId="183" formatCode="[$-409]mmm/yy;@"/>
    <numFmt numFmtId="184" formatCode="0.0,"/>
    <numFmt numFmtId="185" formatCode="_(* #,##0.00000_);_(* \(#,##0.00000\);_(* &quot;-&quot;??_);_(@_)"/>
    <numFmt numFmtId="186" formatCode="_(* #,##0.0000_);_(* \(#,##0.0000\);_(* &quot;-&quot;??_);_(@_)"/>
  </numFmts>
  <fonts count="10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444444"/>
      <name val="Times New Roman"/>
      <family val="1"/>
    </font>
    <font>
      <vertAlign val="subscript"/>
      <sz val="11"/>
      <color rgb="FF444444"/>
      <name val="Times New Roman"/>
      <family val="1"/>
    </font>
    <font>
      <b/>
      <sz val="11"/>
      <color rgb="FF222222"/>
      <name val="Times New Roman"/>
      <family val="1"/>
    </font>
    <font>
      <sz val="11"/>
      <color rgb="FF222222"/>
      <name val="Times New Roman"/>
      <family val="1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2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vertAlign val="subscript"/>
      <sz val="11"/>
      <name val="Times New Roman"/>
      <family val="1"/>
    </font>
    <font>
      <b/>
      <sz val="11"/>
      <color rgb="FF212121"/>
      <name val="Times New Roman"/>
      <family val="1"/>
    </font>
    <font>
      <sz val="11"/>
      <color rgb="FF21212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Times New Roman"/>
      <family val="1"/>
    </font>
    <font>
      <vertAlign val="subscript"/>
      <sz val="9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3" tint="0.59999389629810485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b/>
      <sz val="7.9"/>
      <color indexed="8"/>
      <name val="Arial"/>
      <family val="2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.5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Arial"/>
      <family val="2"/>
    </font>
    <font>
      <sz val="10"/>
      <color rgb="FF000000"/>
      <name val="MS Sans Serif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Times New Roman"/>
      <family val="1"/>
    </font>
    <font>
      <b/>
      <sz val="10"/>
      <color rgb="FF00B0F0"/>
      <name val="Times New Roman"/>
      <family val="1"/>
    </font>
    <font>
      <b/>
      <sz val="11"/>
      <color rgb="FF00B0F0"/>
      <name val="Times New Roman"/>
      <family val="1"/>
    </font>
    <font>
      <sz val="11"/>
      <color theme="9" tint="-0.499984740745262"/>
      <name val="Times New Roman"/>
      <family val="1"/>
    </font>
    <font>
      <b/>
      <sz val="11"/>
      <color rgb="FF002060"/>
      <name val="Times New Roman"/>
      <family val="1"/>
    </font>
    <font>
      <sz val="11"/>
      <color rgb="FFFF0000"/>
      <name val="Calibri"/>
      <family val="2"/>
    </font>
    <font>
      <b/>
      <sz val="11"/>
      <color theme="9" tint="-0.249977111117893"/>
      <name val="Times New Roman"/>
      <family val="1"/>
    </font>
    <font>
      <b/>
      <sz val="11"/>
      <color theme="8" tint="-0.499984740745262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rgb="FF000000"/>
      <name val="Calibri"/>
      <family val="2"/>
    </font>
    <font>
      <b/>
      <sz val="14"/>
      <color theme="3" tint="0.3999755851924192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0.14999847407452621"/>
      <name val="Times New Roman"/>
      <family val="1"/>
    </font>
    <font>
      <sz val="14"/>
      <name val="Times New Roman"/>
      <family val="1"/>
    </font>
    <font>
      <sz val="14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B0F0"/>
      <name val="Calibri"/>
      <family val="2"/>
    </font>
    <font>
      <sz val="11"/>
      <color rgb="FF00B0F0"/>
      <name val="Calibri"/>
      <family val="2"/>
    </font>
    <font>
      <b/>
      <sz val="16"/>
      <name val="Times New Roman"/>
      <family val="1"/>
    </font>
    <font>
      <sz val="12"/>
      <name val="Times New Roman"/>
      <family val="1"/>
    </font>
    <font>
      <sz val="11"/>
      <color theme="0" tint="-0.14999847407452621"/>
      <name val="Times New Roman"/>
      <family val="1"/>
    </font>
    <font>
      <b/>
      <sz val="14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FFFFFF"/>
        <bgColor rgb="FFFFFF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theme="3" tint="0.39997558519241921"/>
      </left>
      <right style="hair">
        <color auto="1"/>
      </right>
      <top style="medium">
        <color theme="3" tint="0.39997558519241921"/>
      </top>
      <bottom style="medium">
        <color theme="3" tint="0.39997558519241921"/>
      </bottom>
      <diagonal/>
    </border>
    <border>
      <left style="hair">
        <color auto="1"/>
      </left>
      <right style="hair">
        <color auto="1"/>
      </right>
      <top style="medium">
        <color theme="3" tint="0.39997558519241921"/>
      </top>
      <bottom style="medium">
        <color theme="3" tint="0.39997558519241921"/>
      </bottom>
      <diagonal/>
    </border>
    <border>
      <left style="hair">
        <color auto="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6" tint="-0.249977111117893"/>
      </left>
      <right style="hair">
        <color auto="1"/>
      </right>
      <top style="medium">
        <color theme="6" tint="-0.249977111117893"/>
      </top>
      <bottom style="medium">
        <color theme="6" tint="-0.249977111117893"/>
      </bottom>
      <diagonal/>
    </border>
    <border>
      <left style="hair">
        <color auto="1"/>
      </left>
      <right style="hair">
        <color auto="1"/>
      </right>
      <top style="medium">
        <color theme="6" tint="-0.249977111117893"/>
      </top>
      <bottom style="medium">
        <color theme="6" tint="-0.249977111117893"/>
      </bottom>
      <diagonal/>
    </border>
    <border>
      <left style="hair">
        <color auto="1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</borders>
  <cellStyleXfs count="23">
    <xf numFmtId="0" fontId="0" fillId="0" borderId="0">
      <alignment vertical="center"/>
    </xf>
    <xf numFmtId="43" fontId="8" fillId="0" borderId="0">
      <protection locked="0"/>
    </xf>
    <xf numFmtId="9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>
      <alignment vertical="center"/>
    </xf>
  </cellStyleXfs>
  <cellXfs count="2608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164" fontId="14" fillId="0" borderId="0" xfId="1" applyNumberFormat="1" applyFont="1">
      <protection locked="0"/>
    </xf>
    <xf numFmtId="0" fontId="13" fillId="0" borderId="0" xfId="0" applyFont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0" fontId="19" fillId="0" borderId="0" xfId="3" applyNumberFormat="1" applyFont="1" applyFill="1" applyAlignment="1">
      <alignment horizontal="left" vertical="center"/>
    </xf>
    <xf numFmtId="0" fontId="11" fillId="0" borderId="0" xfId="3" applyNumberFormat="1" applyFont="1" applyFill="1" applyBorder="1" applyAlignment="1">
      <alignment vertical="center" wrapText="1"/>
    </xf>
    <xf numFmtId="0" fontId="20" fillId="0" borderId="0" xfId="3" applyNumberFormat="1" applyFont="1" applyFill="1" applyBorder="1" applyAlignment="1">
      <alignment horizontal="left" vertical="center"/>
    </xf>
    <xf numFmtId="0" fontId="20" fillId="0" borderId="0" xfId="3" applyNumberFormat="1" applyFont="1" applyFill="1" applyBorder="1" applyAlignment="1">
      <alignment vertical="center"/>
    </xf>
    <xf numFmtId="0" fontId="20" fillId="0" borderId="34" xfId="0" applyFont="1" applyBorder="1" applyAlignment="1">
      <alignment horizontal="center"/>
    </xf>
    <xf numFmtId="0" fontId="13" fillId="3" borderId="1" xfId="0" applyFont="1" applyFill="1" applyBorder="1" applyAlignment="1">
      <alignment vertical="center"/>
    </xf>
    <xf numFmtId="43" fontId="20" fillId="3" borderId="35" xfId="3" applyFont="1" applyFill="1" applyBorder="1" applyAlignment="1">
      <alignment horizontal="center" vertical="center"/>
    </xf>
    <xf numFmtId="0" fontId="20" fillId="3" borderId="1" xfId="3" applyNumberFormat="1" applyFont="1" applyFill="1" applyBorder="1" applyAlignment="1">
      <alignment horizontal="center" vertical="center"/>
    </xf>
    <xf numFmtId="43" fontId="20" fillId="3" borderId="36" xfId="1" applyNumberFormat="1" applyFont="1" applyFill="1" applyBorder="1" applyAlignment="1" applyProtection="1">
      <alignment horizontal="right" vertical="center"/>
    </xf>
    <xf numFmtId="0" fontId="19" fillId="0" borderId="33" xfId="0" applyFont="1" applyBorder="1" applyAlignment="1">
      <alignment horizontal="center"/>
    </xf>
    <xf numFmtId="166" fontId="21" fillId="3" borderId="30" xfId="0" applyNumberFormat="1" applyFont="1" applyFill="1" applyBorder="1" applyAlignment="1">
      <alignment horizontal="left" vertical="center"/>
    </xf>
    <xf numFmtId="167" fontId="19" fillId="3" borderId="37" xfId="3" applyNumberFormat="1" applyFont="1" applyFill="1" applyBorder="1" applyAlignment="1">
      <alignment horizontal="right" vertical="center"/>
    </xf>
    <xf numFmtId="9" fontId="19" fillId="3" borderId="30" xfId="2" applyNumberFormat="1" applyFont="1" applyFill="1" applyBorder="1" applyAlignment="1">
      <alignment horizontal="right" vertical="center"/>
    </xf>
    <xf numFmtId="167" fontId="19" fillId="3" borderId="38" xfId="3" applyNumberFormat="1" applyFont="1" applyFill="1" applyBorder="1" applyAlignment="1">
      <alignment horizontal="right" vertical="center"/>
    </xf>
    <xf numFmtId="0" fontId="19" fillId="0" borderId="31" xfId="0" applyFont="1" applyBorder="1" applyAlignment="1">
      <alignment horizontal="center"/>
    </xf>
    <xf numFmtId="166" fontId="21" fillId="3" borderId="24" xfId="0" applyNumberFormat="1" applyFont="1" applyFill="1" applyBorder="1" applyAlignment="1">
      <alignment horizontal="left" vertical="center"/>
    </xf>
    <xf numFmtId="167" fontId="19" fillId="3" borderId="39" xfId="3" applyNumberFormat="1" applyFont="1" applyFill="1" applyBorder="1" applyAlignment="1">
      <alignment horizontal="right" vertical="center"/>
    </xf>
    <xf numFmtId="9" fontId="19" fillId="3" borderId="24" xfId="2" applyNumberFormat="1" applyFont="1" applyFill="1" applyBorder="1" applyAlignment="1">
      <alignment horizontal="right" vertical="center"/>
    </xf>
    <xf numFmtId="167" fontId="19" fillId="3" borderId="40" xfId="3" applyNumberFormat="1" applyFont="1" applyFill="1" applyBorder="1" applyAlignment="1">
      <alignment horizontal="right" vertical="center"/>
    </xf>
    <xf numFmtId="0" fontId="20" fillId="0" borderId="31" xfId="0" applyFont="1" applyBorder="1" applyAlignment="1">
      <alignment horizontal="center"/>
    </xf>
    <xf numFmtId="166" fontId="23" fillId="3" borderId="24" xfId="0" applyNumberFormat="1" applyFont="1" applyFill="1" applyBorder="1" applyAlignment="1">
      <alignment horizontal="left" vertical="center"/>
    </xf>
    <xf numFmtId="0" fontId="20" fillId="3" borderId="39" xfId="3" applyNumberFormat="1" applyFont="1" applyFill="1" applyBorder="1" applyAlignment="1">
      <alignment horizontal="right" vertical="center"/>
    </xf>
    <xf numFmtId="9" fontId="20" fillId="3" borderId="24" xfId="3" applyNumberFormat="1" applyFont="1" applyFill="1" applyBorder="1" applyAlignment="1">
      <alignment horizontal="right" vertical="center"/>
    </xf>
    <xf numFmtId="167" fontId="20" fillId="3" borderId="40" xfId="3" applyNumberFormat="1" applyFont="1" applyFill="1" applyBorder="1" applyAlignment="1">
      <alignment horizontal="right" vertical="center"/>
    </xf>
    <xf numFmtId="166" fontId="24" fillId="3" borderId="24" xfId="0" applyNumberFormat="1" applyFont="1" applyFill="1" applyBorder="1" applyAlignment="1">
      <alignment horizontal="left" vertical="center"/>
    </xf>
    <xf numFmtId="0" fontId="19" fillId="3" borderId="39" xfId="3" applyNumberFormat="1" applyFont="1" applyFill="1" applyBorder="1" applyAlignment="1">
      <alignment horizontal="right" vertical="center"/>
    </xf>
    <xf numFmtId="0" fontId="19" fillId="3" borderId="24" xfId="3" applyNumberFormat="1" applyFont="1" applyFill="1" applyBorder="1" applyAlignment="1">
      <alignment horizontal="center" vertical="center"/>
    </xf>
    <xf numFmtId="0" fontId="20" fillId="3" borderId="24" xfId="3" applyNumberFormat="1" applyFont="1" applyFill="1" applyBorder="1" applyAlignment="1">
      <alignment horizontal="center" vertical="center"/>
    </xf>
    <xf numFmtId="168" fontId="19" fillId="3" borderId="39" xfId="3" applyNumberFormat="1" applyFont="1" applyFill="1" applyBorder="1" applyAlignment="1">
      <alignment horizontal="right" vertical="center"/>
    </xf>
    <xf numFmtId="43" fontId="19" fillId="3" borderId="40" xfId="4" applyFont="1" applyFill="1" applyBorder="1" applyAlignment="1">
      <alignment horizontal="left" vertical="center"/>
    </xf>
    <xf numFmtId="0" fontId="20" fillId="0" borderId="32" xfId="0" applyFont="1" applyBorder="1" applyAlignment="1">
      <alignment horizontal="center"/>
    </xf>
    <xf numFmtId="166" fontId="23" fillId="3" borderId="25" xfId="0" applyNumberFormat="1" applyFont="1" applyFill="1" applyBorder="1" applyAlignment="1">
      <alignment horizontal="left" vertical="center"/>
    </xf>
    <xf numFmtId="164" fontId="20" fillId="3" borderId="41" xfId="1" applyNumberFormat="1" applyFont="1" applyFill="1" applyBorder="1" applyAlignment="1" applyProtection="1">
      <alignment horizontal="center" vertical="center"/>
    </xf>
    <xf numFmtId="0" fontId="20" fillId="3" borderId="25" xfId="3" applyNumberFormat="1" applyFont="1" applyFill="1" applyBorder="1" applyAlignment="1">
      <alignment horizontal="center" vertical="center"/>
    </xf>
    <xf numFmtId="168" fontId="20" fillId="3" borderId="42" xfId="3" applyNumberFormat="1" applyFont="1" applyFill="1" applyBorder="1" applyAlignment="1">
      <alignment horizontal="right" vertical="center"/>
    </xf>
    <xf numFmtId="0" fontId="20" fillId="0" borderId="27" xfId="0" applyFont="1" applyBorder="1" applyAlignment="1">
      <alignment horizontal="center"/>
    </xf>
    <xf numFmtId="0" fontId="20" fillId="0" borderId="23" xfId="3" applyNumberFormat="1" applyFont="1" applyFill="1" applyBorder="1" applyAlignment="1">
      <alignment horizontal="left" vertical="center"/>
    </xf>
    <xf numFmtId="43" fontId="20" fillId="0" borderId="28" xfId="3" applyFont="1" applyFill="1" applyBorder="1" applyAlignment="1">
      <alignment horizontal="left" vertical="center"/>
    </xf>
    <xf numFmtId="0" fontId="20" fillId="0" borderId="23" xfId="3" applyNumberFormat="1" applyFont="1" applyFill="1" applyBorder="1" applyAlignment="1">
      <alignment horizontal="center" vertical="center"/>
    </xf>
    <xf numFmtId="43" fontId="20" fillId="0" borderId="43" xfId="4" applyNumberFormat="1" applyFont="1" applyFill="1" applyBorder="1" applyAlignment="1">
      <alignment horizontal="left" vertical="center"/>
    </xf>
    <xf numFmtId="0" fontId="20" fillId="0" borderId="25" xfId="3" applyNumberFormat="1" applyFont="1" applyFill="1" applyBorder="1" applyAlignment="1">
      <alignment horizontal="left" vertical="center"/>
    </xf>
    <xf numFmtId="43" fontId="20" fillId="0" borderId="41" xfId="3" applyFont="1" applyFill="1" applyBorder="1" applyAlignment="1">
      <alignment horizontal="left" vertical="center"/>
    </xf>
    <xf numFmtId="0" fontId="20" fillId="0" borderId="25" xfId="3" applyNumberFormat="1" applyFont="1" applyFill="1" applyBorder="1" applyAlignment="1">
      <alignment horizontal="center" vertical="center"/>
    </xf>
    <xf numFmtId="0" fontId="19" fillId="0" borderId="0" xfId="0" applyFont="1" applyAlignment="1"/>
    <xf numFmtId="43" fontId="19" fillId="0" borderId="0" xfId="3" applyFont="1" applyFill="1" applyAlignment="1">
      <alignment horizontal="left" vertical="center"/>
    </xf>
    <xf numFmtId="0" fontId="19" fillId="0" borderId="0" xfId="3" applyNumberFormat="1" applyFont="1" applyFill="1" applyAlignment="1">
      <alignment horizontal="center" vertical="center"/>
    </xf>
    <xf numFmtId="43" fontId="19" fillId="0" borderId="0" xfId="4" applyNumberFormat="1" applyFont="1" applyFill="1" applyAlignment="1">
      <alignment horizontal="left" vertical="center"/>
    </xf>
    <xf numFmtId="0" fontId="0" fillId="0" borderId="0" xfId="0" applyAlignment="1"/>
    <xf numFmtId="0" fontId="29" fillId="0" borderId="0" xfId="0" applyFont="1" applyAlignment="1">
      <alignment horizontal="left"/>
    </xf>
    <xf numFmtId="0" fontId="30" fillId="0" borderId="0" xfId="0" applyFont="1" applyFill="1" applyBorder="1" applyAlignment="1">
      <alignment horizontal="left" vertical="top"/>
    </xf>
    <xf numFmtId="0" fontId="29" fillId="0" borderId="0" xfId="0" applyFont="1" applyAlignment="1"/>
    <xf numFmtId="0" fontId="0" fillId="0" borderId="0" xfId="0" applyAlignment="1">
      <alignment horizontal="center"/>
    </xf>
    <xf numFmtId="0" fontId="32" fillId="0" borderId="0" xfId="0" applyFont="1" applyFill="1" applyBorder="1" applyAlignment="1">
      <alignment horizontal="left" vertical="top"/>
    </xf>
    <xf numFmtId="0" fontId="31" fillId="3" borderId="0" xfId="0" applyFont="1" applyFill="1" applyBorder="1" applyAlignment="1">
      <alignment vertical="top"/>
    </xf>
    <xf numFmtId="0" fontId="18" fillId="0" borderId="0" xfId="0" applyFont="1" applyAlignment="1">
      <alignment horizontal="center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Fill="1" applyBorder="1" applyAlignment="1">
      <alignment vertical="top"/>
    </xf>
    <xf numFmtId="0" fontId="0" fillId="0" borderId="48" xfId="0" applyBorder="1" applyAlignment="1">
      <alignment horizontal="center"/>
    </xf>
    <xf numFmtId="0" fontId="30" fillId="0" borderId="49" xfId="0" applyFont="1" applyFill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30" fillId="0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center"/>
    </xf>
    <xf numFmtId="0" fontId="30" fillId="0" borderId="1" xfId="0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30" fillId="0" borderId="8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8" fillId="0" borderId="3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/>
    </xf>
    <xf numFmtId="0" fontId="13" fillId="0" borderId="28" xfId="0" applyFont="1" applyFill="1" applyBorder="1" applyAlignment="1">
      <alignment wrapText="1"/>
    </xf>
    <xf numFmtId="7" fontId="14" fillId="3" borderId="23" xfId="1" applyNumberFormat="1" applyFont="1" applyFill="1" applyBorder="1" applyAlignment="1" applyProtection="1"/>
    <xf numFmtId="0" fontId="0" fillId="0" borderId="31" xfId="0" applyFill="1" applyBorder="1" applyAlignment="1">
      <alignment horizontal="center"/>
    </xf>
    <xf numFmtId="0" fontId="13" fillId="0" borderId="39" xfId="0" applyFont="1" applyFill="1" applyBorder="1" applyAlignment="1">
      <alignment wrapText="1"/>
    </xf>
    <xf numFmtId="7" fontId="14" fillId="3" borderId="24" xfId="1" applyNumberFormat="1" applyFont="1" applyFill="1" applyBorder="1" applyAlignment="1" applyProtection="1"/>
    <xf numFmtId="0" fontId="13" fillId="0" borderId="39" xfId="0" applyFont="1" applyFill="1" applyBorder="1" applyAlignment="1">
      <alignment horizontal="center" vertical="top" wrapText="1"/>
    </xf>
    <xf numFmtId="0" fontId="18" fillId="0" borderId="31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left" wrapText="1"/>
    </xf>
    <xf numFmtId="7" fontId="12" fillId="3" borderId="24" xfId="1" applyNumberFormat="1" applyFont="1" applyFill="1" applyBorder="1" applyAlignment="1" applyProtection="1"/>
    <xf numFmtId="0" fontId="18" fillId="0" borderId="0" xfId="0" applyFont="1" applyAlignment="1"/>
    <xf numFmtId="2" fontId="14" fillId="0" borderId="39" xfId="0" applyNumberFormat="1" applyFont="1" applyFill="1" applyBorder="1" applyAlignment="1">
      <alignment horizontal="center" wrapText="1"/>
    </xf>
    <xf numFmtId="169" fontId="14" fillId="3" borderId="24" xfId="1" applyNumberFormat="1" applyFont="1" applyFill="1" applyBorder="1" applyAlignment="1" applyProtection="1">
      <alignment horizontal="right" vertical="top"/>
    </xf>
    <xf numFmtId="0" fontId="18" fillId="0" borderId="32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left" wrapText="1"/>
    </xf>
    <xf numFmtId="169" fontId="12" fillId="3" borderId="25" xfId="1" applyNumberFormat="1" applyFont="1" applyFill="1" applyBorder="1" applyAlignment="1" applyProtection="1">
      <alignment horizontal="right" vertical="top"/>
    </xf>
    <xf numFmtId="10" fontId="14" fillId="0" borderId="28" xfId="0" applyNumberFormat="1" applyFont="1" applyFill="1" applyBorder="1" applyAlignment="1">
      <alignment horizontal="center" wrapText="1"/>
    </xf>
    <xf numFmtId="169" fontId="14" fillId="3" borderId="23" xfId="1" applyNumberFormat="1" applyFont="1" applyFill="1" applyBorder="1" applyAlignment="1" applyProtection="1">
      <alignment horizontal="right" vertical="top"/>
    </xf>
    <xf numFmtId="0" fontId="0" fillId="0" borderId="33" xfId="0" applyFill="1" applyBorder="1" applyAlignment="1">
      <alignment horizontal="center"/>
    </xf>
    <xf numFmtId="170" fontId="14" fillId="0" borderId="37" xfId="0" applyNumberFormat="1" applyFont="1" applyFill="1" applyBorder="1" applyAlignment="1">
      <alignment horizontal="center" wrapText="1"/>
    </xf>
    <xf numFmtId="169" fontId="14" fillId="3" borderId="30" xfId="1" applyNumberFormat="1" applyFont="1" applyFill="1" applyBorder="1" applyAlignment="1" applyProtection="1">
      <alignment horizontal="right" vertical="top"/>
    </xf>
    <xf numFmtId="9" fontId="12" fillId="0" borderId="39" xfId="2" applyNumberFormat="1" applyFont="1" applyFill="1" applyBorder="1" applyAlignment="1">
      <alignment horizontal="center" wrapText="1"/>
    </xf>
    <xf numFmtId="169" fontId="12" fillId="3" borderId="24" xfId="1" applyNumberFormat="1" applyFont="1" applyFill="1" applyBorder="1" applyAlignment="1" applyProtection="1">
      <alignment horizontal="right" vertical="top"/>
    </xf>
    <xf numFmtId="9" fontId="14" fillId="0" borderId="39" xfId="2" applyNumberFormat="1" applyFont="1" applyFill="1" applyBorder="1" applyAlignment="1">
      <alignment horizontal="center" wrapText="1"/>
    </xf>
    <xf numFmtId="170" fontId="14" fillId="0" borderId="39" xfId="2" applyNumberFormat="1" applyFont="1" applyFill="1" applyBorder="1" applyAlignment="1">
      <alignment horizontal="center" wrapText="1"/>
    </xf>
    <xf numFmtId="171" fontId="14" fillId="0" borderId="39" xfId="2" applyNumberFormat="1" applyFont="1" applyFill="1" applyBorder="1" applyAlignment="1">
      <alignment horizontal="center" wrapText="1"/>
    </xf>
    <xf numFmtId="10" fontId="14" fillId="0" borderId="39" xfId="2" applyNumberFormat="1" applyFont="1" applyFill="1" applyBorder="1" applyAlignment="1">
      <alignment horizontal="center" wrapText="1"/>
    </xf>
    <xf numFmtId="9" fontId="12" fillId="0" borderId="41" xfId="2" applyNumberFormat="1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/>
    </xf>
    <xf numFmtId="171" fontId="14" fillId="0" borderId="28" xfId="2" applyNumberFormat="1" applyFont="1" applyFill="1" applyBorder="1" applyAlignment="1">
      <alignment horizontal="center" wrapText="1"/>
    </xf>
    <xf numFmtId="172" fontId="14" fillId="3" borderId="23" xfId="0" applyNumberFormat="1" applyFont="1" applyFill="1" applyBorder="1" applyAlignment="1">
      <alignment horizontal="right" wrapText="1"/>
    </xf>
    <xf numFmtId="171" fontId="12" fillId="0" borderId="39" xfId="2" applyNumberFormat="1" applyFont="1" applyFill="1" applyBorder="1" applyAlignment="1">
      <alignment horizontal="center" wrapText="1"/>
    </xf>
    <xf numFmtId="171" fontId="12" fillId="0" borderId="41" xfId="2" applyNumberFormat="1" applyFont="1" applyFill="1" applyBorder="1" applyAlignment="1">
      <alignment horizontal="center" wrapText="1"/>
    </xf>
    <xf numFmtId="0" fontId="18" fillId="0" borderId="64" xfId="0" applyFont="1" applyFill="1" applyBorder="1" applyAlignment="1">
      <alignment horizontal="center"/>
    </xf>
    <xf numFmtId="171" fontId="12" fillId="0" borderId="68" xfId="2" applyNumberFormat="1" applyFont="1" applyFill="1" applyBorder="1" applyAlignment="1">
      <alignment horizontal="center" wrapText="1"/>
    </xf>
    <xf numFmtId="169" fontId="12" fillId="3" borderId="4" xfId="1" applyNumberFormat="1" applyFont="1" applyFill="1" applyBorder="1" applyAlignment="1" applyProtection="1">
      <alignment horizontal="right" vertical="top"/>
    </xf>
    <xf numFmtId="0" fontId="12" fillId="0" borderId="28" xfId="0" applyFont="1" applyFill="1" applyBorder="1" applyAlignment="1">
      <alignment horizontal="left" wrapText="1"/>
    </xf>
    <xf numFmtId="43" fontId="12" fillId="3" borderId="23" xfId="1" applyFont="1" applyFill="1" applyBorder="1" applyAlignment="1" applyProtection="1">
      <alignment horizontal="right" vertical="top"/>
    </xf>
    <xf numFmtId="0" fontId="1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wrapText="1"/>
    </xf>
    <xf numFmtId="169" fontId="12" fillId="3" borderId="0" xfId="1" applyNumberFormat="1" applyFont="1" applyFill="1" applyBorder="1" applyAlignment="1" applyProtection="1">
      <alignment horizontal="right" vertical="top"/>
    </xf>
    <xf numFmtId="0" fontId="32" fillId="3" borderId="0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43" fontId="8" fillId="0" borderId="0" xfId="1">
      <protection locked="0"/>
    </xf>
    <xf numFmtId="10" fontId="19" fillId="0" borderId="0" xfId="2" applyNumberFormat="1" applyFont="1" applyFill="1" applyAlignment="1">
      <alignment horizontal="center" vertical="center"/>
    </xf>
    <xf numFmtId="10" fontId="16" fillId="0" borderId="0" xfId="2" applyNumberFormat="1" applyFont="1" applyAlignment="1">
      <alignment vertical="center"/>
    </xf>
    <xf numFmtId="10" fontId="16" fillId="0" borderId="0" xfId="2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5" fontId="14" fillId="0" borderId="15" xfId="1" applyNumberFormat="1" applyFont="1" applyBorder="1" applyAlignment="1">
      <alignment vertical="center"/>
      <protection locked="0"/>
    </xf>
    <xf numFmtId="5" fontId="14" fillId="0" borderId="75" xfId="1" applyNumberFormat="1" applyFont="1" applyBorder="1" applyAlignment="1">
      <protection locked="0"/>
    </xf>
    <xf numFmtId="0" fontId="16" fillId="0" borderId="0" xfId="0" applyFont="1" applyAlignment="1"/>
    <xf numFmtId="164" fontId="0" fillId="0" borderId="0" xfId="0" applyNumberFormat="1">
      <alignment vertical="center"/>
    </xf>
    <xf numFmtId="0" fontId="16" fillId="0" borderId="0" xfId="0" applyFont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6" fillId="0" borderId="0" xfId="0" applyFont="1" applyFill="1" applyAlignment="1"/>
    <xf numFmtId="0" fontId="16" fillId="0" borderId="77" xfId="0" applyFont="1" applyBorder="1" applyAlignment="1">
      <alignment horizontal="center" vertical="center"/>
    </xf>
    <xf numFmtId="0" fontId="13" fillId="0" borderId="105" xfId="0" applyFont="1" applyFill="1" applyBorder="1">
      <alignment vertical="center"/>
    </xf>
    <xf numFmtId="0" fontId="16" fillId="0" borderId="16" xfId="0" applyFont="1" applyFill="1" applyBorder="1">
      <alignment vertical="center"/>
    </xf>
    <xf numFmtId="0" fontId="16" fillId="0" borderId="76" xfId="0" applyFont="1" applyBorder="1" applyAlignment="1">
      <alignment horizontal="center" vertical="center"/>
    </xf>
    <xf numFmtId="173" fontId="14" fillId="0" borderId="104" xfId="1" applyNumberFormat="1" applyFont="1" applyBorder="1" applyAlignment="1">
      <alignment vertical="center"/>
      <protection locked="0"/>
    </xf>
    <xf numFmtId="0" fontId="13" fillId="0" borderId="10" xfId="0" applyFont="1" applyFill="1" applyBorder="1" applyAlignment="1">
      <alignment horizontal="center" vertical="center"/>
    </xf>
    <xf numFmtId="0" fontId="16" fillId="4" borderId="16" xfId="0" applyFont="1" applyFill="1" applyBorder="1">
      <alignment vertical="center"/>
    </xf>
    <xf numFmtId="0" fontId="16" fillId="3" borderId="0" xfId="0" applyFont="1" applyFill="1">
      <alignment vertical="center"/>
    </xf>
    <xf numFmtId="0" fontId="16" fillId="3" borderId="0" xfId="0" applyFont="1" applyFill="1" applyAlignment="1">
      <alignment horizontal="center" vertical="center"/>
    </xf>
    <xf numFmtId="0" fontId="39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5" fillId="0" borderId="12" xfId="0" applyFont="1" applyFill="1" applyBorder="1" applyAlignment="1">
      <alignment horizontal="left" vertical="center" wrapText="1"/>
    </xf>
    <xf numFmtId="0" fontId="43" fillId="0" borderId="9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43" fillId="0" borderId="118" xfId="0" applyFont="1" applyFill="1" applyBorder="1" applyAlignment="1">
      <alignment horizontal="center" vertical="center" wrapText="1"/>
    </xf>
    <xf numFmtId="0" fontId="43" fillId="0" borderId="90" xfId="0" applyFont="1" applyFill="1" applyBorder="1" applyAlignment="1">
      <alignment horizontal="center" vertical="center" wrapText="1"/>
    </xf>
    <xf numFmtId="0" fontId="43" fillId="0" borderId="119" xfId="0" applyFont="1" applyFill="1" applyBorder="1" applyAlignment="1">
      <alignment horizontal="center" vertical="center" wrapText="1"/>
    </xf>
    <xf numFmtId="0" fontId="45" fillId="0" borderId="13" xfId="0" applyFont="1" applyFill="1" applyBorder="1" applyAlignment="1">
      <alignment horizontal="center" vertical="center" wrapText="1"/>
    </xf>
    <xf numFmtId="0" fontId="45" fillId="0" borderId="14" xfId="0" applyFont="1" applyFill="1" applyBorder="1" applyAlignment="1">
      <alignment horizontal="center" vertical="center" wrapText="1"/>
    </xf>
    <xf numFmtId="170" fontId="13" fillId="0" borderId="0" xfId="2" applyNumberFormat="1" applyFont="1" applyFill="1" applyAlignment="1">
      <alignment vertical="center"/>
    </xf>
    <xf numFmtId="0" fontId="45" fillId="0" borderId="0" xfId="0" applyFont="1" applyFill="1" applyAlignment="1"/>
    <xf numFmtId="0" fontId="9" fillId="0" borderId="0" xfId="0" applyFont="1" applyAlignment="1"/>
    <xf numFmtId="0" fontId="16" fillId="3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41" fillId="0" borderId="0" xfId="14" applyFont="1"/>
    <xf numFmtId="0" fontId="47" fillId="0" borderId="0" xfId="14" applyFont="1"/>
    <xf numFmtId="0" fontId="48" fillId="0" borderId="0" xfId="14" applyFont="1"/>
    <xf numFmtId="0" fontId="19" fillId="0" borderId="0" xfId="14" applyFont="1"/>
    <xf numFmtId="0" fontId="46" fillId="0" borderId="0" xfId="14" applyFont="1"/>
    <xf numFmtId="0" fontId="49" fillId="0" borderId="78" xfId="14" applyFont="1" applyBorder="1" applyAlignment="1">
      <alignment horizontal="center"/>
    </xf>
    <xf numFmtId="0" fontId="42" fillId="0" borderId="0" xfId="14" applyFont="1"/>
    <xf numFmtId="0" fontId="20" fillId="0" borderId="0" xfId="14" applyFont="1"/>
    <xf numFmtId="4" fontId="42" fillId="0" borderId="0" xfId="15" applyNumberFormat="1" applyFont="1"/>
    <xf numFmtId="0" fontId="49" fillId="0" borderId="47" xfId="14" applyFont="1" applyBorder="1" applyAlignment="1">
      <alignment horizontal="center"/>
    </xf>
    <xf numFmtId="0" fontId="42" fillId="0" borderId="89" xfId="14" applyFont="1" applyBorder="1" applyAlignment="1">
      <alignment horizontal="center"/>
    </xf>
    <xf numFmtId="164" fontId="50" fillId="0" borderId="83" xfId="15" applyNumberFormat="1" applyFont="1" applyBorder="1"/>
    <xf numFmtId="0" fontId="50" fillId="0" borderId="0" xfId="14" applyFont="1"/>
    <xf numFmtId="164" fontId="53" fillId="0" borderId="15" xfId="15" applyNumberFormat="1" applyFont="1" applyBorder="1"/>
    <xf numFmtId="0" fontId="52" fillId="0" borderId="0" xfId="14" applyFont="1"/>
    <xf numFmtId="0" fontId="19" fillId="0" borderId="92" xfId="14" applyFont="1" applyBorder="1"/>
    <xf numFmtId="175" fontId="19" fillId="0" borderId="79" xfId="14" applyNumberFormat="1" applyFont="1" applyBorder="1"/>
    <xf numFmtId="0" fontId="19" fillId="0" borderId="93" xfId="14" applyFont="1" applyBorder="1"/>
    <xf numFmtId="175" fontId="19" fillId="0" borderId="83" xfId="14" applyNumberFormat="1" applyFont="1" applyBorder="1"/>
    <xf numFmtId="0" fontId="20" fillId="0" borderId="94" xfId="14" applyFont="1" applyBorder="1"/>
    <xf numFmtId="0" fontId="20" fillId="0" borderId="125" xfId="14" applyFont="1" applyBorder="1"/>
    <xf numFmtId="0" fontId="19" fillId="0" borderId="89" xfId="14" applyFont="1" applyBorder="1"/>
    <xf numFmtId="0" fontId="11" fillId="0" borderId="0" xfId="14" applyFont="1"/>
    <xf numFmtId="0" fontId="16" fillId="0" borderId="0" xfId="14" applyFont="1"/>
    <xf numFmtId="0" fontId="25" fillId="0" borderId="78" xfId="14" applyFont="1" applyBorder="1" applyAlignment="1">
      <alignment horizontal="center"/>
    </xf>
    <xf numFmtId="0" fontId="25" fillId="0" borderId="47" xfId="14" applyFont="1" applyBorder="1" applyAlignment="1">
      <alignment horizontal="center"/>
    </xf>
    <xf numFmtId="164" fontId="39" fillId="0" borderId="15" xfId="15" applyNumberFormat="1" applyFont="1" applyBorder="1"/>
    <xf numFmtId="164" fontId="45" fillId="0" borderId="15" xfId="15" applyNumberFormat="1" applyFont="1" applyBorder="1"/>
    <xf numFmtId="175" fontId="16" fillId="0" borderId="78" xfId="15" applyNumberFormat="1" applyFont="1" applyBorder="1"/>
    <xf numFmtId="43" fontId="19" fillId="0" borderId="0" xfId="14" applyNumberFormat="1" applyFont="1"/>
    <xf numFmtId="164" fontId="36" fillId="0" borderId="0" xfId="14" applyNumberFormat="1" applyFont="1"/>
    <xf numFmtId="43" fontId="16" fillId="0" borderId="0" xfId="14" applyNumberFormat="1" applyFont="1"/>
    <xf numFmtId="175" fontId="16" fillId="0" borderId="15" xfId="14" applyNumberFormat="1" applyFont="1" applyBorder="1"/>
    <xf numFmtId="175" fontId="16" fillId="0" borderId="47" xfId="14" applyNumberFormat="1" applyFont="1" applyBorder="1"/>
    <xf numFmtId="164" fontId="20" fillId="0" borderId="0" xfId="14" applyNumberFormat="1" applyFont="1"/>
    <xf numFmtId="164" fontId="8" fillId="0" borderId="0" xfId="1" applyNumberFormat="1">
      <protection locked="0"/>
    </xf>
    <xf numFmtId="0" fontId="53" fillId="0" borderId="75" xfId="14" applyFont="1" applyBorder="1" applyAlignment="1">
      <alignment horizontal="center"/>
    </xf>
    <xf numFmtId="0" fontId="45" fillId="0" borderId="75" xfId="14" applyFont="1" applyBorder="1" applyAlignment="1">
      <alignment horizontal="center"/>
    </xf>
    <xf numFmtId="0" fontId="19" fillId="0" borderId="125" xfId="14" applyFont="1" applyBorder="1"/>
    <xf numFmtId="164" fontId="19" fillId="0" borderId="0" xfId="14" applyNumberFormat="1" applyFont="1"/>
    <xf numFmtId="175" fontId="16" fillId="0" borderId="46" xfId="15" applyNumberFormat="1" applyFont="1" applyBorder="1"/>
    <xf numFmtId="0" fontId="43" fillId="9" borderId="111" xfId="0" applyFont="1" applyFill="1" applyBorder="1" applyAlignment="1"/>
    <xf numFmtId="0" fontId="43" fillId="9" borderId="39" xfId="0" applyFont="1" applyFill="1" applyBorder="1" applyAlignment="1">
      <alignment wrapText="1"/>
    </xf>
    <xf numFmtId="164" fontId="43" fillId="9" borderId="18" xfId="1" applyNumberFormat="1" applyFont="1" applyFill="1" applyBorder="1" applyAlignment="1">
      <protection locked="0"/>
    </xf>
    <xf numFmtId="164" fontId="43" fillId="9" borderId="15" xfId="1" applyNumberFormat="1" applyFont="1" applyFill="1" applyBorder="1" applyAlignment="1">
      <protection locked="0"/>
    </xf>
    <xf numFmtId="164" fontId="43" fillId="9" borderId="60" xfId="1" applyNumberFormat="1" applyFont="1" applyFill="1" applyBorder="1" applyAlignment="1">
      <protection locked="0"/>
    </xf>
    <xf numFmtId="164" fontId="43" fillId="9" borderId="39" xfId="1" applyNumberFormat="1" applyFont="1" applyFill="1" applyBorder="1" applyAlignment="1">
      <protection locked="0"/>
    </xf>
    <xf numFmtId="178" fontId="19" fillId="0" borderId="0" xfId="14" applyNumberFormat="1" applyFont="1"/>
    <xf numFmtId="0" fontId="52" fillId="0" borderId="0" xfId="14" applyFont="1" applyFill="1" applyBorder="1"/>
    <xf numFmtId="176" fontId="52" fillId="0" borderId="0" xfId="15" applyNumberFormat="1" applyFont="1" applyFill="1" applyBorder="1"/>
    <xf numFmtId="176" fontId="53" fillId="0" borderId="0" xfId="15" applyNumberFormat="1" applyFont="1" applyFill="1" applyBorder="1"/>
    <xf numFmtId="0" fontId="52" fillId="0" borderId="0" xfId="14" applyFont="1" applyFill="1"/>
    <xf numFmtId="0" fontId="20" fillId="0" borderId="0" xfId="14" applyFont="1" applyFill="1"/>
    <xf numFmtId="164" fontId="16" fillId="0" borderId="0" xfId="0" applyNumberFormat="1" applyFont="1">
      <alignment vertical="center"/>
    </xf>
    <xf numFmtId="0" fontId="44" fillId="0" borderId="5" xfId="0" applyFont="1" applyFill="1" applyBorder="1" applyAlignment="1">
      <alignment wrapText="1"/>
    </xf>
    <xf numFmtId="0" fontId="44" fillId="0" borderId="35" xfId="0" applyFont="1" applyFill="1" applyBorder="1" applyAlignment="1">
      <alignment wrapText="1"/>
    </xf>
    <xf numFmtId="164" fontId="44" fillId="0" borderId="1" xfId="1" applyNumberFormat="1" applyFont="1" applyBorder="1" applyAlignment="1">
      <protection locked="0"/>
    </xf>
    <xf numFmtId="164" fontId="44" fillId="0" borderId="21" xfId="1" applyNumberFormat="1" applyFont="1" applyBorder="1" applyAlignment="1">
      <protection locked="0"/>
    </xf>
    <xf numFmtId="164" fontId="44" fillId="0" borderId="22" xfId="1" applyNumberFormat="1" applyFont="1" applyBorder="1" applyAlignment="1">
      <protection locked="0"/>
    </xf>
    <xf numFmtId="164" fontId="44" fillId="0" borderId="57" xfId="1" applyNumberFormat="1" applyFont="1" applyBorder="1" applyAlignment="1">
      <protection locked="0"/>
    </xf>
    <xf numFmtId="164" fontId="44" fillId="0" borderId="35" xfId="1" applyNumberFormat="1" applyFont="1" applyBorder="1" applyAlignment="1">
      <protection locked="0"/>
    </xf>
    <xf numFmtId="43" fontId="39" fillId="0" borderId="1" xfId="0" applyNumberFormat="1" applyFont="1" applyFill="1" applyBorder="1" applyAlignment="1"/>
    <xf numFmtId="164" fontId="39" fillId="0" borderId="6" xfId="0" applyNumberFormat="1" applyFont="1" applyFill="1" applyBorder="1" applyAlignment="1"/>
    <xf numFmtId="0" fontId="39" fillId="0" borderId="0" xfId="0" applyFont="1" applyFill="1" applyAlignment="1"/>
    <xf numFmtId="0" fontId="44" fillId="9" borderId="117" xfId="0" applyFont="1" applyFill="1" applyBorder="1" applyAlignment="1"/>
    <xf numFmtId="0" fontId="44" fillId="9" borderId="37" xfId="0" applyFont="1" applyFill="1" applyBorder="1" applyAlignment="1"/>
    <xf numFmtId="164" fontId="44" fillId="9" borderId="62" xfId="1" applyNumberFormat="1" applyFont="1" applyFill="1" applyBorder="1" applyAlignment="1">
      <protection locked="0"/>
    </xf>
    <xf numFmtId="164" fontId="44" fillId="9" borderId="47" xfId="1" applyNumberFormat="1" applyFont="1" applyFill="1" applyBorder="1" applyAlignment="1">
      <protection locked="0"/>
    </xf>
    <xf numFmtId="164" fontId="44" fillId="9" borderId="63" xfId="1" applyNumberFormat="1" applyFont="1" applyFill="1" applyBorder="1" applyAlignment="1">
      <protection locked="0"/>
    </xf>
    <xf numFmtId="164" fontId="44" fillId="9" borderId="37" xfId="1" applyNumberFormat="1" applyFont="1" applyFill="1" applyBorder="1" applyAlignment="1">
      <protection locked="0"/>
    </xf>
    <xf numFmtId="0" fontId="44" fillId="9" borderId="111" xfId="0" applyFont="1" applyFill="1" applyBorder="1" applyAlignment="1">
      <alignment wrapText="1"/>
    </xf>
    <xf numFmtId="0" fontId="44" fillId="9" borderId="39" xfId="0" applyFont="1" applyFill="1" applyBorder="1" applyAlignment="1">
      <alignment wrapText="1"/>
    </xf>
    <xf numFmtId="164" fontId="44" fillId="9" borderId="18" xfId="1" applyNumberFormat="1" applyFont="1" applyFill="1" applyBorder="1" applyAlignment="1">
      <protection locked="0"/>
    </xf>
    <xf numFmtId="164" fontId="44" fillId="9" borderId="15" xfId="1" applyNumberFormat="1" applyFont="1" applyFill="1" applyBorder="1" applyAlignment="1">
      <protection locked="0"/>
    </xf>
    <xf numFmtId="164" fontId="44" fillId="9" borderId="60" xfId="1" applyNumberFormat="1" applyFont="1" applyFill="1" applyBorder="1" applyAlignment="1">
      <protection locked="0"/>
    </xf>
    <xf numFmtId="164" fontId="44" fillId="9" borderId="39" xfId="1" applyNumberFormat="1" applyFont="1" applyFill="1" applyBorder="1" applyAlignment="1">
      <protection locked="0"/>
    </xf>
    <xf numFmtId="0" fontId="44" fillId="9" borderId="111" xfId="0" applyFont="1" applyFill="1" applyBorder="1" applyAlignment="1"/>
    <xf numFmtId="0" fontId="44" fillId="9" borderId="39" xfId="0" applyFont="1" applyFill="1" applyBorder="1" applyAlignment="1"/>
    <xf numFmtId="0" fontId="44" fillId="9" borderId="112" xfId="0" applyFont="1" applyFill="1" applyBorder="1" applyAlignment="1"/>
    <xf numFmtId="0" fontId="44" fillId="9" borderId="41" xfId="0" applyFont="1" applyFill="1" applyBorder="1" applyAlignment="1">
      <alignment wrapText="1"/>
    </xf>
    <xf numFmtId="164" fontId="44" fillId="9" borderId="19" xfId="1" applyNumberFormat="1" applyFont="1" applyFill="1" applyBorder="1" applyAlignment="1">
      <protection locked="0"/>
    </xf>
    <xf numFmtId="164" fontId="44" fillId="9" borderId="20" xfId="1" applyNumberFormat="1" applyFont="1" applyFill="1" applyBorder="1" applyAlignment="1">
      <protection locked="0"/>
    </xf>
    <xf numFmtId="164" fontId="44" fillId="9" borderId="61" xfId="1" applyNumberFormat="1" applyFont="1" applyFill="1" applyBorder="1" applyAlignment="1">
      <protection locked="0"/>
    </xf>
    <xf numFmtId="164" fontId="44" fillId="9" borderId="41" xfId="1" applyNumberFormat="1" applyFont="1" applyFill="1" applyBorder="1" applyAlignment="1">
      <protection locked="0"/>
    </xf>
    <xf numFmtId="0" fontId="44" fillId="0" borderId="28" xfId="0" applyFont="1" applyFill="1" applyBorder="1" applyAlignment="1">
      <alignment wrapText="1"/>
    </xf>
    <xf numFmtId="164" fontId="44" fillId="0" borderId="23" xfId="1" applyNumberFormat="1" applyFont="1" applyBorder="1" applyAlignment="1">
      <protection locked="0"/>
    </xf>
    <xf numFmtId="164" fontId="44" fillId="0" borderId="58" xfId="1" applyNumberFormat="1" applyFont="1" applyBorder="1" applyAlignment="1">
      <protection locked="0"/>
    </xf>
    <xf numFmtId="164" fontId="44" fillId="0" borderId="44" xfId="1" applyNumberFormat="1" applyFont="1" applyBorder="1" applyAlignment="1">
      <protection locked="0"/>
    </xf>
    <xf numFmtId="164" fontId="44" fillId="0" borderId="59" xfId="1" applyNumberFormat="1" applyFont="1" applyBorder="1" applyAlignment="1">
      <protection locked="0"/>
    </xf>
    <xf numFmtId="0" fontId="44" fillId="0" borderId="112" xfId="0" applyFont="1" applyFill="1" applyBorder="1" applyAlignment="1"/>
    <xf numFmtId="0" fontId="44" fillId="0" borderId="41" xfId="0" applyFont="1" applyFill="1" applyBorder="1" applyAlignment="1">
      <alignment wrapText="1"/>
    </xf>
    <xf numFmtId="164" fontId="44" fillId="0" borderId="25" xfId="1" applyNumberFormat="1" applyFont="1" applyBorder="1" applyAlignment="1">
      <protection locked="0"/>
    </xf>
    <xf numFmtId="164" fontId="44" fillId="0" borderId="19" xfId="1" applyNumberFormat="1" applyFont="1" applyBorder="1" applyAlignment="1">
      <protection locked="0"/>
    </xf>
    <xf numFmtId="164" fontId="44" fillId="0" borderId="20" xfId="1" applyNumberFormat="1" applyFont="1" applyBorder="1" applyAlignment="1">
      <protection locked="0"/>
    </xf>
    <xf numFmtId="164" fontId="44" fillId="0" borderId="61" xfId="1" applyNumberFormat="1" applyFont="1" applyBorder="1" applyAlignment="1">
      <protection locked="0"/>
    </xf>
    <xf numFmtId="0" fontId="44" fillId="7" borderId="109" xfId="0" applyFont="1" applyFill="1" applyBorder="1" applyAlignment="1">
      <alignment wrapText="1"/>
    </xf>
    <xf numFmtId="0" fontId="44" fillId="7" borderId="28" xfId="0" applyFont="1" applyFill="1" applyBorder="1" applyAlignment="1">
      <alignment wrapText="1"/>
    </xf>
    <xf numFmtId="164" fontId="44" fillId="7" borderId="58" xfId="1" applyNumberFormat="1" applyFont="1" applyFill="1" applyBorder="1" applyAlignment="1">
      <protection locked="0"/>
    </xf>
    <xf numFmtId="164" fontId="44" fillId="7" borderId="44" xfId="1" applyNumberFormat="1" applyFont="1" applyFill="1" applyBorder="1" applyAlignment="1">
      <protection locked="0"/>
    </xf>
    <xf numFmtId="164" fontId="44" fillId="7" borderId="59" xfId="1" applyNumberFormat="1" applyFont="1" applyFill="1" applyBorder="1" applyAlignment="1">
      <protection locked="0"/>
    </xf>
    <xf numFmtId="0" fontId="0" fillId="0" borderId="0" xfId="0" applyFill="1" applyAlignment="1"/>
    <xf numFmtId="0" fontId="44" fillId="7" borderId="111" xfId="0" applyFont="1" applyFill="1" applyBorder="1" applyAlignment="1"/>
    <xf numFmtId="0" fontId="44" fillId="7" borderId="39" xfId="0" applyFont="1" applyFill="1" applyBorder="1" applyAlignment="1">
      <alignment wrapText="1"/>
    </xf>
    <xf numFmtId="164" fontId="44" fillId="7" borderId="18" xfId="1" applyNumberFormat="1" applyFont="1" applyFill="1" applyBorder="1" applyAlignment="1">
      <protection locked="0"/>
    </xf>
    <xf numFmtId="164" fontId="44" fillId="7" borderId="15" xfId="1" applyNumberFormat="1" applyFont="1" applyFill="1" applyBorder="1" applyAlignment="1">
      <protection locked="0"/>
    </xf>
    <xf numFmtId="164" fontId="44" fillId="7" borderId="60" xfId="1" applyNumberFormat="1" applyFont="1" applyFill="1" applyBorder="1" applyAlignment="1">
      <protection locked="0"/>
    </xf>
    <xf numFmtId="164" fontId="44" fillId="7" borderId="39" xfId="1" applyNumberFormat="1" applyFont="1" applyFill="1" applyBorder="1" applyAlignment="1">
      <protection locked="0"/>
    </xf>
    <xf numFmtId="0" fontId="43" fillId="7" borderId="112" xfId="0" applyFont="1" applyFill="1" applyBorder="1" applyAlignment="1"/>
    <xf numFmtId="0" fontId="43" fillId="7" borderId="41" xfId="0" applyFont="1" applyFill="1" applyBorder="1" applyAlignment="1"/>
    <xf numFmtId="164" fontId="43" fillId="7" borderId="19" xfId="1" applyNumberFormat="1" applyFont="1" applyFill="1" applyBorder="1" applyAlignment="1">
      <protection locked="0"/>
    </xf>
    <xf numFmtId="164" fontId="43" fillId="7" borderId="20" xfId="1" applyNumberFormat="1" applyFont="1" applyFill="1" applyBorder="1" applyAlignment="1">
      <protection locked="0"/>
    </xf>
    <xf numFmtId="164" fontId="43" fillId="7" borderId="61" xfId="1" applyNumberFormat="1" applyFont="1" applyFill="1" applyBorder="1" applyAlignment="1">
      <protection locked="0"/>
    </xf>
    <xf numFmtId="164" fontId="43" fillId="7" borderId="41" xfId="1" applyNumberFormat="1" applyFont="1" applyFill="1" applyBorder="1" applyAlignment="1">
      <protection locked="0"/>
    </xf>
    <xf numFmtId="0" fontId="9" fillId="0" borderId="0" xfId="0" applyFont="1" applyFill="1" applyAlignment="1"/>
    <xf numFmtId="0" fontId="44" fillId="0" borderId="109" xfId="0" applyFont="1" applyFill="1" applyBorder="1" applyAlignment="1"/>
    <xf numFmtId="0" fontId="44" fillId="0" borderId="111" xfId="0" applyFont="1" applyFill="1" applyBorder="1" applyAlignment="1">
      <alignment wrapText="1"/>
    </xf>
    <xf numFmtId="0" fontId="44" fillId="0" borderId="39" xfId="0" applyFont="1" applyFill="1" applyBorder="1" applyAlignment="1">
      <alignment wrapText="1"/>
    </xf>
    <xf numFmtId="164" fontId="44" fillId="0" borderId="24" xfId="1" applyNumberFormat="1" applyFont="1" applyBorder="1" applyAlignment="1">
      <protection locked="0"/>
    </xf>
    <xf numFmtId="164" fontId="44" fillId="0" borderId="18" xfId="1" applyNumberFormat="1" applyFont="1" applyBorder="1" applyAlignment="1">
      <protection locked="0"/>
    </xf>
    <xf numFmtId="164" fontId="44" fillId="0" borderId="15" xfId="1" applyNumberFormat="1" applyFont="1" applyBorder="1" applyAlignment="1">
      <protection locked="0"/>
    </xf>
    <xf numFmtId="164" fontId="44" fillId="0" borderId="60" xfId="1" applyNumberFormat="1" applyFont="1" applyBorder="1" applyAlignment="1">
      <protection locked="0"/>
    </xf>
    <xf numFmtId="0" fontId="44" fillId="0" borderId="111" xfId="0" applyFont="1" applyFill="1" applyBorder="1" applyAlignment="1"/>
    <xf numFmtId="0" fontId="44" fillId="0" borderId="39" xfId="0" applyFont="1" applyFill="1" applyBorder="1" applyAlignment="1"/>
    <xf numFmtId="0" fontId="44" fillId="8" borderId="109" xfId="0" applyFont="1" applyFill="1" applyBorder="1" applyAlignment="1"/>
    <xf numFmtId="0" fontId="44" fillId="8" borderId="28" xfId="0" applyFont="1" applyFill="1" applyBorder="1" applyAlignment="1">
      <alignment wrapText="1"/>
    </xf>
    <xf numFmtId="164" fontId="44" fillId="8" borderId="58" xfId="1" applyNumberFormat="1" applyFont="1" applyFill="1" applyBorder="1" applyAlignment="1">
      <protection locked="0"/>
    </xf>
    <xf numFmtId="164" fontId="44" fillId="8" borderId="44" xfId="1" applyNumberFormat="1" applyFont="1" applyFill="1" applyBorder="1" applyAlignment="1">
      <protection locked="0"/>
    </xf>
    <xf numFmtId="164" fontId="44" fillId="8" borderId="59" xfId="1" applyNumberFormat="1" applyFont="1" applyFill="1" applyBorder="1" applyAlignment="1">
      <protection locked="0"/>
    </xf>
    <xf numFmtId="164" fontId="44" fillId="8" borderId="28" xfId="1" applyNumberFormat="1" applyFont="1" applyFill="1" applyBorder="1" applyAlignment="1">
      <protection locked="0"/>
    </xf>
    <xf numFmtId="0" fontId="44" fillId="8" borderId="111" xfId="0" applyFont="1" applyFill="1" applyBorder="1" applyAlignment="1">
      <alignment wrapText="1"/>
    </xf>
    <xf numFmtId="0" fontId="44" fillId="8" borderId="39" xfId="0" applyFont="1" applyFill="1" applyBorder="1" applyAlignment="1">
      <alignment wrapText="1"/>
    </xf>
    <xf numFmtId="164" fontId="44" fillId="8" borderId="18" xfId="1" applyNumberFormat="1" applyFont="1" applyFill="1" applyBorder="1" applyAlignment="1">
      <protection locked="0"/>
    </xf>
    <xf numFmtId="164" fontId="44" fillId="8" borderId="15" xfId="1" applyNumberFormat="1" applyFont="1" applyFill="1" applyBorder="1" applyAlignment="1">
      <protection locked="0"/>
    </xf>
    <xf numFmtId="164" fontId="44" fillId="8" borderId="60" xfId="1" applyNumberFormat="1" applyFont="1" applyFill="1" applyBorder="1" applyAlignment="1">
      <protection locked="0"/>
    </xf>
    <xf numFmtId="164" fontId="44" fillId="8" borderId="39" xfId="1" applyNumberFormat="1" applyFont="1" applyFill="1" applyBorder="1" applyAlignment="1">
      <protection locked="0"/>
    </xf>
    <xf numFmtId="0" fontId="44" fillId="8" borderId="111" xfId="0" applyFont="1" applyFill="1" applyBorder="1" applyAlignment="1"/>
    <xf numFmtId="0" fontId="43" fillId="8" borderId="111" xfId="0" applyFont="1" applyFill="1" applyBorder="1" applyAlignment="1"/>
    <xf numFmtId="0" fontId="43" fillId="8" borderId="39" xfId="0" applyFont="1" applyFill="1" applyBorder="1" applyAlignment="1"/>
    <xf numFmtId="164" fontId="43" fillId="8" borderId="18" xfId="1" applyNumberFormat="1" applyFont="1" applyFill="1" applyBorder="1" applyAlignment="1">
      <protection locked="0"/>
    </xf>
    <xf numFmtId="164" fontId="43" fillId="8" borderId="15" xfId="1" applyNumberFormat="1" applyFont="1" applyFill="1" applyBorder="1" applyAlignment="1">
      <protection locked="0"/>
    </xf>
    <xf numFmtId="164" fontId="43" fillId="8" borderId="60" xfId="1" applyNumberFormat="1" applyFont="1" applyFill="1" applyBorder="1" applyAlignment="1">
      <protection locked="0"/>
    </xf>
    <xf numFmtId="164" fontId="43" fillId="8" borderId="39" xfId="1" applyNumberFormat="1" applyFont="1" applyFill="1" applyBorder="1" applyAlignment="1">
      <protection locked="0"/>
    </xf>
    <xf numFmtId="0" fontId="44" fillId="8" borderId="114" xfId="0" applyFont="1" applyFill="1" applyBorder="1" applyAlignment="1"/>
    <xf numFmtId="0" fontId="44" fillId="8" borderId="88" xfId="0" applyFont="1" applyFill="1" applyBorder="1" applyAlignment="1">
      <alignment wrapText="1"/>
    </xf>
    <xf numFmtId="164" fontId="44" fillId="8" borderId="115" xfId="1" applyNumberFormat="1" applyFont="1" applyFill="1" applyBorder="1" applyAlignment="1">
      <protection locked="0"/>
    </xf>
    <xf numFmtId="164" fontId="44" fillId="8" borderId="75" xfId="1" applyNumberFormat="1" applyFont="1" applyFill="1" applyBorder="1" applyAlignment="1">
      <protection locked="0"/>
    </xf>
    <xf numFmtId="164" fontId="44" fillId="8" borderId="116" xfId="1" applyNumberFormat="1" applyFont="1" applyFill="1" applyBorder="1" applyAlignment="1">
      <protection locked="0"/>
    </xf>
    <xf numFmtId="164" fontId="44" fillId="8" borderId="88" xfId="1" applyNumberFormat="1" applyFont="1" applyFill="1" applyBorder="1" applyAlignment="1">
      <protection locked="0"/>
    </xf>
    <xf numFmtId="164" fontId="56" fillId="0" borderId="0" xfId="5" applyNumberFormat="1" applyFont="1" applyFill="1" applyAlignment="1">
      <alignment horizontal="center"/>
    </xf>
    <xf numFmtId="164" fontId="57" fillId="0" borderId="0" xfId="5" applyNumberFormat="1" applyFont="1" applyFill="1"/>
    <xf numFmtId="0" fontId="38" fillId="0" borderId="0" xfId="0" applyFont="1" applyFill="1" applyAlignment="1"/>
    <xf numFmtId="0" fontId="57" fillId="0" borderId="0" xfId="0" applyFont="1" applyFill="1" applyAlignment="1"/>
    <xf numFmtId="0" fontId="56" fillId="0" borderId="0" xfId="0" applyFont="1" applyFill="1" applyAlignment="1"/>
    <xf numFmtId="164" fontId="56" fillId="0" borderId="0" xfId="5" applyNumberFormat="1" applyFont="1" applyFill="1"/>
    <xf numFmtId="164" fontId="56" fillId="0" borderId="0" xfId="5" applyNumberFormat="1" applyFont="1" applyFill="1" applyBorder="1" applyAlignment="1">
      <alignment horizontal="center"/>
    </xf>
    <xf numFmtId="0" fontId="58" fillId="0" borderId="0" xfId="0" applyFont="1" applyFill="1" applyAlignment="1"/>
    <xf numFmtId="164" fontId="58" fillId="0" borderId="0" xfId="5" applyNumberFormat="1" applyFont="1" applyFill="1"/>
    <xf numFmtId="164" fontId="38" fillId="0" borderId="0" xfId="5" applyNumberFormat="1" applyFont="1" applyFill="1"/>
    <xf numFmtId="164" fontId="38" fillId="0" borderId="0" xfId="5" applyNumberFormat="1" applyFont="1" applyFill="1" applyBorder="1"/>
    <xf numFmtId="164" fontId="38" fillId="0" borderId="0" xfId="5" applyNumberFormat="1" applyFont="1" applyFill="1" applyAlignment="1">
      <alignment horizontal="right" vertical="center"/>
    </xf>
    <xf numFmtId="164" fontId="38" fillId="0" borderId="68" xfId="5" applyNumberFormat="1" applyFont="1" applyFill="1" applyBorder="1"/>
    <xf numFmtId="164" fontId="56" fillId="0" borderId="124" xfId="5" applyNumberFormat="1" applyFont="1" applyFill="1" applyBorder="1"/>
    <xf numFmtId="164" fontId="56" fillId="0" borderId="0" xfId="5" applyNumberFormat="1" applyFont="1" applyFill="1" applyBorder="1"/>
    <xf numFmtId="164" fontId="38" fillId="0" borderId="0" xfId="5" applyNumberFormat="1" applyFont="1" applyFill="1" applyBorder="1" applyAlignment="1"/>
    <xf numFmtId="164" fontId="38" fillId="0" borderId="68" xfId="5" applyNumberFormat="1" applyFont="1" applyFill="1" applyBorder="1" applyAlignment="1"/>
    <xf numFmtId="164" fontId="56" fillId="0" borderId="35" xfId="5" applyNumberFormat="1" applyFont="1" applyFill="1" applyBorder="1" applyAlignment="1"/>
    <xf numFmtId="164" fontId="56" fillId="0" borderId="0" xfId="5" applyNumberFormat="1" applyFont="1" applyFill="1" applyBorder="1" applyAlignment="1"/>
    <xf numFmtId="164" fontId="56" fillId="0" borderId="120" xfId="5" applyNumberFormat="1" applyFont="1" applyFill="1" applyBorder="1"/>
    <xf numFmtId="164" fontId="38" fillId="0" borderId="0" xfId="0" applyNumberFormat="1" applyFont="1" applyFill="1" applyAlignment="1"/>
    <xf numFmtId="0" fontId="56" fillId="0" borderId="0" xfId="0" applyFont="1" applyFill="1" applyAlignment="1">
      <alignment horizontal="left"/>
    </xf>
    <xf numFmtId="0" fontId="59" fillId="0" borderId="0" xfId="0" applyFont="1" applyFill="1" applyAlignment="1"/>
    <xf numFmtId="0" fontId="60" fillId="0" borderId="0" xfId="0" quotePrefix="1" applyFont="1" applyFill="1" applyAlignment="1"/>
    <xf numFmtId="43" fontId="38" fillId="0" borderId="0" xfId="5" applyNumberFormat="1" applyFont="1" applyFill="1"/>
    <xf numFmtId="164" fontId="56" fillId="0" borderId="0" xfId="5" applyNumberFormat="1" applyFont="1" applyFill="1" applyAlignment="1">
      <alignment horizontal="left"/>
    </xf>
    <xf numFmtId="164" fontId="38" fillId="0" borderId="0" xfId="11" applyNumberFormat="1" applyFont="1" applyFill="1" applyBorder="1"/>
    <xf numFmtId="0" fontId="38" fillId="0" borderId="0" xfId="0" applyFont="1" applyFill="1" applyAlignment="1">
      <alignment horizontal="left"/>
    </xf>
    <xf numFmtId="164" fontId="38" fillId="0" borderId="0" xfId="5" applyNumberFormat="1" applyFont="1" applyFill="1" applyAlignment="1">
      <alignment horizontal="left"/>
    </xf>
    <xf numFmtId="164" fontId="56" fillId="0" borderId="123" xfId="5" applyNumberFormat="1" applyFont="1" applyFill="1" applyBorder="1"/>
    <xf numFmtId="164" fontId="56" fillId="0" borderId="35" xfId="5" applyNumberFormat="1" applyFont="1" applyFill="1" applyBorder="1"/>
    <xf numFmtId="179" fontId="61" fillId="0" borderId="0" xfId="0" applyNumberFormat="1" applyFont="1" applyFill="1" applyAlignment="1">
      <alignment horizontal="right" vertical="center"/>
    </xf>
    <xf numFmtId="164" fontId="38" fillId="0" borderId="0" xfId="11" applyNumberFormat="1" applyFont="1" applyFill="1"/>
    <xf numFmtId="164" fontId="59" fillId="0" borderId="0" xfId="5" applyNumberFormat="1" applyFont="1" applyFill="1"/>
    <xf numFmtId="164" fontId="59" fillId="0" borderId="0" xfId="0" applyNumberFormat="1" applyFont="1" applyFill="1" applyAlignment="1"/>
    <xf numFmtId="164" fontId="56" fillId="0" borderId="120" xfId="0" applyNumberFormat="1" applyFont="1" applyFill="1" applyBorder="1" applyAlignment="1"/>
    <xf numFmtId="3" fontId="38" fillId="0" borderId="0" xfId="0" applyNumberFormat="1" applyFont="1" applyFill="1" applyAlignment="1"/>
    <xf numFmtId="164" fontId="38" fillId="2" borderId="0" xfId="5" applyNumberFormat="1" applyFont="1" applyFill="1"/>
    <xf numFmtId="43" fontId="59" fillId="0" borderId="0" xfId="0" applyNumberFormat="1" applyFont="1" applyFill="1" applyAlignment="1"/>
    <xf numFmtId="0" fontId="56" fillId="0" borderId="0" xfId="0" applyFont="1" applyFill="1" applyAlignment="1">
      <alignment vertical="center"/>
    </xf>
    <xf numFmtId="164" fontId="56" fillId="0" borderId="0" xfId="5" applyNumberFormat="1" applyFont="1" applyFill="1" applyAlignment="1">
      <alignment vertical="center"/>
    </xf>
    <xf numFmtId="0" fontId="38" fillId="0" borderId="0" xfId="0" applyFont="1" applyFill="1" applyAlignment="1">
      <alignment vertical="center"/>
    </xf>
    <xf numFmtId="164" fontId="38" fillId="0" borderId="0" xfId="5" applyNumberFormat="1" applyFont="1" applyFill="1" applyAlignment="1">
      <alignment vertical="center"/>
    </xf>
    <xf numFmtId="164" fontId="56" fillId="0" borderId="0" xfId="0" applyNumberFormat="1" applyFont="1" applyFill="1" applyAlignment="1"/>
    <xf numFmtId="164" fontId="62" fillId="0" borderId="0" xfId="11" applyNumberFormat="1" applyFont="1" applyFill="1"/>
    <xf numFmtId="164" fontId="37" fillId="0" borderId="0" xfId="5" applyNumberFormat="1" applyFont="1" applyFill="1" applyBorder="1" applyAlignment="1">
      <alignment horizontal="right" vertical="center"/>
    </xf>
    <xf numFmtId="164" fontId="37" fillId="0" borderId="122" xfId="5" applyNumberFormat="1" applyFont="1" applyFill="1" applyBorder="1" applyAlignment="1">
      <alignment horizontal="right" vertical="center"/>
    </xf>
    <xf numFmtId="43" fontId="26" fillId="0" borderId="0" xfId="5" applyFont="1" applyFill="1" applyBorder="1" applyAlignment="1">
      <alignment vertical="center"/>
    </xf>
    <xf numFmtId="43" fontId="37" fillId="0" borderId="0" xfId="5" applyFont="1" applyFill="1" applyBorder="1" applyAlignment="1">
      <alignment vertical="center"/>
    </xf>
    <xf numFmtId="164" fontId="37" fillId="0" borderId="0" xfId="5" applyNumberFormat="1" applyFont="1" applyFill="1" applyBorder="1" applyAlignment="1">
      <alignment horizontal="center" vertical="center"/>
    </xf>
    <xf numFmtId="164" fontId="37" fillId="0" borderId="68" xfId="5" applyNumberFormat="1" applyFont="1" applyFill="1" applyBorder="1" applyAlignment="1">
      <alignment horizontal="center" vertical="center"/>
    </xf>
    <xf numFmtId="164" fontId="26" fillId="0" borderId="124" xfId="5" applyNumberFormat="1" applyFont="1" applyFill="1" applyBorder="1" applyAlignment="1">
      <alignment horizontal="center" vertical="center"/>
    </xf>
    <xf numFmtId="43" fontId="37" fillId="0" borderId="0" xfId="5" applyFont="1" applyFill="1" applyBorder="1" applyAlignment="1">
      <alignment horizontal="center" vertical="center"/>
    </xf>
    <xf numFmtId="164" fontId="56" fillId="10" borderId="55" xfId="5" applyNumberFormat="1" applyFont="1" applyFill="1" applyBorder="1"/>
    <xf numFmtId="164" fontId="56" fillId="0" borderId="55" xfId="5" applyNumberFormat="1" applyFont="1" applyFill="1" applyBorder="1"/>
    <xf numFmtId="0" fontId="38" fillId="0" borderId="34" xfId="0" applyFont="1" applyFill="1" applyBorder="1" applyAlignment="1"/>
    <xf numFmtId="0" fontId="38" fillId="0" borderId="35" xfId="0" applyFont="1" applyFill="1" applyBorder="1" applyAlignment="1"/>
    <xf numFmtId="164" fontId="56" fillId="0" borderId="36" xfId="5" applyNumberFormat="1" applyFont="1" applyFill="1" applyBorder="1"/>
    <xf numFmtId="43" fontId="38" fillId="0" borderId="0" xfId="5" applyFont="1" applyFill="1"/>
    <xf numFmtId="0" fontId="56" fillId="0" borderId="0" xfId="0" applyFont="1" applyFill="1" applyAlignment="1">
      <alignment horizontal="left" vertical="center"/>
    </xf>
    <xf numFmtId="164" fontId="56" fillId="10" borderId="120" xfId="5" applyNumberFormat="1" applyFont="1" applyFill="1" applyBorder="1"/>
    <xf numFmtId="164" fontId="56" fillId="0" borderId="0" xfId="5" applyNumberFormat="1" applyFont="1" applyFill="1" applyAlignment="1">
      <alignment horizontal="left" vertical="center"/>
    </xf>
    <xf numFmtId="0" fontId="63" fillId="0" borderId="0" xfId="0" applyFont="1" applyFill="1" applyAlignment="1"/>
    <xf numFmtId="164" fontId="38" fillId="0" borderId="0" xfId="0" applyNumberFormat="1" applyFont="1" applyFill="1" applyAlignment="1">
      <alignment horizontal="center"/>
    </xf>
    <xf numFmtId="0" fontId="38" fillId="0" borderId="1" xfId="0" applyFont="1" applyFill="1" applyBorder="1" applyAlignment="1"/>
    <xf numFmtId="164" fontId="38" fillId="10" borderId="1" xfId="5" applyNumberFormat="1" applyFont="1" applyFill="1" applyBorder="1"/>
    <xf numFmtId="164" fontId="38" fillId="0" borderId="1" xfId="5" applyNumberFormat="1" applyFont="1" applyFill="1" applyBorder="1"/>
    <xf numFmtId="164" fontId="38" fillId="0" borderId="1" xfId="0" applyNumberFormat="1" applyFont="1" applyFill="1" applyBorder="1" applyAlignment="1"/>
    <xf numFmtId="164" fontId="38" fillId="2" borderId="1" xfId="5" applyNumberFormat="1" applyFont="1" applyFill="1" applyBorder="1"/>
    <xf numFmtId="164" fontId="64" fillId="0" borderId="0" xfId="5" applyNumberFormat="1" applyFont="1" applyFill="1" applyBorder="1" applyAlignment="1" applyProtection="1"/>
    <xf numFmtId="43" fontId="38" fillId="0" borderId="1" xfId="5" applyFont="1" applyFill="1" applyBorder="1"/>
    <xf numFmtId="0" fontId="38" fillId="0" borderId="1" xfId="0" applyFont="1" applyFill="1" applyBorder="1" applyAlignment="1">
      <alignment horizontal="left" wrapText="1"/>
    </xf>
    <xf numFmtId="164" fontId="38" fillId="10" borderId="1" xfId="5" applyNumberFormat="1" applyFont="1" applyFill="1" applyBorder="1" applyAlignment="1">
      <alignment horizontal="left" wrapText="1"/>
    </xf>
    <xf numFmtId="164" fontId="38" fillId="0" borderId="1" xfId="0" applyNumberFormat="1" applyFont="1" applyFill="1" applyBorder="1" applyAlignment="1">
      <alignment horizontal="left" wrapText="1"/>
    </xf>
    <xf numFmtId="164" fontId="38" fillId="0" borderId="1" xfId="5" applyNumberFormat="1" applyFont="1" applyFill="1" applyBorder="1" applyAlignment="1">
      <alignment horizontal="left" wrapText="1"/>
    </xf>
    <xf numFmtId="0" fontId="38" fillId="0" borderId="34" xfId="0" applyFont="1" applyFill="1" applyBorder="1" applyAlignment="1">
      <alignment horizontal="left" wrapText="1"/>
    </xf>
    <xf numFmtId="164" fontId="38" fillId="0" borderId="34" xfId="5" applyNumberFormat="1" applyFont="1" applyFill="1" applyBorder="1" applyAlignment="1">
      <alignment horizontal="left" wrapText="1"/>
    </xf>
    <xf numFmtId="43" fontId="38" fillId="0" borderId="34" xfId="5" applyFont="1" applyFill="1" applyBorder="1" applyAlignment="1">
      <alignment horizontal="left" wrapText="1"/>
    </xf>
    <xf numFmtId="0" fontId="65" fillId="0" borderId="1" xfId="0" applyFont="1" applyFill="1" applyBorder="1" applyAlignment="1">
      <alignment horizontal="left" wrapText="1"/>
    </xf>
    <xf numFmtId="164" fontId="65" fillId="10" borderId="1" xfId="5" applyNumberFormat="1" applyFont="1" applyFill="1" applyBorder="1" applyAlignment="1">
      <alignment horizontal="left" wrapText="1"/>
    </xf>
    <xf numFmtId="164" fontId="65" fillId="0" borderId="1" xfId="5" applyNumberFormat="1" applyFont="1" applyFill="1" applyBorder="1" applyAlignment="1">
      <alignment horizontal="left" wrapText="1"/>
    </xf>
    <xf numFmtId="164" fontId="64" fillId="0" borderId="0" xfId="5" applyNumberFormat="1" applyFont="1" applyFill="1" applyBorder="1"/>
    <xf numFmtId="164" fontId="57" fillId="0" borderId="0" xfId="5" applyNumberFormat="1" applyFont="1" applyFill="1" applyBorder="1"/>
    <xf numFmtId="164" fontId="56" fillId="0" borderId="0" xfId="0" applyNumberFormat="1" applyFont="1" applyFill="1" applyAlignment="1">
      <alignment horizontal="center"/>
    </xf>
    <xf numFmtId="0" fontId="56" fillId="0" borderId="1" xfId="0" applyFont="1" applyFill="1" applyBorder="1" applyAlignment="1"/>
    <xf numFmtId="164" fontId="56" fillId="10" borderId="1" xfId="5" applyNumberFormat="1" applyFont="1" applyFill="1" applyBorder="1"/>
    <xf numFmtId="164" fontId="56" fillId="0" borderId="1" xfId="5" applyNumberFormat="1" applyFont="1" applyFill="1" applyBorder="1"/>
    <xf numFmtId="164" fontId="38" fillId="0" borderId="1" xfId="5" applyNumberFormat="1" applyFont="1" applyFill="1" applyBorder="1" applyAlignment="1">
      <alignment vertical="center"/>
    </xf>
    <xf numFmtId="164" fontId="56" fillId="0" borderId="1" xfId="0" applyNumberFormat="1" applyFont="1" applyFill="1" applyBorder="1" applyAlignment="1"/>
    <xf numFmtId="0" fontId="56" fillId="0" borderId="0" xfId="0" applyFont="1" applyFill="1" applyBorder="1" applyAlignment="1"/>
    <xf numFmtId="164" fontId="56" fillId="0" borderId="0" xfId="0" applyNumberFormat="1" applyFont="1" applyFill="1" applyBorder="1" applyAlignment="1"/>
    <xf numFmtId="0" fontId="38" fillId="0" borderId="0" xfId="0" applyNumberFormat="1" applyFont="1" applyFill="1" applyBorder="1" applyAlignment="1" applyProtection="1"/>
    <xf numFmtId="164" fontId="38" fillId="0" borderId="0" xfId="5" applyNumberFormat="1" applyFont="1" applyFill="1" applyBorder="1" applyAlignment="1" applyProtection="1"/>
    <xf numFmtId="164" fontId="38" fillId="0" borderId="0" xfId="0" applyNumberFormat="1" applyFont="1" applyFill="1" applyBorder="1" applyAlignment="1" applyProtection="1"/>
    <xf numFmtId="0" fontId="66" fillId="0" borderId="0" xfId="0" applyFont="1" applyFill="1" applyBorder="1" applyAlignment="1">
      <alignment vertical="center"/>
    </xf>
    <xf numFmtId="164" fontId="66" fillId="0" borderId="0" xfId="5" applyNumberFormat="1" applyFont="1" applyFill="1" applyBorder="1" applyAlignment="1">
      <alignment vertical="center"/>
    </xf>
    <xf numFmtId="0" fontId="66" fillId="0" borderId="0" xfId="0" applyNumberFormat="1" applyFont="1" applyFill="1" applyBorder="1" applyAlignment="1" applyProtection="1">
      <alignment vertical="center"/>
    </xf>
    <xf numFmtId="164" fontId="66" fillId="0" borderId="0" xfId="5" applyNumberFormat="1" applyFont="1" applyFill="1" applyBorder="1" applyAlignment="1" applyProtection="1">
      <alignment vertical="center"/>
    </xf>
    <xf numFmtId="164" fontId="64" fillId="0" borderId="0" xfId="5" applyNumberFormat="1" applyFont="1" applyFill="1" applyBorder="1" applyAlignment="1">
      <alignment horizontal="right" vertical="center"/>
    </xf>
    <xf numFmtId="0" fontId="64" fillId="0" borderId="0" xfId="0" applyFont="1" applyFill="1" applyBorder="1" applyAlignment="1">
      <alignment vertical="center"/>
    </xf>
    <xf numFmtId="164" fontId="64" fillId="0" borderId="0" xfId="5" applyNumberFormat="1" applyFont="1" applyFill="1" applyBorder="1" applyAlignment="1">
      <alignment vertical="center"/>
    </xf>
    <xf numFmtId="164" fontId="66" fillId="0" borderId="0" xfId="5" applyNumberFormat="1" applyFont="1" applyFill="1" applyAlignment="1">
      <alignment horizontal="right" vertical="center"/>
    </xf>
    <xf numFmtId="179" fontId="67" fillId="0" borderId="0" xfId="0" applyNumberFormat="1" applyFont="1" applyFill="1" applyAlignment="1">
      <alignment horizontal="right" vertical="center"/>
    </xf>
    <xf numFmtId="0" fontId="64" fillId="3" borderId="0" xfId="0" applyFont="1" applyFill="1" applyBorder="1" applyAlignment="1">
      <alignment vertical="center"/>
    </xf>
    <xf numFmtId="164" fontId="64" fillId="3" borderId="0" xfId="5" applyNumberFormat="1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164" fontId="38" fillId="0" borderId="0" xfId="5" applyNumberFormat="1" applyFont="1" applyFill="1" applyBorder="1" applyAlignment="1">
      <alignment vertical="center"/>
    </xf>
    <xf numFmtId="179" fontId="68" fillId="0" borderId="0" xfId="0" applyNumberFormat="1" applyFont="1" applyFill="1" applyBorder="1" applyAlignment="1" applyProtection="1"/>
    <xf numFmtId="180" fontId="56" fillId="0" borderId="123" xfId="0" applyNumberFormat="1" applyFont="1" applyFill="1" applyBorder="1" applyAlignment="1"/>
    <xf numFmtId="164" fontId="63" fillId="0" borderId="35" xfId="5" applyNumberFormat="1" applyFont="1" applyFill="1" applyBorder="1"/>
    <xf numFmtId="43" fontId="38" fillId="0" borderId="0" xfId="0" applyNumberFormat="1" applyFont="1" applyFill="1" applyBorder="1" applyAlignment="1"/>
    <xf numFmtId="164" fontId="38" fillId="0" borderId="0" xfId="0" applyNumberFormat="1" applyFont="1" applyFill="1" applyBorder="1" applyAlignment="1"/>
    <xf numFmtId="164" fontId="57" fillId="0" borderId="0" xfId="5" applyNumberFormat="1" applyFont="1" applyFill="1" applyBorder="1" applyAlignment="1">
      <alignment vertical="center"/>
    </xf>
    <xf numFmtId="43" fontId="57" fillId="0" borderId="0" xfId="0" applyNumberFormat="1" applyFont="1" applyFill="1" applyAlignment="1"/>
    <xf numFmtId="164" fontId="71" fillId="0" borderId="0" xfId="0" applyNumberFormat="1" applyFont="1" applyFill="1" applyAlignment="1">
      <alignment horizontal="center"/>
    </xf>
    <xf numFmtId="0" fontId="72" fillId="0" borderId="0" xfId="0" applyNumberFormat="1" applyFont="1" applyFill="1" applyBorder="1" applyAlignment="1" applyProtection="1"/>
    <xf numFmtId="164" fontId="72" fillId="0" borderId="0" xfId="5" applyNumberFormat="1" applyFont="1" applyFill="1" applyBorder="1" applyAlignment="1" applyProtection="1"/>
    <xf numFmtId="164" fontId="72" fillId="0" borderId="0" xfId="0" applyNumberFormat="1" applyFont="1" applyFill="1" applyBorder="1" applyAlignment="1" applyProtection="1"/>
    <xf numFmtId="164" fontId="71" fillId="0" borderId="0" xfId="0" applyNumberFormat="1" applyFont="1" applyFill="1" applyBorder="1" applyAlignment="1"/>
    <xf numFmtId="164" fontId="71" fillId="0" borderId="0" xfId="5" applyNumberFormat="1" applyFont="1" applyFill="1" applyBorder="1"/>
    <xf numFmtId="164" fontId="72" fillId="0" borderId="0" xfId="5" applyNumberFormat="1" applyFont="1" applyFill="1"/>
    <xf numFmtId="164" fontId="73" fillId="0" borderId="0" xfId="1" applyNumberFormat="1" applyFont="1">
      <protection locked="0"/>
    </xf>
    <xf numFmtId="0" fontId="73" fillId="0" borderId="0" xfId="0" applyFont="1">
      <alignment vertical="center"/>
    </xf>
    <xf numFmtId="0" fontId="72" fillId="0" borderId="0" xfId="0" applyFont="1" applyFill="1" applyBorder="1" applyAlignment="1">
      <alignment vertical="center"/>
    </xf>
    <xf numFmtId="164" fontId="72" fillId="0" borderId="0" xfId="5" applyNumberFormat="1" applyFont="1" applyFill="1" applyBorder="1" applyAlignment="1">
      <alignment vertical="center"/>
    </xf>
    <xf numFmtId="43" fontId="8" fillId="0" borderId="0" xfId="1" applyNumberFormat="1">
      <protection locked="0"/>
    </xf>
    <xf numFmtId="180" fontId="56" fillId="0" borderId="0" xfId="0" applyNumberFormat="1" applyFont="1" applyFill="1" applyBorder="1" applyAlignment="1"/>
    <xf numFmtId="0" fontId="44" fillId="0" borderId="117" xfId="0" applyFont="1" applyFill="1" applyBorder="1" applyAlignment="1"/>
    <xf numFmtId="0" fontId="44" fillId="0" borderId="37" xfId="0" applyFont="1" applyFill="1" applyBorder="1" applyAlignment="1">
      <alignment wrapText="1"/>
    </xf>
    <xf numFmtId="164" fontId="44" fillId="0" borderId="30" xfId="1" applyNumberFormat="1" applyFont="1" applyBorder="1" applyAlignment="1">
      <protection locked="0"/>
    </xf>
    <xf numFmtId="164" fontId="44" fillId="0" borderId="62" xfId="1" applyNumberFormat="1" applyFont="1" applyBorder="1" applyAlignment="1">
      <protection locked="0"/>
    </xf>
    <xf numFmtId="164" fontId="44" fillId="0" borderId="47" xfId="1" applyNumberFormat="1" applyFont="1" applyBorder="1" applyAlignment="1">
      <protection locked="0"/>
    </xf>
    <xf numFmtId="164" fontId="44" fillId="0" borderId="63" xfId="1" applyNumberFormat="1" applyFont="1" applyBorder="1" applyAlignment="1">
      <protection locked="0"/>
    </xf>
    <xf numFmtId="0" fontId="44" fillId="7" borderId="117" xfId="0" applyFont="1" applyFill="1" applyBorder="1" applyAlignment="1">
      <alignment wrapText="1"/>
    </xf>
    <xf numFmtId="0" fontId="44" fillId="7" borderId="37" xfId="0" applyFont="1" applyFill="1" applyBorder="1" applyAlignment="1">
      <alignment wrapText="1"/>
    </xf>
    <xf numFmtId="164" fontId="44" fillId="7" borderId="62" xfId="1" applyNumberFormat="1" applyFont="1" applyFill="1" applyBorder="1" applyAlignment="1">
      <protection locked="0"/>
    </xf>
    <xf numFmtId="164" fontId="44" fillId="7" borderId="47" xfId="1" applyNumberFormat="1" applyFont="1" applyFill="1" applyBorder="1" applyAlignment="1">
      <protection locked="0"/>
    </xf>
    <xf numFmtId="164" fontId="44" fillId="7" borderId="63" xfId="1" applyNumberFormat="1" applyFont="1" applyFill="1" applyBorder="1" applyAlignment="1">
      <protection locked="0"/>
    </xf>
    <xf numFmtId="164" fontId="44" fillId="7" borderId="27" xfId="1" applyNumberFormat="1" applyFont="1" applyFill="1" applyBorder="1" applyAlignment="1">
      <protection locked="0"/>
    </xf>
    <xf numFmtId="164" fontId="44" fillId="7" borderId="31" xfId="1" applyNumberFormat="1" applyFont="1" applyFill="1" applyBorder="1" applyAlignment="1">
      <protection locked="0"/>
    </xf>
    <xf numFmtId="165" fontId="44" fillId="0" borderId="23" xfId="1" applyNumberFormat="1" applyFont="1" applyBorder="1" applyAlignment="1">
      <protection locked="0"/>
    </xf>
    <xf numFmtId="165" fontId="44" fillId="0" borderId="24" xfId="1" applyNumberFormat="1" applyFont="1" applyBorder="1" applyAlignment="1">
      <protection locked="0"/>
    </xf>
    <xf numFmtId="165" fontId="44" fillId="0" borderId="25" xfId="1" applyNumberFormat="1" applyFont="1" applyBorder="1" applyAlignment="1">
      <protection locked="0"/>
    </xf>
    <xf numFmtId="43" fontId="39" fillId="6" borderId="30" xfId="0" applyNumberFormat="1" applyFont="1" applyFill="1" applyBorder="1" applyAlignment="1"/>
    <xf numFmtId="43" fontId="39" fillId="6" borderId="101" xfId="0" applyNumberFormat="1" applyFont="1" applyFill="1" applyBorder="1" applyAlignment="1"/>
    <xf numFmtId="43" fontId="39" fillId="6" borderId="24" xfId="0" applyNumberFormat="1" applyFont="1" applyFill="1" applyBorder="1" applyAlignment="1"/>
    <xf numFmtId="43" fontId="39" fillId="6" borderId="100" xfId="0" applyNumberFormat="1" applyFont="1" applyFill="1" applyBorder="1" applyAlignment="1"/>
    <xf numFmtId="43" fontId="45" fillId="6" borderId="24" xfId="0" applyNumberFormat="1" applyFont="1" applyFill="1" applyBorder="1" applyAlignment="1"/>
    <xf numFmtId="43" fontId="45" fillId="6" borderId="100" xfId="0" applyNumberFormat="1" applyFont="1" applyFill="1" applyBorder="1" applyAlignment="1"/>
    <xf numFmtId="43" fontId="39" fillId="6" borderId="25" xfId="0" applyNumberFormat="1" applyFont="1" applyFill="1" applyBorder="1" applyAlignment="1"/>
    <xf numFmtId="43" fontId="39" fillId="6" borderId="113" xfId="0" applyNumberFormat="1" applyFont="1" applyFill="1" applyBorder="1" applyAlignment="1"/>
    <xf numFmtId="43" fontId="39" fillId="6" borderId="23" xfId="0" applyNumberFormat="1" applyFont="1" applyFill="1" applyBorder="1" applyAlignment="1"/>
    <xf numFmtId="43" fontId="39" fillId="6" borderId="127" xfId="0" applyNumberFormat="1" applyFont="1" applyFill="1" applyBorder="1" applyAlignment="1"/>
    <xf numFmtId="43" fontId="39" fillId="6" borderId="86" xfId="0" applyNumberFormat="1" applyFont="1" applyFill="1" applyBorder="1" applyAlignment="1"/>
    <xf numFmtId="43" fontId="45" fillId="6" borderId="25" xfId="0" applyNumberFormat="1" applyFont="1" applyFill="1" applyBorder="1" applyAlignment="1"/>
    <xf numFmtId="43" fontId="45" fillId="6" borderId="108" xfId="0" applyNumberFormat="1" applyFont="1" applyFill="1" applyBorder="1" applyAlignment="1"/>
    <xf numFmtId="43" fontId="39" fillId="6" borderId="110" xfId="0" applyNumberFormat="1" applyFont="1" applyFill="1" applyBorder="1" applyAlignment="1"/>
    <xf numFmtId="43" fontId="39" fillId="6" borderId="106" xfId="0" applyNumberFormat="1" applyFont="1" applyFill="1" applyBorder="1" applyAlignment="1"/>
    <xf numFmtId="43" fontId="39" fillId="6" borderId="102" xfId="0" applyNumberFormat="1" applyFont="1" applyFill="1" applyBorder="1" applyAlignment="1"/>
    <xf numFmtId="164" fontId="44" fillId="6" borderId="30" xfId="1" applyNumberFormat="1" applyFont="1" applyFill="1" applyBorder="1" applyAlignment="1">
      <protection locked="0"/>
    </xf>
    <xf numFmtId="164" fontId="44" fillId="6" borderId="24" xfId="1" applyNumberFormat="1" applyFont="1" applyFill="1" applyBorder="1" applyAlignment="1">
      <protection locked="0"/>
    </xf>
    <xf numFmtId="164" fontId="43" fillId="6" borderId="24" xfId="1" applyNumberFormat="1" applyFont="1" applyFill="1" applyBorder="1" applyAlignment="1">
      <protection locked="0"/>
    </xf>
    <xf numFmtId="164" fontId="44" fillId="6" borderId="25" xfId="1" applyNumberFormat="1" applyFont="1" applyFill="1" applyBorder="1" applyAlignment="1">
      <protection locked="0"/>
    </xf>
    <xf numFmtId="164" fontId="44" fillId="6" borderId="23" xfId="1" applyNumberFormat="1" applyFont="1" applyFill="1" applyBorder="1" applyAlignment="1">
      <protection locked="0"/>
    </xf>
    <xf numFmtId="164" fontId="43" fillId="6" borderId="25" xfId="1" applyNumberFormat="1" applyFont="1" applyFill="1" applyBorder="1" applyAlignment="1">
      <protection locked="0"/>
    </xf>
    <xf numFmtId="164" fontId="44" fillId="6" borderId="106" xfId="1" applyNumberFormat="1" applyFont="1" applyFill="1" applyBorder="1" applyAlignment="1">
      <protection locked="0"/>
    </xf>
    <xf numFmtId="0" fontId="13" fillId="0" borderId="77" xfId="0" applyFont="1" applyBorder="1" applyAlignment="1">
      <alignment horizontal="center" vertical="center"/>
    </xf>
    <xf numFmtId="0" fontId="13" fillId="0" borderId="80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3" fillId="0" borderId="16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vertical="center"/>
    </xf>
    <xf numFmtId="0" fontId="16" fillId="0" borderId="16" xfId="0" applyFont="1" applyFill="1" applyBorder="1" applyAlignment="1">
      <alignment horizontal="left" vertical="center"/>
    </xf>
    <xf numFmtId="175" fontId="12" fillId="0" borderId="86" xfId="1" applyNumberFormat="1" applyFont="1" applyFill="1" applyBorder="1">
      <protection locked="0"/>
    </xf>
    <xf numFmtId="164" fontId="14" fillId="0" borderId="86" xfId="1" applyNumberFormat="1" applyFont="1" applyBorder="1">
      <protection locked="0"/>
    </xf>
    <xf numFmtId="0" fontId="13" fillId="0" borderId="21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left" vertical="center"/>
    </xf>
    <xf numFmtId="178" fontId="16" fillId="0" borderId="0" xfId="0" applyNumberFormat="1" applyFont="1">
      <alignment vertical="center"/>
    </xf>
    <xf numFmtId="164" fontId="16" fillId="0" borderId="0" xfId="0" applyNumberFormat="1" applyFont="1" applyFill="1">
      <alignment vertical="center"/>
    </xf>
    <xf numFmtId="164" fontId="12" fillId="0" borderId="53" xfId="1" applyNumberFormat="1" applyFont="1" applyBorder="1">
      <protection locked="0"/>
    </xf>
    <xf numFmtId="0" fontId="16" fillId="0" borderId="17" xfId="0" applyFont="1" applyFill="1" applyBorder="1" applyAlignment="1">
      <alignment horizontal="left" vertical="center"/>
    </xf>
    <xf numFmtId="164" fontId="14" fillId="0" borderId="128" xfId="1" applyNumberFormat="1" applyFont="1" applyBorder="1">
      <protection locked="0"/>
    </xf>
    <xf numFmtId="0" fontId="20" fillId="0" borderId="125" xfId="14" applyFont="1" applyBorder="1" applyAlignment="1">
      <alignment horizontal="left" vertical="center"/>
    </xf>
    <xf numFmtId="0" fontId="20" fillId="0" borderId="93" xfId="14" applyFont="1" applyBorder="1"/>
    <xf numFmtId="175" fontId="16" fillId="4" borderId="95" xfId="15" applyNumberFormat="1" applyFont="1" applyFill="1" applyBorder="1"/>
    <xf numFmtId="175" fontId="16" fillId="4" borderId="78" xfId="15" applyNumberFormat="1" applyFont="1" applyFill="1" applyBorder="1"/>
    <xf numFmtId="175" fontId="16" fillId="4" borderId="46" xfId="15" applyNumberFormat="1" applyFont="1" applyFill="1" applyBorder="1"/>
    <xf numFmtId="175" fontId="16" fillId="4" borderId="45" xfId="15" applyNumberFormat="1" applyFont="1" applyFill="1" applyBorder="1"/>
    <xf numFmtId="175" fontId="16" fillId="4" borderId="46" xfId="14" applyNumberFormat="1" applyFont="1" applyFill="1" applyBorder="1"/>
    <xf numFmtId="175" fontId="16" fillId="4" borderId="47" xfId="14" applyNumberFormat="1" applyFont="1" applyFill="1" applyBorder="1"/>
    <xf numFmtId="175" fontId="16" fillId="4" borderId="15" xfId="14" applyNumberFormat="1" applyFont="1" applyFill="1" applyBorder="1"/>
    <xf numFmtId="165" fontId="16" fillId="4" borderId="45" xfId="15" applyNumberFormat="1" applyFont="1" applyFill="1" applyBorder="1"/>
    <xf numFmtId="165" fontId="16" fillId="4" borderId="15" xfId="15" applyNumberFormat="1" applyFont="1" applyFill="1" applyBorder="1"/>
    <xf numFmtId="175" fontId="19" fillId="4" borderId="15" xfId="14" applyNumberFormat="1" applyFont="1" applyFill="1" applyBorder="1"/>
    <xf numFmtId="0" fontId="25" fillId="4" borderId="46" xfId="14" applyFont="1" applyFill="1" applyBorder="1" applyAlignment="1">
      <alignment horizontal="center"/>
    </xf>
    <xf numFmtId="0" fontId="25" fillId="4" borderId="47" xfId="14" applyFont="1" applyFill="1" applyBorder="1" applyAlignment="1">
      <alignment horizontal="center"/>
    </xf>
    <xf numFmtId="0" fontId="49" fillId="4" borderId="47" xfId="14" applyFont="1" applyFill="1" applyBorder="1" applyAlignment="1">
      <alignment horizontal="center"/>
    </xf>
    <xf numFmtId="164" fontId="39" fillId="4" borderId="45" xfId="15" applyNumberFormat="1" applyFont="1" applyFill="1" applyBorder="1"/>
    <xf numFmtId="164" fontId="39" fillId="4" borderId="15" xfId="15" applyNumberFormat="1" applyFont="1" applyFill="1" applyBorder="1"/>
    <xf numFmtId="164" fontId="51" fillId="4" borderId="15" xfId="15" applyNumberFormat="1" applyFont="1" applyFill="1" applyBorder="1"/>
    <xf numFmtId="164" fontId="45" fillId="4" borderId="45" xfId="15" applyNumberFormat="1" applyFont="1" applyFill="1" applyBorder="1"/>
    <xf numFmtId="164" fontId="45" fillId="4" borderId="15" xfId="15" applyNumberFormat="1" applyFont="1" applyFill="1" applyBorder="1"/>
    <xf numFmtId="164" fontId="53" fillId="4" borderId="15" xfId="15" applyNumberFormat="1" applyFont="1" applyFill="1" applyBorder="1"/>
    <xf numFmtId="181" fontId="16" fillId="0" borderId="0" xfId="14" applyNumberFormat="1" applyFont="1"/>
    <xf numFmtId="174" fontId="16" fillId="4" borderId="15" xfId="14" applyNumberFormat="1" applyFont="1" applyFill="1" applyBorder="1"/>
    <xf numFmtId="0" fontId="25" fillId="4" borderId="95" xfId="14" applyFont="1" applyFill="1" applyBorder="1" applyAlignment="1">
      <alignment horizontal="center"/>
    </xf>
    <xf numFmtId="0" fontId="25" fillId="4" borderId="78" xfId="14" applyFont="1" applyFill="1" applyBorder="1" applyAlignment="1">
      <alignment horizontal="center"/>
    </xf>
    <xf numFmtId="0" fontId="49" fillId="4" borderId="78" xfId="14" applyFont="1" applyFill="1" applyBorder="1" applyAlignment="1">
      <alignment horizontal="center"/>
    </xf>
    <xf numFmtId="0" fontId="45" fillId="4" borderId="91" xfId="14" applyFont="1" applyFill="1" applyBorder="1" applyAlignment="1">
      <alignment horizontal="center"/>
    </xf>
    <xf numFmtId="0" fontId="45" fillId="4" borderId="75" xfId="14" applyFont="1" applyFill="1" applyBorder="1" applyAlignment="1">
      <alignment horizontal="center"/>
    </xf>
    <xf numFmtId="0" fontId="53" fillId="4" borderId="75" xfId="14" applyFont="1" applyFill="1" applyBorder="1" applyAlignment="1">
      <alignment horizontal="center"/>
    </xf>
    <xf numFmtId="175" fontId="16" fillId="4" borderId="47" xfId="15" applyNumberFormat="1" applyFont="1" applyFill="1" applyBorder="1"/>
    <xf numFmtId="175" fontId="16" fillId="4" borderId="15" xfId="15" applyNumberFormat="1" applyFont="1" applyFill="1" applyBorder="1"/>
    <xf numFmtId="2" fontId="16" fillId="0" borderId="0" xfId="0" applyNumberFormat="1" applyFont="1">
      <alignment vertical="center"/>
    </xf>
    <xf numFmtId="176" fontId="45" fillId="0" borderId="0" xfId="15" applyNumberFormat="1" applyFont="1" applyFill="1" applyBorder="1"/>
    <xf numFmtId="43" fontId="45" fillId="0" borderId="0" xfId="15" applyFont="1" applyFill="1" applyBorder="1"/>
    <xf numFmtId="43" fontId="53" fillId="0" borderId="0" xfId="15" applyFont="1" applyFill="1" applyBorder="1"/>
    <xf numFmtId="175" fontId="25" fillId="4" borderId="91" xfId="15" applyNumberFormat="1" applyFont="1" applyFill="1" applyBorder="1"/>
    <xf numFmtId="175" fontId="49" fillId="4" borderId="91" xfId="15" applyNumberFormat="1" applyFont="1" applyFill="1" applyBorder="1"/>
    <xf numFmtId="175" fontId="25" fillId="0" borderId="91" xfId="15" applyNumberFormat="1" applyFont="1" applyBorder="1"/>
    <xf numFmtId="175" fontId="49" fillId="0" borderId="91" xfId="15" applyNumberFormat="1" applyFont="1" applyBorder="1"/>
    <xf numFmtId="175" fontId="42" fillId="0" borderId="73" xfId="14" applyNumberFormat="1" applyFont="1" applyBorder="1"/>
    <xf numFmtId="175" fontId="25" fillId="4" borderId="75" xfId="15" applyNumberFormat="1" applyFont="1" applyFill="1" applyBorder="1"/>
    <xf numFmtId="175" fontId="49" fillId="4" borderId="75" xfId="15" applyNumberFormat="1" applyFont="1" applyFill="1" applyBorder="1"/>
    <xf numFmtId="175" fontId="25" fillId="0" borderId="75" xfId="15" applyNumberFormat="1" applyFont="1" applyBorder="1"/>
    <xf numFmtId="175" fontId="49" fillId="0" borderId="75" xfId="15" applyNumberFormat="1" applyFont="1" applyBorder="1"/>
    <xf numFmtId="0" fontId="74" fillId="0" borderId="0" xfId="14" applyFont="1"/>
    <xf numFmtId="0" fontId="75" fillId="0" borderId="78" xfId="14" applyFont="1" applyBorder="1" applyAlignment="1">
      <alignment horizontal="center"/>
    </xf>
    <xf numFmtId="175" fontId="54" fillId="0" borderId="45" xfId="15" applyNumberFormat="1" applyFont="1" applyBorder="1"/>
    <xf numFmtId="175" fontId="16" fillId="0" borderId="16" xfId="14" applyNumberFormat="1" applyFont="1" applyBorder="1"/>
    <xf numFmtId="175" fontId="16" fillId="0" borderId="103" xfId="14" applyNumberFormat="1" applyFont="1" applyBorder="1"/>
    <xf numFmtId="175" fontId="16" fillId="0" borderId="126" xfId="15" applyNumberFormat="1" applyFont="1" applyBorder="1"/>
    <xf numFmtId="175" fontId="25" fillId="0" borderId="129" xfId="15" applyNumberFormat="1" applyFont="1" applyBorder="1"/>
    <xf numFmtId="175" fontId="49" fillId="0" borderId="129" xfId="15" applyNumberFormat="1" applyFont="1" applyBorder="1"/>
    <xf numFmtId="1" fontId="42" fillId="0" borderId="0" xfId="14" applyNumberFormat="1" applyFont="1"/>
    <xf numFmtId="164" fontId="14" fillId="0" borderId="0" xfId="1" applyNumberFormat="1" applyFont="1">
      <protection locked="0"/>
    </xf>
    <xf numFmtId="178" fontId="16" fillId="0" borderId="0" xfId="14" applyNumberFormat="1" applyFont="1"/>
    <xf numFmtId="174" fontId="16" fillId="4" borderId="15" xfId="15" applyNumberFormat="1" applyFont="1" applyFill="1" applyBorder="1"/>
    <xf numFmtId="175" fontId="16" fillId="0" borderId="45" xfId="15" applyNumberFormat="1" applyFont="1" applyBorder="1"/>
    <xf numFmtId="164" fontId="53" fillId="4" borderId="15" xfId="15" applyNumberFormat="1" applyFont="1" applyFill="1" applyBorder="1" applyAlignment="1"/>
    <xf numFmtId="164" fontId="51" fillId="4" borderId="45" xfId="15" applyNumberFormat="1" applyFont="1" applyFill="1" applyBorder="1"/>
    <xf numFmtId="0" fontId="52" fillId="0" borderId="0" xfId="14" applyFont="1" applyAlignment="1">
      <alignment horizontal="center"/>
    </xf>
    <xf numFmtId="0" fontId="52" fillId="0" borderId="0" xfId="14" applyFont="1" applyAlignment="1">
      <alignment vertical="center"/>
    </xf>
    <xf numFmtId="4" fontId="52" fillId="0" borderId="0" xfId="15" applyNumberFormat="1" applyFont="1" applyAlignment="1">
      <alignment vertical="center"/>
    </xf>
    <xf numFmtId="164" fontId="12" fillId="0" borderId="0" xfId="1" applyNumberFormat="1" applyFont="1">
      <protection locked="0"/>
    </xf>
    <xf numFmtId="164" fontId="14" fillId="0" borderId="68" xfId="1" applyNumberFormat="1" applyFont="1" applyBorder="1">
      <protection locked="0"/>
    </xf>
    <xf numFmtId="164" fontId="20" fillId="0" borderId="120" xfId="14" applyNumberFormat="1" applyFont="1" applyBorder="1"/>
    <xf numFmtId="0" fontId="14" fillId="0" borderId="0" xfId="0" applyFo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46" fillId="0" borderId="0" xfId="1" applyNumberFormat="1" applyFont="1">
      <protection locked="0"/>
    </xf>
    <xf numFmtId="175" fontId="54" fillId="0" borderId="103" xfId="14" applyNumberFormat="1" applyFont="1" applyBorder="1"/>
    <xf numFmtId="0" fontId="16" fillId="0" borderId="93" xfId="14" applyFont="1" applyBorder="1"/>
    <xf numFmtId="175" fontId="16" fillId="0" borderId="83" xfId="14" applyNumberFormat="1" applyFont="1" applyBorder="1"/>
    <xf numFmtId="175" fontId="42" fillId="0" borderId="73" xfId="15" applyNumberFormat="1" applyFont="1" applyBorder="1"/>
    <xf numFmtId="164" fontId="52" fillId="7" borderId="83" xfId="15" applyNumberFormat="1" applyFont="1" applyFill="1" applyBorder="1"/>
    <xf numFmtId="0" fontId="27" fillId="0" borderId="0" xfId="14" applyFont="1"/>
    <xf numFmtId="0" fontId="77" fillId="0" borderId="93" xfId="14" applyFont="1" applyBorder="1"/>
    <xf numFmtId="165" fontId="77" fillId="4" borderId="45" xfId="15" applyNumberFormat="1" applyFont="1" applyFill="1" applyBorder="1"/>
    <xf numFmtId="165" fontId="77" fillId="4" borderId="15" xfId="15" applyNumberFormat="1" applyFont="1" applyFill="1" applyBorder="1"/>
    <xf numFmtId="175" fontId="77" fillId="4" borderId="15" xfId="14" applyNumberFormat="1" applyFont="1" applyFill="1" applyBorder="1"/>
    <xf numFmtId="175" fontId="77" fillId="4" borderId="15" xfId="15" applyNumberFormat="1" applyFont="1" applyFill="1" applyBorder="1"/>
    <xf numFmtId="175" fontId="77" fillId="0" borderId="15" xfId="14" applyNumberFormat="1" applyFont="1" applyBorder="1"/>
    <xf numFmtId="175" fontId="77" fillId="0" borderId="15" xfId="15" applyNumberFormat="1" applyFont="1" applyBorder="1"/>
    <xf numFmtId="175" fontId="77" fillId="0" borderId="83" xfId="14" applyNumberFormat="1" applyFont="1" applyBorder="1"/>
    <xf numFmtId="0" fontId="54" fillId="0" borderId="0" xfId="14" applyFont="1"/>
    <xf numFmtId="175" fontId="54" fillId="0" borderId="78" xfId="15" applyNumberFormat="1" applyFont="1" applyBorder="1"/>
    <xf numFmtId="175" fontId="54" fillId="0" borderId="126" xfId="15" applyNumberFormat="1" applyFont="1" applyBorder="1"/>
    <xf numFmtId="175" fontId="54" fillId="0" borderId="47" xfId="14" applyNumberFormat="1" applyFont="1" applyBorder="1"/>
    <xf numFmtId="175" fontId="54" fillId="0" borderId="15" xfId="14" applyNumberFormat="1" applyFont="1" applyBorder="1"/>
    <xf numFmtId="175" fontId="54" fillId="0" borderId="46" xfId="15" applyNumberFormat="1" applyFont="1" applyBorder="1"/>
    <xf numFmtId="175" fontId="54" fillId="4" borderId="78" xfId="15" applyNumberFormat="1" applyFont="1" applyFill="1" applyBorder="1"/>
    <xf numFmtId="175" fontId="54" fillId="4" borderId="46" xfId="15" applyNumberFormat="1" applyFont="1" applyFill="1" applyBorder="1"/>
    <xf numFmtId="175" fontId="54" fillId="4" borderId="45" xfId="15" applyNumberFormat="1" applyFont="1" applyFill="1" applyBorder="1"/>
    <xf numFmtId="175" fontId="54" fillId="4" borderId="47" xfId="15" applyNumberFormat="1" applyFont="1" applyFill="1" applyBorder="1"/>
    <xf numFmtId="175" fontId="54" fillId="4" borderId="15" xfId="14" applyNumberFormat="1" applyFont="1" applyFill="1" applyBorder="1"/>
    <xf numFmtId="175" fontId="54" fillId="4" borderId="15" xfId="15" applyNumberFormat="1" applyFont="1" applyFill="1" applyBorder="1"/>
    <xf numFmtId="178" fontId="54" fillId="0" borderId="0" xfId="14" applyNumberFormat="1" applyFont="1"/>
    <xf numFmtId="175" fontId="54" fillId="4" borderId="47" xfId="14" applyNumberFormat="1" applyFont="1" applyFill="1" applyBorder="1"/>
    <xf numFmtId="175" fontId="25" fillId="0" borderId="91" xfId="15" applyNumberFormat="1" applyFont="1" applyFill="1" applyBorder="1"/>
    <xf numFmtId="175" fontId="49" fillId="0" borderId="91" xfId="15" applyNumberFormat="1" applyFont="1" applyFill="1" applyBorder="1"/>
    <xf numFmtId="0" fontId="13" fillId="0" borderId="0" xfId="14" applyFont="1"/>
    <xf numFmtId="164" fontId="12" fillId="0" borderId="120" xfId="1" applyNumberFormat="1" applyFont="1" applyBorder="1">
      <protection locked="0"/>
    </xf>
    <xf numFmtId="164" fontId="12" fillId="0" borderId="123" xfId="1" applyNumberFormat="1" applyFont="1" applyBorder="1">
      <protection locked="0"/>
    </xf>
    <xf numFmtId="0" fontId="25" fillId="0" borderId="97" xfId="14" applyFont="1" applyBorder="1" applyAlignment="1">
      <alignment horizontal="center"/>
    </xf>
    <xf numFmtId="0" fontId="45" fillId="0" borderId="99" xfId="14" applyFont="1" applyBorder="1" applyAlignment="1">
      <alignment horizontal="center"/>
    </xf>
    <xf numFmtId="0" fontId="25" fillId="0" borderId="96" xfId="14" applyFont="1" applyBorder="1" applyAlignment="1">
      <alignment horizontal="center"/>
    </xf>
    <xf numFmtId="164" fontId="39" fillId="0" borderId="16" xfId="15" applyNumberFormat="1" applyFont="1" applyBorder="1"/>
    <xf numFmtId="164" fontId="45" fillId="0" borderId="16" xfId="15" applyNumberFormat="1" applyFont="1" applyBorder="1"/>
    <xf numFmtId="175" fontId="25" fillId="0" borderId="88" xfId="15" applyNumberFormat="1" applyFont="1" applyFill="1" applyBorder="1"/>
    <xf numFmtId="175" fontId="16" fillId="0" borderId="0" xfId="15" applyNumberFormat="1" applyFont="1" applyBorder="1"/>
    <xf numFmtId="175" fontId="16" fillId="0" borderId="39" xfId="15" applyNumberFormat="1" applyFont="1" applyBorder="1"/>
    <xf numFmtId="175" fontId="16" fillId="0" borderId="96" xfId="14" applyNumberFormat="1" applyFont="1" applyBorder="1"/>
    <xf numFmtId="175" fontId="16" fillId="0" borderId="39" xfId="14" applyNumberFormat="1" applyFont="1" applyBorder="1"/>
    <xf numFmtId="175" fontId="77" fillId="0" borderId="16" xfId="15" applyNumberFormat="1" applyFont="1" applyBorder="1"/>
    <xf numFmtId="175" fontId="25" fillId="0" borderId="99" xfId="15" applyNumberFormat="1" applyFont="1" applyBorder="1"/>
    <xf numFmtId="175" fontId="55" fillId="7" borderId="78" xfId="15" applyNumberFormat="1" applyFont="1" applyFill="1" applyBorder="1"/>
    <xf numFmtId="175" fontId="55" fillId="0" borderId="98" xfId="15" applyNumberFormat="1" applyFont="1" applyFill="1" applyBorder="1"/>
    <xf numFmtId="175" fontId="25" fillId="0" borderId="129" xfId="15" applyNumberFormat="1" applyFont="1" applyFill="1" applyBorder="1"/>
    <xf numFmtId="174" fontId="16" fillId="0" borderId="47" xfId="14" applyNumberFormat="1" applyFont="1" applyBorder="1"/>
    <xf numFmtId="175" fontId="76" fillId="11" borderId="130" xfId="14" applyNumberFormat="1" applyFont="1" applyFill="1" applyBorder="1"/>
    <xf numFmtId="175" fontId="54" fillId="11" borderId="131" xfId="14" applyNumberFormat="1" applyFont="1" applyFill="1" applyBorder="1"/>
    <xf numFmtId="175" fontId="76" fillId="11" borderId="132" xfId="14" applyNumberFormat="1" applyFont="1" applyFill="1" applyBorder="1"/>
    <xf numFmtId="175" fontId="78" fillId="8" borderId="133" xfId="14" applyNumberFormat="1" applyFont="1" applyFill="1" applyBorder="1"/>
    <xf numFmtId="175" fontId="78" fillId="8" borderId="134" xfId="14" applyNumberFormat="1" applyFont="1" applyFill="1" applyBorder="1"/>
    <xf numFmtId="175" fontId="78" fillId="8" borderId="135" xfId="14" applyNumberFormat="1" applyFont="1" applyFill="1" applyBorder="1"/>
    <xf numFmtId="175" fontId="12" fillId="0" borderId="0" xfId="1" applyNumberFormat="1" applyFont="1">
      <protection locked="0"/>
    </xf>
    <xf numFmtId="178" fontId="27" fillId="0" borderId="0" xfId="14" applyNumberFormat="1" applyFont="1"/>
    <xf numFmtId="164" fontId="46" fillId="0" borderId="68" xfId="1" applyNumberFormat="1" applyFont="1" applyBorder="1">
      <protection locked="0"/>
    </xf>
    <xf numFmtId="164" fontId="14" fillId="0" borderId="0" xfId="1" applyNumberFormat="1" applyFont="1" applyBorder="1">
      <protection locked="0"/>
    </xf>
    <xf numFmtId="164" fontId="12" fillId="0" borderId="0" xfId="1" applyNumberFormat="1" applyFont="1" applyBorder="1">
      <protection locked="0"/>
    </xf>
    <xf numFmtId="0" fontId="14" fillId="0" borderId="0" xfId="0" applyFont="1" applyBorder="1" applyAlignment="1">
      <alignment vertical="center"/>
    </xf>
    <xf numFmtId="0" fontId="19" fillId="0" borderId="0" xfId="14" applyFont="1" applyBorder="1"/>
    <xf numFmtId="0" fontId="12" fillId="0" borderId="0" xfId="0" applyFont="1" applyBorder="1" applyAlignment="1">
      <alignment vertical="center"/>
    </xf>
    <xf numFmtId="0" fontId="20" fillId="0" borderId="0" xfId="14" applyFont="1" applyBorder="1"/>
    <xf numFmtId="0" fontId="16" fillId="0" borderId="0" xfId="0" applyFont="1" applyBorder="1" applyAlignment="1"/>
    <xf numFmtId="0" fontId="14" fillId="0" borderId="0" xfId="0" applyFont="1" applyBorder="1">
      <alignment vertical="center"/>
    </xf>
    <xf numFmtId="0" fontId="13" fillId="0" borderId="0" xfId="0" applyFont="1" applyBorder="1" applyAlignment="1">
      <alignment vertical="center"/>
    </xf>
    <xf numFmtId="43" fontId="19" fillId="0" borderId="0" xfId="14" applyNumberFormat="1" applyFont="1" applyBorder="1"/>
    <xf numFmtId="43" fontId="14" fillId="0" borderId="0" xfId="1" applyNumberFormat="1" applyFont="1" applyBorder="1">
      <protection locked="0"/>
    </xf>
    <xf numFmtId="164" fontId="16" fillId="0" borderId="68" xfId="0" applyNumberFormat="1" applyFont="1" applyBorder="1">
      <alignment vertical="center"/>
    </xf>
    <xf numFmtId="164" fontId="13" fillId="0" borderId="68" xfId="0" applyNumberFormat="1" applyFont="1" applyBorder="1">
      <alignment vertical="center"/>
    </xf>
    <xf numFmtId="164" fontId="13" fillId="0" borderId="123" xfId="0" applyNumberFormat="1" applyFont="1" applyBorder="1">
      <alignment vertical="center"/>
    </xf>
    <xf numFmtId="164" fontId="74" fillId="0" borderId="68" xfId="14" applyNumberFormat="1" applyFont="1" applyBorder="1"/>
    <xf numFmtId="164" fontId="19" fillId="0" borderId="68" xfId="14" applyNumberFormat="1" applyFont="1" applyBorder="1"/>
    <xf numFmtId="164" fontId="20" fillId="0" borderId="123" xfId="14" applyNumberFormat="1" applyFont="1" applyBorder="1"/>
    <xf numFmtId="164" fontId="14" fillId="0" borderId="0" xfId="1" applyNumberFormat="1" applyFont="1">
      <protection locked="0"/>
    </xf>
    <xf numFmtId="164" fontId="79" fillId="0" borderId="0" xfId="1" applyNumberFormat="1" applyFont="1">
      <protection locked="0"/>
    </xf>
    <xf numFmtId="0" fontId="42" fillId="0" borderId="0" xfId="14" applyFont="1" applyAlignment="1">
      <alignment vertical="center"/>
    </xf>
    <xf numFmtId="4" fontId="42" fillId="0" borderId="0" xfId="15" applyNumberFormat="1" applyFont="1" applyAlignment="1">
      <alignment vertical="center"/>
    </xf>
    <xf numFmtId="175" fontId="16" fillId="4" borderId="16" xfId="14" applyNumberFormat="1" applyFont="1" applyFill="1" applyBorder="1"/>
    <xf numFmtId="164" fontId="14" fillId="0" borderId="0" xfId="1" applyNumberFormat="1" applyFont="1">
      <protection locked="0"/>
    </xf>
    <xf numFmtId="164" fontId="14" fillId="0" borderId="0" xfId="1" applyNumberFormat="1" applyFont="1">
      <protection locked="0"/>
    </xf>
    <xf numFmtId="175" fontId="76" fillId="11" borderId="136" xfId="14" applyNumberFormat="1" applyFont="1" applyFill="1" applyBorder="1"/>
    <xf numFmtId="175" fontId="80" fillId="8" borderId="133" xfId="14" applyNumberFormat="1" applyFont="1" applyFill="1" applyBorder="1"/>
    <xf numFmtId="175" fontId="80" fillId="8" borderId="134" xfId="14" applyNumberFormat="1" applyFont="1" applyFill="1" applyBorder="1"/>
    <xf numFmtId="175" fontId="80" fillId="8" borderId="135" xfId="14" applyNumberFormat="1" applyFont="1" applyFill="1" applyBorder="1"/>
    <xf numFmtId="43" fontId="20" fillId="0" borderId="0" xfId="14" applyNumberFormat="1" applyFont="1"/>
    <xf numFmtId="164" fontId="14" fillId="0" borderId="0" xfId="1" applyNumberFormat="1" applyFont="1">
      <protection locked="0"/>
    </xf>
    <xf numFmtId="164" fontId="50" fillId="8" borderId="83" xfId="15" applyNumberFormat="1" applyFont="1" applyFill="1" applyBorder="1"/>
    <xf numFmtId="164" fontId="13" fillId="0" borderId="0" xfId="0" applyNumberFormat="1" applyFont="1" applyBorder="1">
      <alignment vertical="center"/>
    </xf>
    <xf numFmtId="164" fontId="19" fillId="0" borderId="0" xfId="14" applyNumberFormat="1" applyFont="1" applyBorder="1"/>
    <xf numFmtId="164" fontId="20" fillId="0" borderId="0" xfId="14" applyNumberFormat="1" applyFont="1" applyBorder="1"/>
    <xf numFmtId="0" fontId="20" fillId="0" borderId="0" xfId="14" applyFont="1" applyAlignment="1">
      <alignment vertical="center"/>
    </xf>
    <xf numFmtId="0" fontId="19" fillId="0" borderId="0" xfId="14" applyFont="1" applyAlignment="1">
      <alignment vertical="center"/>
    </xf>
    <xf numFmtId="0" fontId="16" fillId="0" borderId="0" xfId="0" applyFont="1" applyBorder="1" applyAlignment="1">
      <alignment vertical="center"/>
    </xf>
    <xf numFmtId="4" fontId="52" fillId="0" borderId="0" xfId="15" applyNumberFormat="1" applyFont="1" applyAlignment="1">
      <alignment horizontal="center" vertical="center"/>
    </xf>
    <xf numFmtId="43" fontId="0" fillId="0" borderId="0" xfId="0" applyNumberFormat="1">
      <alignment vertical="center"/>
    </xf>
    <xf numFmtId="0" fontId="19" fillId="0" borderId="93" xfId="14" applyFont="1" applyBorder="1" applyAlignment="1">
      <alignment vertical="center"/>
    </xf>
    <xf numFmtId="175" fontId="16" fillId="4" borderId="47" xfId="15" applyNumberFormat="1" applyFont="1" applyFill="1" applyBorder="1" applyAlignment="1">
      <alignment vertical="center"/>
    </xf>
    <xf numFmtId="175" fontId="16" fillId="4" borderId="47" xfId="14" applyNumberFormat="1" applyFont="1" applyFill="1" applyBorder="1" applyAlignment="1">
      <alignment vertical="center"/>
    </xf>
    <xf numFmtId="175" fontId="54" fillId="4" borderId="47" xfId="14" applyNumberFormat="1" applyFont="1" applyFill="1" applyBorder="1" applyAlignment="1">
      <alignment vertical="center"/>
    </xf>
    <xf numFmtId="175" fontId="16" fillId="4" borderId="15" xfId="14" applyNumberFormat="1" applyFont="1" applyFill="1" applyBorder="1" applyAlignment="1">
      <alignment vertical="center"/>
    </xf>
    <xf numFmtId="175" fontId="54" fillId="4" borderId="47" xfId="15" applyNumberFormat="1" applyFont="1" applyFill="1" applyBorder="1" applyAlignment="1">
      <alignment vertical="center"/>
    </xf>
    <xf numFmtId="175" fontId="54" fillId="4" borderId="15" xfId="14" applyNumberFormat="1" applyFont="1" applyFill="1" applyBorder="1" applyAlignment="1">
      <alignment vertical="center"/>
    </xf>
    <xf numFmtId="175" fontId="16" fillId="0" borderId="96" xfId="14" applyNumberFormat="1" applyFont="1" applyBorder="1" applyAlignment="1">
      <alignment vertical="center"/>
    </xf>
    <xf numFmtId="175" fontId="19" fillId="0" borderId="83" xfId="14" applyNumberFormat="1" applyFont="1" applyBorder="1" applyAlignment="1">
      <alignment vertical="center"/>
    </xf>
    <xf numFmtId="175" fontId="16" fillId="0" borderId="39" xfId="14" applyNumberFormat="1" applyFont="1" applyBorder="1" applyAlignment="1">
      <alignment vertical="center"/>
    </xf>
    <xf numFmtId="165" fontId="16" fillId="4" borderId="45" xfId="15" applyNumberFormat="1" applyFont="1" applyFill="1" applyBorder="1" applyAlignment="1">
      <alignment vertical="center"/>
    </xf>
    <xf numFmtId="165" fontId="16" fillId="4" borderId="15" xfId="15" applyNumberFormat="1" applyFont="1" applyFill="1" applyBorder="1" applyAlignment="1">
      <alignment vertical="center"/>
    </xf>
    <xf numFmtId="174" fontId="16" fillId="4" borderId="15" xfId="14" applyNumberFormat="1" applyFont="1" applyFill="1" applyBorder="1" applyAlignment="1">
      <alignment vertical="center"/>
    </xf>
    <xf numFmtId="175" fontId="16" fillId="4" borderId="15" xfId="15" applyNumberFormat="1" applyFont="1" applyFill="1" applyBorder="1" applyAlignment="1">
      <alignment vertical="center"/>
    </xf>
    <xf numFmtId="175" fontId="54" fillId="4" borderId="15" xfId="15" applyNumberFormat="1" applyFont="1" applyFill="1" applyBorder="1" applyAlignment="1">
      <alignment vertical="center"/>
    </xf>
    <xf numFmtId="175" fontId="16" fillId="0" borderId="16" xfId="14" applyNumberFormat="1" applyFont="1" applyBorder="1" applyAlignment="1">
      <alignment vertical="center"/>
    </xf>
    <xf numFmtId="164" fontId="14" fillId="0" borderId="0" xfId="1" applyNumberFormat="1" applyFont="1" applyAlignment="1">
      <alignment vertical="center"/>
      <protection locked="0"/>
    </xf>
    <xf numFmtId="174" fontId="16" fillId="4" borderId="15" xfId="15" applyNumberFormat="1" applyFont="1" applyFill="1" applyBorder="1" applyAlignment="1">
      <alignment vertical="center"/>
    </xf>
    <xf numFmtId="164" fontId="14" fillId="0" borderId="0" xfId="1" applyNumberFormat="1" applyFont="1" applyBorder="1" applyAlignment="1">
      <alignment vertical="center"/>
      <protection locked="0"/>
    </xf>
    <xf numFmtId="0" fontId="16" fillId="0" borderId="93" xfId="14" applyFont="1" applyBorder="1" applyAlignment="1">
      <alignment vertical="center"/>
    </xf>
    <xf numFmtId="0" fontId="74" fillId="0" borderId="0" xfId="14" applyFont="1" applyAlignment="1">
      <alignment vertical="center"/>
    </xf>
    <xf numFmtId="164" fontId="16" fillId="0" borderId="0" xfId="0" applyNumberFormat="1" applyFont="1" applyBorder="1" applyAlignment="1">
      <alignment vertical="center"/>
    </xf>
    <xf numFmtId="0" fontId="77" fillId="0" borderId="93" xfId="14" applyFont="1" applyBorder="1" applyAlignment="1">
      <alignment vertical="center"/>
    </xf>
    <xf numFmtId="165" fontId="77" fillId="4" borderId="45" xfId="15" applyNumberFormat="1" applyFont="1" applyFill="1" applyBorder="1" applyAlignment="1">
      <alignment vertical="center"/>
    </xf>
    <xf numFmtId="165" fontId="77" fillId="4" borderId="15" xfId="15" applyNumberFormat="1" applyFont="1" applyFill="1" applyBorder="1" applyAlignment="1">
      <alignment vertical="center"/>
    </xf>
    <xf numFmtId="175" fontId="77" fillId="4" borderId="15" xfId="14" applyNumberFormat="1" applyFont="1" applyFill="1" applyBorder="1" applyAlignment="1">
      <alignment vertical="center"/>
    </xf>
    <xf numFmtId="175" fontId="77" fillId="4" borderId="15" xfId="15" applyNumberFormat="1" applyFont="1" applyFill="1" applyBorder="1" applyAlignment="1">
      <alignment vertical="center"/>
    </xf>
    <xf numFmtId="175" fontId="77" fillId="0" borderId="16" xfId="15" applyNumberFormat="1" applyFont="1" applyBorder="1" applyAlignment="1">
      <alignment vertical="center"/>
    </xf>
    <xf numFmtId="175" fontId="77" fillId="0" borderId="83" xfId="14" applyNumberFormat="1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175" fontId="19" fillId="4" borderId="15" xfId="14" applyNumberFormat="1" applyFont="1" applyFill="1" applyBorder="1" applyAlignment="1">
      <alignment vertical="center"/>
    </xf>
    <xf numFmtId="0" fontId="20" fillId="0" borderId="94" xfId="14" applyFont="1" applyBorder="1" applyAlignment="1">
      <alignment vertical="center"/>
    </xf>
    <xf numFmtId="175" fontId="25" fillId="4" borderId="75" xfId="15" applyNumberFormat="1" applyFont="1" applyFill="1" applyBorder="1" applyAlignment="1">
      <alignment vertical="center"/>
    </xf>
    <xf numFmtId="175" fontId="49" fillId="4" borderId="75" xfId="15" applyNumberFormat="1" applyFont="1" applyFill="1" applyBorder="1" applyAlignment="1">
      <alignment vertical="center"/>
    </xf>
    <xf numFmtId="175" fontId="25" fillId="0" borderId="99" xfId="15" applyNumberFormat="1" applyFont="1" applyBorder="1" applyAlignment="1">
      <alignment vertical="center"/>
    </xf>
    <xf numFmtId="175" fontId="42" fillId="0" borderId="73" xfId="14" applyNumberFormat="1" applyFont="1" applyBorder="1" applyAlignment="1">
      <alignment vertical="center"/>
    </xf>
    <xf numFmtId="164" fontId="12" fillId="0" borderId="0" xfId="1" applyNumberFormat="1" applyFont="1" applyBorder="1" applyAlignment="1">
      <alignment vertical="center"/>
      <protection locked="0"/>
    </xf>
    <xf numFmtId="0" fontId="19" fillId="0" borderId="92" xfId="14" applyFont="1" applyBorder="1" applyAlignment="1">
      <alignment vertical="center"/>
    </xf>
    <xf numFmtId="175" fontId="16" fillId="4" borderId="95" xfId="15" applyNumberFormat="1" applyFont="1" applyFill="1" applyBorder="1" applyAlignment="1">
      <alignment vertical="center"/>
    </xf>
    <xf numFmtId="175" fontId="16" fillId="4" borderId="78" xfId="15" applyNumberFormat="1" applyFont="1" applyFill="1" applyBorder="1" applyAlignment="1">
      <alignment vertical="center"/>
    </xf>
    <xf numFmtId="175" fontId="54" fillId="4" borderId="78" xfId="15" applyNumberFormat="1" applyFont="1" applyFill="1" applyBorder="1" applyAlignment="1">
      <alignment vertical="center"/>
    </xf>
    <xf numFmtId="175" fontId="55" fillId="7" borderId="78" xfId="15" applyNumberFormat="1" applyFont="1" applyFill="1" applyBorder="1" applyAlignment="1">
      <alignment vertical="center"/>
    </xf>
    <xf numFmtId="175" fontId="19" fillId="0" borderId="79" xfId="14" applyNumberFormat="1" applyFont="1" applyBorder="1" applyAlignment="1">
      <alignment vertical="center"/>
    </xf>
    <xf numFmtId="0" fontId="19" fillId="0" borderId="125" xfId="14" applyFont="1" applyBorder="1" applyAlignment="1">
      <alignment vertical="center"/>
    </xf>
    <xf numFmtId="175" fontId="16" fillId="4" borderId="46" xfId="15" applyNumberFormat="1" applyFont="1" applyFill="1" applyBorder="1" applyAlignment="1">
      <alignment vertical="center"/>
    </xf>
    <xf numFmtId="175" fontId="54" fillId="4" borderId="46" xfId="15" applyNumberFormat="1" applyFont="1" applyFill="1" applyBorder="1" applyAlignment="1">
      <alignment vertical="center"/>
    </xf>
    <xf numFmtId="175" fontId="16" fillId="0" borderId="0" xfId="15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8" fillId="0" borderId="0" xfId="1" applyNumberFormat="1" applyAlignment="1">
      <alignment vertical="center"/>
      <protection locked="0"/>
    </xf>
    <xf numFmtId="175" fontId="16" fillId="4" borderId="45" xfId="15" applyNumberFormat="1" applyFont="1" applyFill="1" applyBorder="1" applyAlignment="1">
      <alignment vertical="center"/>
    </xf>
    <xf numFmtId="175" fontId="54" fillId="4" borderId="45" xfId="15" applyNumberFormat="1" applyFont="1" applyFill="1" applyBorder="1" applyAlignment="1">
      <alignment vertical="center"/>
    </xf>
    <xf numFmtId="175" fontId="16" fillId="0" borderId="39" xfId="15" applyNumberFormat="1" applyFont="1" applyBorder="1" applyAlignment="1">
      <alignment vertical="center"/>
    </xf>
    <xf numFmtId="175" fontId="25" fillId="4" borderId="91" xfId="15" applyNumberFormat="1" applyFont="1" applyFill="1" applyBorder="1" applyAlignment="1">
      <alignment vertical="center"/>
    </xf>
    <xf numFmtId="175" fontId="49" fillId="4" borderId="91" xfId="15" applyNumberFormat="1" applyFont="1" applyFill="1" applyBorder="1" applyAlignment="1">
      <alignment vertical="center"/>
    </xf>
    <xf numFmtId="175" fontId="55" fillId="0" borderId="98" xfId="15" applyNumberFormat="1" applyFont="1" applyFill="1" applyBorder="1" applyAlignment="1">
      <alignment vertical="center"/>
    </xf>
    <xf numFmtId="0" fontId="25" fillId="4" borderId="95" xfId="14" applyFont="1" applyFill="1" applyBorder="1" applyAlignment="1">
      <alignment horizontal="center" vertical="center"/>
    </xf>
    <xf numFmtId="0" fontId="25" fillId="4" borderId="78" xfId="14" applyFont="1" applyFill="1" applyBorder="1" applyAlignment="1">
      <alignment horizontal="center" vertical="center"/>
    </xf>
    <xf numFmtId="0" fontId="49" fillId="4" borderId="78" xfId="14" applyFont="1" applyFill="1" applyBorder="1" applyAlignment="1">
      <alignment horizontal="center" vertical="center"/>
    </xf>
    <xf numFmtId="0" fontId="25" fillId="0" borderId="97" xfId="14" applyFont="1" applyBorder="1" applyAlignment="1">
      <alignment horizontal="center" vertical="center"/>
    </xf>
    <xf numFmtId="0" fontId="27" fillId="0" borderId="0" xfId="14" applyFont="1" applyAlignment="1">
      <alignment vertical="center"/>
    </xf>
    <xf numFmtId="1" fontId="42" fillId="0" borderId="0" xfId="14" applyNumberFormat="1" applyFont="1" applyAlignment="1">
      <alignment vertical="center"/>
    </xf>
    <xf numFmtId="0" fontId="45" fillId="4" borderId="91" xfId="14" applyFont="1" applyFill="1" applyBorder="1" applyAlignment="1">
      <alignment horizontal="center" vertical="center"/>
    </xf>
    <xf numFmtId="0" fontId="45" fillId="4" borderId="75" xfId="14" applyFont="1" applyFill="1" applyBorder="1" applyAlignment="1">
      <alignment horizontal="center" vertical="center"/>
    </xf>
    <xf numFmtId="0" fontId="53" fillId="4" borderId="75" xfId="14" applyFont="1" applyFill="1" applyBorder="1" applyAlignment="1">
      <alignment horizontal="center" vertical="center"/>
    </xf>
    <xf numFmtId="0" fontId="45" fillId="0" borderId="99" xfId="14" applyFont="1" applyBorder="1" applyAlignment="1">
      <alignment horizontal="center" vertical="center"/>
    </xf>
    <xf numFmtId="0" fontId="16" fillId="0" borderId="0" xfId="14" applyFont="1" applyAlignment="1">
      <alignment vertical="center"/>
    </xf>
    <xf numFmtId="0" fontId="54" fillId="0" borderId="0" xfId="14" applyFont="1" applyAlignment="1">
      <alignment vertical="center"/>
    </xf>
    <xf numFmtId="181" fontId="16" fillId="0" borderId="0" xfId="14" applyNumberFormat="1" applyFont="1" applyAlignment="1">
      <alignment vertical="center"/>
    </xf>
    <xf numFmtId="43" fontId="16" fillId="0" borderId="0" xfId="14" applyNumberFormat="1" applyFont="1" applyAlignment="1">
      <alignment vertical="center"/>
    </xf>
    <xf numFmtId="178" fontId="27" fillId="0" borderId="0" xfId="14" applyNumberFormat="1" applyFont="1" applyAlignment="1">
      <alignment vertical="center"/>
    </xf>
    <xf numFmtId="178" fontId="19" fillId="0" borderId="0" xfId="14" applyNumberFormat="1" applyFont="1" applyAlignment="1">
      <alignment vertical="center"/>
    </xf>
    <xf numFmtId="0" fontId="20" fillId="0" borderId="137" xfId="14" applyFont="1" applyBorder="1" applyAlignment="1">
      <alignment vertical="center"/>
    </xf>
    <xf numFmtId="0" fontId="20" fillId="0" borderId="124" xfId="14" applyFont="1" applyBorder="1" applyAlignment="1">
      <alignment vertical="center"/>
    </xf>
    <xf numFmtId="0" fontId="19" fillId="0" borderId="121" xfId="14" applyFont="1" applyBorder="1" applyAlignment="1">
      <alignment vertical="center"/>
    </xf>
    <xf numFmtId="0" fontId="20" fillId="0" borderId="64" xfId="14" applyFont="1" applyBorder="1" applyAlignment="1">
      <alignment vertical="center"/>
    </xf>
    <xf numFmtId="0" fontId="20" fillId="0" borderId="68" xfId="14" applyFont="1" applyBorder="1" applyAlignment="1">
      <alignment vertical="center"/>
    </xf>
    <xf numFmtId="0" fontId="12" fillId="0" borderId="124" xfId="0" applyFont="1" applyBorder="1" applyAlignment="1">
      <alignment vertical="center"/>
    </xf>
    <xf numFmtId="164" fontId="14" fillId="0" borderId="0" xfId="1" applyNumberFormat="1" applyFont="1">
      <protection locked="0"/>
    </xf>
    <xf numFmtId="164" fontId="14" fillId="0" borderId="138" xfId="1" applyNumberFormat="1" applyFont="1" applyBorder="1">
      <protection locked="0"/>
    </xf>
    <xf numFmtId="175" fontId="54" fillId="4" borderId="16" xfId="14" applyNumberFormat="1" applyFont="1" applyFill="1" applyBorder="1" applyAlignment="1">
      <alignment vertical="center"/>
    </xf>
    <xf numFmtId="0" fontId="75" fillId="4" borderId="78" xfId="14" applyFont="1" applyFill="1" applyBorder="1" applyAlignment="1">
      <alignment horizontal="center" vertical="center"/>
    </xf>
    <xf numFmtId="175" fontId="16" fillId="4" borderId="126" xfId="15" applyNumberFormat="1" applyFont="1" applyFill="1" applyBorder="1" applyAlignment="1">
      <alignment vertical="center"/>
    </xf>
    <xf numFmtId="175" fontId="54" fillId="4" borderId="126" xfId="15" applyNumberFormat="1" applyFont="1" applyFill="1" applyBorder="1" applyAlignment="1">
      <alignment vertical="center"/>
    </xf>
    <xf numFmtId="175" fontId="81" fillId="4" borderId="126" xfId="15" applyNumberFormat="1" applyFont="1" applyFill="1" applyBorder="1" applyAlignment="1">
      <alignment vertical="center"/>
    </xf>
    <xf numFmtId="175" fontId="25" fillId="4" borderId="129" xfId="15" applyNumberFormat="1" applyFont="1" applyFill="1" applyBorder="1" applyAlignment="1">
      <alignment vertical="center"/>
    </xf>
    <xf numFmtId="175" fontId="49" fillId="4" borderId="129" xfId="15" applyNumberFormat="1" applyFont="1" applyFill="1" applyBorder="1" applyAlignment="1">
      <alignment vertical="center"/>
    </xf>
    <xf numFmtId="175" fontId="16" fillId="4" borderId="103" xfId="14" applyNumberFormat="1" applyFont="1" applyFill="1" applyBorder="1" applyAlignment="1">
      <alignment vertical="center"/>
    </xf>
    <xf numFmtId="174" fontId="16" fillId="4" borderId="47" xfId="14" applyNumberFormat="1" applyFont="1" applyFill="1" applyBorder="1" applyAlignment="1">
      <alignment vertical="center"/>
    </xf>
    <xf numFmtId="175" fontId="81" fillId="4" borderId="15" xfId="14" applyNumberFormat="1" applyFont="1" applyFill="1" applyBorder="1" applyAlignment="1">
      <alignment vertical="center"/>
    </xf>
    <xf numFmtId="175" fontId="82" fillId="8" borderId="71" xfId="14" applyNumberFormat="1" applyFont="1" applyFill="1" applyBorder="1" applyAlignment="1">
      <alignment vertical="center"/>
    </xf>
    <xf numFmtId="175" fontId="82" fillId="8" borderId="70" xfId="14" applyNumberFormat="1" applyFont="1" applyFill="1" applyBorder="1" applyAlignment="1">
      <alignment vertical="center"/>
    </xf>
    <xf numFmtId="175" fontId="13" fillId="5" borderId="72" xfId="14" applyNumberFormat="1" applyFont="1" applyFill="1" applyBorder="1" applyAlignment="1">
      <alignment vertical="center"/>
    </xf>
    <xf numFmtId="182" fontId="16" fillId="0" borderId="0" xfId="0" applyNumberFormat="1" applyFont="1" applyAlignment="1">
      <alignment vertical="center"/>
    </xf>
    <xf numFmtId="164" fontId="13" fillId="0" borderId="0" xfId="0" applyNumberFormat="1" applyFont="1" applyBorder="1" applyAlignment="1">
      <alignment horizontal="center" vertical="center"/>
    </xf>
    <xf numFmtId="175" fontId="16" fillId="4" borderId="16" xfId="14" applyNumberFormat="1" applyFont="1" applyFill="1" applyBorder="1" applyAlignment="1">
      <alignment vertical="center"/>
    </xf>
    <xf numFmtId="175" fontId="16" fillId="4" borderId="45" xfId="14" applyNumberFormat="1" applyFont="1" applyFill="1" applyBorder="1" applyAlignment="1">
      <alignment vertical="center"/>
    </xf>
    <xf numFmtId="177" fontId="42" fillId="0" borderId="0" xfId="15" applyNumberFormat="1" applyFont="1" applyAlignment="1">
      <alignment vertical="center"/>
    </xf>
    <xf numFmtId="0" fontId="19" fillId="0" borderId="18" xfId="14" applyFont="1" applyBorder="1" applyAlignment="1">
      <alignment vertical="center"/>
    </xf>
    <xf numFmtId="0" fontId="20" fillId="0" borderId="18" xfId="14" applyFont="1" applyBorder="1" applyAlignment="1">
      <alignment vertical="center"/>
    </xf>
    <xf numFmtId="0" fontId="20" fillId="0" borderId="19" xfId="14" applyFont="1" applyBorder="1"/>
    <xf numFmtId="164" fontId="14" fillId="0" borderId="60" xfId="1" applyNumberFormat="1" applyFont="1" applyBorder="1" applyAlignment="1">
      <alignment vertical="center"/>
      <protection locked="0"/>
    </xf>
    <xf numFmtId="164" fontId="13" fillId="0" borderId="61" xfId="0" applyNumberFormat="1" applyFont="1" applyBorder="1">
      <alignment vertical="center"/>
    </xf>
    <xf numFmtId="0" fontId="19" fillId="0" borderId="62" xfId="14" applyFont="1" applyBorder="1" applyAlignment="1">
      <alignment vertical="center"/>
    </xf>
    <xf numFmtId="164" fontId="16" fillId="0" borderId="63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3" fillId="0" borderId="57" xfId="0" applyFont="1" applyBorder="1" applyAlignment="1">
      <alignment horizontal="center" vertical="center"/>
    </xf>
    <xf numFmtId="0" fontId="20" fillId="0" borderId="21" xfId="14" applyFont="1" applyBorder="1" applyAlignment="1">
      <alignment horizontal="center" vertical="center"/>
    </xf>
    <xf numFmtId="164" fontId="14" fillId="0" borderId="18" xfId="1" applyNumberFormat="1" applyFont="1" applyBorder="1" applyAlignment="1">
      <alignment vertical="center"/>
      <protection locked="0"/>
    </xf>
    <xf numFmtId="164" fontId="13" fillId="0" borderId="18" xfId="0" applyNumberFormat="1" applyFont="1" applyBorder="1" applyAlignment="1">
      <alignment vertical="center"/>
    </xf>
    <xf numFmtId="164" fontId="16" fillId="0" borderId="19" xfId="0" applyNumberFormat="1" applyFont="1" applyBorder="1">
      <alignment vertical="center"/>
    </xf>
    <xf numFmtId="0" fontId="12" fillId="0" borderId="29" xfId="0" applyFont="1" applyBorder="1" applyAlignment="1">
      <alignment vertical="center"/>
    </xf>
    <xf numFmtId="0" fontId="14" fillId="0" borderId="9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164" fontId="46" fillId="0" borderId="62" xfId="1" applyNumberFormat="1" applyFont="1" applyBorder="1" applyAlignment="1">
      <alignment vertical="center"/>
      <protection locked="0"/>
    </xf>
    <xf numFmtId="164" fontId="20" fillId="0" borderId="18" xfId="14" applyNumberFormat="1" applyFont="1" applyBorder="1" applyAlignment="1">
      <alignment vertical="center"/>
    </xf>
    <xf numFmtId="164" fontId="19" fillId="0" borderId="18" xfId="14" applyNumberFormat="1" applyFont="1" applyBorder="1" applyAlignment="1">
      <alignment vertical="center"/>
    </xf>
    <xf numFmtId="164" fontId="20" fillId="0" borderId="19" xfId="14" applyNumberFormat="1" applyFont="1" applyBorder="1"/>
    <xf numFmtId="164" fontId="46" fillId="0" borderId="62" xfId="0" applyNumberFormat="1" applyFont="1" applyBorder="1" applyAlignment="1">
      <alignment vertical="center"/>
    </xf>
    <xf numFmtId="164" fontId="14" fillId="0" borderId="63" xfId="1" applyNumberFormat="1" applyFont="1" applyBorder="1" applyAlignment="1">
      <alignment vertical="center"/>
      <protection locked="0"/>
    </xf>
    <xf numFmtId="164" fontId="13" fillId="0" borderId="61" xfId="0" applyNumberFormat="1" applyFont="1" applyBorder="1" applyAlignment="1">
      <alignment vertical="center"/>
    </xf>
    <xf numFmtId="164" fontId="13" fillId="0" borderId="2" xfId="0" applyNumberFormat="1" applyFont="1" applyBorder="1" applyAlignment="1">
      <alignment horizontal="center" vertical="center"/>
    </xf>
    <xf numFmtId="164" fontId="14" fillId="0" borderId="3" xfId="1" applyNumberFormat="1" applyFont="1" applyBorder="1" applyAlignment="1">
      <alignment vertical="center"/>
      <protection locked="0"/>
    </xf>
    <xf numFmtId="164" fontId="14" fillId="0" borderId="4" xfId="1" applyNumberFormat="1" applyFont="1" applyBorder="1" applyAlignment="1">
      <alignment vertical="center"/>
      <protection locked="0"/>
    </xf>
    <xf numFmtId="164" fontId="12" fillId="0" borderId="4" xfId="1" applyNumberFormat="1" applyFont="1" applyBorder="1" applyAlignment="1">
      <alignment vertical="center"/>
      <protection locked="0"/>
    </xf>
    <xf numFmtId="164" fontId="16" fillId="0" borderId="4" xfId="0" applyNumberFormat="1" applyFont="1" applyBorder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19" fillId="0" borderId="0" xfId="14" applyFont="1" applyBorder="1" applyAlignment="1">
      <alignment vertical="center"/>
    </xf>
    <xf numFmtId="0" fontId="20" fillId="0" borderId="0" xfId="14" applyFont="1" applyBorder="1" applyAlignment="1">
      <alignment horizontal="center" vertical="center"/>
    </xf>
    <xf numFmtId="164" fontId="20" fillId="0" borderId="2" xfId="14" applyNumberFormat="1" applyFont="1" applyBorder="1" applyAlignment="1">
      <alignment horizontal="center" vertical="center"/>
    </xf>
    <xf numFmtId="164" fontId="19" fillId="0" borderId="3" xfId="14" applyNumberFormat="1" applyFont="1" applyBorder="1" applyAlignment="1">
      <alignment vertical="center"/>
    </xf>
    <xf numFmtId="164" fontId="16" fillId="0" borderId="3" xfId="14" applyNumberFormat="1" applyFont="1" applyBorder="1" applyAlignment="1">
      <alignment vertical="center"/>
    </xf>
    <xf numFmtId="164" fontId="19" fillId="0" borderId="4" xfId="14" applyNumberFormat="1" applyFont="1" applyBorder="1" applyAlignment="1">
      <alignment vertical="center"/>
    </xf>
    <xf numFmtId="164" fontId="20" fillId="0" borderId="4" xfId="14" applyNumberFormat="1" applyFont="1" applyBorder="1" applyAlignment="1">
      <alignment vertical="center"/>
    </xf>
    <xf numFmtId="0" fontId="19" fillId="0" borderId="64" xfId="14" applyFont="1" applyBorder="1" applyAlignment="1">
      <alignment vertical="center"/>
    </xf>
    <xf numFmtId="0" fontId="14" fillId="0" borderId="68" xfId="0" applyFont="1" applyBorder="1" applyAlignment="1">
      <alignment vertical="center"/>
    </xf>
    <xf numFmtId="164" fontId="20" fillId="0" borderId="2" xfId="14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  <protection locked="0"/>
    </xf>
    <xf numFmtId="0" fontId="0" fillId="0" borderId="1" xfId="0" applyBorder="1" applyAlignment="1"/>
    <xf numFmtId="0" fontId="7" fillId="0" borderId="1" xfId="0" applyFont="1" applyBorder="1" applyAlignment="1"/>
    <xf numFmtId="0" fontId="16" fillId="12" borderId="58" xfId="0" applyFont="1" applyFill="1" applyBorder="1">
      <alignment vertical="center"/>
    </xf>
    <xf numFmtId="164" fontId="8" fillId="12" borderId="44" xfId="1" applyNumberFormat="1" applyFill="1" applyBorder="1">
      <protection locked="0"/>
    </xf>
    <xf numFmtId="0" fontId="16" fillId="12" borderId="18" xfId="0" applyFont="1" applyFill="1" applyBorder="1">
      <alignment vertical="center"/>
    </xf>
    <xf numFmtId="164" fontId="8" fillId="12" borderId="15" xfId="1" applyNumberFormat="1" applyFill="1" applyBorder="1">
      <protection locked="0"/>
    </xf>
    <xf numFmtId="0" fontId="16" fillId="9" borderId="58" xfId="0" applyFont="1" applyFill="1" applyBorder="1">
      <alignment vertical="center"/>
    </xf>
    <xf numFmtId="164" fontId="8" fillId="9" borderId="44" xfId="1" applyNumberFormat="1" applyFill="1" applyBorder="1">
      <protection locked="0"/>
    </xf>
    <xf numFmtId="0" fontId="16" fillId="9" borderId="18" xfId="0" applyFont="1" applyFill="1" applyBorder="1">
      <alignment vertical="center"/>
    </xf>
    <xf numFmtId="164" fontId="8" fillId="9" borderId="15" xfId="1" applyNumberFormat="1" applyFill="1" applyBorder="1">
      <protection locked="0"/>
    </xf>
    <xf numFmtId="0" fontId="16" fillId="7" borderId="62" xfId="0" applyFont="1" applyFill="1" applyBorder="1">
      <alignment vertical="center"/>
    </xf>
    <xf numFmtId="164" fontId="8" fillId="7" borderId="47" xfId="1" applyNumberFormat="1" applyFill="1" applyBorder="1">
      <protection locked="0"/>
    </xf>
    <xf numFmtId="0" fontId="16" fillId="7" borderId="18" xfId="0" applyFont="1" applyFill="1" applyBorder="1">
      <alignment vertical="center"/>
    </xf>
    <xf numFmtId="164" fontId="8" fillId="7" borderId="15" xfId="1" applyNumberFormat="1" applyFill="1" applyBorder="1">
      <protection locked="0"/>
    </xf>
    <xf numFmtId="0" fontId="13" fillId="0" borderId="139" xfId="0" applyFont="1" applyBorder="1" applyAlignment="1">
      <alignment vertical="top"/>
    </xf>
    <xf numFmtId="0" fontId="13" fillId="0" borderId="140" xfId="0" applyFont="1" applyBorder="1" applyAlignment="1">
      <alignment horizontal="center" vertical="top" wrapText="1"/>
    </xf>
    <xf numFmtId="0" fontId="13" fillId="0" borderId="141" xfId="0" applyFont="1" applyBorder="1" applyAlignment="1">
      <alignment vertical="top" wrapText="1"/>
    </xf>
    <xf numFmtId="0" fontId="16" fillId="12" borderId="69" xfId="0" applyFont="1" applyFill="1" applyBorder="1">
      <alignment vertical="center"/>
    </xf>
    <xf numFmtId="0" fontId="16" fillId="12" borderId="16" xfId="0" applyFont="1" applyFill="1" applyBorder="1">
      <alignment vertical="center"/>
    </xf>
    <xf numFmtId="0" fontId="16" fillId="9" borderId="69" xfId="0" applyFont="1" applyFill="1" applyBorder="1">
      <alignment vertical="center"/>
    </xf>
    <xf numFmtId="0" fontId="16" fillId="9" borderId="16" xfId="0" applyFont="1" applyFill="1" applyBorder="1">
      <alignment vertical="center"/>
    </xf>
    <xf numFmtId="0" fontId="16" fillId="7" borderId="96" xfId="0" applyFont="1" applyFill="1" applyBorder="1">
      <alignment vertical="center"/>
    </xf>
    <xf numFmtId="0" fontId="16" fillId="7" borderId="16" xfId="0" applyFont="1" applyFill="1" applyBorder="1">
      <alignment vertical="center"/>
    </xf>
    <xf numFmtId="0" fontId="13" fillId="0" borderId="142" xfId="0" applyFont="1" applyBorder="1" applyAlignment="1">
      <alignment horizontal="center" vertical="top" wrapText="1"/>
    </xf>
    <xf numFmtId="164" fontId="8" fillId="12" borderId="143" xfId="1" applyNumberFormat="1" applyFill="1" applyBorder="1">
      <protection locked="0"/>
    </xf>
    <xf numFmtId="164" fontId="8" fillId="12" borderId="45" xfId="1" applyNumberFormat="1" applyFill="1" applyBorder="1">
      <protection locked="0"/>
    </xf>
    <xf numFmtId="164" fontId="8" fillId="9" borderId="143" xfId="1" applyNumberFormat="1" applyFill="1" applyBorder="1">
      <protection locked="0"/>
    </xf>
    <xf numFmtId="164" fontId="8" fillId="9" borderId="45" xfId="1" applyNumberFormat="1" applyFill="1" applyBorder="1">
      <protection locked="0"/>
    </xf>
    <xf numFmtId="164" fontId="8" fillId="7" borderId="46" xfId="1" applyNumberFormat="1" applyFill="1" applyBorder="1">
      <protection locked="0"/>
    </xf>
    <xf numFmtId="164" fontId="8" fillId="7" borderId="45" xfId="1" applyNumberFormat="1" applyFill="1" applyBorder="1">
      <protection locked="0"/>
    </xf>
    <xf numFmtId="0" fontId="13" fillId="0" borderId="2" xfId="0" applyFont="1" applyBorder="1" applyAlignment="1">
      <alignment horizontal="center" vertical="top" wrapText="1"/>
    </xf>
    <xf numFmtId="164" fontId="8" fillId="12" borderId="23" xfId="1" applyNumberFormat="1" applyFill="1" applyBorder="1">
      <protection locked="0"/>
    </xf>
    <xf numFmtId="164" fontId="8" fillId="12" borderId="24" xfId="1" applyNumberFormat="1" applyFill="1" applyBorder="1">
      <protection locked="0"/>
    </xf>
    <xf numFmtId="164" fontId="8" fillId="9" borderId="23" xfId="1" applyNumberFormat="1" applyFill="1" applyBorder="1">
      <protection locked="0"/>
    </xf>
    <xf numFmtId="164" fontId="8" fillId="9" borderId="24" xfId="1" applyNumberFormat="1" applyFill="1" applyBorder="1">
      <protection locked="0"/>
    </xf>
    <xf numFmtId="164" fontId="8" fillId="7" borderId="30" xfId="1" applyNumberFormat="1" applyFill="1" applyBorder="1">
      <protection locked="0"/>
    </xf>
    <xf numFmtId="164" fontId="8" fillId="7" borderId="24" xfId="1" applyNumberFormat="1" applyFill="1" applyBorder="1">
      <protection locked="0"/>
    </xf>
    <xf numFmtId="0" fontId="13" fillId="0" borderId="141" xfId="0" applyFont="1" applyBorder="1" applyAlignment="1">
      <alignment horizontal="center" vertical="top" wrapText="1"/>
    </xf>
    <xf numFmtId="164" fontId="8" fillId="12" borderId="69" xfId="1" applyNumberFormat="1" applyFill="1" applyBorder="1">
      <protection locked="0"/>
    </xf>
    <xf numFmtId="164" fontId="8" fillId="12" borderId="16" xfId="1" applyNumberFormat="1" applyFill="1" applyBorder="1">
      <protection locked="0"/>
    </xf>
    <xf numFmtId="164" fontId="8" fillId="9" borderId="69" xfId="1" applyNumberFormat="1" applyFill="1" applyBorder="1">
      <protection locked="0"/>
    </xf>
    <xf numFmtId="164" fontId="8" fillId="9" borderId="16" xfId="1" applyNumberFormat="1" applyFill="1" applyBorder="1">
      <protection locked="0"/>
    </xf>
    <xf numFmtId="164" fontId="8" fillId="7" borderId="96" xfId="1" applyNumberFormat="1" applyFill="1" applyBorder="1">
      <protection locked="0"/>
    </xf>
    <xf numFmtId="164" fontId="8" fillId="7" borderId="16" xfId="1" applyNumberFormat="1" applyFill="1" applyBorder="1">
      <protection locked="0"/>
    </xf>
    <xf numFmtId="0" fontId="13" fillId="0" borderId="124" xfId="0" applyFont="1" applyBorder="1" applyAlignment="1">
      <alignment horizontal="center" vertical="top" wrapText="1"/>
    </xf>
    <xf numFmtId="165" fontId="16" fillId="12" borderId="28" xfId="0" applyNumberFormat="1" applyFont="1" applyFill="1" applyBorder="1">
      <alignment vertical="center"/>
    </xf>
    <xf numFmtId="165" fontId="16" fillId="12" borderId="23" xfId="0" applyNumberFormat="1" applyFont="1" applyFill="1" applyBorder="1">
      <alignment vertical="center"/>
    </xf>
    <xf numFmtId="165" fontId="16" fillId="12" borderId="39" xfId="0" applyNumberFormat="1" applyFont="1" applyFill="1" applyBorder="1">
      <alignment vertical="center"/>
    </xf>
    <xf numFmtId="165" fontId="16" fillId="12" borderId="24" xfId="0" applyNumberFormat="1" applyFont="1" applyFill="1" applyBorder="1">
      <alignment vertical="center"/>
    </xf>
    <xf numFmtId="165" fontId="16" fillId="9" borderId="28" xfId="0" applyNumberFormat="1" applyFont="1" applyFill="1" applyBorder="1">
      <alignment vertical="center"/>
    </xf>
    <xf numFmtId="165" fontId="16" fillId="9" borderId="23" xfId="0" applyNumberFormat="1" applyFont="1" applyFill="1" applyBorder="1">
      <alignment vertical="center"/>
    </xf>
    <xf numFmtId="165" fontId="16" fillId="9" borderId="39" xfId="0" applyNumberFormat="1" applyFont="1" applyFill="1" applyBorder="1">
      <alignment vertical="center"/>
    </xf>
    <xf numFmtId="165" fontId="16" fillId="9" borderId="24" xfId="0" applyNumberFormat="1" applyFont="1" applyFill="1" applyBorder="1">
      <alignment vertical="center"/>
    </xf>
    <xf numFmtId="165" fontId="16" fillId="7" borderId="37" xfId="0" applyNumberFormat="1" applyFont="1" applyFill="1" applyBorder="1">
      <alignment vertical="center"/>
    </xf>
    <xf numFmtId="165" fontId="16" fillId="7" borderId="30" xfId="0" applyNumberFormat="1" applyFont="1" applyFill="1" applyBorder="1">
      <alignment vertical="center"/>
    </xf>
    <xf numFmtId="165" fontId="16" fillId="7" borderId="39" xfId="0" applyNumberFormat="1" applyFont="1" applyFill="1" applyBorder="1">
      <alignment vertical="center"/>
    </xf>
    <xf numFmtId="165" fontId="16" fillId="7" borderId="24" xfId="0" applyNumberFormat="1" applyFont="1" applyFill="1" applyBorder="1">
      <alignment vertical="center"/>
    </xf>
    <xf numFmtId="0" fontId="13" fillId="12" borderId="19" xfId="0" applyFont="1" applyFill="1" applyBorder="1">
      <alignment vertical="center"/>
    </xf>
    <xf numFmtId="0" fontId="13" fillId="12" borderId="26" xfId="0" applyFont="1" applyFill="1" applyBorder="1">
      <alignment vertical="center"/>
    </xf>
    <xf numFmtId="164" fontId="83" fillId="12" borderId="25" xfId="1" applyNumberFormat="1" applyFont="1" applyFill="1" applyBorder="1">
      <protection locked="0"/>
    </xf>
    <xf numFmtId="164" fontId="83" fillId="12" borderId="144" xfId="1" applyNumberFormat="1" applyFont="1" applyFill="1" applyBorder="1">
      <protection locked="0"/>
    </xf>
    <xf numFmtId="164" fontId="83" fillId="12" borderId="20" xfId="1" applyNumberFormat="1" applyFont="1" applyFill="1" applyBorder="1">
      <protection locked="0"/>
    </xf>
    <xf numFmtId="164" fontId="83" fillId="12" borderId="26" xfId="1" applyNumberFormat="1" applyFont="1" applyFill="1" applyBorder="1">
      <protection locked="0"/>
    </xf>
    <xf numFmtId="165" fontId="13" fillId="12" borderId="41" xfId="0" applyNumberFormat="1" applyFont="1" applyFill="1" applyBorder="1">
      <alignment vertical="center"/>
    </xf>
    <xf numFmtId="165" fontId="13" fillId="12" borderId="25" xfId="0" applyNumberFormat="1" applyFont="1" applyFill="1" applyBorder="1">
      <alignment vertical="center"/>
    </xf>
    <xf numFmtId="0" fontId="13" fillId="9" borderId="19" xfId="0" applyFont="1" applyFill="1" applyBorder="1">
      <alignment vertical="center"/>
    </xf>
    <xf numFmtId="0" fontId="13" fillId="9" borderId="26" xfId="0" applyFont="1" applyFill="1" applyBorder="1">
      <alignment vertical="center"/>
    </xf>
    <xf numFmtId="164" fontId="83" fillId="9" borderId="25" xfId="1" applyNumberFormat="1" applyFont="1" applyFill="1" applyBorder="1">
      <protection locked="0"/>
    </xf>
    <xf numFmtId="164" fontId="83" fillId="9" borderId="144" xfId="1" applyNumberFormat="1" applyFont="1" applyFill="1" applyBorder="1">
      <protection locked="0"/>
    </xf>
    <xf numFmtId="164" fontId="83" fillId="9" borderId="20" xfId="1" applyNumberFormat="1" applyFont="1" applyFill="1" applyBorder="1">
      <protection locked="0"/>
    </xf>
    <xf numFmtId="164" fontId="83" fillId="9" borderId="26" xfId="1" applyNumberFormat="1" applyFont="1" applyFill="1" applyBorder="1">
      <protection locked="0"/>
    </xf>
    <xf numFmtId="165" fontId="13" fillId="9" borderId="41" xfId="0" applyNumberFormat="1" applyFont="1" applyFill="1" applyBorder="1">
      <alignment vertical="center"/>
    </xf>
    <xf numFmtId="165" fontId="13" fillId="9" borderId="25" xfId="0" applyNumberFormat="1" applyFont="1" applyFill="1" applyBorder="1">
      <alignment vertical="center"/>
    </xf>
    <xf numFmtId="0" fontId="13" fillId="7" borderId="19" xfId="0" applyFont="1" applyFill="1" applyBorder="1">
      <alignment vertical="center"/>
    </xf>
    <xf numFmtId="0" fontId="13" fillId="7" borderId="26" xfId="0" applyFont="1" applyFill="1" applyBorder="1">
      <alignment vertical="center"/>
    </xf>
    <xf numFmtId="164" fontId="83" fillId="7" borderId="25" xfId="1" applyNumberFormat="1" applyFont="1" applyFill="1" applyBorder="1">
      <protection locked="0"/>
    </xf>
    <xf numFmtId="164" fontId="83" fillId="7" borderId="144" xfId="1" applyNumberFormat="1" applyFont="1" applyFill="1" applyBorder="1">
      <protection locked="0"/>
    </xf>
    <xf numFmtId="164" fontId="83" fillId="7" borderId="20" xfId="1" applyNumberFormat="1" applyFont="1" applyFill="1" applyBorder="1">
      <protection locked="0"/>
    </xf>
    <xf numFmtId="164" fontId="83" fillId="7" borderId="26" xfId="1" applyNumberFormat="1" applyFont="1" applyFill="1" applyBorder="1">
      <protection locked="0"/>
    </xf>
    <xf numFmtId="165" fontId="13" fillId="7" borderId="41" xfId="0" applyNumberFormat="1" applyFont="1" applyFill="1" applyBorder="1">
      <alignment vertical="center"/>
    </xf>
    <xf numFmtId="165" fontId="13" fillId="7" borderId="25" xfId="0" applyNumberFormat="1" applyFont="1" applyFill="1" applyBorder="1">
      <alignment vertical="center"/>
    </xf>
    <xf numFmtId="0" fontId="84" fillId="0" borderId="0" xfId="0" applyFont="1" applyAlignment="1">
      <alignment vertical="center"/>
    </xf>
    <xf numFmtId="164" fontId="14" fillId="0" borderId="145" xfId="1" applyNumberFormat="1" applyFont="1" applyBorder="1" applyAlignment="1">
      <alignment vertical="center"/>
      <protection locked="0"/>
    </xf>
    <xf numFmtId="0" fontId="25" fillId="0" borderId="78" xfId="14" applyFont="1" applyFill="1" applyBorder="1" applyAlignment="1">
      <alignment horizontal="center" vertical="center"/>
    </xf>
    <xf numFmtId="0" fontId="45" fillId="0" borderId="75" xfId="14" applyFont="1" applyFill="1" applyBorder="1" applyAlignment="1">
      <alignment horizontal="center" vertical="center"/>
    </xf>
    <xf numFmtId="0" fontId="25" fillId="0" borderId="47" xfId="14" applyFont="1" applyFill="1" applyBorder="1" applyAlignment="1">
      <alignment horizontal="center"/>
    </xf>
    <xf numFmtId="164" fontId="39" fillId="0" borderId="15" xfId="15" applyNumberFormat="1" applyFont="1" applyFill="1" applyBorder="1"/>
    <xf numFmtId="164" fontId="45" fillId="0" borderId="45" xfId="15" applyNumberFormat="1" applyFont="1" applyFill="1" applyBorder="1"/>
    <xf numFmtId="175" fontId="16" fillId="0" borderId="78" xfId="15" applyNumberFormat="1" applyFont="1" applyFill="1" applyBorder="1" applyAlignment="1">
      <alignment vertical="center"/>
    </xf>
    <xf numFmtId="175" fontId="16" fillId="0" borderId="15" xfId="15" applyNumberFormat="1" applyFont="1" applyFill="1" applyBorder="1" applyAlignment="1">
      <alignment vertical="center"/>
    </xf>
    <xf numFmtId="175" fontId="16" fillId="0" borderId="45" xfId="15" applyNumberFormat="1" applyFont="1" applyFill="1" applyBorder="1" applyAlignment="1">
      <alignment vertical="center"/>
    </xf>
    <xf numFmtId="175" fontId="25" fillId="0" borderId="91" xfId="15" applyNumberFormat="1" applyFont="1" applyFill="1" applyBorder="1" applyAlignment="1">
      <alignment vertical="center"/>
    </xf>
    <xf numFmtId="175" fontId="16" fillId="0" borderId="47" xfId="14" applyNumberFormat="1" applyFont="1" applyFill="1" applyBorder="1"/>
    <xf numFmtId="175" fontId="16" fillId="0" borderId="15" xfId="14" applyNumberFormat="1" applyFont="1" applyFill="1" applyBorder="1" applyAlignment="1">
      <alignment vertical="center"/>
    </xf>
    <xf numFmtId="175" fontId="16" fillId="0" borderId="47" xfId="15" applyNumberFormat="1" applyFont="1" applyFill="1" applyBorder="1" applyAlignment="1">
      <alignment vertical="center"/>
    </xf>
    <xf numFmtId="175" fontId="16" fillId="0" borderId="45" xfId="14" applyNumberFormat="1" applyFont="1" applyFill="1" applyBorder="1" applyAlignment="1">
      <alignment vertical="center"/>
    </xf>
    <xf numFmtId="175" fontId="25" fillId="0" borderId="75" xfId="15" applyNumberFormat="1" applyFont="1" applyFill="1" applyBorder="1" applyAlignment="1">
      <alignment vertical="center"/>
    </xf>
    <xf numFmtId="175" fontId="16" fillId="0" borderId="15" xfId="15" applyNumberFormat="1" applyFont="1" applyBorder="1" applyAlignment="1">
      <alignment vertical="center"/>
    </xf>
    <xf numFmtId="0" fontId="2" fillId="0" borderId="0" xfId="18" applyFont="1" applyFill="1" applyAlignment="1">
      <alignment horizontal="left" vertical="center"/>
    </xf>
    <xf numFmtId="0" fontId="18" fillId="0" borderId="0" xfId="18" applyFont="1" applyFill="1" applyAlignment="1">
      <alignment horizontal="center" vertical="center"/>
    </xf>
    <xf numFmtId="0" fontId="18" fillId="0" borderId="1" xfId="18" applyFont="1" applyFill="1" applyBorder="1" applyAlignment="1">
      <alignment horizontal="center" vertical="center" wrapText="1"/>
    </xf>
    <xf numFmtId="0" fontId="18" fillId="0" borderId="1" xfId="18" applyFont="1" applyFill="1" applyBorder="1" applyAlignment="1">
      <alignment vertical="center"/>
    </xf>
    <xf numFmtId="164" fontId="18" fillId="0" borderId="1" xfId="19" applyNumberFormat="1" applyFont="1" applyFill="1" applyBorder="1" applyAlignment="1">
      <alignment horizontal="center" vertical="center" wrapText="1"/>
    </xf>
    <xf numFmtId="164" fontId="18" fillId="0" borderId="1" xfId="19" applyNumberFormat="1" applyFont="1" applyFill="1" applyBorder="1" applyAlignment="1">
      <alignment horizontal="center" vertical="center"/>
    </xf>
    <xf numFmtId="164" fontId="18" fillId="0" borderId="1" xfId="19" applyNumberFormat="1" applyFont="1" applyFill="1" applyBorder="1" applyAlignment="1">
      <alignment vertical="center"/>
    </xf>
    <xf numFmtId="0" fontId="18" fillId="0" borderId="1" xfId="18" applyFont="1" applyFill="1" applyBorder="1" applyAlignment="1">
      <alignment horizontal="center" vertical="center"/>
    </xf>
    <xf numFmtId="0" fontId="2" fillId="0" borderId="0" xfId="18" applyFont="1" applyFill="1" applyAlignment="1">
      <alignment vertical="center"/>
    </xf>
    <xf numFmtId="0" fontId="2" fillId="0" borderId="1" xfId="18" applyFont="1" applyFill="1" applyBorder="1" applyAlignment="1">
      <alignment horizontal="center" vertical="center"/>
    </xf>
    <xf numFmtId="0" fontId="2" fillId="0" borderId="1" xfId="18" applyFont="1" applyFill="1" applyBorder="1" applyAlignment="1">
      <alignment vertical="center"/>
    </xf>
    <xf numFmtId="164" fontId="0" fillId="0" borderId="1" xfId="19" applyNumberFormat="1" applyFont="1" applyFill="1" applyBorder="1" applyAlignment="1">
      <alignment vertical="center"/>
    </xf>
    <xf numFmtId="164" fontId="2" fillId="0" borderId="1" xfId="18" applyNumberFormat="1" applyFont="1" applyFill="1" applyBorder="1" applyAlignment="1">
      <alignment vertical="center" wrapText="1"/>
    </xf>
    <xf numFmtId="164" fontId="0" fillId="2" borderId="1" xfId="19" applyNumberFormat="1" applyFont="1" applyFill="1" applyBorder="1" applyAlignment="1">
      <alignment vertical="center"/>
    </xf>
    <xf numFmtId="164" fontId="85" fillId="0" borderId="1" xfId="19" applyNumberFormat="1" applyFont="1" applyFill="1" applyBorder="1" applyAlignment="1">
      <alignment vertical="center"/>
    </xf>
    <xf numFmtId="0" fontId="2" fillId="0" borderId="1" xfId="18" applyFont="1" applyFill="1" applyBorder="1" applyAlignment="1">
      <alignment vertical="center" wrapText="1"/>
    </xf>
    <xf numFmtId="164" fontId="2" fillId="0" borderId="0" xfId="18" applyNumberFormat="1" applyFont="1" applyFill="1" applyAlignment="1">
      <alignment vertical="center"/>
    </xf>
    <xf numFmtId="0" fontId="2" fillId="0" borderId="0" xfId="18" applyFont="1" applyFill="1" applyAlignment="1">
      <alignment horizontal="center" vertical="center"/>
    </xf>
    <xf numFmtId="164" fontId="0" fillId="0" borderId="0" xfId="19" applyNumberFormat="1" applyFont="1" applyFill="1" applyAlignment="1">
      <alignment vertical="center"/>
    </xf>
    <xf numFmtId="0" fontId="18" fillId="0" borderId="120" xfId="18" applyFont="1" applyFill="1" applyBorder="1" applyAlignment="1">
      <alignment horizontal="center" vertical="center"/>
    </xf>
    <xf numFmtId="0" fontId="18" fillId="0" borderId="120" xfId="18" applyFont="1" applyFill="1" applyBorder="1" applyAlignment="1">
      <alignment vertical="center"/>
    </xf>
    <xf numFmtId="164" fontId="18" fillId="0" borderId="120" xfId="19" applyNumberFormat="1" applyFont="1" applyFill="1" applyBorder="1" applyAlignment="1">
      <alignment vertical="center"/>
    </xf>
    <xf numFmtId="164" fontId="18" fillId="0" borderId="0" xfId="19" applyNumberFormat="1" applyFont="1" applyFill="1" applyAlignment="1">
      <alignment vertical="center"/>
    </xf>
    <xf numFmtId="0" fontId="2" fillId="0" borderId="0" xfId="18" applyFont="1" applyAlignment="1">
      <alignment horizontal="left" vertical="center"/>
    </xf>
    <xf numFmtId="0" fontId="88" fillId="13" borderId="146" xfId="18" applyFont="1" applyFill="1" applyBorder="1" applyAlignment="1">
      <alignment horizontal="center" vertical="center" wrapText="1"/>
    </xf>
    <xf numFmtId="164" fontId="88" fillId="13" borderId="146" xfId="19" applyNumberFormat="1" applyFont="1" applyFill="1" applyBorder="1" applyAlignment="1">
      <alignment horizontal="center" vertical="center" wrapText="1"/>
    </xf>
    <xf numFmtId="0" fontId="88" fillId="13" borderId="148" xfId="18" applyFont="1" applyFill="1" applyBorder="1" applyAlignment="1">
      <alignment horizontal="center" vertical="center"/>
    </xf>
    <xf numFmtId="0" fontId="2" fillId="0" borderId="0" xfId="18" applyFont="1" applyAlignment="1">
      <alignment vertical="center"/>
    </xf>
    <xf numFmtId="0" fontId="89" fillId="0" borderId="4" xfId="18" applyFont="1" applyBorder="1" applyAlignment="1">
      <alignment horizontal="center" vertical="center"/>
    </xf>
    <xf numFmtId="0" fontId="29" fillId="0" borderId="64" xfId="18" applyFont="1" applyBorder="1" applyAlignment="1">
      <alignment vertical="center"/>
    </xf>
    <xf numFmtId="164" fontId="89" fillId="0" borderId="4" xfId="19" applyNumberFormat="1" applyFont="1" applyBorder="1" applyAlignment="1">
      <alignment vertical="center"/>
    </xf>
    <xf numFmtId="0" fontId="89" fillId="0" borderId="149" xfId="18" applyFont="1" applyBorder="1" applyAlignment="1">
      <alignment vertical="center"/>
    </xf>
    <xf numFmtId="0" fontId="89" fillId="0" borderId="1" xfId="18" applyFont="1" applyBorder="1" applyAlignment="1">
      <alignment horizontal="center" vertical="center"/>
    </xf>
    <xf numFmtId="0" fontId="29" fillId="0" borderId="34" xfId="18" applyFont="1" applyBorder="1" applyAlignment="1">
      <alignment vertical="center"/>
    </xf>
    <xf numFmtId="164" fontId="89" fillId="0" borderId="1" xfId="19" applyNumberFormat="1" applyFont="1" applyBorder="1" applyAlignment="1">
      <alignment vertical="center"/>
    </xf>
    <xf numFmtId="0" fontId="89" fillId="0" borderId="36" xfId="18" applyFont="1" applyBorder="1" applyAlignment="1">
      <alignment vertical="center"/>
    </xf>
    <xf numFmtId="164" fontId="89" fillId="0" borderId="1" xfId="19" applyNumberFormat="1" applyFont="1" applyFill="1" applyBorder="1" applyAlignment="1">
      <alignment vertical="center"/>
    </xf>
    <xf numFmtId="0" fontId="29" fillId="0" borderId="34" xfId="18" applyFont="1" applyBorder="1" applyAlignment="1">
      <alignment vertical="top" wrapText="1"/>
    </xf>
    <xf numFmtId="0" fontId="88" fillId="13" borderId="120" xfId="18" applyFont="1" applyFill="1" applyBorder="1" applyAlignment="1">
      <alignment horizontal="center" vertical="center"/>
    </xf>
    <xf numFmtId="0" fontId="88" fillId="13" borderId="120" xfId="18" applyFont="1" applyFill="1" applyBorder="1" applyAlignment="1">
      <alignment vertical="center"/>
    </xf>
    <xf numFmtId="164" fontId="88" fillId="13" borderId="146" xfId="19" applyNumberFormat="1" applyFont="1" applyFill="1" applyBorder="1" applyAlignment="1">
      <alignment vertical="center"/>
    </xf>
    <xf numFmtId="164" fontId="88" fillId="13" borderId="120" xfId="19" applyNumberFormat="1" applyFont="1" applyFill="1" applyBorder="1" applyAlignment="1">
      <alignment vertical="center"/>
    </xf>
    <xf numFmtId="0" fontId="2" fillId="0" borderId="0" xfId="18" applyFont="1" applyAlignment="1">
      <alignment horizontal="center" vertical="center"/>
    </xf>
    <xf numFmtId="164" fontId="0" fillId="0" borderId="0" xfId="19" applyNumberFormat="1" applyFont="1" applyAlignment="1">
      <alignment vertical="center"/>
    </xf>
    <xf numFmtId="0" fontId="18" fillId="0" borderId="0" xfId="18" applyFont="1" applyAlignment="1">
      <alignment vertical="center"/>
    </xf>
    <xf numFmtId="0" fontId="18" fillId="0" borderId="0" xfId="18" applyFont="1" applyAlignment="1">
      <alignment horizontal="center" vertical="center"/>
    </xf>
    <xf numFmtId="164" fontId="18" fillId="0" borderId="0" xfId="19" applyNumberFormat="1" applyFont="1" applyAlignment="1">
      <alignment horizontal="center" vertical="center"/>
    </xf>
    <xf numFmtId="164" fontId="79" fillId="0" borderId="1" xfId="19" applyNumberFormat="1" applyFont="1" applyFill="1" applyBorder="1" applyAlignment="1">
      <alignment vertical="center"/>
    </xf>
    <xf numFmtId="0" fontId="19" fillId="0" borderId="33" xfId="14" applyFont="1" applyBorder="1" applyAlignment="1">
      <alignment vertical="center"/>
    </xf>
    <xf numFmtId="0" fontId="19" fillId="0" borderId="31" xfId="14" applyFont="1" applyBorder="1" applyAlignment="1">
      <alignment vertical="center"/>
    </xf>
    <xf numFmtId="0" fontId="20" fillId="0" borderId="32" xfId="14" applyFont="1" applyBorder="1"/>
    <xf numFmtId="0" fontId="16" fillId="0" borderId="121" xfId="0" applyFont="1" applyBorder="1">
      <alignment vertical="center"/>
    </xf>
    <xf numFmtId="164" fontId="14" fillId="0" borderId="122" xfId="1" applyNumberFormat="1" applyFont="1" applyBorder="1">
      <protection locked="0"/>
    </xf>
    <xf numFmtId="164" fontId="13" fillId="0" borderId="149" xfId="0" applyNumberFormat="1" applyFont="1" applyBorder="1">
      <alignment vertical="center"/>
    </xf>
    <xf numFmtId="164" fontId="20" fillId="0" borderId="19" xfId="14" applyNumberFormat="1" applyFont="1" applyBorder="1" applyAlignment="1">
      <alignment vertical="center"/>
    </xf>
    <xf numFmtId="164" fontId="19" fillId="0" borderId="62" xfId="14" applyNumberFormat="1" applyFont="1" applyBorder="1" applyAlignment="1">
      <alignment vertical="center"/>
    </xf>
    <xf numFmtId="0" fontId="13" fillId="0" borderId="64" xfId="0" applyFont="1" applyBorder="1">
      <alignment vertical="center"/>
    </xf>
    <xf numFmtId="0" fontId="20" fillId="0" borderId="25" xfId="14" applyFont="1" applyBorder="1" applyAlignment="1">
      <alignment vertical="center"/>
    </xf>
    <xf numFmtId="0" fontId="13" fillId="0" borderId="4" xfId="0" applyFont="1" applyBorder="1">
      <alignment vertical="center"/>
    </xf>
    <xf numFmtId="0" fontId="13" fillId="0" borderId="1" xfId="0" applyFont="1" applyBorder="1">
      <alignment vertical="center"/>
    </xf>
    <xf numFmtId="175" fontId="55" fillId="0" borderId="45" xfId="15" applyNumberFormat="1" applyFont="1" applyFill="1" applyBorder="1" applyAlignment="1">
      <alignment vertical="center"/>
    </xf>
    <xf numFmtId="183" fontId="14" fillId="0" borderId="0" xfId="1" applyNumberFormat="1" applyFont="1" applyAlignment="1">
      <alignment horizontal="center"/>
      <protection locked="0"/>
    </xf>
    <xf numFmtId="164" fontId="12" fillId="0" borderId="0" xfId="1" applyNumberFormat="1" applyFont="1" applyAlignment="1">
      <alignment vertical="top" wrapText="1"/>
      <protection locked="0"/>
    </xf>
    <xf numFmtId="164" fontId="44" fillId="0" borderId="0" xfId="1" applyNumberFormat="1" applyFont="1">
      <protection locked="0"/>
    </xf>
    <xf numFmtId="7" fontId="14" fillId="0" borderId="83" xfId="1" applyNumberFormat="1" applyFont="1" applyBorder="1" applyAlignment="1">
      <alignment vertical="center"/>
      <protection locked="0"/>
    </xf>
    <xf numFmtId="7" fontId="14" fillId="0" borderId="73" xfId="1" applyNumberFormat="1" applyFont="1" applyBorder="1" applyAlignment="1">
      <protection locked="0"/>
    </xf>
    <xf numFmtId="17" fontId="11" fillId="0" borderId="98" xfId="0" applyNumberFormat="1" applyFont="1" applyFill="1" applyBorder="1" applyAlignment="1">
      <alignment vertical="center"/>
    </xf>
    <xf numFmtId="0" fontId="11" fillId="0" borderId="98" xfId="0" applyFont="1" applyFill="1" applyBorder="1" applyAlignment="1">
      <alignment vertical="center"/>
    </xf>
    <xf numFmtId="173" fontId="16" fillId="0" borderId="0" xfId="0" applyNumberFormat="1" applyFont="1" applyFill="1" applyAlignment="1">
      <alignment vertical="center"/>
    </xf>
    <xf numFmtId="173" fontId="16" fillId="0" borderId="0" xfId="0" applyNumberFormat="1" applyFont="1" applyFill="1">
      <alignment vertical="center"/>
    </xf>
    <xf numFmtId="0" fontId="15" fillId="3" borderId="151" xfId="7" applyFont="1" applyFill="1" applyBorder="1" applyAlignment="1">
      <alignment vertical="center"/>
    </xf>
    <xf numFmtId="0" fontId="15" fillId="3" borderId="9" xfId="7" applyFont="1" applyFill="1" applyBorder="1" applyAlignment="1">
      <alignment vertical="center"/>
    </xf>
    <xf numFmtId="0" fontId="15" fillId="3" borderId="152" xfId="7" applyFont="1" applyFill="1" applyBorder="1" applyAlignment="1">
      <alignment vertical="center"/>
    </xf>
    <xf numFmtId="165" fontId="14" fillId="0" borderId="90" xfId="1" applyNumberFormat="1" applyFont="1" applyBorder="1" applyAlignment="1">
      <alignment vertical="center"/>
      <protection locked="0"/>
    </xf>
    <xf numFmtId="173" fontId="14" fillId="0" borderId="70" xfId="1" applyNumberFormat="1" applyFont="1" applyBorder="1" applyAlignment="1">
      <alignment vertical="center"/>
      <protection locked="0"/>
    </xf>
    <xf numFmtId="185" fontId="16" fillId="0" borderId="0" xfId="0" applyNumberFormat="1" applyFont="1">
      <alignment vertical="center"/>
    </xf>
    <xf numFmtId="175" fontId="46" fillId="0" borderId="15" xfId="14" applyNumberFormat="1" applyFont="1" applyFill="1" applyBorder="1" applyAlignment="1">
      <alignment vertical="center"/>
    </xf>
    <xf numFmtId="164" fontId="16" fillId="0" borderId="0" xfId="14" applyNumberFormat="1" applyFont="1"/>
    <xf numFmtId="0" fontId="11" fillId="0" borderId="0" xfId="14" applyFont="1" applyFill="1"/>
    <xf numFmtId="0" fontId="48" fillId="0" borderId="0" xfId="14" applyFont="1" applyFill="1"/>
    <xf numFmtId="164" fontId="36" fillId="0" borderId="0" xfId="14" applyNumberFormat="1" applyFont="1" applyFill="1"/>
    <xf numFmtId="0" fontId="16" fillId="0" borderId="0" xfId="14" applyFont="1" applyFill="1"/>
    <xf numFmtId="0" fontId="54" fillId="0" borderId="0" xfId="14" applyFont="1" applyFill="1"/>
    <xf numFmtId="0" fontId="13" fillId="0" borderId="0" xfId="14" applyFont="1" applyFill="1"/>
    <xf numFmtId="0" fontId="46" fillId="0" borderId="0" xfId="14" applyFont="1" applyFill="1"/>
    <xf numFmtId="0" fontId="16" fillId="0" borderId="0" xfId="14" applyFont="1" applyFill="1" applyAlignment="1">
      <alignment vertical="center"/>
    </xf>
    <xf numFmtId="0" fontId="54" fillId="0" borderId="0" xfId="14" applyFont="1" applyFill="1" applyAlignment="1">
      <alignment vertical="center"/>
    </xf>
    <xf numFmtId="181" fontId="16" fillId="0" borderId="0" xfId="14" applyNumberFormat="1" applyFont="1" applyFill="1" applyAlignment="1">
      <alignment vertical="center"/>
    </xf>
    <xf numFmtId="43" fontId="16" fillId="0" borderId="0" xfId="14" applyNumberFormat="1" applyFont="1" applyFill="1" applyAlignment="1">
      <alignment vertical="center"/>
    </xf>
    <xf numFmtId="0" fontId="13" fillId="0" borderId="0" xfId="14" applyFont="1" applyFill="1" applyAlignment="1">
      <alignment vertical="center"/>
    </xf>
    <xf numFmtId="0" fontId="46" fillId="0" borderId="0" xfId="14" applyFont="1" applyFill="1" applyAlignment="1">
      <alignment vertical="center"/>
    </xf>
    <xf numFmtId="0" fontId="25" fillId="0" borderId="95" xfId="14" applyFont="1" applyFill="1" applyBorder="1" applyAlignment="1">
      <alignment horizontal="center" vertical="center"/>
    </xf>
    <xf numFmtId="0" fontId="49" fillId="0" borderId="78" xfId="14" applyFont="1" applyFill="1" applyBorder="1" applyAlignment="1">
      <alignment horizontal="center" vertical="center"/>
    </xf>
    <xf numFmtId="0" fontId="45" fillId="0" borderId="91" xfId="14" applyFont="1" applyFill="1" applyBorder="1" applyAlignment="1">
      <alignment horizontal="center" vertical="center"/>
    </xf>
    <xf numFmtId="0" fontId="53" fillId="0" borderId="75" xfId="14" applyFont="1" applyFill="1" applyBorder="1" applyAlignment="1">
      <alignment horizontal="center" vertical="center"/>
    </xf>
    <xf numFmtId="0" fontId="25" fillId="0" borderId="46" xfId="14" applyFont="1" applyFill="1" applyBorder="1" applyAlignment="1">
      <alignment horizontal="center"/>
    </xf>
    <xf numFmtId="0" fontId="49" fillId="0" borderId="47" xfId="14" applyFont="1" applyFill="1" applyBorder="1" applyAlignment="1">
      <alignment horizontal="center"/>
    </xf>
    <xf numFmtId="164" fontId="51" fillId="0" borderId="45" xfId="15" applyNumberFormat="1" applyFont="1" applyFill="1" applyBorder="1"/>
    <xf numFmtId="164" fontId="51" fillId="0" borderId="15" xfId="15" applyNumberFormat="1" applyFont="1" applyFill="1" applyBorder="1"/>
    <xf numFmtId="164" fontId="53" fillId="0" borderId="15" xfId="15" applyNumberFormat="1" applyFont="1" applyFill="1" applyBorder="1"/>
    <xf numFmtId="164" fontId="45" fillId="0" borderId="15" xfId="15" applyNumberFormat="1" applyFont="1" applyFill="1" applyBorder="1"/>
    <xf numFmtId="164" fontId="39" fillId="0" borderId="45" xfId="15" applyNumberFormat="1" applyFont="1" applyFill="1" applyBorder="1"/>
    <xf numFmtId="164" fontId="53" fillId="0" borderId="45" xfId="15" applyNumberFormat="1" applyFont="1" applyFill="1" applyBorder="1"/>
    <xf numFmtId="175" fontId="16" fillId="0" borderId="95" xfId="15" applyNumberFormat="1" applyFont="1" applyFill="1" applyBorder="1" applyAlignment="1">
      <alignment vertical="center"/>
    </xf>
    <xf numFmtId="175" fontId="54" fillId="0" borderId="78" xfId="15" applyNumberFormat="1" applyFont="1" applyFill="1" applyBorder="1" applyAlignment="1">
      <alignment vertical="center"/>
    </xf>
    <xf numFmtId="175" fontId="46" fillId="0" borderId="78" xfId="15" applyNumberFormat="1" applyFont="1" applyFill="1" applyBorder="1" applyAlignment="1">
      <alignment vertical="center"/>
    </xf>
    <xf numFmtId="175" fontId="16" fillId="0" borderId="46" xfId="15" applyNumberFormat="1" applyFont="1" applyFill="1" applyBorder="1" applyAlignment="1">
      <alignment vertical="center"/>
    </xf>
    <xf numFmtId="175" fontId="54" fillId="0" borderId="46" xfId="15" applyNumberFormat="1" applyFont="1" applyFill="1" applyBorder="1" applyAlignment="1">
      <alignment vertical="center"/>
    </xf>
    <xf numFmtId="175" fontId="46" fillId="0" borderId="46" xfId="15" applyNumberFormat="1" applyFont="1" applyFill="1" applyBorder="1" applyAlignment="1">
      <alignment vertical="center"/>
    </xf>
    <xf numFmtId="175" fontId="13" fillId="0" borderId="46" xfId="15" applyNumberFormat="1" applyFont="1" applyFill="1" applyBorder="1" applyAlignment="1">
      <alignment vertical="center"/>
    </xf>
    <xf numFmtId="175" fontId="54" fillId="0" borderId="15" xfId="15" applyNumberFormat="1" applyFont="1" applyFill="1" applyBorder="1" applyAlignment="1">
      <alignment vertical="center"/>
    </xf>
    <xf numFmtId="175" fontId="46" fillId="0" borderId="15" xfId="15" applyNumberFormat="1" applyFont="1" applyFill="1" applyBorder="1" applyAlignment="1">
      <alignment vertical="center"/>
    </xf>
    <xf numFmtId="175" fontId="81" fillId="0" borderId="15" xfId="15" applyNumberFormat="1" applyFont="1" applyFill="1" applyBorder="1" applyAlignment="1">
      <alignment vertical="center"/>
    </xf>
    <xf numFmtId="175" fontId="81" fillId="0" borderId="45" xfId="15" applyNumberFormat="1" applyFont="1" applyFill="1" applyBorder="1" applyAlignment="1">
      <alignment vertical="center"/>
    </xf>
    <xf numFmtId="175" fontId="54" fillId="0" borderId="45" xfId="15" applyNumberFormat="1" applyFont="1" applyFill="1" applyBorder="1" applyAlignment="1">
      <alignment vertical="center"/>
    </xf>
    <xf numFmtId="175" fontId="46" fillId="0" borderId="45" xfId="15" applyNumberFormat="1" applyFont="1" applyFill="1" applyBorder="1" applyAlignment="1">
      <alignment vertical="center"/>
    </xf>
    <xf numFmtId="175" fontId="49" fillId="0" borderId="91" xfId="15" applyNumberFormat="1" applyFont="1" applyFill="1" applyBorder="1" applyAlignment="1">
      <alignment vertical="center"/>
    </xf>
    <xf numFmtId="175" fontId="15" fillId="0" borderId="91" xfId="15" applyNumberFormat="1" applyFont="1" applyFill="1" applyBorder="1" applyAlignment="1">
      <alignment vertical="center"/>
    </xf>
    <xf numFmtId="175" fontId="16" fillId="0" borderId="46" xfId="14" applyNumberFormat="1" applyFont="1" applyFill="1" applyBorder="1"/>
    <xf numFmtId="175" fontId="54" fillId="0" borderId="47" xfId="14" applyNumberFormat="1" applyFont="1" applyFill="1" applyBorder="1"/>
    <xf numFmtId="175" fontId="16" fillId="0" borderId="47" xfId="15" applyNumberFormat="1" applyFont="1" applyFill="1" applyBorder="1"/>
    <xf numFmtId="175" fontId="54" fillId="0" borderId="47" xfId="15" applyNumberFormat="1" applyFont="1" applyFill="1" applyBorder="1"/>
    <xf numFmtId="175" fontId="46" fillId="0" borderId="47" xfId="15" applyNumberFormat="1" applyFont="1" applyFill="1" applyBorder="1"/>
    <xf numFmtId="175" fontId="46" fillId="0" borderId="47" xfId="14" applyNumberFormat="1" applyFont="1" applyFill="1" applyBorder="1"/>
    <xf numFmtId="175" fontId="13" fillId="0" borderId="47" xfId="14" applyNumberFormat="1" applyFont="1" applyFill="1" applyBorder="1"/>
    <xf numFmtId="175" fontId="16" fillId="0" borderId="47" xfId="14" applyNumberFormat="1" applyFont="1" applyFill="1" applyBorder="1" applyAlignment="1">
      <alignment vertical="center"/>
    </xf>
    <xf numFmtId="175" fontId="54" fillId="0" borderId="47" xfId="14" applyNumberFormat="1" applyFont="1" applyFill="1" applyBorder="1" applyAlignment="1">
      <alignment vertical="center"/>
    </xf>
    <xf numFmtId="175" fontId="54" fillId="0" borderId="47" xfId="15" applyNumberFormat="1" applyFont="1" applyFill="1" applyBorder="1" applyAlignment="1">
      <alignment vertical="center"/>
    </xf>
    <xf numFmtId="175" fontId="46" fillId="0" borderId="47" xfId="15" applyNumberFormat="1" applyFont="1" applyFill="1" applyBorder="1" applyAlignment="1">
      <alignment vertical="center"/>
    </xf>
    <xf numFmtId="175" fontId="46" fillId="0" borderId="47" xfId="14" applyNumberFormat="1" applyFont="1" applyFill="1" applyBorder="1" applyAlignment="1">
      <alignment vertical="center"/>
    </xf>
    <xf numFmtId="175" fontId="13" fillId="0" borderId="15" xfId="14" applyNumberFormat="1" applyFont="1" applyFill="1" applyBorder="1" applyAlignment="1">
      <alignment vertical="center"/>
    </xf>
    <xf numFmtId="175" fontId="54" fillId="0" borderId="15" xfId="14" applyNumberFormat="1" applyFont="1" applyFill="1" applyBorder="1" applyAlignment="1">
      <alignment vertical="center"/>
    </xf>
    <xf numFmtId="175" fontId="13" fillId="0" borderId="16" xfId="14" applyNumberFormat="1" applyFont="1" applyFill="1" applyBorder="1" applyAlignment="1">
      <alignment vertical="center"/>
    </xf>
    <xf numFmtId="165" fontId="16" fillId="0" borderId="45" xfId="15" applyNumberFormat="1" applyFont="1" applyFill="1" applyBorder="1" applyAlignment="1">
      <alignment vertical="center"/>
    </xf>
    <xf numFmtId="165" fontId="16" fillId="0" borderId="15" xfId="15" applyNumberFormat="1" applyFont="1" applyFill="1" applyBorder="1" applyAlignment="1">
      <alignment vertical="center"/>
    </xf>
    <xf numFmtId="174" fontId="16" fillId="0" borderId="15" xfId="14" applyNumberFormat="1" applyFont="1" applyFill="1" applyBorder="1" applyAlignment="1">
      <alignment vertical="center"/>
    </xf>
    <xf numFmtId="175" fontId="13" fillId="0" borderId="47" xfId="14" applyNumberFormat="1" applyFont="1" applyFill="1" applyBorder="1" applyAlignment="1">
      <alignment vertical="center"/>
    </xf>
    <xf numFmtId="174" fontId="16" fillId="0" borderId="15" xfId="15" applyNumberFormat="1" applyFont="1" applyFill="1" applyBorder="1" applyAlignment="1">
      <alignment vertical="center"/>
    </xf>
    <xf numFmtId="175" fontId="81" fillId="0" borderId="15" xfId="14" applyNumberFormat="1" applyFont="1" applyFill="1" applyBorder="1" applyAlignment="1">
      <alignment vertical="center"/>
    </xf>
    <xf numFmtId="175" fontId="19" fillId="0" borderId="15" xfId="14" applyNumberFormat="1" applyFont="1" applyFill="1" applyBorder="1" applyAlignment="1">
      <alignment vertical="center"/>
    </xf>
    <xf numFmtId="175" fontId="49" fillId="0" borderId="75" xfId="15" applyNumberFormat="1" applyFont="1" applyFill="1" applyBorder="1" applyAlignment="1">
      <alignment vertical="center"/>
    </xf>
    <xf numFmtId="0" fontId="13" fillId="0" borderId="0" xfId="14" applyFont="1" applyFill="1" applyAlignment="1">
      <alignment wrapText="1"/>
    </xf>
    <xf numFmtId="184" fontId="16" fillId="0" borderId="0" xfId="14" applyNumberFormat="1" applyFont="1" applyFill="1"/>
    <xf numFmtId="178" fontId="16" fillId="0" borderId="0" xfId="14" applyNumberFormat="1" applyFont="1" applyFill="1"/>
    <xf numFmtId="178" fontId="54" fillId="0" borderId="0" xfId="14" applyNumberFormat="1" applyFont="1" applyFill="1"/>
    <xf numFmtId="184" fontId="13" fillId="0" borderId="0" xfId="14" applyNumberFormat="1" applyFont="1" applyFill="1"/>
    <xf numFmtId="0" fontId="0" fillId="0" borderId="0" xfId="0" applyAlignment="1">
      <alignment horizontal="center" vertical="center"/>
    </xf>
    <xf numFmtId="0" fontId="47" fillId="0" borderId="0" xfId="20" applyFont="1"/>
    <xf numFmtId="0" fontId="19" fillId="0" borderId="0" xfId="20" applyFont="1"/>
    <xf numFmtId="0" fontId="1" fillId="0" borderId="0" xfId="20"/>
    <xf numFmtId="0" fontId="20" fillId="0" borderId="21" xfId="20" applyFont="1" applyBorder="1"/>
    <xf numFmtId="164" fontId="20" fillId="0" borderId="29" xfId="21" applyNumberFormat="1" applyFont="1" applyBorder="1" applyAlignment="1">
      <alignment horizontal="center"/>
    </xf>
    <xf numFmtId="0" fontId="20" fillId="0" borderId="57" xfId="20" applyFont="1" applyBorder="1" applyAlignment="1">
      <alignment horizontal="center"/>
    </xf>
    <xf numFmtId="0" fontId="20" fillId="0" borderId="0" xfId="20" applyFont="1"/>
    <xf numFmtId="0" fontId="18" fillId="0" borderId="0" xfId="20" applyFont="1"/>
    <xf numFmtId="0" fontId="19" fillId="0" borderId="62" xfId="20" applyFont="1" applyBorder="1"/>
    <xf numFmtId="164" fontId="19" fillId="0" borderId="96" xfId="21" applyNumberFormat="1" applyFont="1" applyBorder="1"/>
    <xf numFmtId="43" fontId="19" fillId="0" borderId="63" xfId="21" applyNumberFormat="1" applyFont="1" applyBorder="1"/>
    <xf numFmtId="0" fontId="19" fillId="0" borderId="18" xfId="20" applyFont="1" applyBorder="1"/>
    <xf numFmtId="164" fontId="19" fillId="0" borderId="16" xfId="21" applyNumberFormat="1" applyFont="1" applyBorder="1"/>
    <xf numFmtId="43" fontId="19" fillId="0" borderId="60" xfId="21" applyNumberFormat="1" applyFont="1" applyBorder="1"/>
    <xf numFmtId="0" fontId="20" fillId="0" borderId="18" xfId="20" applyFont="1" applyBorder="1"/>
    <xf numFmtId="164" fontId="20" fillId="0" borderId="16" xfId="21" applyNumberFormat="1" applyFont="1" applyBorder="1"/>
    <xf numFmtId="0" fontId="20" fillId="0" borderId="18" xfId="20" applyFont="1" applyBorder="1" applyAlignment="1">
      <alignment vertical="top"/>
    </xf>
    <xf numFmtId="43" fontId="20" fillId="0" borderId="60" xfId="21" applyNumberFormat="1" applyFont="1" applyBorder="1" applyAlignment="1">
      <alignment vertical="top"/>
    </xf>
    <xf numFmtId="164" fontId="20" fillId="0" borderId="60" xfId="21" applyNumberFormat="1" applyFont="1" applyBorder="1"/>
    <xf numFmtId="164" fontId="19" fillId="0" borderId="60" xfId="21" applyNumberFormat="1" applyFont="1" applyBorder="1"/>
    <xf numFmtId="0" fontId="19" fillId="0" borderId="19" xfId="20" applyFont="1" applyBorder="1"/>
    <xf numFmtId="164" fontId="19" fillId="0" borderId="26" xfId="21" applyNumberFormat="1" applyFont="1" applyBorder="1"/>
    <xf numFmtId="0" fontId="19" fillId="0" borderId="61" xfId="20" applyFont="1" applyBorder="1"/>
    <xf numFmtId="43" fontId="19" fillId="0" borderId="0" xfId="20" applyNumberFormat="1" applyFont="1"/>
    <xf numFmtId="0" fontId="16" fillId="0" borderId="18" xfId="0" applyFont="1" applyFill="1" applyBorder="1" applyAlignment="1">
      <alignment horizontal="center" vertical="center"/>
    </xf>
    <xf numFmtId="164" fontId="14" fillId="12" borderId="44" xfId="1" applyNumberFormat="1" applyFont="1" applyFill="1" applyBorder="1">
      <protection locked="0"/>
    </xf>
    <xf numFmtId="164" fontId="14" fillId="12" borderId="15" xfId="1" applyNumberFormat="1" applyFont="1" applyFill="1" applyBorder="1">
      <protection locked="0"/>
    </xf>
    <xf numFmtId="0" fontId="16" fillId="0" borderId="86" xfId="0" applyFont="1" applyFill="1" applyBorder="1" applyAlignment="1">
      <alignment wrapText="1"/>
    </xf>
    <xf numFmtId="0" fontId="13" fillId="0" borderId="80" xfId="0" applyFont="1" applyBorder="1" applyAlignment="1">
      <alignment horizontal="center"/>
    </xf>
    <xf numFmtId="0" fontId="13" fillId="0" borderId="0" xfId="0" applyFont="1" applyFill="1" applyAlignment="1"/>
    <xf numFmtId="0" fontId="13" fillId="0" borderId="16" xfId="0" applyFont="1" applyFill="1" applyBorder="1">
      <alignment vertical="center"/>
    </xf>
    <xf numFmtId="0" fontId="13" fillId="0" borderId="86" xfId="0" applyFont="1" applyFill="1" applyBorder="1" applyAlignment="1">
      <alignment wrapText="1"/>
    </xf>
    <xf numFmtId="0" fontId="13" fillId="8" borderId="77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 wrapText="1"/>
    </xf>
    <xf numFmtId="0" fontId="16" fillId="8" borderId="77" xfId="0" applyFont="1" applyFill="1" applyBorder="1" applyAlignment="1">
      <alignment horizontal="center"/>
    </xf>
    <xf numFmtId="164" fontId="14" fillId="8" borderId="16" xfId="1" applyNumberFormat="1" applyFont="1" applyFill="1" applyBorder="1">
      <protection locked="0"/>
    </xf>
    <xf numFmtId="0" fontId="16" fillId="12" borderId="77" xfId="0" applyFont="1" applyFill="1" applyBorder="1" applyAlignment="1">
      <alignment horizontal="center" vertical="center"/>
    </xf>
    <xf numFmtId="0" fontId="16" fillId="11" borderId="77" xfId="0" applyFont="1" applyFill="1" applyBorder="1" applyAlignment="1">
      <alignment horizontal="center" vertical="center"/>
    </xf>
    <xf numFmtId="0" fontId="16" fillId="11" borderId="16" xfId="0" applyFont="1" applyFill="1" applyBorder="1">
      <alignment vertical="center"/>
    </xf>
    <xf numFmtId="0" fontId="16" fillId="9" borderId="86" xfId="0" applyFont="1" applyFill="1" applyBorder="1" applyAlignment="1">
      <alignment wrapText="1"/>
    </xf>
    <xf numFmtId="164" fontId="14" fillId="12" borderId="24" xfId="1" applyNumberFormat="1" applyFont="1" applyFill="1" applyBorder="1">
      <protection locked="0"/>
    </xf>
    <xf numFmtId="0" fontId="13" fillId="8" borderId="76" xfId="0" applyFont="1" applyFill="1" applyBorder="1" applyAlignment="1">
      <alignment horizontal="center" vertical="center"/>
    </xf>
    <xf numFmtId="0" fontId="13" fillId="8" borderId="17" xfId="0" applyFont="1" applyFill="1" applyBorder="1">
      <alignment vertical="center"/>
    </xf>
    <xf numFmtId="164" fontId="14" fillId="12" borderId="23" xfId="1" applyNumberFormat="1" applyFont="1" applyFill="1" applyBorder="1">
      <protection locked="0"/>
    </xf>
    <xf numFmtId="164" fontId="14" fillId="12" borderId="143" xfId="1" applyNumberFormat="1" applyFont="1" applyFill="1" applyBorder="1">
      <protection locked="0"/>
    </xf>
    <xf numFmtId="164" fontId="14" fillId="12" borderId="69" xfId="1" applyNumberFormat="1" applyFont="1" applyFill="1" applyBorder="1">
      <protection locked="0"/>
    </xf>
    <xf numFmtId="164" fontId="14" fillId="12" borderId="45" xfId="1" applyNumberFormat="1" applyFont="1" applyFill="1" applyBorder="1">
      <protection locked="0"/>
    </xf>
    <xf numFmtId="164" fontId="14" fillId="12" borderId="16" xfId="1" applyNumberFormat="1" applyFont="1" applyFill="1" applyBorder="1">
      <protection locked="0"/>
    </xf>
    <xf numFmtId="164" fontId="14" fillId="9" borderId="23" xfId="1" applyNumberFormat="1" applyFont="1" applyFill="1" applyBorder="1">
      <protection locked="0"/>
    </xf>
    <xf numFmtId="164" fontId="14" fillId="9" borderId="143" xfId="1" applyNumberFormat="1" applyFont="1" applyFill="1" applyBorder="1">
      <protection locked="0"/>
    </xf>
    <xf numFmtId="164" fontId="14" fillId="9" borderId="44" xfId="1" applyNumberFormat="1" applyFont="1" applyFill="1" applyBorder="1">
      <protection locked="0"/>
    </xf>
    <xf numFmtId="164" fontId="14" fillId="9" borderId="24" xfId="1" applyNumberFormat="1" applyFont="1" applyFill="1" applyBorder="1">
      <protection locked="0"/>
    </xf>
    <xf numFmtId="164" fontId="14" fillId="9" borderId="45" xfId="1" applyNumberFormat="1" applyFont="1" applyFill="1" applyBorder="1">
      <protection locked="0"/>
    </xf>
    <xf numFmtId="164" fontId="14" fillId="9" borderId="15" xfId="1" applyNumberFormat="1" applyFont="1" applyFill="1" applyBorder="1">
      <protection locked="0"/>
    </xf>
    <xf numFmtId="164" fontId="14" fillId="9" borderId="16" xfId="1" applyNumberFormat="1" applyFont="1" applyFill="1" applyBorder="1">
      <protection locked="0"/>
    </xf>
    <xf numFmtId="164" fontId="14" fillId="7" borderId="30" xfId="1" applyNumberFormat="1" applyFont="1" applyFill="1" applyBorder="1">
      <protection locked="0"/>
    </xf>
    <xf numFmtId="164" fontId="14" fillId="7" borderId="46" xfId="1" applyNumberFormat="1" applyFont="1" applyFill="1" applyBorder="1">
      <protection locked="0"/>
    </xf>
    <xf numFmtId="164" fontId="14" fillId="7" borderId="47" xfId="1" applyNumberFormat="1" applyFont="1" applyFill="1" applyBorder="1">
      <protection locked="0"/>
    </xf>
    <xf numFmtId="164" fontId="14" fillId="7" borderId="96" xfId="1" applyNumberFormat="1" applyFont="1" applyFill="1" applyBorder="1">
      <protection locked="0"/>
    </xf>
    <xf numFmtId="164" fontId="14" fillId="7" borderId="24" xfId="1" applyNumberFormat="1" applyFont="1" applyFill="1" applyBorder="1">
      <protection locked="0"/>
    </xf>
    <xf numFmtId="164" fontId="14" fillId="7" borderId="45" xfId="1" applyNumberFormat="1" applyFont="1" applyFill="1" applyBorder="1">
      <protection locked="0"/>
    </xf>
    <xf numFmtId="164" fontId="14" fillId="7" borderId="15" xfId="1" applyNumberFormat="1" applyFont="1" applyFill="1" applyBorder="1">
      <protection locked="0"/>
    </xf>
    <xf numFmtId="164" fontId="14" fillId="7" borderId="16" xfId="1" applyNumberFormat="1" applyFont="1" applyFill="1" applyBorder="1">
      <protection locked="0"/>
    </xf>
    <xf numFmtId="0" fontId="11" fillId="3" borderId="0" xfId="0" applyFont="1" applyFill="1" applyAlignment="1">
      <alignment horizontal="left" vertical="center"/>
    </xf>
    <xf numFmtId="0" fontId="91" fillId="3" borderId="0" xfId="0" applyFont="1" applyFill="1">
      <alignment vertical="center"/>
    </xf>
    <xf numFmtId="0" fontId="91" fillId="0" borderId="0" xfId="0" applyFont="1" applyFill="1">
      <alignment vertical="center"/>
    </xf>
    <xf numFmtId="0" fontId="91" fillId="0" borderId="0" xfId="0" applyFont="1">
      <alignment vertical="center"/>
    </xf>
    <xf numFmtId="0" fontId="92" fillId="0" borderId="0" xfId="0" applyFont="1">
      <alignment vertical="center"/>
    </xf>
    <xf numFmtId="0" fontId="16" fillId="3" borderId="0" xfId="0" applyFont="1" applyFill="1" applyAlignment="1">
      <alignment horizontal="left" vertical="center"/>
    </xf>
    <xf numFmtId="0" fontId="13" fillId="0" borderId="9" xfId="0" applyFont="1" applyFill="1" applyBorder="1" applyAlignment="1">
      <alignment horizontal="center" vertical="center"/>
    </xf>
    <xf numFmtId="164" fontId="38" fillId="0" borderId="0" xfId="5" applyNumberFormat="1" applyFont="1" applyFill="1" applyAlignment="1">
      <alignment horizontal="center"/>
    </xf>
    <xf numFmtId="164" fontId="56" fillId="2" borderId="120" xfId="5" applyNumberFormat="1" applyFont="1" applyFill="1" applyBorder="1"/>
    <xf numFmtId="0" fontId="57" fillId="0" borderId="0" xfId="0" applyFont="1" applyFill="1" applyAlignment="1">
      <alignment horizontal="center"/>
    </xf>
    <xf numFmtId="0" fontId="13" fillId="0" borderId="97" xfId="0" applyFont="1" applyFill="1" applyBorder="1" applyAlignment="1">
      <alignment horizontal="left" vertical="center"/>
    </xf>
    <xf numFmtId="0" fontId="13" fillId="0" borderId="99" xfId="0" applyFont="1" applyFill="1" applyBorder="1" applyAlignment="1">
      <alignment horizontal="left" vertical="center"/>
    </xf>
    <xf numFmtId="0" fontId="13" fillId="0" borderId="97" xfId="0" applyFont="1" applyFill="1" applyBorder="1" applyAlignment="1"/>
    <xf numFmtId="0" fontId="13" fillId="8" borderId="16" xfId="0" applyFont="1" applyFill="1" applyBorder="1" applyAlignment="1"/>
    <xf numFmtId="0" fontId="16" fillId="8" borderId="16" xfId="0" applyFont="1" applyFill="1" applyBorder="1" applyAlignment="1"/>
    <xf numFmtId="0" fontId="13" fillId="8" borderId="45" xfId="0" applyFont="1" applyFill="1" applyBorder="1" applyAlignment="1">
      <alignment horizontal="center" wrapText="1"/>
    </xf>
    <xf numFmtId="164" fontId="14" fillId="8" borderId="45" xfId="1" applyNumberFormat="1" applyFont="1" applyFill="1" applyBorder="1">
      <protection locked="0"/>
    </xf>
    <xf numFmtId="0" fontId="13" fillId="8" borderId="18" xfId="0" applyFont="1" applyFill="1" applyBorder="1" applyAlignment="1">
      <alignment horizontal="center" wrapText="1"/>
    </xf>
    <xf numFmtId="0" fontId="13" fillId="8" borderId="60" xfId="0" applyFont="1" applyFill="1" applyBorder="1" applyAlignment="1">
      <alignment horizontal="center" wrapText="1"/>
    </xf>
    <xf numFmtId="164" fontId="14" fillId="8" borderId="18" xfId="1" applyNumberFormat="1" applyFont="1" applyFill="1" applyBorder="1">
      <protection locked="0"/>
    </xf>
    <xf numFmtId="164" fontId="14" fillId="8" borderId="60" xfId="1" applyNumberFormat="1" applyFont="1" applyFill="1" applyBorder="1">
      <protection locked="0"/>
    </xf>
    <xf numFmtId="0" fontId="13" fillId="8" borderId="86" xfId="0" applyFont="1" applyFill="1" applyBorder="1" applyAlignment="1">
      <alignment horizontal="center" wrapText="1"/>
    </xf>
    <xf numFmtId="164" fontId="14" fillId="8" borderId="86" xfId="1" applyNumberFormat="1" applyFont="1" applyFill="1" applyBorder="1">
      <protection locked="0"/>
    </xf>
    <xf numFmtId="164" fontId="12" fillId="8" borderId="153" xfId="1" applyNumberFormat="1" applyFont="1" applyFill="1" applyBorder="1">
      <protection locked="0"/>
    </xf>
    <xf numFmtId="164" fontId="12" fillId="8" borderId="145" xfId="1" applyNumberFormat="1" applyFont="1" applyFill="1" applyBorder="1">
      <protection locked="0"/>
    </xf>
    <xf numFmtId="164" fontId="12" fillId="8" borderId="159" xfId="1" applyNumberFormat="1" applyFont="1" applyFill="1" applyBorder="1">
      <protection locked="0"/>
    </xf>
    <xf numFmtId="164" fontId="12" fillId="8" borderId="17" xfId="1" applyNumberFormat="1" applyFont="1" applyFill="1" applyBorder="1">
      <protection locked="0"/>
    </xf>
    <xf numFmtId="164" fontId="12" fillId="8" borderId="128" xfId="1" applyNumberFormat="1" applyFont="1" applyFill="1" applyBorder="1">
      <protection locked="0"/>
    </xf>
    <xf numFmtId="0" fontId="13" fillId="0" borderId="58" xfId="0" applyFont="1" applyBorder="1" applyAlignment="1">
      <alignment horizontal="center" vertical="center"/>
    </xf>
    <xf numFmtId="0" fontId="13" fillId="0" borderId="69" xfId="0" applyFont="1" applyFill="1" applyBorder="1">
      <alignment vertical="center"/>
    </xf>
    <xf numFmtId="0" fontId="16" fillId="9" borderId="18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6" xfId="0" applyFont="1" applyFill="1" applyBorder="1">
      <alignment vertical="center"/>
    </xf>
    <xf numFmtId="0" fontId="13" fillId="0" borderId="160" xfId="0" applyFont="1" applyFill="1" applyBorder="1" applyAlignment="1">
      <alignment horizontal="center" vertical="center"/>
    </xf>
    <xf numFmtId="0" fontId="13" fillId="0" borderId="155" xfId="0" applyFont="1" applyFill="1" applyBorder="1">
      <alignment vertical="center"/>
    </xf>
    <xf numFmtId="164" fontId="12" fillId="0" borderId="138" xfId="1" applyNumberFormat="1" applyFont="1" applyBorder="1">
      <protection locked="0"/>
    </xf>
    <xf numFmtId="0" fontId="13" fillId="0" borderId="163" xfId="0" applyFont="1" applyFill="1" applyBorder="1" applyAlignment="1">
      <alignment horizontal="center" vertical="center"/>
    </xf>
    <xf numFmtId="0" fontId="13" fillId="0" borderId="164" xfId="0" applyFont="1" applyFill="1" applyBorder="1">
      <alignment vertical="center"/>
    </xf>
    <xf numFmtId="164" fontId="12" fillId="0" borderId="167" xfId="1" applyNumberFormat="1" applyFont="1" applyBorder="1">
      <protection locked="0"/>
    </xf>
    <xf numFmtId="0" fontId="13" fillId="12" borderId="168" xfId="0" applyFont="1" applyFill="1" applyBorder="1" applyAlignment="1">
      <alignment horizontal="center" vertical="center"/>
    </xf>
    <xf numFmtId="0" fontId="13" fillId="12" borderId="69" xfId="0" applyFont="1" applyFill="1" applyBorder="1">
      <alignment vertical="center"/>
    </xf>
    <xf numFmtId="164" fontId="12" fillId="12" borderId="127" xfId="1" applyNumberFormat="1" applyFont="1" applyFill="1" applyBorder="1">
      <protection locked="0"/>
    </xf>
    <xf numFmtId="164" fontId="14" fillId="12" borderId="86" xfId="1" applyNumberFormat="1" applyFont="1" applyFill="1" applyBorder="1">
      <protection locked="0"/>
    </xf>
    <xf numFmtId="0" fontId="13" fillId="12" borderId="169" xfId="0" applyFont="1" applyFill="1" applyBorder="1" applyAlignment="1">
      <alignment horizontal="center" vertical="center"/>
    </xf>
    <xf numFmtId="164" fontId="12" fillId="12" borderId="108" xfId="1" applyNumberFormat="1" applyFont="1" applyFill="1" applyBorder="1">
      <protection locked="0"/>
    </xf>
    <xf numFmtId="164" fontId="14" fillId="4" borderId="86" xfId="1" applyNumberFormat="1" applyFont="1" applyFill="1" applyBorder="1">
      <protection locked="0"/>
    </xf>
    <xf numFmtId="0" fontId="13" fillId="7" borderId="168" xfId="0" applyFont="1" applyFill="1" applyBorder="1" applyAlignment="1">
      <alignment horizontal="center" vertical="center"/>
    </xf>
    <xf numFmtId="0" fontId="13" fillId="7" borderId="69" xfId="0" applyFont="1" applyFill="1" applyBorder="1">
      <alignment vertical="center"/>
    </xf>
    <xf numFmtId="164" fontId="12" fillId="7" borderId="127" xfId="1" applyNumberFormat="1" applyFont="1" applyFill="1" applyBorder="1">
      <protection locked="0"/>
    </xf>
    <xf numFmtId="0" fontId="16" fillId="7" borderId="77" xfId="0" applyFont="1" applyFill="1" applyBorder="1" applyAlignment="1">
      <alignment horizontal="center" vertical="center"/>
    </xf>
    <xf numFmtId="164" fontId="14" fillId="7" borderId="86" xfId="1" applyNumberFormat="1" applyFont="1" applyFill="1" applyBorder="1">
      <protection locked="0"/>
    </xf>
    <xf numFmtId="0" fontId="13" fillId="7" borderId="169" xfId="0" applyFont="1" applyFill="1" applyBorder="1" applyAlignment="1">
      <alignment horizontal="center" vertical="center"/>
    </xf>
    <xf numFmtId="164" fontId="12" fillId="7" borderId="108" xfId="1" applyNumberFormat="1" applyFont="1" applyFill="1" applyBorder="1">
      <protection locked="0"/>
    </xf>
    <xf numFmtId="0" fontId="13" fillId="14" borderId="168" xfId="0" applyFont="1" applyFill="1" applyBorder="1" applyAlignment="1">
      <alignment horizontal="center" vertical="center"/>
    </xf>
    <xf numFmtId="0" fontId="13" fillId="14" borderId="69" xfId="0" applyFont="1" applyFill="1" applyBorder="1">
      <alignment vertical="center"/>
    </xf>
    <xf numFmtId="164" fontId="12" fillId="14" borderId="127" xfId="1" applyNumberFormat="1" applyFont="1" applyFill="1" applyBorder="1">
      <protection locked="0"/>
    </xf>
    <xf numFmtId="0" fontId="16" fillId="14" borderId="77" xfId="0" applyFont="1" applyFill="1" applyBorder="1" applyAlignment="1">
      <alignment horizontal="center" vertical="center"/>
    </xf>
    <xf numFmtId="0" fontId="16" fillId="14" borderId="16" xfId="0" applyFont="1" applyFill="1" applyBorder="1">
      <alignment vertical="center"/>
    </xf>
    <xf numFmtId="164" fontId="14" fillId="14" borderId="86" xfId="1" applyNumberFormat="1" applyFont="1" applyFill="1" applyBorder="1">
      <protection locked="0"/>
    </xf>
    <xf numFmtId="0" fontId="13" fillId="14" borderId="169" xfId="0" applyFont="1" applyFill="1" applyBorder="1" applyAlignment="1">
      <alignment horizontal="center" vertical="center"/>
    </xf>
    <xf numFmtId="0" fontId="13" fillId="14" borderId="26" xfId="0" applyFont="1" applyFill="1" applyBorder="1">
      <alignment vertical="center"/>
    </xf>
    <xf numFmtId="164" fontId="12" fillId="14" borderId="108" xfId="1" applyNumberFormat="1" applyFont="1" applyFill="1" applyBorder="1">
      <protection locked="0"/>
    </xf>
    <xf numFmtId="0" fontId="13" fillId="11" borderId="168" xfId="0" applyFont="1" applyFill="1" applyBorder="1" applyAlignment="1">
      <alignment horizontal="center" vertical="center"/>
    </xf>
    <xf numFmtId="0" fontId="13" fillId="11" borderId="69" xfId="0" applyFont="1" applyFill="1" applyBorder="1">
      <alignment vertical="center"/>
    </xf>
    <xf numFmtId="164" fontId="12" fillId="11" borderId="127" xfId="1" applyNumberFormat="1" applyFont="1" applyFill="1" applyBorder="1">
      <protection locked="0"/>
    </xf>
    <xf numFmtId="164" fontId="14" fillId="11" borderId="86" xfId="1" applyNumberFormat="1" applyFont="1" applyFill="1" applyBorder="1">
      <protection locked="0"/>
    </xf>
    <xf numFmtId="0" fontId="13" fillId="11" borderId="169" xfId="0" applyFont="1" applyFill="1" applyBorder="1" applyAlignment="1">
      <alignment horizontal="center" vertical="center"/>
    </xf>
    <xf numFmtId="0" fontId="13" fillId="11" borderId="26" xfId="0" applyFont="1" applyFill="1" applyBorder="1">
      <alignment vertical="center"/>
    </xf>
    <xf numFmtId="164" fontId="12" fillId="11" borderId="108" xfId="1" applyNumberFormat="1" applyFont="1" applyFill="1" applyBorder="1">
      <protection locked="0"/>
    </xf>
    <xf numFmtId="0" fontId="13" fillId="0" borderId="29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13" fillId="0" borderId="171" xfId="0" applyFont="1" applyFill="1" applyBorder="1" applyAlignment="1">
      <alignment horizontal="center" vertical="center"/>
    </xf>
    <xf numFmtId="0" fontId="16" fillId="0" borderId="171" xfId="0" applyFont="1" applyFill="1" applyBorder="1" applyAlignment="1">
      <alignment horizontal="center" vertical="center"/>
    </xf>
    <xf numFmtId="164" fontId="14" fillId="0" borderId="53" xfId="1" applyNumberFormat="1" applyFont="1" applyBorder="1">
      <protection locked="0"/>
    </xf>
    <xf numFmtId="0" fontId="16" fillId="4" borderId="58" xfId="0" applyFont="1" applyFill="1" applyBorder="1" applyAlignment="1">
      <alignment horizontal="center" vertical="center"/>
    </xf>
    <xf numFmtId="0" fontId="16" fillId="4" borderId="69" xfId="0" applyFont="1" applyFill="1" applyBorder="1">
      <alignment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53" xfId="0" applyFont="1" applyFill="1" applyBorder="1" applyAlignment="1">
      <alignment horizontal="center" vertical="center"/>
    </xf>
    <xf numFmtId="0" fontId="16" fillId="4" borderId="17" xfId="0" applyFont="1" applyFill="1" applyBorder="1">
      <alignment vertical="center"/>
    </xf>
    <xf numFmtId="0" fontId="13" fillId="8" borderId="77" xfId="0" applyFont="1" applyFill="1" applyBorder="1" applyAlignment="1">
      <alignment horizontal="center" wrapText="1"/>
    </xf>
    <xf numFmtId="0" fontId="13" fillId="0" borderId="127" xfId="0" applyFont="1" applyFill="1" applyBorder="1" applyAlignment="1">
      <alignment wrapText="1"/>
    </xf>
    <xf numFmtId="0" fontId="13" fillId="0" borderId="108" xfId="0" applyFont="1" applyFill="1" applyBorder="1" applyAlignment="1">
      <alignment wrapText="1"/>
    </xf>
    <xf numFmtId="164" fontId="14" fillId="4" borderId="127" xfId="1" applyNumberFormat="1" applyFont="1" applyFill="1" applyBorder="1">
      <protection locked="0"/>
    </xf>
    <xf numFmtId="164" fontId="14" fillId="4" borderId="128" xfId="1" applyNumberFormat="1" applyFont="1" applyFill="1" applyBorder="1">
      <protection locked="0"/>
    </xf>
    <xf numFmtId="170" fontId="14" fillId="0" borderId="138" xfId="2" applyNumberFormat="1" applyFont="1" applyBorder="1" applyProtection="1">
      <protection locked="0"/>
    </xf>
    <xf numFmtId="0" fontId="16" fillId="0" borderId="160" xfId="0" applyFont="1" applyFill="1" applyBorder="1" applyAlignment="1">
      <alignment horizontal="center" vertical="center"/>
    </xf>
    <xf numFmtId="0" fontId="16" fillId="0" borderId="155" xfId="0" applyFont="1" applyFill="1" applyBorder="1">
      <alignment vertical="center"/>
    </xf>
    <xf numFmtId="164" fontId="12" fillId="0" borderId="172" xfId="1" applyNumberFormat="1" applyFont="1" applyBorder="1">
      <protection locked="0"/>
    </xf>
    <xf numFmtId="0" fontId="25" fillId="0" borderId="80" xfId="0" applyFont="1" applyFill="1" applyBorder="1" applyAlignment="1">
      <alignment horizontal="center" wrapText="1"/>
    </xf>
    <xf numFmtId="0" fontId="25" fillId="0" borderId="158" xfId="0" applyFont="1" applyFill="1" applyBorder="1" applyAlignment="1">
      <alignment horizontal="center" wrapText="1"/>
    </xf>
    <xf numFmtId="0" fontId="25" fillId="0" borderId="95" xfId="0" applyFont="1" applyFill="1" applyBorder="1" applyAlignment="1">
      <alignment horizontal="center" wrapText="1"/>
    </xf>
    <xf numFmtId="0" fontId="25" fillId="0" borderId="97" xfId="0" applyFont="1" applyFill="1" applyBorder="1" applyAlignment="1">
      <alignment horizontal="center" wrapText="1"/>
    </xf>
    <xf numFmtId="0" fontId="25" fillId="0" borderId="157" xfId="0" applyFont="1" applyFill="1" applyBorder="1" applyAlignment="1">
      <alignment horizontal="center" wrapText="1"/>
    </xf>
    <xf numFmtId="0" fontId="25" fillId="0" borderId="82" xfId="0" applyFont="1" applyFill="1" applyBorder="1" applyAlignment="1">
      <alignment horizontal="center" wrapText="1"/>
    </xf>
    <xf numFmtId="164" fontId="76" fillId="0" borderId="0" xfId="0" applyNumberFormat="1" applyFo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/>
    <xf numFmtId="0" fontId="36" fillId="0" borderId="0" xfId="0" applyFont="1" applyAlignment="1"/>
    <xf numFmtId="0" fontId="14" fillId="16" borderId="175" xfId="0" applyFont="1" applyFill="1" applyBorder="1" applyAlignment="1">
      <alignment vertical="top" wrapText="1"/>
    </xf>
    <xf numFmtId="0" fontId="14" fillId="16" borderId="175" xfId="0" applyFont="1" applyFill="1" applyBorder="1" applyAlignment="1">
      <alignment horizontal="center" vertical="top" wrapText="1"/>
    </xf>
    <xf numFmtId="2" fontId="14" fillId="16" borderId="175" xfId="0" applyNumberFormat="1" applyFont="1" applyFill="1" applyBorder="1" applyAlignment="1">
      <alignment horizontal="left" vertical="top" wrapText="1"/>
    </xf>
    <xf numFmtId="2" fontId="14" fillId="16" borderId="176" xfId="0" applyNumberFormat="1" applyFont="1" applyFill="1" applyBorder="1" applyAlignment="1">
      <alignment horizontal="left" vertical="top" wrapText="1"/>
    </xf>
    <xf numFmtId="2" fontId="14" fillId="16" borderId="177" xfId="0" applyNumberFormat="1" applyFont="1" applyFill="1" applyBorder="1" applyAlignment="1">
      <alignment horizontal="left" vertical="top" wrapText="1"/>
    </xf>
    <xf numFmtId="2" fontId="14" fillId="16" borderId="178" xfId="0" applyNumberFormat="1" applyFont="1" applyFill="1" applyBorder="1" applyAlignment="1">
      <alignment horizontal="left" vertical="top" wrapText="1"/>
    </xf>
    <xf numFmtId="0" fontId="14" fillId="16" borderId="179" xfId="0" applyFont="1" applyFill="1" applyBorder="1" applyAlignment="1">
      <alignment vertical="top" wrapText="1"/>
    </xf>
    <xf numFmtId="0" fontId="14" fillId="16" borderId="180" xfId="0" applyFont="1" applyFill="1" applyBorder="1" applyAlignment="1">
      <alignment vertical="top" wrapText="1"/>
    </xf>
    <xf numFmtId="0" fontId="14" fillId="16" borderId="177" xfId="0" applyFont="1" applyFill="1" applyBorder="1" applyAlignment="1">
      <alignment vertical="top" wrapText="1"/>
    </xf>
    <xf numFmtId="0" fontId="14" fillId="16" borderId="177" xfId="0" applyFont="1" applyFill="1" applyBorder="1" applyAlignment="1">
      <alignment horizontal="center" vertical="top" wrapText="1"/>
    </xf>
    <xf numFmtId="0" fontId="14" fillId="16" borderId="181" xfId="0" applyFont="1" applyFill="1" applyBorder="1" applyAlignment="1">
      <alignment vertical="top" wrapText="1"/>
    </xf>
    <xf numFmtId="0" fontId="14" fillId="16" borderId="182" xfId="0" applyFont="1" applyFill="1" applyBorder="1" applyAlignment="1">
      <alignment vertical="top" wrapText="1"/>
    </xf>
    <xf numFmtId="0" fontId="14" fillId="16" borderId="182" xfId="0" applyFont="1" applyFill="1" applyBorder="1" applyAlignment="1">
      <alignment horizontal="center" vertical="top" wrapText="1"/>
    </xf>
    <xf numFmtId="2" fontId="14" fillId="16" borderId="182" xfId="0" applyNumberFormat="1" applyFont="1" applyFill="1" applyBorder="1" applyAlignment="1">
      <alignment horizontal="left" vertical="top" wrapText="1"/>
    </xf>
    <xf numFmtId="2" fontId="14" fillId="16" borderId="183" xfId="0" applyNumberFormat="1" applyFont="1" applyFill="1" applyBorder="1" applyAlignment="1">
      <alignment horizontal="left" vertical="top" wrapText="1"/>
    </xf>
    <xf numFmtId="0" fontId="12" fillId="15" borderId="184" xfId="0" applyFont="1" applyFill="1" applyBorder="1" applyAlignment="1">
      <alignment vertical="top" wrapText="1"/>
    </xf>
    <xf numFmtId="0" fontId="12" fillId="15" borderId="185" xfId="0" applyFont="1" applyFill="1" applyBorder="1" applyAlignment="1">
      <alignment vertical="top" wrapText="1"/>
    </xf>
    <xf numFmtId="0" fontId="12" fillId="15" borderId="185" xfId="0" applyFont="1" applyFill="1" applyBorder="1" applyAlignment="1">
      <alignment horizontal="center" vertical="top" wrapText="1"/>
    </xf>
    <xf numFmtId="0" fontId="12" fillId="15" borderId="185" xfId="0" applyFont="1" applyFill="1" applyBorder="1" applyAlignment="1">
      <alignment horizontal="left" vertical="top" wrapText="1"/>
    </xf>
    <xf numFmtId="0" fontId="12" fillId="15" borderId="186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5" fontId="12" fillId="0" borderId="0" xfId="1" applyNumberFormat="1" applyFont="1">
      <protection locked="0"/>
    </xf>
    <xf numFmtId="164" fontId="14" fillId="0" borderId="182" xfId="1" applyNumberFormat="1" applyFont="1" applyBorder="1" applyAlignment="1">
      <alignment vertical="top"/>
      <protection locked="0"/>
    </xf>
    <xf numFmtId="165" fontId="14" fillId="0" borderId="182" xfId="1" applyNumberFormat="1" applyFont="1" applyBorder="1" applyAlignment="1">
      <alignment vertical="top"/>
      <protection locked="0"/>
    </xf>
    <xf numFmtId="164" fontId="14" fillId="0" borderId="175" xfId="1" applyNumberFormat="1" applyFont="1" applyBorder="1" applyAlignment="1">
      <alignment vertical="top"/>
      <protection locked="0"/>
    </xf>
    <xf numFmtId="165" fontId="14" fillId="0" borderId="175" xfId="1" applyNumberFormat="1" applyFont="1" applyBorder="1" applyAlignment="1">
      <alignment vertical="top"/>
      <protection locked="0"/>
    </xf>
    <xf numFmtId="164" fontId="14" fillId="0" borderId="177" xfId="1" applyNumberFormat="1" applyFont="1" applyBorder="1" applyAlignment="1">
      <alignment vertical="top"/>
      <protection locked="0"/>
    </xf>
    <xf numFmtId="165" fontId="14" fillId="0" borderId="177" xfId="1" applyNumberFormat="1" applyFont="1" applyBorder="1" applyAlignment="1">
      <alignment vertical="top"/>
      <protection locked="0"/>
    </xf>
    <xf numFmtId="0" fontId="0" fillId="0" borderId="0" xfId="0" applyFill="1">
      <alignment vertical="center"/>
    </xf>
    <xf numFmtId="164" fontId="8" fillId="0" borderId="0" xfId="1" applyNumberFormat="1" applyFill="1">
      <protection locked="0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8" fillId="12" borderId="47" xfId="1" applyNumberFormat="1" applyFill="1" applyBorder="1">
      <protection locked="0"/>
    </xf>
    <xf numFmtId="164" fontId="8" fillId="12" borderId="187" xfId="1" applyNumberFormat="1" applyFill="1" applyBorder="1">
      <protection locked="0"/>
    </xf>
    <xf numFmtId="164" fontId="8" fillId="9" borderId="47" xfId="1" applyNumberFormat="1" applyFill="1" applyBorder="1">
      <protection locked="0"/>
    </xf>
    <xf numFmtId="164" fontId="8" fillId="9" borderId="187" xfId="1" applyNumberFormat="1" applyFill="1" applyBorder="1">
      <protection locked="0"/>
    </xf>
    <xf numFmtId="0" fontId="0" fillId="11" borderId="47" xfId="0" applyFill="1" applyBorder="1">
      <alignment vertical="center"/>
    </xf>
    <xf numFmtId="0" fontId="0" fillId="11" borderId="96" xfId="0" applyFill="1" applyBorder="1">
      <alignment vertical="center"/>
    </xf>
    <xf numFmtId="0" fontId="0" fillId="11" borderId="15" xfId="0" applyFill="1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5" xfId="0" applyFont="1" applyFill="1" applyBorder="1">
      <alignment vertical="center"/>
    </xf>
    <xf numFmtId="0" fontId="7" fillId="11" borderId="187" xfId="0" applyFont="1" applyFill="1" applyBorder="1">
      <alignment vertical="center"/>
    </xf>
    <xf numFmtId="0" fontId="0" fillId="11" borderId="17" xfId="0" applyFill="1" applyBorder="1">
      <alignment vertical="center"/>
    </xf>
    <xf numFmtId="0" fontId="93" fillId="0" borderId="1" xfId="22" applyFont="1" applyFill="1" applyBorder="1" applyAlignment="1">
      <alignment horizontal="center" vertical="center"/>
    </xf>
    <xf numFmtId="0" fontId="7" fillId="0" borderId="0" xfId="22">
      <alignment vertical="center"/>
    </xf>
    <xf numFmtId="0" fontId="83" fillId="0" borderId="2" xfId="22" applyFont="1" applyFill="1" applyBorder="1" applyAlignment="1">
      <alignment horizontal="center" vertical="center"/>
    </xf>
    <xf numFmtId="0" fontId="83" fillId="0" borderId="1" xfId="22" applyFont="1" applyFill="1" applyBorder="1" applyAlignment="1">
      <alignment horizontal="center" vertical="center"/>
    </xf>
    <xf numFmtId="0" fontId="83" fillId="0" borderId="2" xfId="22" applyFont="1" applyBorder="1" applyAlignment="1">
      <alignment horizontal="center" vertical="center"/>
    </xf>
    <xf numFmtId="0" fontId="83" fillId="0" borderId="1" xfId="22" applyFont="1" applyBorder="1" applyAlignment="1">
      <alignment horizontal="center" vertical="center"/>
    </xf>
    <xf numFmtId="0" fontId="83" fillId="0" borderId="1" xfId="22" applyFont="1" applyBorder="1" applyAlignment="1">
      <alignment horizontal="center" vertical="center" wrapText="1"/>
    </xf>
    <xf numFmtId="0" fontId="83" fillId="0" borderId="1" xfId="22" applyFont="1" applyFill="1" applyBorder="1" applyAlignment="1">
      <alignment horizontal="center" vertical="center" wrapText="1"/>
    </xf>
    <xf numFmtId="0" fontId="94" fillId="0" borderId="1" xfId="22" applyFont="1" applyBorder="1" applyAlignment="1">
      <alignment horizontal="left" vertical="center"/>
    </xf>
    <xf numFmtId="0" fontId="8" fillId="0" borderId="36" xfId="22" applyFont="1" applyBorder="1" applyAlignment="1">
      <alignment horizontal="center"/>
    </xf>
    <xf numFmtId="0" fontId="8" fillId="0" borderId="1" xfId="22" applyFont="1" applyBorder="1" applyAlignment="1">
      <alignment horizontal="center"/>
    </xf>
    <xf numFmtId="0" fontId="8" fillId="0" borderId="1" xfId="22" applyFont="1" applyFill="1" applyBorder="1" applyAlignment="1">
      <alignment horizontal="center"/>
    </xf>
    <xf numFmtId="3" fontId="8" fillId="0" borderId="1" xfId="22" applyNumberFormat="1" applyFont="1" applyBorder="1" applyAlignment="1">
      <alignment horizontal="center" vertical="center"/>
    </xf>
    <xf numFmtId="164" fontId="8" fillId="0" borderId="1" xfId="1" applyNumberFormat="1" applyFont="1" applyBorder="1" applyAlignment="1" applyProtection="1"/>
    <xf numFmtId="164" fontId="8" fillId="0" borderId="1" xfId="1" applyNumberFormat="1" applyFont="1" applyBorder="1" applyAlignment="1" applyProtection="1">
      <alignment horizontal="center" vertical="center"/>
    </xf>
    <xf numFmtId="0" fontId="8" fillId="0" borderId="1" xfId="22" applyFont="1" applyBorder="1" applyAlignment="1">
      <alignment horizontal="center" vertical="center"/>
    </xf>
    <xf numFmtId="0" fontId="94" fillId="0" borderId="1" xfId="22" applyFont="1" applyBorder="1">
      <alignment vertical="center"/>
    </xf>
    <xf numFmtId="0" fontId="8" fillId="0" borderId="174" xfId="22" applyFont="1" applyBorder="1" applyAlignment="1">
      <alignment horizontal="center"/>
    </xf>
    <xf numFmtId="0" fontId="8" fillId="0" borderId="173" xfId="22" applyFont="1" applyBorder="1" applyAlignment="1">
      <alignment horizontal="center"/>
    </xf>
    <xf numFmtId="0" fontId="8" fillId="0" borderId="173" xfId="22" applyFont="1" applyFill="1" applyBorder="1" applyAlignment="1">
      <alignment horizontal="center"/>
    </xf>
    <xf numFmtId="0" fontId="8" fillId="0" borderId="173" xfId="22" applyFont="1" applyBorder="1" applyAlignment="1"/>
    <xf numFmtId="0" fontId="95" fillId="0" borderId="1" xfId="22" applyFont="1" applyBorder="1" applyAlignment="1">
      <alignment horizontal="center"/>
    </xf>
    <xf numFmtId="0" fontId="8" fillId="0" borderId="1" xfId="22" applyFont="1" applyBorder="1" applyAlignment="1"/>
    <xf numFmtId="0" fontId="8" fillId="0" borderId="36" xfId="22" applyFont="1" applyFill="1" applyBorder="1" applyAlignment="1">
      <alignment horizontal="center"/>
    </xf>
    <xf numFmtId="0" fontId="93" fillId="19" borderId="173" xfId="22" applyFont="1" applyFill="1" applyBorder="1" applyAlignment="1">
      <alignment horizontal="center" vertical="center"/>
    </xf>
    <xf numFmtId="0" fontId="93" fillId="19" borderId="173" xfId="22" applyFont="1" applyFill="1" applyBorder="1" applyAlignment="1">
      <alignment horizontal="center"/>
    </xf>
    <xf numFmtId="0" fontId="93" fillId="0" borderId="173" xfId="22" applyFont="1" applyFill="1" applyBorder="1" applyAlignment="1">
      <alignment horizontal="center"/>
    </xf>
    <xf numFmtId="0" fontId="8" fillId="0" borderId="0" xfId="22" applyFont="1">
      <alignment vertical="center"/>
    </xf>
    <xf numFmtId="0" fontId="8" fillId="0" borderId="0" xfId="22" applyFont="1" applyFill="1" applyAlignment="1"/>
    <xf numFmtId="0" fontId="97" fillId="0" borderId="1" xfId="22" applyFont="1" applyFill="1" applyBorder="1" applyAlignment="1">
      <alignment horizontal="center"/>
    </xf>
    <xf numFmtId="0" fontId="97" fillId="0" borderId="1" xfId="22" applyFont="1" applyBorder="1" applyAlignment="1">
      <alignment horizontal="center"/>
    </xf>
    <xf numFmtId="0" fontId="96" fillId="0" borderId="0" xfId="22" applyFont="1" applyAlignment="1">
      <alignment horizontal="center" vertical="center"/>
    </xf>
    <xf numFmtId="164" fontId="16" fillId="12" borderId="23" xfId="1" applyNumberFormat="1" applyFont="1" applyFill="1" applyBorder="1">
      <protection locked="0"/>
    </xf>
    <xf numFmtId="164" fontId="16" fillId="12" borderId="24" xfId="1" applyNumberFormat="1" applyFont="1" applyFill="1" applyBorder="1">
      <protection locked="0"/>
    </xf>
    <xf numFmtId="164" fontId="16" fillId="7" borderId="24" xfId="1" applyNumberFormat="1" applyFont="1" applyFill="1" applyBorder="1">
      <protection locked="0"/>
    </xf>
    <xf numFmtId="0" fontId="13" fillId="20" borderId="74" xfId="0" applyFont="1" applyFill="1" applyBorder="1" applyAlignment="1">
      <alignment horizontal="center" vertical="center"/>
    </xf>
    <xf numFmtId="164" fontId="12" fillId="20" borderId="102" xfId="1" applyNumberFormat="1" applyFont="1" applyFill="1" applyBorder="1">
      <protection locked="0"/>
    </xf>
    <xf numFmtId="0" fontId="98" fillId="3" borderId="0" xfId="0" applyFont="1" applyFill="1" applyAlignment="1">
      <alignment horizontal="left" vertical="center"/>
    </xf>
    <xf numFmtId="0" fontId="99" fillId="3" borderId="0" xfId="0" applyFont="1" applyFill="1" applyAlignment="1">
      <alignment horizontal="left" vertical="center"/>
    </xf>
    <xf numFmtId="165" fontId="14" fillId="0" borderId="103" xfId="1" applyNumberFormat="1" applyFont="1" applyBorder="1" applyAlignment="1">
      <alignment vertical="center"/>
      <protection locked="0"/>
    </xf>
    <xf numFmtId="0" fontId="13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6" fillId="0" borderId="80" xfId="0" applyFont="1" applyBorder="1" applyAlignment="1">
      <alignment horizontal="center"/>
    </xf>
    <xf numFmtId="0" fontId="16" fillId="0" borderId="97" xfId="0" applyFont="1" applyFill="1" applyBorder="1" applyAlignment="1"/>
    <xf numFmtId="0" fontId="13" fillId="0" borderId="190" xfId="0" applyFont="1" applyFill="1" applyBorder="1" applyAlignment="1">
      <alignment horizontal="center" wrapText="1"/>
    </xf>
    <xf numFmtId="0" fontId="13" fillId="0" borderId="81" xfId="0" applyFont="1" applyFill="1" applyBorder="1" applyAlignment="1">
      <alignment horizontal="center" wrapText="1"/>
    </xf>
    <xf numFmtId="0" fontId="13" fillId="0" borderId="191" xfId="0" applyFont="1" applyFill="1" applyBorder="1" applyAlignment="1">
      <alignment horizontal="center" wrapText="1"/>
    </xf>
    <xf numFmtId="0" fontId="16" fillId="4" borderId="77" xfId="0" applyFont="1" applyFill="1" applyBorder="1" applyAlignment="1">
      <alignment horizontal="center" vertical="center"/>
    </xf>
    <xf numFmtId="164" fontId="14" fillId="4" borderId="111" xfId="1" applyNumberFormat="1" applyFont="1" applyFill="1" applyBorder="1">
      <protection locked="0"/>
    </xf>
    <xf numFmtId="164" fontId="14" fillId="4" borderId="39" xfId="1" applyNumberFormat="1" applyFont="1" applyFill="1" applyBorder="1">
      <protection locked="0"/>
    </xf>
    <xf numFmtId="164" fontId="14" fillId="4" borderId="24" xfId="1" applyNumberFormat="1" applyFont="1" applyFill="1" applyBorder="1">
      <protection locked="0"/>
    </xf>
    <xf numFmtId="164" fontId="46" fillId="4" borderId="39" xfId="1" applyNumberFormat="1" applyFont="1" applyFill="1" applyBorder="1">
      <protection locked="0"/>
    </xf>
    <xf numFmtId="164" fontId="100" fillId="0" borderId="111" xfId="1" applyNumberFormat="1" applyFont="1" applyFill="1" applyBorder="1">
      <protection locked="0"/>
    </xf>
    <xf numFmtId="164" fontId="100" fillId="0" borderId="39" xfId="1" applyNumberFormat="1" applyFont="1" applyFill="1" applyBorder="1">
      <protection locked="0"/>
    </xf>
    <xf numFmtId="164" fontId="100" fillId="0" borderId="24" xfId="1" applyNumberFormat="1" applyFont="1" applyFill="1" applyBorder="1">
      <protection locked="0"/>
    </xf>
    <xf numFmtId="165" fontId="100" fillId="0" borderId="39" xfId="1" applyNumberFormat="1" applyFont="1" applyFill="1" applyBorder="1">
      <protection locked="0"/>
    </xf>
    <xf numFmtId="165" fontId="100" fillId="0" borderId="24" xfId="1" applyNumberFormat="1" applyFont="1" applyFill="1" applyBorder="1">
      <protection locked="0"/>
    </xf>
    <xf numFmtId="164" fontId="46" fillId="4" borderId="111" xfId="1" applyNumberFormat="1" applyFont="1" applyFill="1" applyBorder="1">
      <protection locked="0"/>
    </xf>
    <xf numFmtId="164" fontId="46" fillId="4" borderId="24" xfId="1" applyNumberFormat="1" applyFont="1" applyFill="1" applyBorder="1">
      <protection locked="0"/>
    </xf>
    <xf numFmtId="164" fontId="16" fillId="4" borderId="24" xfId="1" applyNumberFormat="1" applyFont="1" applyFill="1" applyBorder="1">
      <protection locked="0"/>
    </xf>
    <xf numFmtId="0" fontId="16" fillId="0" borderId="77" xfId="0" applyFont="1" applyFill="1" applyBorder="1" applyAlignment="1">
      <alignment horizontal="center" vertical="center"/>
    </xf>
    <xf numFmtId="164" fontId="14" fillId="0" borderId="111" xfId="1" applyNumberFormat="1" applyFont="1" applyFill="1" applyBorder="1">
      <protection locked="0"/>
    </xf>
    <xf numFmtId="164" fontId="14" fillId="0" borderId="39" xfId="1" applyNumberFormat="1" applyFont="1" applyFill="1" applyBorder="1">
      <protection locked="0"/>
    </xf>
    <xf numFmtId="164" fontId="14" fillId="0" borderId="24" xfId="1" applyNumberFormat="1" applyFont="1" applyFill="1" applyBorder="1">
      <protection locked="0"/>
    </xf>
    <xf numFmtId="165" fontId="14" fillId="0" borderId="111" xfId="1" applyNumberFormat="1" applyFont="1" applyFill="1" applyBorder="1">
      <protection locked="0"/>
    </xf>
    <xf numFmtId="165" fontId="14" fillId="0" borderId="39" xfId="1" applyNumberFormat="1" applyFont="1" applyFill="1" applyBorder="1">
      <protection locked="0"/>
    </xf>
    <xf numFmtId="165" fontId="14" fillId="0" borderId="24" xfId="1" applyNumberFormat="1" applyFont="1" applyFill="1" applyBorder="1">
      <protection locked="0"/>
    </xf>
    <xf numFmtId="164" fontId="46" fillId="0" borderId="39" xfId="1" applyNumberFormat="1" applyFont="1" applyFill="1" applyBorder="1">
      <protection locked="0"/>
    </xf>
    <xf numFmtId="164" fontId="46" fillId="0" borderId="24" xfId="1" applyNumberFormat="1" applyFont="1" applyFill="1" applyBorder="1">
      <protection locked="0"/>
    </xf>
    <xf numFmtId="164" fontId="16" fillId="0" borderId="111" xfId="1" applyNumberFormat="1" applyFont="1" applyFill="1" applyBorder="1">
      <protection locked="0"/>
    </xf>
    <xf numFmtId="164" fontId="16" fillId="0" borderId="39" xfId="1" applyNumberFormat="1" applyFont="1" applyFill="1" applyBorder="1">
      <protection locked="0"/>
    </xf>
    <xf numFmtId="164" fontId="16" fillId="0" borderId="24" xfId="1" applyNumberFormat="1" applyFont="1" applyFill="1" applyBorder="1">
      <protection locked="0"/>
    </xf>
    <xf numFmtId="164" fontId="16" fillId="0" borderId="111" xfId="0" applyNumberFormat="1" applyFont="1" applyFill="1" applyBorder="1">
      <alignment vertical="center"/>
    </xf>
    <xf numFmtId="164" fontId="16" fillId="0" borderId="39" xfId="0" applyNumberFormat="1" applyFont="1" applyFill="1" applyBorder="1">
      <alignment vertical="center"/>
    </xf>
    <xf numFmtId="164" fontId="16" fillId="0" borderId="24" xfId="0" applyNumberFormat="1" applyFont="1" applyFill="1" applyBorder="1">
      <alignment vertical="center"/>
    </xf>
    <xf numFmtId="0" fontId="16" fillId="0" borderId="17" xfId="0" applyFont="1" applyFill="1" applyBorder="1">
      <alignment vertical="center"/>
    </xf>
    <xf numFmtId="164" fontId="16" fillId="0" borderId="192" xfId="0" applyNumberFormat="1" applyFont="1" applyFill="1" applyBorder="1">
      <alignment vertical="center"/>
    </xf>
    <xf numFmtId="164" fontId="14" fillId="0" borderId="193" xfId="1" applyNumberFormat="1" applyFont="1" applyFill="1" applyBorder="1">
      <protection locked="0"/>
    </xf>
    <xf numFmtId="164" fontId="14" fillId="0" borderId="194" xfId="1" applyNumberFormat="1" applyFont="1" applyFill="1" applyBorder="1">
      <protection locked="0"/>
    </xf>
    <xf numFmtId="0" fontId="16" fillId="0" borderId="58" xfId="0" applyFont="1" applyBorder="1" applyAlignment="1">
      <alignment horizontal="center" vertical="center"/>
    </xf>
    <xf numFmtId="0" fontId="16" fillId="0" borderId="69" xfId="0" applyFont="1" applyFill="1" applyBorder="1">
      <alignment vertical="center"/>
    </xf>
    <xf numFmtId="164" fontId="14" fillId="0" borderId="109" xfId="1" applyNumberFormat="1" applyFont="1" applyFill="1" applyBorder="1">
      <protection locked="0"/>
    </xf>
    <xf numFmtId="164" fontId="14" fillId="0" borderId="28" xfId="1" applyNumberFormat="1" applyFont="1" applyFill="1" applyBorder="1">
      <protection locked="0"/>
    </xf>
    <xf numFmtId="164" fontId="14" fillId="0" borderId="23" xfId="1" applyNumberFormat="1" applyFont="1" applyFill="1" applyBorder="1">
      <protection locked="0"/>
    </xf>
    <xf numFmtId="164" fontId="14" fillId="0" borderId="127" xfId="1" applyNumberFormat="1" applyFont="1" applyFill="1" applyBorder="1">
      <protection locked="0"/>
    </xf>
    <xf numFmtId="0" fontId="16" fillId="0" borderId="18" xfId="0" applyFont="1" applyBorder="1" applyAlignment="1">
      <alignment horizontal="center" vertical="center"/>
    </xf>
    <xf numFmtId="175" fontId="14" fillId="0" borderId="111" xfId="1" applyNumberFormat="1" applyFont="1" applyFill="1" applyBorder="1">
      <protection locked="0"/>
    </xf>
    <xf numFmtId="175" fontId="14" fillId="0" borderId="39" xfId="1" applyNumberFormat="1" applyFont="1" applyFill="1" applyBorder="1">
      <protection locked="0"/>
    </xf>
    <xf numFmtId="175" fontId="14" fillId="0" borderId="24" xfId="1" applyNumberFormat="1" applyFont="1" applyFill="1" applyBorder="1">
      <protection locked="0"/>
    </xf>
    <xf numFmtId="175" fontId="14" fillId="0" borderId="86" xfId="1" applyNumberFormat="1" applyFont="1" applyFill="1" applyBorder="1">
      <protection locked="0"/>
    </xf>
    <xf numFmtId="0" fontId="16" fillId="0" borderId="19" xfId="0" applyFont="1" applyBorder="1" applyAlignment="1">
      <alignment horizontal="center" vertical="center"/>
    </xf>
    <xf numFmtId="0" fontId="16" fillId="0" borderId="26" xfId="0" applyFont="1" applyFill="1" applyBorder="1">
      <alignment vertical="center"/>
    </xf>
    <xf numFmtId="175" fontId="14" fillId="0" borderId="112" xfId="1" applyNumberFormat="1" applyFont="1" applyFill="1" applyBorder="1">
      <protection locked="0"/>
    </xf>
    <xf numFmtId="175" fontId="14" fillId="0" borderId="41" xfId="1" applyNumberFormat="1" applyFont="1" applyFill="1" applyBorder="1">
      <protection locked="0"/>
    </xf>
    <xf numFmtId="175" fontId="14" fillId="0" borderId="25" xfId="1" applyNumberFormat="1" applyFont="1" applyFill="1" applyBorder="1">
      <protection locked="0"/>
    </xf>
    <xf numFmtId="175" fontId="14" fillId="0" borderId="108" xfId="1" applyNumberFormat="1" applyFont="1" applyFill="1" applyBorder="1">
      <protection locked="0"/>
    </xf>
    <xf numFmtId="0" fontId="13" fillId="0" borderId="195" xfId="0" applyFont="1" applyBorder="1" applyAlignment="1">
      <alignment horizontal="center" vertical="center"/>
    </xf>
    <xf numFmtId="0" fontId="13" fillId="0" borderId="96" xfId="0" applyFont="1" applyFill="1" applyBorder="1" applyAlignment="1">
      <alignment horizontal="left" vertical="center"/>
    </xf>
    <xf numFmtId="0" fontId="13" fillId="0" borderId="117" xfId="0" applyFont="1" applyFill="1" applyBorder="1">
      <alignment vertical="center"/>
    </xf>
    <xf numFmtId="0" fontId="13" fillId="0" borderId="37" xfId="0" applyFont="1" applyFill="1" applyBorder="1">
      <alignment vertical="center"/>
    </xf>
    <xf numFmtId="0" fontId="13" fillId="0" borderId="30" xfId="0" applyFont="1" applyFill="1" applyBorder="1">
      <alignment vertical="center"/>
    </xf>
    <xf numFmtId="0" fontId="13" fillId="0" borderId="30" xfId="0" applyFont="1" applyBorder="1">
      <alignment vertical="center"/>
    </xf>
    <xf numFmtId="174" fontId="12" fillId="0" borderId="196" xfId="1" applyNumberFormat="1" applyFont="1" applyFill="1" applyBorder="1">
      <protection locked="0"/>
    </xf>
    <xf numFmtId="0" fontId="13" fillId="0" borderId="111" xfId="0" applyFont="1" applyFill="1" applyBorder="1">
      <alignment vertical="center"/>
    </xf>
    <xf numFmtId="0" fontId="13" fillId="0" borderId="39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24" xfId="0" applyFont="1" applyBorder="1">
      <alignment vertical="center"/>
    </xf>
    <xf numFmtId="165" fontId="14" fillId="0" borderId="111" xfId="1" applyNumberFormat="1" applyFont="1" applyBorder="1">
      <protection locked="0"/>
    </xf>
    <xf numFmtId="165" fontId="14" fillId="0" borderId="39" xfId="1" applyNumberFormat="1" applyFont="1" applyBorder="1">
      <protection locked="0"/>
    </xf>
    <xf numFmtId="165" fontId="14" fillId="0" borderId="24" xfId="1" applyNumberFormat="1" applyFont="1" applyBorder="1">
      <protection locked="0"/>
    </xf>
    <xf numFmtId="0" fontId="16" fillId="0" borderId="39" xfId="0" applyFont="1" applyFill="1" applyBorder="1">
      <alignment vertical="center"/>
    </xf>
    <xf numFmtId="0" fontId="16" fillId="0" borderId="24" xfId="0" applyFont="1" applyBorder="1">
      <alignment vertical="center"/>
    </xf>
    <xf numFmtId="165" fontId="16" fillId="0" borderId="111" xfId="0" applyNumberFormat="1" applyFont="1" applyFill="1" applyBorder="1">
      <alignment vertical="center"/>
    </xf>
    <xf numFmtId="165" fontId="16" fillId="0" borderId="39" xfId="0" applyNumberFormat="1" applyFont="1" applyFill="1" applyBorder="1">
      <alignment vertical="center"/>
    </xf>
    <xf numFmtId="165" fontId="16" fillId="0" borderId="24" xfId="0" applyNumberFormat="1" applyFont="1" applyFill="1" applyBorder="1">
      <alignment vertical="center"/>
    </xf>
    <xf numFmtId="165" fontId="13" fillId="0" borderId="111" xfId="0" applyNumberFormat="1" applyFont="1" applyFill="1" applyBorder="1">
      <alignment vertical="center"/>
    </xf>
    <xf numFmtId="165" fontId="13" fillId="0" borderId="39" xfId="0" applyNumberFormat="1" applyFont="1" applyFill="1" applyBorder="1">
      <alignment vertical="center"/>
    </xf>
    <xf numFmtId="165" fontId="13" fillId="0" borderId="24" xfId="0" applyNumberFormat="1" applyFont="1" applyFill="1" applyBorder="1">
      <alignment vertical="center"/>
    </xf>
    <xf numFmtId="165" fontId="16" fillId="0" borderId="192" xfId="0" applyNumberFormat="1" applyFont="1" applyFill="1" applyBorder="1">
      <alignment vertical="center"/>
    </xf>
    <xf numFmtId="165" fontId="16" fillId="0" borderId="193" xfId="0" applyNumberFormat="1" applyFont="1" applyFill="1" applyBorder="1">
      <alignment vertical="center"/>
    </xf>
    <xf numFmtId="165" fontId="16" fillId="0" borderId="194" xfId="0" applyNumberFormat="1" applyFont="1" applyFill="1" applyBorder="1">
      <alignment vertical="center"/>
    </xf>
    <xf numFmtId="165" fontId="13" fillId="0" borderId="5" xfId="0" applyNumberFormat="1" applyFont="1" applyFill="1" applyBorder="1">
      <alignment vertical="center"/>
    </xf>
    <xf numFmtId="165" fontId="13" fillId="0" borderId="35" xfId="0" applyNumberFormat="1" applyFont="1" applyFill="1" applyBorder="1">
      <alignment vertical="center"/>
    </xf>
    <xf numFmtId="165" fontId="13" fillId="0" borderId="1" xfId="0" applyNumberFormat="1" applyFont="1" applyFill="1" applyBorder="1">
      <alignment vertical="center"/>
    </xf>
    <xf numFmtId="165" fontId="12" fillId="0" borderId="35" xfId="1" applyNumberFormat="1" applyFont="1" applyBorder="1">
      <protection locked="0"/>
    </xf>
    <xf numFmtId="165" fontId="12" fillId="0" borderId="1" xfId="1" applyNumberFormat="1" applyFont="1" applyBorder="1">
      <protection locked="0"/>
    </xf>
    <xf numFmtId="0" fontId="13" fillId="4" borderId="21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left" vertical="center"/>
    </xf>
    <xf numFmtId="165" fontId="13" fillId="4" borderId="5" xfId="0" applyNumberFormat="1" applyFont="1" applyFill="1" applyBorder="1">
      <alignment vertical="center"/>
    </xf>
    <xf numFmtId="165" fontId="13" fillId="4" borderId="35" xfId="0" applyNumberFormat="1" applyFont="1" applyFill="1" applyBorder="1">
      <alignment vertical="center"/>
    </xf>
    <xf numFmtId="165" fontId="13" fillId="4" borderId="1" xfId="0" applyNumberFormat="1" applyFont="1" applyFill="1" applyBorder="1">
      <alignment vertical="center"/>
    </xf>
    <xf numFmtId="164" fontId="14" fillId="4" borderId="53" xfId="1" applyNumberFormat="1" applyFont="1" applyFill="1" applyBorder="1">
      <protection locked="0"/>
    </xf>
    <xf numFmtId="164" fontId="13" fillId="0" borderId="117" xfId="0" applyNumberFormat="1" applyFont="1" applyFill="1" applyBorder="1">
      <alignment vertical="center"/>
    </xf>
    <xf numFmtId="164" fontId="13" fillId="0" borderId="37" xfId="0" applyNumberFormat="1" applyFont="1" applyFill="1" applyBorder="1">
      <alignment vertical="center"/>
    </xf>
    <xf numFmtId="164" fontId="13" fillId="0" borderId="30" xfId="0" applyNumberFormat="1" applyFont="1" applyFill="1" applyBorder="1">
      <alignment vertical="center"/>
    </xf>
    <xf numFmtId="164" fontId="12" fillId="0" borderId="196" xfId="1" applyNumberFormat="1" applyFont="1" applyBorder="1">
      <protection locked="0"/>
    </xf>
    <xf numFmtId="0" fontId="13" fillId="0" borderId="76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left" vertical="center"/>
    </xf>
    <xf numFmtId="10" fontId="13" fillId="0" borderId="192" xfId="2" applyNumberFormat="1" applyFont="1" applyFill="1" applyBorder="1" applyAlignment="1">
      <alignment vertical="center"/>
    </xf>
    <xf numFmtId="10" fontId="13" fillId="0" borderId="193" xfId="2" applyNumberFormat="1" applyFont="1" applyFill="1" applyBorder="1" applyAlignment="1">
      <alignment vertical="center"/>
    </xf>
    <xf numFmtId="10" fontId="13" fillId="0" borderId="194" xfId="2" applyNumberFormat="1" applyFont="1" applyFill="1" applyBorder="1" applyAlignment="1">
      <alignment vertical="center"/>
    </xf>
    <xf numFmtId="10" fontId="12" fillId="0" borderId="128" xfId="2" applyNumberFormat="1" applyFont="1" applyBorder="1" applyProtection="1">
      <protection locked="0"/>
    </xf>
    <xf numFmtId="165" fontId="13" fillId="0" borderId="80" xfId="0" applyNumberFormat="1" applyFont="1" applyFill="1" applyBorder="1">
      <alignment vertical="center"/>
    </xf>
    <xf numFmtId="165" fontId="13" fillId="0" borderId="78" xfId="0" applyNumberFormat="1" applyFont="1" applyFill="1" applyBorder="1">
      <alignment vertical="center"/>
    </xf>
    <xf numFmtId="164" fontId="12" fillId="0" borderId="79" xfId="1" applyNumberFormat="1" applyFont="1" applyBorder="1">
      <protection locked="0"/>
    </xf>
    <xf numFmtId="165" fontId="13" fillId="0" borderId="74" xfId="0" applyNumberFormat="1" applyFont="1" applyFill="1" applyBorder="1">
      <alignment vertical="center"/>
    </xf>
    <xf numFmtId="165" fontId="13" fillId="0" borderId="75" xfId="0" applyNumberFormat="1" applyFont="1" applyFill="1" applyBorder="1">
      <alignment vertical="center"/>
    </xf>
    <xf numFmtId="164" fontId="12" fillId="0" borderId="73" xfId="1" applyNumberFormat="1" applyFont="1" applyBorder="1">
      <protection locked="0"/>
    </xf>
    <xf numFmtId="7" fontId="0" fillId="0" borderId="0" xfId="0" applyNumberFormat="1">
      <alignment vertical="center"/>
    </xf>
    <xf numFmtId="5" fontId="16" fillId="0" borderId="0" xfId="0" applyNumberFormat="1" applyFont="1">
      <alignment vertical="center"/>
    </xf>
    <xf numFmtId="17" fontId="16" fillId="0" borderId="0" xfId="0" applyNumberFormat="1" applyFont="1" applyAlignment="1">
      <alignment horizontal="left" vertical="center"/>
    </xf>
    <xf numFmtId="43" fontId="16" fillId="0" borderId="0" xfId="0" applyNumberFormat="1" applyFont="1">
      <alignment vertical="center"/>
    </xf>
    <xf numFmtId="17" fontId="13" fillId="0" borderId="0" xfId="0" applyNumberFormat="1" applyFont="1">
      <alignment vertical="center"/>
    </xf>
    <xf numFmtId="0" fontId="76" fillId="0" borderId="0" xfId="0" applyFont="1">
      <alignment vertical="center"/>
    </xf>
    <xf numFmtId="0" fontId="0" fillId="11" borderId="195" xfId="0" applyFill="1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11" borderId="76" xfId="0" applyFill="1" applyBorder="1" applyAlignment="1">
      <alignment horizontal="center" vertical="center"/>
    </xf>
    <xf numFmtId="164" fontId="8" fillId="9" borderId="46" xfId="1" applyNumberFormat="1" applyFill="1" applyBorder="1">
      <protection locked="0"/>
    </xf>
    <xf numFmtId="164" fontId="8" fillId="9" borderId="159" xfId="1" applyNumberFormat="1" applyFill="1" applyBorder="1">
      <protection locked="0"/>
    </xf>
    <xf numFmtId="164" fontId="8" fillId="12" borderId="195" xfId="1" applyNumberFormat="1" applyFill="1" applyBorder="1">
      <protection locked="0"/>
    </xf>
    <xf numFmtId="164" fontId="8" fillId="12" borderId="89" xfId="1" applyNumberFormat="1" applyFill="1" applyBorder="1">
      <protection locked="0"/>
    </xf>
    <xf numFmtId="164" fontId="8" fillId="12" borderId="77" xfId="1" applyNumberFormat="1" applyFill="1" applyBorder="1">
      <protection locked="0"/>
    </xf>
    <xf numFmtId="164" fontId="8" fillId="12" borderId="83" xfId="1" applyNumberFormat="1" applyFill="1" applyBorder="1">
      <protection locked="0"/>
    </xf>
    <xf numFmtId="164" fontId="0" fillId="12" borderId="83" xfId="0" applyNumberFormat="1" applyFill="1" applyBorder="1">
      <alignment vertical="center"/>
    </xf>
    <xf numFmtId="164" fontId="8" fillId="12" borderId="76" xfId="1" applyNumberFormat="1" applyFill="1" applyBorder="1">
      <protection locked="0"/>
    </xf>
    <xf numFmtId="164" fontId="0" fillId="12" borderId="197" xfId="0" applyNumberFormat="1" applyFill="1" applyBorder="1">
      <alignment vertical="center"/>
    </xf>
    <xf numFmtId="164" fontId="8" fillId="9" borderId="96" xfId="1" applyNumberFormat="1" applyFill="1" applyBorder="1">
      <protection locked="0"/>
    </xf>
    <xf numFmtId="164" fontId="8" fillId="9" borderId="17" xfId="1" applyNumberFormat="1" applyFill="1" applyBorder="1">
      <protection locked="0"/>
    </xf>
    <xf numFmtId="9" fontId="8" fillId="17" borderId="125" xfId="2" applyFont="1" applyFill="1" applyBorder="1" applyProtection="1">
      <protection locked="0"/>
    </xf>
    <xf numFmtId="9" fontId="8" fillId="17" borderId="93" xfId="2" applyFont="1" applyFill="1" applyBorder="1" applyProtection="1">
      <protection locked="0"/>
    </xf>
    <xf numFmtId="9" fontId="8" fillId="17" borderId="198" xfId="2" applyFont="1" applyFill="1" applyBorder="1" applyProtection="1">
      <protection locked="0"/>
    </xf>
    <xf numFmtId="0" fontId="9" fillId="11" borderId="71" xfId="0" applyFont="1" applyFill="1" applyBorder="1" applyAlignment="1">
      <alignment horizontal="center" vertical="center"/>
    </xf>
    <xf numFmtId="0" fontId="9" fillId="11" borderId="90" xfId="0" applyFont="1" applyFill="1" applyBorder="1">
      <alignment vertical="center"/>
    </xf>
    <xf numFmtId="0" fontId="9" fillId="11" borderId="105" xfId="0" applyFont="1" applyFill="1" applyBorder="1">
      <alignment vertical="center"/>
    </xf>
    <xf numFmtId="164" fontId="9" fillId="12" borderId="71" xfId="0" applyNumberFormat="1" applyFont="1" applyFill="1" applyBorder="1">
      <alignment vertical="center"/>
    </xf>
    <xf numFmtId="164" fontId="9" fillId="12" borderId="90" xfId="0" applyNumberFormat="1" applyFont="1" applyFill="1" applyBorder="1">
      <alignment vertical="center"/>
    </xf>
    <xf numFmtId="164" fontId="9" fillId="12" borderId="70" xfId="0" applyNumberFormat="1" applyFont="1" applyFill="1" applyBorder="1">
      <alignment vertical="center"/>
    </xf>
    <xf numFmtId="164" fontId="9" fillId="9" borderId="152" xfId="0" applyNumberFormat="1" applyFont="1" applyFill="1" applyBorder="1">
      <alignment vertical="center"/>
    </xf>
    <xf numFmtId="164" fontId="9" fillId="9" borderId="90" xfId="0" applyNumberFormat="1" applyFont="1" applyFill="1" applyBorder="1">
      <alignment vertical="center"/>
    </xf>
    <xf numFmtId="164" fontId="9" fillId="9" borderId="105" xfId="0" applyNumberFormat="1" applyFont="1" applyFill="1" applyBorder="1">
      <alignment vertical="center"/>
    </xf>
    <xf numFmtId="9" fontId="83" fillId="17" borderId="72" xfId="2" applyFont="1" applyFill="1" applyBorder="1" applyProtection="1">
      <protection locked="0"/>
    </xf>
    <xf numFmtId="0" fontId="9" fillId="12" borderId="74" xfId="0" applyFont="1" applyFill="1" applyBorder="1" applyAlignment="1">
      <alignment horizontal="center" vertical="center"/>
    </xf>
    <xf numFmtId="0" fontId="9" fillId="12" borderId="75" xfId="0" applyFont="1" applyFill="1" applyBorder="1" applyAlignment="1">
      <alignment horizontal="center" vertical="center"/>
    </xf>
    <xf numFmtId="0" fontId="9" fillId="12" borderId="73" xfId="0" applyFont="1" applyFill="1" applyBorder="1" applyAlignment="1">
      <alignment horizontal="center" vertical="center"/>
    </xf>
    <xf numFmtId="0" fontId="9" fillId="9" borderId="91" xfId="0" applyFont="1" applyFill="1" applyBorder="1" applyAlignment="1">
      <alignment horizontal="center" vertical="center"/>
    </xf>
    <xf numFmtId="0" fontId="9" fillId="9" borderId="75" xfId="0" applyFont="1" applyFill="1" applyBorder="1" applyAlignment="1">
      <alignment horizontal="center" vertical="center"/>
    </xf>
    <xf numFmtId="0" fontId="9" fillId="9" borderId="99" xfId="0" applyFont="1" applyFill="1" applyBorder="1" applyAlignment="1">
      <alignment horizontal="center" vertical="center"/>
    </xf>
    <xf numFmtId="164" fontId="12" fillId="0" borderId="81" xfId="1" applyNumberFormat="1" applyFont="1" applyBorder="1" applyAlignment="1">
      <alignment horizontal="center" vertical="center"/>
      <protection locked="0"/>
    </xf>
    <xf numFmtId="0" fontId="13" fillId="0" borderId="9" xfId="0" applyFont="1" applyFill="1" applyBorder="1" applyAlignment="1">
      <alignment horizontal="center" vertical="center"/>
    </xf>
    <xf numFmtId="0" fontId="13" fillId="3" borderId="81" xfId="7" applyFont="1" applyFill="1" applyBorder="1" applyAlignment="1">
      <alignment horizontal="left" vertical="center"/>
    </xf>
    <xf numFmtId="0" fontId="39" fillId="3" borderId="39" xfId="7" applyFont="1" applyFill="1" applyBorder="1" applyAlignment="1">
      <alignment horizontal="left" vertical="center"/>
    </xf>
    <xf numFmtId="0" fontId="15" fillId="3" borderId="88" xfId="7" applyFont="1" applyFill="1" applyBorder="1" applyAlignment="1">
      <alignment horizontal="left"/>
    </xf>
    <xf numFmtId="0" fontId="15" fillId="3" borderId="9" xfId="7" applyFont="1" applyFill="1" applyBorder="1" applyAlignment="1">
      <alignment horizontal="left" vertical="center"/>
    </xf>
    <xf numFmtId="9" fontId="14" fillId="0" borderId="39" xfId="2" applyFont="1" applyBorder="1" applyAlignment="1" applyProtection="1">
      <alignment horizontal="center" vertical="center"/>
      <protection locked="0"/>
    </xf>
    <xf numFmtId="9" fontId="16" fillId="3" borderId="39" xfId="2" applyFont="1" applyFill="1" applyBorder="1" applyAlignment="1">
      <alignment horizontal="center" vertical="center"/>
    </xf>
    <xf numFmtId="164" fontId="14" fillId="0" borderId="88" xfId="1" applyNumberFormat="1" applyFont="1" applyBorder="1" applyAlignment="1">
      <alignment horizontal="center"/>
      <protection locked="0"/>
    </xf>
    <xf numFmtId="0" fontId="16" fillId="2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22" borderId="0" xfId="0" applyFont="1" applyFill="1">
      <alignment vertical="center"/>
    </xf>
    <xf numFmtId="0" fontId="16" fillId="23" borderId="0" xfId="0" applyFont="1" applyFill="1">
      <alignment vertical="center"/>
    </xf>
    <xf numFmtId="164" fontId="14" fillId="23" borderId="0" xfId="1" applyNumberFormat="1" applyFont="1" applyFill="1">
      <protection locked="0"/>
    </xf>
    <xf numFmtId="164" fontId="16" fillId="23" borderId="0" xfId="0" applyNumberFormat="1" applyFont="1" applyFill="1">
      <alignment vertical="center"/>
    </xf>
    <xf numFmtId="0" fontId="16" fillId="6" borderId="0" xfId="0" applyFont="1" applyFill="1">
      <alignment vertical="center"/>
    </xf>
    <xf numFmtId="164" fontId="16" fillId="6" borderId="0" xfId="0" applyNumberFormat="1" applyFont="1" applyFill="1">
      <alignment vertical="center"/>
    </xf>
    <xf numFmtId="164" fontId="16" fillId="2" borderId="0" xfId="0" applyNumberFormat="1" applyFont="1" applyFill="1">
      <alignment vertical="center"/>
    </xf>
    <xf numFmtId="164" fontId="16" fillId="5" borderId="0" xfId="0" applyNumberFormat="1" applyFont="1" applyFill="1">
      <alignment vertical="center"/>
    </xf>
    <xf numFmtId="0" fontId="7" fillId="22" borderId="0" xfId="0" applyFont="1" applyFill="1">
      <alignment vertical="center"/>
    </xf>
    <xf numFmtId="0" fontId="16" fillId="30" borderId="0" xfId="0" applyFont="1" applyFill="1">
      <alignment vertical="center"/>
    </xf>
    <xf numFmtId="0" fontId="25" fillId="0" borderId="81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164" fontId="14" fillId="8" borderId="39" xfId="1" applyNumberFormat="1" applyFont="1" applyFill="1" applyBorder="1">
      <protection locked="0"/>
    </xf>
    <xf numFmtId="164" fontId="12" fillId="8" borderId="193" xfId="1" applyNumberFormat="1" applyFont="1" applyFill="1" applyBorder="1">
      <protection locked="0"/>
    </xf>
    <xf numFmtId="164" fontId="90" fillId="0" borderId="28" xfId="1" applyNumberFormat="1" applyFont="1" applyFill="1" applyBorder="1" applyAlignment="1">
      <alignment horizontal="center"/>
      <protection locked="0"/>
    </xf>
    <xf numFmtId="164" fontId="16" fillId="9" borderId="39" xfId="1" applyNumberFormat="1" applyFont="1" applyFill="1" applyBorder="1" applyAlignment="1">
      <alignment horizontal="center"/>
      <protection locked="0"/>
    </xf>
    <xf numFmtId="164" fontId="14" fillId="0" borderId="39" xfId="1" applyNumberFormat="1" applyFont="1" applyFill="1" applyBorder="1" applyAlignment="1">
      <alignment horizontal="center"/>
      <protection locked="0"/>
    </xf>
    <xf numFmtId="165" fontId="14" fillId="0" borderId="39" xfId="1" applyNumberFormat="1" applyFont="1" applyFill="1" applyBorder="1" applyAlignment="1">
      <alignment horizontal="center"/>
      <protection locked="0"/>
    </xf>
    <xf numFmtId="164" fontId="12" fillId="0" borderId="39" xfId="1" applyNumberFormat="1" applyFont="1" applyFill="1" applyBorder="1" applyAlignment="1">
      <alignment horizontal="center"/>
      <protection locked="0"/>
    </xf>
    <xf numFmtId="164" fontId="12" fillId="0" borderId="41" xfId="1" applyNumberFormat="1" applyFont="1" applyFill="1" applyBorder="1" applyAlignment="1">
      <alignment horizontal="center"/>
      <protection locked="0"/>
    </xf>
    <xf numFmtId="164" fontId="14" fillId="4" borderId="28" xfId="1" applyNumberFormat="1" applyFont="1" applyFill="1" applyBorder="1">
      <protection locked="0"/>
    </xf>
    <xf numFmtId="164" fontId="14" fillId="4" borderId="193" xfId="1" applyNumberFormat="1" applyFont="1" applyFill="1" applyBorder="1">
      <protection locked="0"/>
    </xf>
    <xf numFmtId="164" fontId="12" fillId="0" borderId="189" xfId="1" applyNumberFormat="1" applyFont="1" applyBorder="1">
      <protection locked="0"/>
    </xf>
    <xf numFmtId="164" fontId="12" fillId="12" borderId="28" xfId="1" applyNumberFormat="1" applyFont="1" applyFill="1" applyBorder="1">
      <protection locked="0"/>
    </xf>
    <xf numFmtId="165" fontId="14" fillId="12" borderId="39" xfId="1" applyNumberFormat="1" applyFont="1" applyFill="1" applyBorder="1">
      <protection locked="0"/>
    </xf>
    <xf numFmtId="165" fontId="12" fillId="12" borderId="41" xfId="1" applyNumberFormat="1" applyFont="1" applyFill="1" applyBorder="1">
      <protection locked="0"/>
    </xf>
    <xf numFmtId="165" fontId="12" fillId="7" borderId="28" xfId="1" applyNumberFormat="1" applyFont="1" applyFill="1" applyBorder="1">
      <protection locked="0"/>
    </xf>
    <xf numFmtId="165" fontId="14" fillId="7" borderId="39" xfId="1" applyNumberFormat="1" applyFont="1" applyFill="1" applyBorder="1">
      <protection locked="0"/>
    </xf>
    <xf numFmtId="165" fontId="12" fillId="7" borderId="41" xfId="1" applyNumberFormat="1" applyFont="1" applyFill="1" applyBorder="1">
      <protection locked="0"/>
    </xf>
    <xf numFmtId="165" fontId="12" fillId="14" borderId="28" xfId="1" applyNumberFormat="1" applyFont="1" applyFill="1" applyBorder="1">
      <protection locked="0"/>
    </xf>
    <xf numFmtId="165" fontId="14" fillId="14" borderId="39" xfId="1" applyNumberFormat="1" applyFont="1" applyFill="1" applyBorder="1">
      <protection locked="0"/>
    </xf>
    <xf numFmtId="165" fontId="12" fillId="14" borderId="41" xfId="1" applyNumberFormat="1" applyFont="1" applyFill="1" applyBorder="1">
      <protection locked="0"/>
    </xf>
    <xf numFmtId="165" fontId="12" fillId="11" borderId="28" xfId="1" applyNumberFormat="1" applyFont="1" applyFill="1" applyBorder="1">
      <protection locked="0"/>
    </xf>
    <xf numFmtId="165" fontId="14" fillId="11" borderId="39" xfId="1" applyNumberFormat="1" applyFont="1" applyFill="1" applyBorder="1">
      <protection locked="0"/>
    </xf>
    <xf numFmtId="165" fontId="12" fillId="11" borderId="41" xfId="1" applyNumberFormat="1" applyFont="1" applyFill="1" applyBorder="1">
      <protection locked="0"/>
    </xf>
    <xf numFmtId="165" fontId="12" fillId="0" borderId="0" xfId="1" applyNumberFormat="1" applyFont="1" applyBorder="1">
      <protection locked="0"/>
    </xf>
    <xf numFmtId="164" fontId="14" fillId="0" borderId="35" xfId="1" applyNumberFormat="1" applyFont="1" applyBorder="1">
      <protection locked="0"/>
    </xf>
    <xf numFmtId="170" fontId="14" fillId="0" borderId="0" xfId="2" applyNumberFormat="1" applyFont="1" applyBorder="1" applyProtection="1">
      <protection locked="0"/>
    </xf>
    <xf numFmtId="164" fontId="14" fillId="26" borderId="77" xfId="1" applyNumberFormat="1" applyFont="1" applyFill="1" applyBorder="1">
      <protection locked="0"/>
    </xf>
    <xf numFmtId="164" fontId="14" fillId="26" borderId="60" xfId="1" applyNumberFormat="1" applyFont="1" applyFill="1" applyBorder="1">
      <protection locked="0"/>
    </xf>
    <xf numFmtId="164" fontId="14" fillId="26" borderId="39" xfId="1" applyNumberFormat="1" applyFont="1" applyFill="1" applyBorder="1">
      <protection locked="0"/>
    </xf>
    <xf numFmtId="164" fontId="12" fillId="26" borderId="76" xfId="1" applyNumberFormat="1" applyFont="1" applyFill="1" applyBorder="1" applyAlignment="1">
      <alignment horizontal="right"/>
      <protection locked="0"/>
    </xf>
    <xf numFmtId="164" fontId="12" fillId="26" borderId="145" xfId="1" applyNumberFormat="1" applyFont="1" applyFill="1" applyBorder="1">
      <protection locked="0"/>
    </xf>
    <xf numFmtId="164" fontId="12" fillId="26" borderId="193" xfId="1" applyNumberFormat="1" applyFont="1" applyFill="1" applyBorder="1">
      <protection locked="0"/>
    </xf>
    <xf numFmtId="164" fontId="14" fillId="20" borderId="45" xfId="1" applyNumberFormat="1" applyFont="1" applyFill="1" applyBorder="1">
      <protection locked="0"/>
    </xf>
    <xf numFmtId="164" fontId="14" fillId="20" borderId="16" xfId="1" applyNumberFormat="1" applyFont="1" applyFill="1" applyBorder="1">
      <protection locked="0"/>
    </xf>
    <xf numFmtId="164" fontId="14" fillId="20" borderId="39" xfId="1" applyNumberFormat="1" applyFont="1" applyFill="1" applyBorder="1">
      <protection locked="0"/>
    </xf>
    <xf numFmtId="164" fontId="12" fillId="20" borderId="159" xfId="1" applyNumberFormat="1" applyFont="1" applyFill="1" applyBorder="1">
      <protection locked="0"/>
    </xf>
    <xf numFmtId="164" fontId="12" fillId="20" borderId="17" xfId="1" applyNumberFormat="1" applyFont="1" applyFill="1" applyBorder="1">
      <protection locked="0"/>
    </xf>
    <xf numFmtId="164" fontId="12" fillId="20" borderId="193" xfId="1" applyNumberFormat="1" applyFont="1" applyFill="1" applyBorder="1">
      <protection locked="0"/>
    </xf>
    <xf numFmtId="164" fontId="14" fillId="24" borderId="39" xfId="1" applyNumberFormat="1" applyFont="1" applyFill="1" applyBorder="1">
      <protection locked="0"/>
    </xf>
    <xf numFmtId="164" fontId="12" fillId="24" borderId="193" xfId="1" applyNumberFormat="1" applyFont="1" applyFill="1" applyBorder="1">
      <protection locked="0"/>
    </xf>
    <xf numFmtId="164" fontId="14" fillId="17" borderId="60" xfId="1" applyNumberFormat="1" applyFont="1" applyFill="1" applyBorder="1">
      <protection locked="0"/>
    </xf>
    <xf numFmtId="164" fontId="12" fillId="17" borderId="145" xfId="1" applyNumberFormat="1" applyFont="1" applyFill="1" applyBorder="1">
      <protection locked="0"/>
    </xf>
    <xf numFmtId="164" fontId="14" fillId="24" borderId="18" xfId="1" applyNumberFormat="1" applyFont="1" applyFill="1" applyBorder="1">
      <protection locked="0"/>
    </xf>
    <xf numFmtId="164" fontId="14" fillId="24" borderId="60" xfId="1" applyNumberFormat="1" applyFont="1" applyFill="1" applyBorder="1">
      <protection locked="0"/>
    </xf>
    <xf numFmtId="164" fontId="12" fillId="24" borderId="153" xfId="1" applyNumberFormat="1" applyFont="1" applyFill="1" applyBorder="1">
      <protection locked="0"/>
    </xf>
    <xf numFmtId="164" fontId="12" fillId="24" borderId="145" xfId="1" applyNumberFormat="1" applyFont="1" applyFill="1" applyBorder="1">
      <protection locked="0"/>
    </xf>
    <xf numFmtId="165" fontId="90" fillId="0" borderId="28" xfId="1" applyNumberFormat="1" applyFont="1" applyFill="1" applyBorder="1" applyAlignment="1">
      <alignment horizontal="center"/>
      <protection locked="0"/>
    </xf>
    <xf numFmtId="5" fontId="14" fillId="0" borderId="39" xfId="1" applyNumberFormat="1" applyFont="1" applyBorder="1" applyAlignment="1">
      <alignment horizontal="center" vertical="center"/>
      <protection locked="0"/>
    </xf>
    <xf numFmtId="5" fontId="14" fillId="0" borderId="88" xfId="1" applyNumberFormat="1" applyFont="1" applyBorder="1" applyAlignment="1">
      <alignment horizontal="center"/>
      <protection locked="0"/>
    </xf>
    <xf numFmtId="165" fontId="14" fillId="0" borderId="0" xfId="1" applyNumberFormat="1" applyFont="1" applyBorder="1" applyAlignment="1">
      <alignment vertical="center"/>
      <protection locked="0"/>
    </xf>
    <xf numFmtId="0" fontId="13" fillId="0" borderId="81" xfId="0" applyFont="1" applyFill="1" applyBorder="1" applyAlignment="1">
      <alignment horizontal="left" vertical="center"/>
    </xf>
    <xf numFmtId="0" fontId="13" fillId="20" borderId="88" xfId="0" applyFont="1" applyFill="1" applyBorder="1" applyAlignment="1">
      <alignment horizontal="left" vertical="center"/>
    </xf>
    <xf numFmtId="164" fontId="13" fillId="0" borderId="0" xfId="0" applyNumberFormat="1" applyFont="1" applyFill="1">
      <alignment vertical="center"/>
    </xf>
    <xf numFmtId="164" fontId="14" fillId="26" borderId="1" xfId="1" applyNumberFormat="1" applyFont="1" applyFill="1" applyBorder="1">
      <protection locked="0"/>
    </xf>
    <xf numFmtId="164" fontId="14" fillId="20" borderId="1" xfId="1" applyNumberFormat="1" applyFont="1" applyFill="1" applyBorder="1">
      <protection locked="0"/>
    </xf>
    <xf numFmtId="0" fontId="13" fillId="0" borderId="48" xfId="0" applyFont="1" applyBorder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199" xfId="0" applyFont="1" applyBorder="1" applyAlignment="1">
      <alignment horizontal="center" vertical="center"/>
    </xf>
    <xf numFmtId="0" fontId="16" fillId="2" borderId="5" xfId="0" applyFont="1" applyFill="1" applyBorder="1">
      <alignment vertical="center"/>
    </xf>
    <xf numFmtId="164" fontId="14" fillId="24" borderId="6" xfId="1" applyNumberFormat="1" applyFont="1" applyFill="1" applyBorder="1">
      <protection locked="0"/>
    </xf>
    <xf numFmtId="0" fontId="16" fillId="5" borderId="5" xfId="0" applyFont="1" applyFill="1" applyBorder="1">
      <alignment vertical="center"/>
    </xf>
    <xf numFmtId="0" fontId="16" fillId="6" borderId="5" xfId="0" applyFont="1" applyFill="1" applyBorder="1">
      <alignment vertical="center"/>
    </xf>
    <xf numFmtId="0" fontId="16" fillId="23" borderId="5" xfId="0" applyFont="1" applyFill="1" applyBorder="1">
      <alignment vertical="center"/>
    </xf>
    <xf numFmtId="0" fontId="16" fillId="22" borderId="5" xfId="0" applyFont="1" applyFill="1" applyBorder="1">
      <alignment vertical="center"/>
    </xf>
    <xf numFmtId="0" fontId="16" fillId="30" borderId="5" xfId="0" applyFont="1" applyFill="1" applyBorder="1">
      <alignment vertical="center"/>
    </xf>
    <xf numFmtId="0" fontId="16" fillId="6" borderId="7" xfId="0" applyFont="1" applyFill="1" applyBorder="1">
      <alignment vertical="center"/>
    </xf>
    <xf numFmtId="164" fontId="14" fillId="26" borderId="8" xfId="1" applyNumberFormat="1" applyFont="1" applyFill="1" applyBorder="1">
      <protection locked="0"/>
    </xf>
    <xf numFmtId="164" fontId="14" fillId="20" borderId="8" xfId="1" applyNumberFormat="1" applyFont="1" applyFill="1" applyBorder="1">
      <protection locked="0"/>
    </xf>
    <xf numFmtId="164" fontId="14" fillId="24" borderId="200" xfId="1" applyNumberFormat="1" applyFont="1" applyFill="1" applyBorder="1">
      <protection locked="0"/>
    </xf>
    <xf numFmtId="164" fontId="14" fillId="24" borderId="15" xfId="1" applyNumberFormat="1" applyFont="1" applyFill="1" applyBorder="1">
      <protection locked="0"/>
    </xf>
    <xf numFmtId="164" fontId="14" fillId="27" borderId="15" xfId="1" applyNumberFormat="1" applyFont="1" applyFill="1" applyBorder="1">
      <protection locked="0"/>
    </xf>
    <xf numFmtId="164" fontId="14" fillId="22" borderId="45" xfId="1" applyNumberFormat="1" applyFont="1" applyFill="1" applyBorder="1">
      <protection locked="0"/>
    </xf>
    <xf numFmtId="164" fontId="14" fillId="22" borderId="15" xfId="1" applyNumberFormat="1" applyFont="1" applyFill="1" applyBorder="1">
      <protection locked="0"/>
    </xf>
    <xf numFmtId="164" fontId="14" fillId="22" borderId="16" xfId="1" applyNumberFormat="1" applyFont="1" applyFill="1" applyBorder="1">
      <protection locked="0"/>
    </xf>
    <xf numFmtId="164" fontId="14" fillId="5" borderId="15" xfId="1" applyNumberFormat="1" applyFont="1" applyFill="1" applyBorder="1">
      <protection locked="0"/>
    </xf>
    <xf numFmtId="164" fontId="14" fillId="5" borderId="16" xfId="1" applyNumberFormat="1" applyFont="1" applyFill="1" applyBorder="1">
      <protection locked="0"/>
    </xf>
    <xf numFmtId="164" fontId="14" fillId="5" borderId="18" xfId="1" applyNumberFormat="1" applyFont="1" applyFill="1" applyBorder="1">
      <protection locked="0"/>
    </xf>
    <xf numFmtId="164" fontId="16" fillId="6" borderId="83" xfId="0" applyNumberFormat="1" applyFont="1" applyFill="1" applyBorder="1" applyAlignment="1"/>
    <xf numFmtId="164" fontId="12" fillId="24" borderId="187" xfId="1" applyNumberFormat="1" applyFont="1" applyFill="1" applyBorder="1">
      <protection locked="0"/>
    </xf>
    <xf numFmtId="164" fontId="12" fillId="5" borderId="187" xfId="1" applyNumberFormat="1" applyFont="1" applyFill="1" applyBorder="1">
      <protection locked="0"/>
    </xf>
    <xf numFmtId="164" fontId="12" fillId="5" borderId="17" xfId="1" applyNumberFormat="1" applyFont="1" applyFill="1" applyBorder="1">
      <protection locked="0"/>
    </xf>
    <xf numFmtId="164" fontId="13" fillId="6" borderId="197" xfId="0" applyNumberFormat="1" applyFont="1" applyFill="1" applyBorder="1">
      <alignment vertical="center"/>
    </xf>
    <xf numFmtId="0" fontId="13" fillId="0" borderId="84" xfId="0" applyFont="1" applyBorder="1" applyAlignment="1">
      <alignment horizontal="center" vertical="center"/>
    </xf>
    <xf numFmtId="0" fontId="16" fillId="0" borderId="85" xfId="0" applyFont="1" applyFill="1" applyBorder="1" applyAlignment="1">
      <alignment horizontal="center" vertical="center"/>
    </xf>
    <xf numFmtId="0" fontId="16" fillId="20" borderId="85" xfId="0" applyFont="1" applyFill="1" applyBorder="1" applyAlignment="1">
      <alignment horizontal="center" vertical="center"/>
    </xf>
    <xf numFmtId="0" fontId="13" fillId="0" borderId="211" xfId="0" applyFont="1" applyFill="1" applyBorder="1" applyAlignment="1">
      <alignment horizontal="center" vertical="center"/>
    </xf>
    <xf numFmtId="164" fontId="14" fillId="6" borderId="77" xfId="1" applyNumberFormat="1" applyFont="1" applyFill="1" applyBorder="1">
      <protection locked="0"/>
    </xf>
    <xf numFmtId="164" fontId="12" fillId="6" borderId="76" xfId="1" applyNumberFormat="1" applyFont="1" applyFill="1" applyBorder="1">
      <protection locked="0"/>
    </xf>
    <xf numFmtId="164" fontId="12" fillId="22" borderId="187" xfId="1" applyNumberFormat="1" applyFont="1" applyFill="1" applyBorder="1">
      <protection locked="0"/>
    </xf>
    <xf numFmtId="164" fontId="12" fillId="22" borderId="17" xfId="1" applyNumberFormat="1" applyFont="1" applyFill="1" applyBorder="1">
      <protection locked="0"/>
    </xf>
    <xf numFmtId="164" fontId="12" fillId="5" borderId="153" xfId="1" applyNumberFormat="1" applyFont="1" applyFill="1" applyBorder="1">
      <protection locked="0"/>
    </xf>
    <xf numFmtId="164" fontId="14" fillId="27" borderId="45" xfId="1" applyNumberFormat="1" applyFont="1" applyFill="1" applyBorder="1">
      <protection locked="0"/>
    </xf>
    <xf numFmtId="164" fontId="14" fillId="27" borderId="16" xfId="1" applyNumberFormat="1" applyFont="1" applyFill="1" applyBorder="1">
      <protection locked="0"/>
    </xf>
    <xf numFmtId="164" fontId="12" fillId="27" borderId="159" xfId="1" applyNumberFormat="1" applyFont="1" applyFill="1" applyBorder="1">
      <protection locked="0"/>
    </xf>
    <xf numFmtId="164" fontId="12" fillId="27" borderId="187" xfId="1" applyNumberFormat="1" applyFont="1" applyFill="1" applyBorder="1">
      <protection locked="0"/>
    </xf>
    <xf numFmtId="164" fontId="12" fillId="27" borderId="17" xfId="1" applyNumberFormat="1" applyFont="1" applyFill="1" applyBorder="1">
      <protection locked="0"/>
    </xf>
    <xf numFmtId="164" fontId="12" fillId="22" borderId="159" xfId="1" applyNumberFormat="1" applyFont="1" applyFill="1" applyBorder="1">
      <protection locked="0"/>
    </xf>
    <xf numFmtId="164" fontId="14" fillId="17" borderId="15" xfId="1" applyNumberFormat="1" applyFont="1" applyFill="1" applyBorder="1">
      <protection locked="0"/>
    </xf>
    <xf numFmtId="164" fontId="12" fillId="17" borderId="187" xfId="1" applyNumberFormat="1" applyFont="1" applyFill="1" applyBorder="1">
      <protection locked="0"/>
    </xf>
    <xf numFmtId="0" fontId="13" fillId="0" borderId="84" xfId="0" applyFont="1" applyFill="1" applyBorder="1" applyAlignment="1">
      <alignment horizontal="center" vertical="center"/>
    </xf>
    <xf numFmtId="0" fontId="13" fillId="12" borderId="85" xfId="0" applyFont="1" applyFill="1" applyBorder="1" applyAlignment="1">
      <alignment horizontal="center" vertical="center"/>
    </xf>
    <xf numFmtId="0" fontId="16" fillId="12" borderId="85" xfId="0" applyFont="1" applyFill="1" applyBorder="1" applyAlignment="1">
      <alignment horizontal="center" vertical="center"/>
    </xf>
    <xf numFmtId="0" fontId="13" fillId="30" borderId="211" xfId="0" applyFont="1" applyFill="1" applyBorder="1" applyAlignment="1">
      <alignment horizontal="center" vertical="center"/>
    </xf>
    <xf numFmtId="164" fontId="14" fillId="17" borderId="45" xfId="1" applyNumberFormat="1" applyFont="1" applyFill="1" applyBorder="1">
      <protection locked="0"/>
    </xf>
    <xf numFmtId="164" fontId="12" fillId="17" borderId="159" xfId="1" applyNumberFormat="1" applyFont="1" applyFill="1" applyBorder="1" applyAlignment="1">
      <alignment horizontal="right"/>
      <protection locked="0"/>
    </xf>
    <xf numFmtId="0" fontId="13" fillId="0" borderId="92" xfId="0" applyFont="1" applyFill="1" applyBorder="1">
      <alignment vertical="center"/>
    </xf>
    <xf numFmtId="0" fontId="16" fillId="0" borderId="93" xfId="0" applyFont="1" applyFill="1" applyBorder="1">
      <alignment vertical="center"/>
    </xf>
    <xf numFmtId="0" fontId="13" fillId="0" borderId="198" xfId="0" applyFont="1" applyFill="1" applyBorder="1">
      <alignment vertical="center"/>
    </xf>
    <xf numFmtId="0" fontId="13" fillId="12" borderId="93" xfId="0" applyFont="1" applyFill="1" applyBorder="1">
      <alignment vertical="center"/>
    </xf>
    <xf numFmtId="0" fontId="16" fillId="12" borderId="93" xfId="0" applyFont="1" applyFill="1" applyBorder="1">
      <alignment vertical="center"/>
    </xf>
    <xf numFmtId="0" fontId="13" fillId="30" borderId="198" xfId="0" applyFont="1" applyFill="1" applyBorder="1">
      <alignment vertical="center"/>
    </xf>
    <xf numFmtId="0" fontId="13" fillId="20" borderId="72" xfId="0" applyFont="1" applyFill="1" applyBorder="1" applyAlignment="1">
      <alignment horizontal="center" vertical="center"/>
    </xf>
    <xf numFmtId="0" fontId="13" fillId="0" borderId="202" xfId="0" applyFont="1" applyFill="1" applyBorder="1" applyAlignment="1">
      <alignment horizontal="center" vertical="center"/>
    </xf>
    <xf numFmtId="0" fontId="13" fillId="0" borderId="217" xfId="0" applyFont="1" applyFill="1" applyBorder="1">
      <alignment vertical="center"/>
    </xf>
    <xf numFmtId="0" fontId="13" fillId="0" borderId="212" xfId="0" applyFont="1" applyFill="1" applyBorder="1" applyAlignment="1">
      <alignment horizontal="center" vertical="center"/>
    </xf>
    <xf numFmtId="0" fontId="13" fillId="0" borderId="219" xfId="0" applyFont="1" applyFill="1" applyBorder="1">
      <alignment vertical="center"/>
    </xf>
    <xf numFmtId="0" fontId="13" fillId="0" borderId="214" xfId="0" applyFont="1" applyFill="1" applyBorder="1" applyAlignment="1">
      <alignment horizontal="center" vertical="center"/>
    </xf>
    <xf numFmtId="0" fontId="13" fillId="0" borderId="218" xfId="0" applyFont="1" applyFill="1" applyBorder="1">
      <alignment vertical="center"/>
    </xf>
    <xf numFmtId="0" fontId="13" fillId="22" borderId="72" xfId="0" applyFont="1" applyFill="1" applyBorder="1" applyAlignment="1">
      <alignment horizontal="center" vertical="center"/>
    </xf>
    <xf numFmtId="0" fontId="13" fillId="17" borderId="46" xfId="0" applyFont="1" applyFill="1" applyBorder="1" applyAlignment="1">
      <alignment horizontal="center" wrapText="1"/>
    </xf>
    <xf numFmtId="0" fontId="13" fillId="17" borderId="47" xfId="0" applyFont="1" applyFill="1" applyBorder="1" applyAlignment="1">
      <alignment horizontal="center" wrapText="1"/>
    </xf>
    <xf numFmtId="0" fontId="13" fillId="17" borderId="63" xfId="0" applyFont="1" applyFill="1" applyBorder="1" applyAlignment="1">
      <alignment horizontal="center" wrapText="1"/>
    </xf>
    <xf numFmtId="0" fontId="13" fillId="22" borderId="46" xfId="0" applyFont="1" applyFill="1" applyBorder="1" applyAlignment="1">
      <alignment horizontal="center" wrapText="1"/>
    </xf>
    <xf numFmtId="0" fontId="13" fillId="22" borderId="47" xfId="0" applyFont="1" applyFill="1" applyBorder="1" applyAlignment="1">
      <alignment horizontal="center" wrapText="1"/>
    </xf>
    <xf numFmtId="0" fontId="13" fillId="22" borderId="96" xfId="0" applyFont="1" applyFill="1" applyBorder="1" applyAlignment="1">
      <alignment horizontal="center" wrapText="1"/>
    </xf>
    <xf numFmtId="0" fontId="13" fillId="24" borderId="62" xfId="0" applyFont="1" applyFill="1" applyBorder="1" applyAlignment="1">
      <alignment horizontal="center" wrapText="1"/>
    </xf>
    <xf numFmtId="0" fontId="13" fillId="24" borderId="47" xfId="0" applyFont="1" applyFill="1" applyBorder="1" applyAlignment="1">
      <alignment horizontal="center" wrapText="1"/>
    </xf>
    <xf numFmtId="0" fontId="13" fillId="24" borderId="63" xfId="0" applyFont="1" applyFill="1" applyBorder="1" applyAlignment="1">
      <alignment horizontal="center" wrapText="1"/>
    </xf>
    <xf numFmtId="0" fontId="13" fillId="27" borderId="46" xfId="0" applyFont="1" applyFill="1" applyBorder="1" applyAlignment="1">
      <alignment horizontal="center" wrapText="1"/>
    </xf>
    <xf numFmtId="0" fontId="13" fillId="27" borderId="47" xfId="0" applyFont="1" applyFill="1" applyBorder="1" applyAlignment="1">
      <alignment horizontal="center" wrapText="1"/>
    </xf>
    <xf numFmtId="0" fontId="13" fillId="27" borderId="96" xfId="0" applyFont="1" applyFill="1" applyBorder="1" applyAlignment="1">
      <alignment horizontal="center" wrapText="1"/>
    </xf>
    <xf numFmtId="0" fontId="13" fillId="5" borderId="62" xfId="0" applyFont="1" applyFill="1" applyBorder="1" applyAlignment="1">
      <alignment horizontal="center" wrapText="1"/>
    </xf>
    <xf numFmtId="0" fontId="13" fillId="5" borderId="47" xfId="0" applyFont="1" applyFill="1" applyBorder="1" applyAlignment="1">
      <alignment horizontal="center" wrapText="1"/>
    </xf>
    <xf numFmtId="0" fontId="13" fillId="5" borderId="96" xfId="0" applyFont="1" applyFill="1" applyBorder="1" applyAlignment="1">
      <alignment horizontal="center" wrapText="1"/>
    </xf>
    <xf numFmtId="0" fontId="13" fillId="6" borderId="195" xfId="0" applyFont="1" applyFill="1" applyBorder="1" applyAlignment="1">
      <alignment horizontal="center" wrapText="1"/>
    </xf>
    <xf numFmtId="0" fontId="13" fillId="6" borderId="89" xfId="0" applyFont="1" applyFill="1" applyBorder="1" applyAlignment="1"/>
    <xf numFmtId="0" fontId="25" fillId="17" borderId="152" xfId="0" applyFont="1" applyFill="1" applyBorder="1" applyAlignment="1">
      <alignment horizontal="center" wrapText="1"/>
    </xf>
    <xf numFmtId="0" fontId="25" fillId="17" borderId="90" xfId="0" applyFont="1" applyFill="1" applyBorder="1" applyAlignment="1">
      <alignment horizontal="center" wrapText="1"/>
    </xf>
    <xf numFmtId="0" fontId="25" fillId="17" borderId="119" xfId="0" applyFont="1" applyFill="1" applyBorder="1" applyAlignment="1">
      <alignment horizontal="center" wrapText="1"/>
    </xf>
    <xf numFmtId="0" fontId="25" fillId="22" borderId="152" xfId="0" applyFont="1" applyFill="1" applyBorder="1" applyAlignment="1">
      <alignment horizontal="center" wrapText="1"/>
    </xf>
    <xf numFmtId="0" fontId="25" fillId="22" borderId="90" xfId="0" applyFont="1" applyFill="1" applyBorder="1" applyAlignment="1">
      <alignment horizontal="center" wrapText="1"/>
    </xf>
    <xf numFmtId="0" fontId="25" fillId="22" borderId="105" xfId="0" applyFont="1" applyFill="1" applyBorder="1" applyAlignment="1">
      <alignment horizontal="center" wrapText="1"/>
    </xf>
    <xf numFmtId="0" fontId="25" fillId="24" borderId="118" xfId="0" applyFont="1" applyFill="1" applyBorder="1" applyAlignment="1">
      <alignment horizontal="center" wrapText="1"/>
    </xf>
    <xf numFmtId="0" fontId="25" fillId="24" borderId="90" xfId="0" applyFont="1" applyFill="1" applyBorder="1" applyAlignment="1">
      <alignment horizontal="center" wrapText="1"/>
    </xf>
    <xf numFmtId="0" fontId="25" fillId="24" borderId="119" xfId="0" applyFont="1" applyFill="1" applyBorder="1" applyAlignment="1">
      <alignment horizontal="center" wrapText="1"/>
    </xf>
    <xf numFmtId="0" fontId="25" fillId="27" borderId="152" xfId="0" applyFont="1" applyFill="1" applyBorder="1" applyAlignment="1">
      <alignment horizontal="center" wrapText="1"/>
    </xf>
    <xf numFmtId="0" fontId="25" fillId="27" borderId="90" xfId="0" applyFont="1" applyFill="1" applyBorder="1" applyAlignment="1">
      <alignment horizontal="center" wrapText="1"/>
    </xf>
    <xf numFmtId="0" fontId="25" fillId="27" borderId="105" xfId="0" applyFont="1" applyFill="1" applyBorder="1" applyAlignment="1">
      <alignment horizontal="center" wrapText="1"/>
    </xf>
    <xf numFmtId="0" fontId="25" fillId="5" borderId="118" xfId="0" applyFont="1" applyFill="1" applyBorder="1" applyAlignment="1">
      <alignment horizontal="center" wrapText="1"/>
    </xf>
    <xf numFmtId="0" fontId="25" fillId="5" borderId="90" xfId="0" applyFont="1" applyFill="1" applyBorder="1" applyAlignment="1">
      <alignment horizontal="center" wrapText="1"/>
    </xf>
    <xf numFmtId="0" fontId="25" fillId="5" borderId="105" xfId="0" applyFont="1" applyFill="1" applyBorder="1" applyAlignment="1">
      <alignment horizontal="center" wrapText="1"/>
    </xf>
    <xf numFmtId="0" fontId="25" fillId="6" borderId="71" xfId="0" applyFont="1" applyFill="1" applyBorder="1" applyAlignment="1">
      <alignment horizontal="center" wrapText="1"/>
    </xf>
    <xf numFmtId="0" fontId="13" fillId="6" borderId="70" xfId="0" applyFont="1" applyFill="1" applyBorder="1" applyAlignment="1">
      <alignment horizontal="center"/>
    </xf>
    <xf numFmtId="0" fontId="16" fillId="20" borderId="93" xfId="0" applyFont="1" applyFill="1" applyBorder="1">
      <alignment vertical="center"/>
    </xf>
    <xf numFmtId="0" fontId="13" fillId="0" borderId="201" xfId="0" applyFont="1" applyFill="1" applyBorder="1" applyAlignment="1">
      <alignment horizontal="center" vertical="center"/>
    </xf>
    <xf numFmtId="0" fontId="13" fillId="0" borderId="223" xfId="0" applyFont="1" applyFill="1" applyBorder="1">
      <alignment vertical="center"/>
    </xf>
    <xf numFmtId="0" fontId="13" fillId="0" borderId="221" xfId="0" applyFont="1" applyFill="1" applyBorder="1" applyAlignment="1">
      <alignment horizontal="center" vertical="center"/>
    </xf>
    <xf numFmtId="0" fontId="13" fillId="0" borderId="220" xfId="0" applyFont="1" applyFill="1" applyBorder="1">
      <alignment vertical="center"/>
    </xf>
    <xf numFmtId="0" fontId="13" fillId="0" borderId="216" xfId="0" applyFont="1" applyFill="1" applyBorder="1" applyAlignment="1">
      <alignment horizontal="center" vertical="center"/>
    </xf>
    <xf numFmtId="0" fontId="13" fillId="0" borderId="125" xfId="0" applyFont="1" applyFill="1" applyBorder="1">
      <alignment vertical="center"/>
    </xf>
    <xf numFmtId="0" fontId="13" fillId="30" borderId="151" xfId="0" applyFont="1" applyFill="1" applyBorder="1" applyAlignment="1">
      <alignment horizontal="center" vertical="center"/>
    </xf>
    <xf numFmtId="0" fontId="13" fillId="30" borderId="72" xfId="0" applyFont="1" applyFill="1" applyBorder="1">
      <alignment vertical="center"/>
    </xf>
    <xf numFmtId="0" fontId="13" fillId="30" borderId="151" xfId="0" applyFont="1" applyFill="1" applyBorder="1" applyAlignment="1">
      <alignment horizontal="center"/>
    </xf>
    <xf numFmtId="0" fontId="13" fillId="30" borderId="72" xfId="0" applyFont="1" applyFill="1" applyBorder="1" applyAlignment="1"/>
    <xf numFmtId="0" fontId="13" fillId="30" borderId="216" xfId="0" applyFont="1" applyFill="1" applyBorder="1" applyAlignment="1">
      <alignment horizontal="center"/>
    </xf>
    <xf numFmtId="0" fontId="16" fillId="30" borderId="85" xfId="0" applyFont="1" applyFill="1" applyBorder="1" applyAlignment="1">
      <alignment horizontal="center"/>
    </xf>
    <xf numFmtId="0" fontId="16" fillId="30" borderId="93" xfId="0" applyFont="1" applyFill="1" applyBorder="1" applyAlignment="1"/>
    <xf numFmtId="0" fontId="16" fillId="21" borderId="217" xfId="0" applyFont="1" applyFill="1" applyBorder="1">
      <alignment vertical="center"/>
    </xf>
    <xf numFmtId="0" fontId="16" fillId="29" borderId="217" xfId="0" applyFont="1" applyFill="1" applyBorder="1">
      <alignment vertical="center"/>
    </xf>
    <xf numFmtId="0" fontId="16" fillId="25" borderId="217" xfId="0" applyFont="1" applyFill="1" applyBorder="1">
      <alignment vertical="center"/>
    </xf>
    <xf numFmtId="0" fontId="16" fillId="20" borderId="217" xfId="0" applyFont="1" applyFill="1" applyBorder="1">
      <alignment vertical="center"/>
    </xf>
    <xf numFmtId="0" fontId="16" fillId="28" borderId="217" xfId="0" applyFont="1" applyFill="1" applyBorder="1">
      <alignment vertical="center"/>
    </xf>
    <xf numFmtId="0" fontId="13" fillId="30" borderId="125" xfId="0" applyFont="1" applyFill="1" applyBorder="1" applyAlignment="1"/>
    <xf numFmtId="164" fontId="14" fillId="0" borderId="0" xfId="1" applyNumberFormat="1" applyFont="1" applyFill="1">
      <protection locked="0"/>
    </xf>
    <xf numFmtId="165" fontId="16" fillId="9" borderId="27" xfId="0" applyNumberFormat="1" applyFont="1" applyFill="1" applyBorder="1">
      <alignment vertical="center"/>
    </xf>
    <xf numFmtId="165" fontId="16" fillId="9" borderId="31" xfId="0" applyNumberFormat="1" applyFont="1" applyFill="1" applyBorder="1">
      <alignment vertical="center"/>
    </xf>
    <xf numFmtId="0" fontId="13" fillId="31" borderId="19" xfId="0" applyFont="1" applyFill="1" applyBorder="1">
      <alignment vertical="center"/>
    </xf>
    <xf numFmtId="0" fontId="13" fillId="31" borderId="26" xfId="0" applyFont="1" applyFill="1" applyBorder="1">
      <alignment vertical="center"/>
    </xf>
    <xf numFmtId="164" fontId="12" fillId="31" borderId="25" xfId="1" applyNumberFormat="1" applyFont="1" applyFill="1" applyBorder="1">
      <protection locked="0"/>
    </xf>
    <xf numFmtId="164" fontId="12" fillId="31" borderId="144" xfId="1" applyNumberFormat="1" applyFont="1" applyFill="1" applyBorder="1">
      <protection locked="0"/>
    </xf>
    <xf numFmtId="164" fontId="12" fillId="31" borderId="20" xfId="1" applyNumberFormat="1" applyFont="1" applyFill="1" applyBorder="1">
      <protection locked="0"/>
    </xf>
    <xf numFmtId="164" fontId="12" fillId="31" borderId="26" xfId="1" applyNumberFormat="1" applyFont="1" applyFill="1" applyBorder="1">
      <protection locked="0"/>
    </xf>
    <xf numFmtId="165" fontId="16" fillId="31" borderId="39" xfId="0" applyNumberFormat="1" applyFont="1" applyFill="1" applyBorder="1">
      <alignment vertical="center"/>
    </xf>
    <xf numFmtId="165" fontId="13" fillId="31" borderId="25" xfId="0" applyNumberFormat="1" applyFont="1" applyFill="1" applyBorder="1">
      <alignment vertical="center"/>
    </xf>
    <xf numFmtId="165" fontId="13" fillId="31" borderId="32" xfId="0" applyNumberFormat="1" applyFont="1" applyFill="1" applyBorder="1">
      <alignment vertical="center"/>
    </xf>
    <xf numFmtId="165" fontId="16" fillId="7" borderId="27" xfId="0" applyNumberFormat="1" applyFont="1" applyFill="1" applyBorder="1">
      <alignment vertical="center"/>
    </xf>
    <xf numFmtId="165" fontId="16" fillId="7" borderId="23" xfId="0" applyNumberFormat="1" applyFont="1" applyFill="1" applyBorder="1">
      <alignment vertical="center"/>
    </xf>
    <xf numFmtId="165" fontId="16" fillId="7" borderId="31" xfId="0" applyNumberFormat="1" applyFont="1" applyFill="1" applyBorder="1">
      <alignment vertical="center"/>
    </xf>
    <xf numFmtId="164" fontId="8" fillId="0" borderId="0" xfId="1" applyNumberFormat="1">
      <protection locked="0"/>
    </xf>
    <xf numFmtId="165" fontId="8" fillId="0" borderId="0" xfId="1" applyNumberFormat="1">
      <protection locked="0"/>
    </xf>
    <xf numFmtId="0" fontId="16" fillId="29" borderId="77" xfId="0" applyFont="1" applyFill="1" applyBorder="1">
      <alignment vertical="center"/>
    </xf>
    <xf numFmtId="0" fontId="16" fillId="21" borderId="77" xfId="0" applyFont="1" applyFill="1" applyBorder="1">
      <alignment vertical="center"/>
    </xf>
    <xf numFmtId="0" fontId="16" fillId="25" borderId="77" xfId="0" applyFont="1" applyFill="1" applyBorder="1">
      <alignment vertical="center"/>
    </xf>
    <xf numFmtId="0" fontId="16" fillId="20" borderId="77" xfId="0" applyFont="1" applyFill="1" applyBorder="1">
      <alignment vertical="center"/>
    </xf>
    <xf numFmtId="0" fontId="16" fillId="28" borderId="77" xfId="0" applyFont="1" applyFill="1" applyBorder="1">
      <alignment vertical="center"/>
    </xf>
    <xf numFmtId="0" fontId="16" fillId="29" borderId="80" xfId="0" applyFont="1" applyFill="1" applyBorder="1">
      <alignment vertical="center"/>
    </xf>
    <xf numFmtId="0" fontId="16" fillId="25" borderId="74" xfId="0" applyFont="1" applyFill="1" applyBorder="1">
      <alignment vertical="center"/>
    </xf>
    <xf numFmtId="2" fontId="16" fillId="29" borderId="80" xfId="0" applyNumberFormat="1" applyFont="1" applyFill="1" applyBorder="1">
      <alignment vertical="center"/>
    </xf>
    <xf numFmtId="2" fontId="16" fillId="29" borderId="77" xfId="0" applyNumberFormat="1" applyFont="1" applyFill="1" applyBorder="1">
      <alignment vertical="center"/>
    </xf>
    <xf numFmtId="2" fontId="16" fillId="21" borderId="77" xfId="0" applyNumberFormat="1" applyFont="1" applyFill="1" applyBorder="1">
      <alignment vertical="center"/>
    </xf>
    <xf numFmtId="2" fontId="16" fillId="25" borderId="77" xfId="0" applyNumberFormat="1" applyFont="1" applyFill="1" applyBorder="1">
      <alignment vertical="center"/>
    </xf>
    <xf numFmtId="2" fontId="16" fillId="20" borderId="77" xfId="0" applyNumberFormat="1" applyFont="1" applyFill="1" applyBorder="1">
      <alignment vertical="center"/>
    </xf>
    <xf numFmtId="2" fontId="16" fillId="28" borderId="77" xfId="0" applyNumberFormat="1" applyFont="1" applyFill="1" applyBorder="1">
      <alignment vertical="center"/>
    </xf>
    <xf numFmtId="2" fontId="16" fillId="25" borderId="74" xfId="0" applyNumberFormat="1" applyFont="1" applyFill="1" applyBorder="1">
      <alignment vertical="center"/>
    </xf>
    <xf numFmtId="1" fontId="16" fillId="29" borderId="80" xfId="0" applyNumberFormat="1" applyFont="1" applyFill="1" applyBorder="1">
      <alignment vertical="center"/>
    </xf>
    <xf numFmtId="1" fontId="16" fillId="29" borderId="77" xfId="0" applyNumberFormat="1" applyFont="1" applyFill="1" applyBorder="1">
      <alignment vertical="center"/>
    </xf>
    <xf numFmtId="1" fontId="16" fillId="21" borderId="77" xfId="0" applyNumberFormat="1" applyFont="1" applyFill="1" applyBorder="1">
      <alignment vertical="center"/>
    </xf>
    <xf numFmtId="1" fontId="16" fillId="25" borderId="77" xfId="0" applyNumberFormat="1" applyFont="1" applyFill="1" applyBorder="1">
      <alignment vertical="center"/>
    </xf>
    <xf numFmtId="1" fontId="16" fillId="20" borderId="77" xfId="0" applyNumberFormat="1" applyFont="1" applyFill="1" applyBorder="1">
      <alignment vertical="center"/>
    </xf>
    <xf numFmtId="1" fontId="16" fillId="28" borderId="77" xfId="0" applyNumberFormat="1" applyFont="1" applyFill="1" applyBorder="1">
      <alignment vertical="center"/>
    </xf>
    <xf numFmtId="1" fontId="16" fillId="25" borderId="74" xfId="0" applyNumberFormat="1" applyFont="1" applyFill="1" applyBorder="1">
      <alignment vertical="center"/>
    </xf>
    <xf numFmtId="0" fontId="13" fillId="3" borderId="80" xfId="0" applyFont="1" applyFill="1" applyBorder="1">
      <alignment vertical="center"/>
    </xf>
    <xf numFmtId="2" fontId="13" fillId="3" borderId="80" xfId="0" applyNumberFormat="1" applyFont="1" applyFill="1" applyBorder="1">
      <alignment vertical="center"/>
    </xf>
    <xf numFmtId="1" fontId="13" fillId="3" borderId="80" xfId="0" applyNumberFormat="1" applyFont="1" applyFill="1" applyBorder="1">
      <alignment vertical="center"/>
    </xf>
    <xf numFmtId="1" fontId="13" fillId="3" borderId="92" xfId="0" applyNumberFormat="1" applyFont="1" applyFill="1" applyBorder="1">
      <alignment vertical="center"/>
    </xf>
    <xf numFmtId="1" fontId="16" fillId="29" borderId="92" xfId="0" applyNumberFormat="1" applyFont="1" applyFill="1" applyBorder="1">
      <alignment vertical="center"/>
    </xf>
    <xf numFmtId="1" fontId="16" fillId="29" borderId="93" xfId="0" applyNumberFormat="1" applyFont="1" applyFill="1" applyBorder="1">
      <alignment vertical="center"/>
    </xf>
    <xf numFmtId="1" fontId="16" fillId="21" borderId="93" xfId="0" applyNumberFormat="1" applyFont="1" applyFill="1" applyBorder="1">
      <alignment vertical="center"/>
    </xf>
    <xf numFmtId="1" fontId="16" fillId="25" borderId="93" xfId="0" applyNumberFormat="1" applyFont="1" applyFill="1" applyBorder="1">
      <alignment vertical="center"/>
    </xf>
    <xf numFmtId="1" fontId="16" fillId="20" borderId="93" xfId="0" applyNumberFormat="1" applyFont="1" applyFill="1" applyBorder="1">
      <alignment vertical="center"/>
    </xf>
    <xf numFmtId="1" fontId="16" fillId="28" borderId="93" xfId="0" applyNumberFormat="1" applyFont="1" applyFill="1" applyBorder="1">
      <alignment vertical="center"/>
    </xf>
    <xf numFmtId="1" fontId="16" fillId="25" borderId="94" xfId="0" applyNumberFormat="1" applyFont="1" applyFill="1" applyBorder="1">
      <alignment vertical="center"/>
    </xf>
    <xf numFmtId="164" fontId="8" fillId="24" borderId="0" xfId="1" applyNumberFormat="1" applyFill="1">
      <protection locked="0"/>
    </xf>
    <xf numFmtId="0" fontId="91" fillId="24" borderId="0" xfId="0" applyFont="1" applyFill="1">
      <alignment vertical="center"/>
    </xf>
    <xf numFmtId="17" fontId="16" fillId="24" borderId="0" xfId="0" applyNumberFormat="1" applyFont="1" applyFill="1" applyAlignment="1">
      <alignment horizontal="left" vertical="center"/>
    </xf>
    <xf numFmtId="0" fontId="16" fillId="24" borderId="0" xfId="0" applyFont="1" applyFill="1">
      <alignment vertical="center"/>
    </xf>
    <xf numFmtId="186" fontId="16" fillId="0" borderId="0" xfId="0" applyNumberFormat="1" applyFont="1">
      <alignment vertical="center"/>
    </xf>
    <xf numFmtId="164" fontId="14" fillId="24" borderId="0" xfId="1" applyNumberFormat="1" applyFont="1" applyFill="1">
      <protection locked="0"/>
    </xf>
    <xf numFmtId="1" fontId="16" fillId="0" borderId="0" xfId="0" applyNumberFormat="1" applyFont="1">
      <alignment vertical="center"/>
    </xf>
    <xf numFmtId="165" fontId="76" fillId="0" borderId="0" xfId="0" applyNumberFormat="1" applyFont="1">
      <alignment vertical="center"/>
    </xf>
    <xf numFmtId="1" fontId="13" fillId="3" borderId="224" xfId="0" applyNumberFormat="1" applyFont="1" applyFill="1" applyBorder="1" applyAlignment="1">
      <alignment horizontal="center" vertical="center" wrapText="1"/>
    </xf>
    <xf numFmtId="2" fontId="13" fillId="3" borderId="188" xfId="0" applyNumberFormat="1" applyFont="1" applyFill="1" applyBorder="1" applyAlignment="1">
      <alignment horizontal="center" vertical="center" wrapText="1"/>
    </xf>
    <xf numFmtId="164" fontId="8" fillId="29" borderId="84" xfId="1" applyNumberFormat="1" applyFill="1" applyBorder="1">
      <protection locked="0"/>
    </xf>
    <xf numFmtId="164" fontId="8" fillId="29" borderId="85" xfId="1" applyNumberFormat="1" applyFill="1" applyBorder="1">
      <protection locked="0"/>
    </xf>
    <xf numFmtId="164" fontId="8" fillId="21" borderId="85" xfId="1" applyNumberFormat="1" applyFill="1" applyBorder="1">
      <protection locked="0"/>
    </xf>
    <xf numFmtId="164" fontId="8" fillId="25" borderId="85" xfId="1" applyNumberFormat="1" applyFill="1" applyBorder="1">
      <protection locked="0"/>
    </xf>
    <xf numFmtId="164" fontId="8" fillId="20" borderId="85" xfId="1" applyNumberFormat="1" applyFill="1" applyBorder="1">
      <protection locked="0"/>
    </xf>
    <xf numFmtId="164" fontId="8" fillId="28" borderId="85" xfId="1" applyNumberFormat="1" applyFill="1" applyBorder="1">
      <protection locked="0"/>
    </xf>
    <xf numFmtId="164" fontId="8" fillId="25" borderId="87" xfId="1" applyNumberFormat="1" applyFill="1" applyBorder="1">
      <protection locked="0"/>
    </xf>
    <xf numFmtId="1" fontId="13" fillId="3" borderId="167" xfId="0" applyNumberFormat="1" applyFont="1" applyFill="1" applyBorder="1" applyAlignment="1">
      <alignment horizontal="center" vertical="center" wrapText="1"/>
    </xf>
    <xf numFmtId="2" fontId="13" fillId="3" borderId="224" xfId="0" applyNumberFormat="1" applyFont="1" applyFill="1" applyBorder="1" applyAlignment="1">
      <alignment horizontal="center" vertical="center" wrapText="1"/>
    </xf>
    <xf numFmtId="164" fontId="8" fillId="29" borderId="92" xfId="1" applyNumberFormat="1" applyFill="1" applyBorder="1">
      <protection locked="0"/>
    </xf>
    <xf numFmtId="164" fontId="8" fillId="29" borderId="93" xfId="1" applyNumberFormat="1" applyFill="1" applyBorder="1">
      <protection locked="0"/>
    </xf>
    <xf numFmtId="164" fontId="8" fillId="21" borderId="93" xfId="1" applyNumberFormat="1" applyFill="1" applyBorder="1">
      <protection locked="0"/>
    </xf>
    <xf numFmtId="164" fontId="8" fillId="25" borderId="93" xfId="1" applyNumberFormat="1" applyFill="1" applyBorder="1">
      <protection locked="0"/>
    </xf>
    <xf numFmtId="164" fontId="8" fillId="20" borderId="93" xfId="1" applyNumberFormat="1" applyFill="1" applyBorder="1">
      <protection locked="0"/>
    </xf>
    <xf numFmtId="164" fontId="8" fillId="28" borderId="93" xfId="1" applyNumberFormat="1" applyFill="1" applyBorder="1">
      <protection locked="0"/>
    </xf>
    <xf numFmtId="164" fontId="8" fillId="25" borderId="94" xfId="1" applyNumberFormat="1" applyFill="1" applyBorder="1">
      <protection locked="0"/>
    </xf>
    <xf numFmtId="1" fontId="13" fillId="3" borderId="189" xfId="0" applyNumberFormat="1" applyFont="1" applyFill="1" applyBorder="1" applyAlignment="1">
      <alignment horizontal="center" vertical="center" wrapText="1"/>
    </xf>
    <xf numFmtId="164" fontId="8" fillId="29" borderId="81" xfId="1" applyNumberFormat="1" applyFill="1" applyBorder="1">
      <protection locked="0"/>
    </xf>
    <xf numFmtId="164" fontId="8" fillId="29" borderId="39" xfId="1" applyNumberFormat="1" applyFill="1" applyBorder="1">
      <protection locked="0"/>
    </xf>
    <xf numFmtId="164" fontId="8" fillId="21" borderId="39" xfId="1" applyNumberFormat="1" applyFill="1" applyBorder="1">
      <protection locked="0"/>
    </xf>
    <xf numFmtId="164" fontId="8" fillId="25" borderId="39" xfId="1" applyNumberFormat="1" applyFill="1" applyBorder="1">
      <protection locked="0"/>
    </xf>
    <xf numFmtId="164" fontId="8" fillId="20" borderId="39" xfId="1" applyNumberFormat="1" applyFill="1" applyBorder="1">
      <protection locked="0"/>
    </xf>
    <xf numFmtId="164" fontId="8" fillId="28" borderId="39" xfId="1" applyNumberFormat="1" applyFill="1" applyBorder="1">
      <protection locked="0"/>
    </xf>
    <xf numFmtId="164" fontId="8" fillId="25" borderId="88" xfId="1" applyNumberFormat="1" applyFill="1" applyBorder="1">
      <protection locked="0"/>
    </xf>
    <xf numFmtId="164" fontId="8" fillId="29" borderId="82" xfId="1" applyNumberFormat="1" applyFill="1" applyBorder="1">
      <protection locked="0"/>
    </xf>
    <xf numFmtId="164" fontId="8" fillId="29" borderId="86" xfId="1" applyNumberFormat="1" applyFill="1" applyBorder="1">
      <protection locked="0"/>
    </xf>
    <xf numFmtId="164" fontId="8" fillId="21" borderId="86" xfId="1" applyNumberFormat="1" applyFill="1" applyBorder="1">
      <protection locked="0"/>
    </xf>
    <xf numFmtId="164" fontId="8" fillId="25" borderId="86" xfId="1" applyNumberFormat="1" applyFill="1" applyBorder="1">
      <protection locked="0"/>
    </xf>
    <xf numFmtId="164" fontId="8" fillId="20" borderId="86" xfId="1" applyNumberFormat="1" applyFill="1" applyBorder="1">
      <protection locked="0"/>
    </xf>
    <xf numFmtId="164" fontId="8" fillId="28" borderId="86" xfId="1" applyNumberFormat="1" applyFill="1" applyBorder="1">
      <protection locked="0"/>
    </xf>
    <xf numFmtId="164" fontId="8" fillId="25" borderId="225" xfId="1" applyNumberFormat="1" applyFill="1" applyBorder="1">
      <protection locked="0"/>
    </xf>
    <xf numFmtId="0" fontId="13" fillId="3" borderId="84" xfId="0" applyFont="1" applyFill="1" applyBorder="1" applyAlignment="1">
      <alignment vertical="center"/>
    </xf>
    <xf numFmtId="0" fontId="16" fillId="29" borderId="84" xfId="0" applyFont="1" applyFill="1" applyBorder="1">
      <alignment vertical="center"/>
    </xf>
    <xf numFmtId="0" fontId="16" fillId="29" borderId="85" xfId="0" applyFont="1" applyFill="1" applyBorder="1">
      <alignment vertical="center"/>
    </xf>
    <xf numFmtId="0" fontId="16" fillId="21" borderId="85" xfId="0" applyFont="1" applyFill="1" applyBorder="1">
      <alignment vertical="center"/>
    </xf>
    <xf numFmtId="0" fontId="16" fillId="25" borderId="85" xfId="0" applyFont="1" applyFill="1" applyBorder="1">
      <alignment vertical="center"/>
    </xf>
    <xf numFmtId="0" fontId="16" fillId="20" borderId="85" xfId="0" applyFont="1" applyFill="1" applyBorder="1">
      <alignment vertical="center"/>
    </xf>
    <xf numFmtId="0" fontId="16" fillId="28" borderId="85" xfId="0" applyFont="1" applyFill="1" applyBorder="1">
      <alignment vertical="center"/>
    </xf>
    <xf numFmtId="0" fontId="16" fillId="25" borderId="87" xfId="0" applyFont="1" applyFill="1" applyBorder="1">
      <alignment vertical="center"/>
    </xf>
    <xf numFmtId="164" fontId="83" fillId="0" borderId="0" xfId="1" applyNumberFormat="1" applyFont="1">
      <protection locked="0"/>
    </xf>
    <xf numFmtId="0" fontId="9" fillId="0" borderId="1" xfId="0" applyFont="1" applyBorder="1">
      <alignment vertical="center"/>
    </xf>
    <xf numFmtId="0" fontId="0" fillId="0" borderId="1" xfId="0" applyBorder="1">
      <alignment vertical="center"/>
    </xf>
    <xf numFmtId="164" fontId="9" fillId="0" borderId="1" xfId="0" applyNumberFormat="1" applyFont="1" applyBorder="1">
      <alignment vertical="center"/>
    </xf>
    <xf numFmtId="0" fontId="9" fillId="0" borderId="1" xfId="0" applyFont="1" applyFill="1" applyBorder="1">
      <alignment vertical="center"/>
    </xf>
    <xf numFmtId="0" fontId="13" fillId="30" borderId="77" xfId="0" applyFont="1" applyFill="1" applyBorder="1" applyAlignment="1">
      <alignment horizontal="center"/>
    </xf>
    <xf numFmtId="0" fontId="16" fillId="30" borderId="77" xfId="0" applyFont="1" applyFill="1" applyBorder="1" applyAlignment="1">
      <alignment horizontal="center"/>
    </xf>
    <xf numFmtId="0" fontId="16" fillId="30" borderId="76" xfId="0" applyFont="1" applyFill="1" applyBorder="1" applyAlignment="1">
      <alignment horizontal="center"/>
    </xf>
    <xf numFmtId="0" fontId="13" fillId="30" borderId="71" xfId="0" applyFont="1" applyFill="1" applyBorder="1" applyAlignment="1">
      <alignment horizontal="center" vertical="center"/>
    </xf>
    <xf numFmtId="0" fontId="13" fillId="30" borderId="16" xfId="0" applyFont="1" applyFill="1" applyBorder="1" applyAlignment="1"/>
    <xf numFmtId="0" fontId="16" fillId="29" borderId="16" xfId="0" applyFont="1" applyFill="1" applyBorder="1">
      <alignment vertical="center"/>
    </xf>
    <xf numFmtId="0" fontId="16" fillId="21" borderId="16" xfId="0" applyFont="1" applyFill="1" applyBorder="1">
      <alignment vertical="center"/>
    </xf>
    <xf numFmtId="0" fontId="16" fillId="25" borderId="16" xfId="0" applyFont="1" applyFill="1" applyBorder="1">
      <alignment vertical="center"/>
    </xf>
    <xf numFmtId="0" fontId="16" fillId="20" borderId="16" xfId="0" applyFont="1" applyFill="1" applyBorder="1">
      <alignment vertical="center"/>
    </xf>
    <xf numFmtId="0" fontId="16" fillId="28" borderId="16" xfId="0" applyFont="1" applyFill="1" applyBorder="1">
      <alignment vertical="center"/>
    </xf>
    <xf numFmtId="0" fontId="16" fillId="30" borderId="17" xfId="0" applyFont="1" applyFill="1" applyBorder="1" applyAlignment="1"/>
    <xf numFmtId="0" fontId="13" fillId="30" borderId="105" xfId="0" applyFont="1" applyFill="1" applyBorder="1">
      <alignment vertical="center"/>
    </xf>
    <xf numFmtId="0" fontId="13" fillId="22" borderId="45" xfId="0" applyFont="1" applyFill="1" applyBorder="1" applyAlignment="1">
      <alignment horizontal="center" wrapText="1"/>
    </xf>
    <xf numFmtId="164" fontId="14" fillId="22" borderId="159" xfId="1" applyNumberFormat="1" applyFont="1" applyFill="1" applyBorder="1">
      <protection locked="0"/>
    </xf>
    <xf numFmtId="164" fontId="12" fillId="22" borderId="152" xfId="1" applyNumberFormat="1" applyFont="1" applyFill="1" applyBorder="1">
      <protection locked="0"/>
    </xf>
    <xf numFmtId="0" fontId="13" fillId="22" borderId="39" xfId="0" applyFont="1" applyFill="1" applyBorder="1" applyAlignment="1">
      <alignment horizontal="center" wrapText="1"/>
    </xf>
    <xf numFmtId="164" fontId="14" fillId="22" borderId="39" xfId="1" applyNumberFormat="1" applyFont="1" applyFill="1" applyBorder="1">
      <protection locked="0"/>
    </xf>
    <xf numFmtId="164" fontId="14" fillId="22" borderId="193" xfId="1" applyNumberFormat="1" applyFont="1" applyFill="1" applyBorder="1">
      <protection locked="0"/>
    </xf>
    <xf numFmtId="164" fontId="12" fillId="22" borderId="9" xfId="1" applyNumberFormat="1" applyFont="1" applyFill="1" applyBorder="1">
      <protection locked="0"/>
    </xf>
    <xf numFmtId="0" fontId="13" fillId="30" borderId="80" xfId="0" applyFont="1" applyFill="1" applyBorder="1" applyAlignment="1">
      <alignment horizontal="center"/>
    </xf>
    <xf numFmtId="0" fontId="13" fillId="30" borderId="97" xfId="0" applyFont="1" applyFill="1" applyBorder="1" applyAlignment="1"/>
    <xf numFmtId="0" fontId="25" fillId="22" borderId="81" xfId="0" applyFont="1" applyFill="1" applyBorder="1" applyAlignment="1">
      <alignment horizontal="center" wrapText="1"/>
    </xf>
    <xf numFmtId="0" fontId="101" fillId="0" borderId="0" xfId="0" applyFont="1">
      <alignment vertical="center"/>
    </xf>
    <xf numFmtId="0" fontId="11" fillId="0" borderId="0" xfId="0" applyFont="1">
      <alignment vertical="center"/>
    </xf>
    <xf numFmtId="0" fontId="25" fillId="22" borderId="191" xfId="0" applyFont="1" applyFill="1" applyBorder="1" applyAlignment="1">
      <alignment horizontal="center" wrapText="1"/>
    </xf>
    <xf numFmtId="0" fontId="25" fillId="22" borderId="95" xfId="0" applyFont="1" applyFill="1" applyBorder="1" applyAlignment="1">
      <alignment horizontal="center" wrapText="1"/>
    </xf>
    <xf numFmtId="0" fontId="25" fillId="22" borderId="97" xfId="0" applyFont="1" applyFill="1" applyBorder="1" applyAlignment="1">
      <alignment horizontal="center" wrapText="1"/>
    </xf>
    <xf numFmtId="0" fontId="25" fillId="22" borderId="80" xfId="0" applyFont="1" applyFill="1" applyBorder="1" applyAlignment="1">
      <alignment horizontal="center" wrapText="1"/>
    </xf>
    <xf numFmtId="0" fontId="13" fillId="22" borderId="79" xfId="0" applyFont="1" applyFill="1" applyBorder="1" applyAlignment="1">
      <alignment horizontal="center"/>
    </xf>
    <xf numFmtId="0" fontId="13" fillId="22" borderId="24" xfId="0" applyFont="1" applyFill="1" applyBorder="1" applyAlignment="1">
      <alignment horizontal="center" wrapText="1"/>
    </xf>
    <xf numFmtId="0" fontId="13" fillId="22" borderId="16" xfId="0" applyFont="1" applyFill="1" applyBorder="1" applyAlignment="1">
      <alignment horizontal="center" wrapText="1"/>
    </xf>
    <xf numFmtId="0" fontId="13" fillId="22" borderId="77" xfId="0" applyFont="1" applyFill="1" applyBorder="1" applyAlignment="1">
      <alignment horizontal="center" wrapText="1"/>
    </xf>
    <xf numFmtId="0" fontId="13" fillId="22" borderId="83" xfId="0" applyFont="1" applyFill="1" applyBorder="1" applyAlignment="1"/>
    <xf numFmtId="164" fontId="14" fillId="22" borderId="24" xfId="1" applyNumberFormat="1" applyFont="1" applyFill="1" applyBorder="1">
      <protection locked="0"/>
    </xf>
    <xf numFmtId="164" fontId="14" fillId="22" borderId="77" xfId="1" applyNumberFormat="1" applyFont="1" applyFill="1" applyBorder="1">
      <protection locked="0"/>
    </xf>
    <xf numFmtId="164" fontId="16" fillId="22" borderId="83" xfId="0" applyNumberFormat="1" applyFont="1" applyFill="1" applyBorder="1" applyAlignment="1"/>
    <xf numFmtId="164" fontId="14" fillId="22" borderId="194" xfId="1" applyNumberFormat="1" applyFont="1" applyFill="1" applyBorder="1">
      <protection locked="0"/>
    </xf>
    <xf numFmtId="164" fontId="14" fillId="22" borderId="17" xfId="1" applyNumberFormat="1" applyFont="1" applyFill="1" applyBorder="1">
      <protection locked="0"/>
    </xf>
    <xf numFmtId="164" fontId="14" fillId="22" borderId="76" xfId="1" applyNumberFormat="1" applyFont="1" applyFill="1" applyBorder="1">
      <protection locked="0"/>
    </xf>
    <xf numFmtId="164" fontId="16" fillId="22" borderId="197" xfId="0" applyNumberFormat="1" applyFont="1" applyFill="1" applyBorder="1" applyAlignment="1"/>
    <xf numFmtId="164" fontId="12" fillId="22" borderId="13" xfId="1" applyNumberFormat="1" applyFont="1" applyFill="1" applyBorder="1" applyAlignment="1">
      <alignment horizontal="right"/>
      <protection locked="0"/>
    </xf>
    <xf numFmtId="164" fontId="12" fillId="22" borderId="13" xfId="1" applyNumberFormat="1" applyFont="1" applyFill="1" applyBorder="1">
      <protection locked="0"/>
    </xf>
    <xf numFmtId="164" fontId="12" fillId="22" borderId="105" xfId="1" applyNumberFormat="1" applyFont="1" applyFill="1" applyBorder="1">
      <protection locked="0"/>
    </xf>
    <xf numFmtId="164" fontId="12" fillId="22" borderId="71" xfId="1" applyNumberFormat="1" applyFont="1" applyFill="1" applyBorder="1">
      <protection locked="0"/>
    </xf>
    <xf numFmtId="164" fontId="13" fillId="22" borderId="70" xfId="0" applyNumberFormat="1" applyFont="1" applyFill="1" applyBorder="1">
      <alignment vertical="center"/>
    </xf>
    <xf numFmtId="0" fontId="25" fillId="32" borderId="191" xfId="0" applyFont="1" applyFill="1" applyBorder="1" applyAlignment="1">
      <alignment horizontal="center" wrapText="1"/>
    </xf>
    <xf numFmtId="0" fontId="25" fillId="32" borderId="81" xfId="0" applyFont="1" applyFill="1" applyBorder="1" applyAlignment="1">
      <alignment horizontal="center" wrapText="1"/>
    </xf>
    <xf numFmtId="0" fontId="25" fillId="32" borderId="95" xfId="0" applyFont="1" applyFill="1" applyBorder="1" applyAlignment="1">
      <alignment horizontal="center" wrapText="1"/>
    </xf>
    <xf numFmtId="0" fontId="25" fillId="32" borderId="97" xfId="0" applyFont="1" applyFill="1" applyBorder="1" applyAlignment="1">
      <alignment horizontal="center" wrapText="1"/>
    </xf>
    <xf numFmtId="0" fontId="25" fillId="32" borderId="80" xfId="0" applyFont="1" applyFill="1" applyBorder="1" applyAlignment="1">
      <alignment horizontal="center" wrapText="1"/>
    </xf>
    <xf numFmtId="0" fontId="13" fillId="32" borderId="79" xfId="0" applyFont="1" applyFill="1" applyBorder="1" applyAlignment="1">
      <alignment horizontal="center"/>
    </xf>
    <xf numFmtId="0" fontId="13" fillId="32" borderId="24" xfId="0" applyFont="1" applyFill="1" applyBorder="1" applyAlignment="1">
      <alignment horizontal="center" wrapText="1"/>
    </xf>
    <xf numFmtId="0" fontId="13" fillId="32" borderId="39" xfId="0" applyFont="1" applyFill="1" applyBorder="1" applyAlignment="1">
      <alignment horizontal="center" wrapText="1"/>
    </xf>
    <xf numFmtId="0" fontId="13" fillId="32" borderId="45" xfId="0" applyFont="1" applyFill="1" applyBorder="1" applyAlignment="1">
      <alignment horizontal="center" wrapText="1"/>
    </xf>
    <xf numFmtId="0" fontId="13" fillId="32" borderId="16" xfId="0" applyFont="1" applyFill="1" applyBorder="1" applyAlignment="1">
      <alignment horizontal="center" wrapText="1"/>
    </xf>
    <xf numFmtId="0" fontId="13" fillId="32" borderId="77" xfId="0" applyFont="1" applyFill="1" applyBorder="1" applyAlignment="1">
      <alignment horizontal="center" wrapText="1"/>
    </xf>
    <xf numFmtId="0" fontId="13" fillId="32" borderId="83" xfId="0" applyFont="1" applyFill="1" applyBorder="1" applyAlignment="1"/>
    <xf numFmtId="164" fontId="14" fillId="32" borderId="24" xfId="1" applyNumberFormat="1" applyFont="1" applyFill="1" applyBorder="1">
      <protection locked="0"/>
    </xf>
    <xf numFmtId="164" fontId="14" fillId="32" borderId="39" xfId="1" applyNumberFormat="1" applyFont="1" applyFill="1" applyBorder="1">
      <protection locked="0"/>
    </xf>
    <xf numFmtId="164" fontId="14" fillId="32" borderId="45" xfId="1" applyNumberFormat="1" applyFont="1" applyFill="1" applyBorder="1">
      <protection locked="0"/>
    </xf>
    <xf numFmtId="164" fontId="14" fillId="32" borderId="16" xfId="1" applyNumberFormat="1" applyFont="1" applyFill="1" applyBorder="1">
      <protection locked="0"/>
    </xf>
    <xf numFmtId="164" fontId="14" fillId="32" borderId="77" xfId="1" applyNumberFormat="1" applyFont="1" applyFill="1" applyBorder="1">
      <protection locked="0"/>
    </xf>
    <xf numFmtId="164" fontId="16" fillId="32" borderId="83" xfId="0" applyNumberFormat="1" applyFont="1" applyFill="1" applyBorder="1" applyAlignment="1"/>
    <xf numFmtId="164" fontId="14" fillId="32" borderId="194" xfId="1" applyNumberFormat="1" applyFont="1" applyFill="1" applyBorder="1">
      <protection locked="0"/>
    </xf>
    <xf numFmtId="164" fontId="14" fillId="32" borderId="193" xfId="1" applyNumberFormat="1" applyFont="1" applyFill="1" applyBorder="1">
      <protection locked="0"/>
    </xf>
    <xf numFmtId="164" fontId="14" fillId="32" borderId="159" xfId="1" applyNumberFormat="1" applyFont="1" applyFill="1" applyBorder="1">
      <protection locked="0"/>
    </xf>
    <xf numFmtId="164" fontId="14" fillId="32" borderId="17" xfId="1" applyNumberFormat="1" applyFont="1" applyFill="1" applyBorder="1">
      <protection locked="0"/>
    </xf>
    <xf numFmtId="164" fontId="14" fillId="32" borderId="76" xfId="1" applyNumberFormat="1" applyFont="1" applyFill="1" applyBorder="1">
      <protection locked="0"/>
    </xf>
    <xf numFmtId="164" fontId="16" fillId="32" borderId="197" xfId="0" applyNumberFormat="1" applyFont="1" applyFill="1" applyBorder="1" applyAlignment="1"/>
    <xf numFmtId="164" fontId="12" fillId="32" borderId="13" xfId="1" applyNumberFormat="1" applyFont="1" applyFill="1" applyBorder="1" applyAlignment="1">
      <alignment horizontal="right"/>
      <protection locked="0"/>
    </xf>
    <xf numFmtId="164" fontId="12" fillId="32" borderId="9" xfId="1" applyNumberFormat="1" applyFont="1" applyFill="1" applyBorder="1">
      <protection locked="0"/>
    </xf>
    <xf numFmtId="164" fontId="12" fillId="32" borderId="13" xfId="1" applyNumberFormat="1" applyFont="1" applyFill="1" applyBorder="1">
      <protection locked="0"/>
    </xf>
    <xf numFmtId="164" fontId="12" fillId="32" borderId="152" xfId="1" applyNumberFormat="1" applyFont="1" applyFill="1" applyBorder="1">
      <protection locked="0"/>
    </xf>
    <xf numFmtId="164" fontId="12" fillId="32" borderId="105" xfId="1" applyNumberFormat="1" applyFont="1" applyFill="1" applyBorder="1">
      <protection locked="0"/>
    </xf>
    <xf numFmtId="164" fontId="12" fillId="32" borderId="71" xfId="1" applyNumberFormat="1" applyFont="1" applyFill="1" applyBorder="1">
      <protection locked="0"/>
    </xf>
    <xf numFmtId="164" fontId="13" fillId="32" borderId="70" xfId="0" applyNumberFormat="1" applyFont="1" applyFill="1" applyBorder="1">
      <alignment vertical="center"/>
    </xf>
    <xf numFmtId="9" fontId="14" fillId="32" borderId="77" xfId="2" applyNumberFormat="1" applyFont="1" applyFill="1" applyBorder="1" applyProtection="1">
      <protection locked="0"/>
    </xf>
    <xf numFmtId="9" fontId="16" fillId="32" borderId="83" xfId="2" applyNumberFormat="1" applyFont="1" applyFill="1" applyBorder="1" applyAlignment="1"/>
    <xf numFmtId="9" fontId="14" fillId="32" borderId="76" xfId="2" applyNumberFormat="1" applyFont="1" applyFill="1" applyBorder="1" applyProtection="1">
      <protection locked="0"/>
    </xf>
    <xf numFmtId="9" fontId="16" fillId="32" borderId="197" xfId="2" applyNumberFormat="1" applyFont="1" applyFill="1" applyBorder="1" applyAlignment="1"/>
    <xf numFmtId="9" fontId="12" fillId="32" borderId="71" xfId="2" applyNumberFormat="1" applyFont="1" applyFill="1" applyBorder="1" applyProtection="1">
      <protection locked="0"/>
    </xf>
    <xf numFmtId="9" fontId="13" fillId="32" borderId="70" xfId="2" applyNumberFormat="1" applyFont="1" applyFill="1" applyBorder="1" applyAlignment="1"/>
    <xf numFmtId="164" fontId="8" fillId="0" borderId="0" xfId="1" applyNumberFormat="1">
      <protection locked="0"/>
    </xf>
    <xf numFmtId="0" fontId="42" fillId="0" borderId="92" xfId="14" applyFont="1" applyBorder="1" applyAlignment="1">
      <alignment horizontal="left" vertical="center"/>
    </xf>
    <xf numFmtId="0" fontId="42" fillId="0" borderId="94" xfId="14" applyFont="1" applyBorder="1" applyAlignment="1">
      <alignment horizontal="left" vertical="center"/>
    </xf>
    <xf numFmtId="0" fontId="42" fillId="0" borderId="79" xfId="14" applyFont="1" applyBorder="1" applyAlignment="1">
      <alignment horizontal="center" vertical="center"/>
    </xf>
    <xf numFmtId="0" fontId="42" fillId="0" borderId="73" xfId="14" applyFont="1" applyBorder="1" applyAlignment="1">
      <alignment horizontal="center" vertical="center"/>
    </xf>
    <xf numFmtId="0" fontId="13" fillId="22" borderId="9" xfId="0" applyFont="1" applyFill="1" applyBorder="1" applyAlignment="1">
      <alignment horizontal="left" vertical="center"/>
    </xf>
    <xf numFmtId="164" fontId="12" fillId="22" borderId="151" xfId="1" applyNumberFormat="1" applyFont="1" applyFill="1" applyBorder="1" applyAlignment="1">
      <alignment horizontal="center"/>
      <protection locked="0"/>
    </xf>
    <xf numFmtId="164" fontId="12" fillId="22" borderId="10" xfId="1" applyNumberFormat="1" applyFont="1" applyFill="1" applyBorder="1" applyAlignment="1">
      <alignment horizontal="center"/>
      <protection locked="0"/>
    </xf>
    <xf numFmtId="0" fontId="13" fillId="20" borderId="98" xfId="0" applyFont="1" applyFill="1" applyBorder="1" applyAlignment="1">
      <alignment horizontal="left" vertical="center"/>
    </xf>
    <xf numFmtId="164" fontId="12" fillId="20" borderId="201" xfId="1" applyNumberFormat="1" applyFont="1" applyFill="1" applyBorder="1" applyAlignment="1">
      <alignment horizontal="center"/>
      <protection locked="0"/>
    </xf>
    <xf numFmtId="164" fontId="12" fillId="20" borderId="205" xfId="1" applyNumberFormat="1" applyFont="1" applyFill="1" applyBorder="1" applyAlignment="1">
      <alignment horizontal="center"/>
      <protection locked="0"/>
    </xf>
    <xf numFmtId="170" fontId="12" fillId="17" borderId="55" xfId="2" applyNumberFormat="1" applyFont="1" applyFill="1" applyBorder="1" applyAlignment="1" applyProtection="1">
      <alignment horizontal="right"/>
      <protection locked="0"/>
    </xf>
    <xf numFmtId="170" fontId="12" fillId="22" borderId="54" xfId="2" applyNumberFormat="1" applyFont="1" applyFill="1" applyBorder="1" applyAlignment="1" applyProtection="1">
      <alignment horizontal="right"/>
      <protection locked="0"/>
    </xf>
    <xf numFmtId="170" fontId="12" fillId="22" borderId="55" xfId="2" applyNumberFormat="1" applyFont="1" applyFill="1" applyBorder="1" applyAlignment="1" applyProtection="1">
      <alignment horizontal="right"/>
      <protection locked="0"/>
    </xf>
    <xf numFmtId="170" fontId="12" fillId="22" borderId="215" xfId="2" applyNumberFormat="1" applyFont="1" applyFill="1" applyBorder="1" applyAlignment="1" applyProtection="1">
      <alignment horizontal="right"/>
      <protection locked="0"/>
    </xf>
    <xf numFmtId="170" fontId="12" fillId="24" borderId="54" xfId="2" applyNumberFormat="1" applyFont="1" applyFill="1" applyBorder="1" applyAlignment="1" applyProtection="1">
      <alignment horizontal="right"/>
      <protection locked="0"/>
    </xf>
    <xf numFmtId="170" fontId="12" fillId="24" borderId="55" xfId="2" applyNumberFormat="1" applyFont="1" applyFill="1" applyBorder="1" applyAlignment="1" applyProtection="1">
      <alignment horizontal="right"/>
      <protection locked="0"/>
    </xf>
    <xf numFmtId="170" fontId="12" fillId="27" borderId="54" xfId="2" applyNumberFormat="1" applyFont="1" applyFill="1" applyBorder="1" applyAlignment="1" applyProtection="1">
      <alignment horizontal="right"/>
      <protection locked="0"/>
    </xf>
    <xf numFmtId="170" fontId="12" fillId="27" borderId="55" xfId="2" applyNumberFormat="1" applyFont="1" applyFill="1" applyBorder="1" applyAlignment="1" applyProtection="1">
      <alignment horizontal="right"/>
      <protection locked="0"/>
    </xf>
    <xf numFmtId="170" fontId="12" fillId="27" borderId="215" xfId="2" applyNumberFormat="1" applyFont="1" applyFill="1" applyBorder="1" applyAlignment="1" applyProtection="1">
      <alignment horizontal="right"/>
      <protection locked="0"/>
    </xf>
    <xf numFmtId="170" fontId="12" fillId="5" borderId="54" xfId="2" applyNumberFormat="1" applyFont="1" applyFill="1" applyBorder="1" applyAlignment="1" applyProtection="1">
      <alignment horizontal="right"/>
      <protection locked="0"/>
    </xf>
    <xf numFmtId="170" fontId="12" fillId="5" borderId="55" xfId="2" applyNumberFormat="1" applyFont="1" applyFill="1" applyBorder="1" applyAlignment="1" applyProtection="1">
      <alignment horizontal="right"/>
      <protection locked="0"/>
    </xf>
    <xf numFmtId="170" fontId="12" fillId="6" borderId="214" xfId="2" applyNumberFormat="1" applyFont="1" applyFill="1" applyBorder="1" applyAlignment="1" applyProtection="1">
      <alignment horizontal="right"/>
      <protection locked="0"/>
    </xf>
    <xf numFmtId="170" fontId="12" fillId="6" borderId="56" xfId="2" applyNumberFormat="1" applyFont="1" applyFill="1" applyBorder="1" applyAlignment="1" applyProtection="1">
      <alignment horizontal="right"/>
      <protection locked="0"/>
    </xf>
    <xf numFmtId="164" fontId="12" fillId="17" borderId="51" xfId="1" applyNumberFormat="1" applyFont="1" applyFill="1" applyBorder="1" applyAlignment="1">
      <alignment horizontal="center"/>
      <protection locked="0"/>
    </xf>
    <xf numFmtId="164" fontId="12" fillId="22" borderId="50" xfId="1" applyNumberFormat="1" applyFont="1" applyFill="1" applyBorder="1" applyAlignment="1">
      <alignment horizontal="center"/>
      <protection locked="0"/>
    </xf>
    <xf numFmtId="164" fontId="12" fillId="22" borderId="51" xfId="1" applyNumberFormat="1" applyFont="1" applyFill="1" applyBorder="1" applyAlignment="1">
      <alignment horizontal="center"/>
      <protection locked="0"/>
    </xf>
    <xf numFmtId="164" fontId="12" fillId="22" borderId="213" xfId="1" applyNumberFormat="1" applyFont="1" applyFill="1" applyBorder="1" applyAlignment="1">
      <alignment horizontal="center"/>
      <protection locked="0"/>
    </xf>
    <xf numFmtId="164" fontId="12" fillId="24" borderId="50" xfId="1" applyNumberFormat="1" applyFont="1" applyFill="1" applyBorder="1" applyAlignment="1">
      <alignment horizontal="center"/>
      <protection locked="0"/>
    </xf>
    <xf numFmtId="164" fontId="12" fillId="24" borderId="51" xfId="1" applyNumberFormat="1" applyFont="1" applyFill="1" applyBorder="1" applyAlignment="1">
      <alignment horizontal="center"/>
      <protection locked="0"/>
    </xf>
    <xf numFmtId="164" fontId="12" fillId="27" borderId="50" xfId="1" applyNumberFormat="1" applyFont="1" applyFill="1" applyBorder="1" applyAlignment="1">
      <alignment horizontal="center"/>
      <protection locked="0"/>
    </xf>
    <xf numFmtId="164" fontId="12" fillId="27" borderId="51" xfId="1" applyNumberFormat="1" applyFont="1" applyFill="1" applyBorder="1" applyAlignment="1">
      <alignment horizontal="center"/>
      <protection locked="0"/>
    </xf>
    <xf numFmtId="164" fontId="12" fillId="27" borderId="213" xfId="1" applyNumberFormat="1" applyFont="1" applyFill="1" applyBorder="1" applyAlignment="1">
      <alignment horizontal="center"/>
      <protection locked="0"/>
    </xf>
    <xf numFmtId="164" fontId="12" fillId="5" borderId="50" xfId="1" applyNumberFormat="1" applyFont="1" applyFill="1" applyBorder="1" applyAlignment="1">
      <alignment horizontal="center"/>
      <protection locked="0"/>
    </xf>
    <xf numFmtId="164" fontId="12" fillId="5" borderId="51" xfId="1" applyNumberFormat="1" applyFont="1" applyFill="1" applyBorder="1" applyAlignment="1">
      <alignment horizontal="center"/>
      <protection locked="0"/>
    </xf>
    <xf numFmtId="164" fontId="12" fillId="6" borderId="212" xfId="1" applyNumberFormat="1" applyFont="1" applyFill="1" applyBorder="1" applyAlignment="1">
      <alignment horizontal="center"/>
      <protection locked="0"/>
    </xf>
    <xf numFmtId="164" fontId="12" fillId="6" borderId="52" xfId="1" applyNumberFormat="1" applyFont="1" applyFill="1" applyBorder="1" applyAlignment="1">
      <alignment horizontal="center"/>
      <protection locked="0"/>
    </xf>
    <xf numFmtId="165" fontId="55" fillId="17" borderId="0" xfId="1" applyNumberFormat="1" applyFont="1" applyFill="1" applyBorder="1" applyAlignment="1">
      <alignment horizontal="center"/>
      <protection locked="0"/>
    </xf>
    <xf numFmtId="165" fontId="55" fillId="22" borderId="121" xfId="1" applyNumberFormat="1" applyFont="1" applyFill="1" applyBorder="1" applyAlignment="1">
      <alignment horizontal="center"/>
      <protection locked="0"/>
    </xf>
    <xf numFmtId="165" fontId="55" fillId="22" borderId="0" xfId="1" applyNumberFormat="1" applyFont="1" applyFill="1" applyBorder="1" applyAlignment="1">
      <alignment horizontal="center"/>
      <protection locked="0"/>
    </xf>
    <xf numFmtId="165" fontId="55" fillId="22" borderId="122" xfId="1" applyNumberFormat="1" applyFont="1" applyFill="1" applyBorder="1" applyAlignment="1">
      <alignment horizontal="center"/>
      <protection locked="0"/>
    </xf>
    <xf numFmtId="165" fontId="55" fillId="24" borderId="121" xfId="1" applyNumberFormat="1" applyFont="1" applyFill="1" applyBorder="1" applyAlignment="1">
      <alignment horizontal="center"/>
      <protection locked="0"/>
    </xf>
    <xf numFmtId="165" fontId="55" fillId="24" borderId="0" xfId="1" applyNumberFormat="1" applyFont="1" applyFill="1" applyBorder="1" applyAlignment="1">
      <alignment horizontal="center"/>
      <protection locked="0"/>
    </xf>
    <xf numFmtId="165" fontId="55" fillId="27" borderId="121" xfId="1" applyNumberFormat="1" applyFont="1" applyFill="1" applyBorder="1" applyAlignment="1">
      <alignment horizontal="center"/>
      <protection locked="0"/>
    </xf>
    <xf numFmtId="165" fontId="55" fillId="27" borderId="0" xfId="1" applyNumberFormat="1" applyFont="1" applyFill="1" applyBorder="1" applyAlignment="1">
      <alignment horizontal="center"/>
      <protection locked="0"/>
    </xf>
    <xf numFmtId="165" fontId="55" fillId="27" borderId="122" xfId="1" applyNumberFormat="1" applyFont="1" applyFill="1" applyBorder="1" applyAlignment="1">
      <alignment horizontal="center"/>
      <protection locked="0"/>
    </xf>
    <xf numFmtId="165" fontId="55" fillId="5" borderId="121" xfId="1" applyNumberFormat="1" applyFont="1" applyFill="1" applyBorder="1" applyAlignment="1">
      <alignment horizontal="center"/>
      <protection locked="0"/>
    </xf>
    <xf numFmtId="165" fontId="55" fillId="5" borderId="0" xfId="1" applyNumberFormat="1" applyFont="1" applyFill="1" applyBorder="1" applyAlignment="1">
      <alignment horizontal="center"/>
      <protection locked="0"/>
    </xf>
    <xf numFmtId="164" fontId="12" fillId="6" borderId="202" xfId="1" applyNumberFormat="1" applyFont="1" applyFill="1" applyBorder="1" applyAlignment="1">
      <alignment horizontal="center"/>
      <protection locked="0"/>
    </xf>
    <xf numFmtId="164" fontId="12" fillId="6" borderId="138" xfId="1" applyNumberFormat="1" applyFont="1" applyFill="1" applyBorder="1" applyAlignment="1">
      <alignment horizontal="center"/>
      <protection locked="0"/>
    </xf>
    <xf numFmtId="165" fontId="12" fillId="17" borderId="98" xfId="1" applyNumberFormat="1" applyFont="1" applyFill="1" applyBorder="1" applyAlignment="1">
      <alignment horizontal="center"/>
      <protection locked="0"/>
    </xf>
    <xf numFmtId="165" fontId="12" fillId="22" borderId="204" xfId="1" applyNumberFormat="1" applyFont="1" applyFill="1" applyBorder="1" applyAlignment="1">
      <alignment horizontal="center"/>
      <protection locked="0"/>
    </xf>
    <xf numFmtId="165" fontId="12" fillId="22" borderId="98" xfId="1" applyNumberFormat="1" applyFont="1" applyFill="1" applyBorder="1" applyAlignment="1">
      <alignment horizontal="center"/>
      <protection locked="0"/>
    </xf>
    <xf numFmtId="165" fontId="12" fillId="22" borderId="203" xfId="1" applyNumberFormat="1" applyFont="1" applyFill="1" applyBorder="1" applyAlignment="1">
      <alignment horizontal="center"/>
      <protection locked="0"/>
    </xf>
    <xf numFmtId="165" fontId="12" fillId="24" borderId="204" xfId="1" applyNumberFormat="1" applyFont="1" applyFill="1" applyBorder="1" applyAlignment="1">
      <alignment horizontal="center"/>
      <protection locked="0"/>
    </xf>
    <xf numFmtId="165" fontId="12" fillId="24" borderId="98" xfId="1" applyNumberFormat="1" applyFont="1" applyFill="1" applyBorder="1" applyAlignment="1">
      <alignment horizontal="center"/>
      <protection locked="0"/>
    </xf>
    <xf numFmtId="165" fontId="12" fillId="27" borderId="204" xfId="1" applyNumberFormat="1" applyFont="1" applyFill="1" applyBorder="1" applyAlignment="1">
      <alignment horizontal="center"/>
      <protection locked="0"/>
    </xf>
    <xf numFmtId="165" fontId="12" fillId="27" borderId="98" xfId="1" applyNumberFormat="1" applyFont="1" applyFill="1" applyBorder="1" applyAlignment="1">
      <alignment horizontal="center"/>
      <protection locked="0"/>
    </xf>
    <xf numFmtId="165" fontId="12" fillId="27" borderId="203" xfId="1" applyNumberFormat="1" applyFont="1" applyFill="1" applyBorder="1" applyAlignment="1">
      <alignment horizontal="center"/>
      <protection locked="0"/>
    </xf>
    <xf numFmtId="165" fontId="12" fillId="5" borderId="204" xfId="1" applyNumberFormat="1" applyFont="1" applyFill="1" applyBorder="1" applyAlignment="1">
      <alignment horizontal="center"/>
      <protection locked="0"/>
    </xf>
    <xf numFmtId="165" fontId="12" fillId="5" borderId="98" xfId="1" applyNumberFormat="1" applyFont="1" applyFill="1" applyBorder="1" applyAlignment="1">
      <alignment horizontal="center"/>
      <protection locked="0"/>
    </xf>
    <xf numFmtId="164" fontId="12" fillId="6" borderId="201" xfId="1" applyNumberFormat="1" applyFont="1" applyFill="1" applyBorder="1" applyAlignment="1">
      <alignment horizontal="center"/>
      <protection locked="0"/>
    </xf>
    <xf numFmtId="164" fontId="12" fillId="6" borderId="205" xfId="1" applyNumberFormat="1" applyFont="1" applyFill="1" applyBorder="1" applyAlignment="1">
      <alignment horizontal="center"/>
      <protection locked="0"/>
    </xf>
    <xf numFmtId="165" fontId="12" fillId="17" borderId="144" xfId="1" applyNumberFormat="1" applyFont="1" applyFill="1" applyBorder="1" applyAlignment="1">
      <alignment horizontal="center"/>
      <protection locked="0"/>
    </xf>
    <xf numFmtId="165" fontId="12" fillId="17" borderId="20" xfId="1" applyNumberFormat="1" applyFont="1" applyFill="1" applyBorder="1" applyAlignment="1">
      <alignment horizontal="center"/>
      <protection locked="0"/>
    </xf>
    <xf numFmtId="165" fontId="12" fillId="17" borderId="61" xfId="1" applyNumberFormat="1" applyFont="1" applyFill="1" applyBorder="1" applyAlignment="1">
      <alignment horizontal="center"/>
      <protection locked="0"/>
    </xf>
    <xf numFmtId="165" fontId="12" fillId="22" borderId="144" xfId="1" applyNumberFormat="1" applyFont="1" applyFill="1" applyBorder="1" applyAlignment="1">
      <alignment horizontal="center"/>
      <protection locked="0"/>
    </xf>
    <xf numFmtId="165" fontId="12" fillId="22" borderId="20" xfId="1" applyNumberFormat="1" applyFont="1" applyFill="1" applyBorder="1" applyAlignment="1">
      <alignment horizontal="center"/>
      <protection locked="0"/>
    </xf>
    <xf numFmtId="165" fontId="12" fillId="22" borderId="26" xfId="1" applyNumberFormat="1" applyFont="1" applyFill="1" applyBorder="1" applyAlignment="1">
      <alignment horizontal="center"/>
      <protection locked="0"/>
    </xf>
    <xf numFmtId="165" fontId="12" fillId="24" borderId="19" xfId="1" applyNumberFormat="1" applyFont="1" applyFill="1" applyBorder="1" applyAlignment="1">
      <alignment horizontal="center"/>
      <protection locked="0"/>
    </xf>
    <xf numFmtId="165" fontId="12" fillId="24" borderId="20" xfId="1" applyNumberFormat="1" applyFont="1" applyFill="1" applyBorder="1" applyAlignment="1">
      <alignment horizontal="center"/>
      <protection locked="0"/>
    </xf>
    <xf numFmtId="165" fontId="12" fillId="24" borderId="61" xfId="1" applyNumberFormat="1" applyFont="1" applyFill="1" applyBorder="1" applyAlignment="1">
      <alignment horizontal="center"/>
      <protection locked="0"/>
    </xf>
    <xf numFmtId="164" fontId="12" fillId="27" borderId="144" xfId="1" applyNumberFormat="1" applyFont="1" applyFill="1" applyBorder="1" applyAlignment="1">
      <alignment horizontal="center"/>
      <protection locked="0"/>
    </xf>
    <xf numFmtId="164" fontId="12" fillId="27" borderId="20" xfId="1" applyNumberFormat="1" applyFont="1" applyFill="1" applyBorder="1" applyAlignment="1">
      <alignment horizontal="center"/>
      <protection locked="0"/>
    </xf>
    <xf numFmtId="164" fontId="12" fillId="27" borderId="26" xfId="1" applyNumberFormat="1" applyFont="1" applyFill="1" applyBorder="1" applyAlignment="1">
      <alignment horizontal="center"/>
      <protection locked="0"/>
    </xf>
    <xf numFmtId="164" fontId="12" fillId="5" borderId="19" xfId="1" applyNumberFormat="1" applyFont="1" applyFill="1" applyBorder="1" applyAlignment="1">
      <alignment horizontal="center"/>
      <protection locked="0"/>
    </xf>
    <xf numFmtId="164" fontId="12" fillId="5" borderId="20" xfId="1" applyNumberFormat="1" applyFont="1" applyFill="1" applyBorder="1" applyAlignment="1">
      <alignment horizontal="center"/>
      <protection locked="0"/>
    </xf>
    <xf numFmtId="164" fontId="12" fillId="5" borderId="26" xfId="1" applyNumberFormat="1" applyFont="1" applyFill="1" applyBorder="1" applyAlignment="1">
      <alignment horizontal="center"/>
      <protection locked="0"/>
    </xf>
    <xf numFmtId="164" fontId="12" fillId="6" borderId="169" xfId="1" applyNumberFormat="1" applyFont="1" applyFill="1" applyBorder="1" applyAlignment="1">
      <alignment horizontal="center"/>
      <protection locked="0"/>
    </xf>
    <xf numFmtId="164" fontId="12" fillId="6" borderId="222" xfId="1" applyNumberFormat="1" applyFont="1" applyFill="1" applyBorder="1" applyAlignment="1">
      <alignment horizontal="center"/>
      <protection locked="0"/>
    </xf>
    <xf numFmtId="165" fontId="14" fillId="17" borderId="45" xfId="1" applyNumberFormat="1" applyFont="1" applyFill="1" applyBorder="1" applyAlignment="1">
      <alignment horizontal="center"/>
      <protection locked="0"/>
    </xf>
    <xf numFmtId="165" fontId="14" fillId="17" borderId="15" xfId="1" applyNumberFormat="1" applyFont="1" applyFill="1" applyBorder="1" applyAlignment="1">
      <alignment horizontal="center"/>
      <protection locked="0"/>
    </xf>
    <xf numFmtId="165" fontId="14" fillId="17" borderId="60" xfId="1" applyNumberFormat="1" applyFont="1" applyFill="1" applyBorder="1" applyAlignment="1">
      <alignment horizontal="center"/>
      <protection locked="0"/>
    </xf>
    <xf numFmtId="165" fontId="14" fillId="22" borderId="45" xfId="1" applyNumberFormat="1" applyFont="1" applyFill="1" applyBorder="1" applyAlignment="1">
      <alignment horizontal="center"/>
      <protection locked="0"/>
    </xf>
    <xf numFmtId="165" fontId="14" fillId="22" borderId="15" xfId="1" applyNumberFormat="1" applyFont="1" applyFill="1" applyBorder="1" applyAlignment="1">
      <alignment horizontal="center"/>
      <protection locked="0"/>
    </xf>
    <xf numFmtId="165" fontId="14" fillId="22" borderId="16" xfId="1" applyNumberFormat="1" applyFont="1" applyFill="1" applyBorder="1" applyAlignment="1">
      <alignment horizontal="center"/>
      <protection locked="0"/>
    </xf>
    <xf numFmtId="165" fontId="14" fillId="24" borderId="18" xfId="1" applyNumberFormat="1" applyFont="1" applyFill="1" applyBorder="1" applyAlignment="1">
      <alignment horizontal="center"/>
      <protection locked="0"/>
    </xf>
    <xf numFmtId="165" fontId="14" fillId="24" borderId="15" xfId="1" applyNumberFormat="1" applyFont="1" applyFill="1" applyBorder="1" applyAlignment="1">
      <alignment horizontal="center"/>
      <protection locked="0"/>
    </xf>
    <xf numFmtId="165" fontId="14" fillId="24" borderId="60" xfId="1" applyNumberFormat="1" applyFont="1" applyFill="1" applyBorder="1" applyAlignment="1">
      <alignment horizontal="center"/>
      <protection locked="0"/>
    </xf>
    <xf numFmtId="164" fontId="14" fillId="27" borderId="45" xfId="1" applyNumberFormat="1" applyFont="1" applyFill="1" applyBorder="1" applyAlignment="1">
      <alignment horizontal="center"/>
      <protection locked="0"/>
    </xf>
    <xf numFmtId="164" fontId="14" fillId="27" borderId="15" xfId="1" applyNumberFormat="1" applyFont="1" applyFill="1" applyBorder="1" applyAlignment="1">
      <alignment horizontal="center"/>
      <protection locked="0"/>
    </xf>
    <xf numFmtId="164" fontId="14" fillId="27" borderId="16" xfId="1" applyNumberFormat="1" applyFont="1" applyFill="1" applyBorder="1" applyAlignment="1">
      <alignment horizontal="center"/>
      <protection locked="0"/>
    </xf>
    <xf numFmtId="164" fontId="14" fillId="5" borderId="18" xfId="1" applyNumberFormat="1" applyFont="1" applyFill="1" applyBorder="1" applyAlignment="1">
      <alignment horizontal="center"/>
      <protection locked="0"/>
    </xf>
    <xf numFmtId="164" fontId="14" fillId="5" borderId="15" xfId="1" applyNumberFormat="1" applyFont="1" applyFill="1" applyBorder="1" applyAlignment="1">
      <alignment horizontal="center"/>
      <protection locked="0"/>
    </xf>
    <xf numFmtId="164" fontId="14" fillId="5" borderId="16" xfId="1" applyNumberFormat="1" applyFont="1" applyFill="1" applyBorder="1" applyAlignment="1">
      <alignment horizontal="center"/>
      <protection locked="0"/>
    </xf>
    <xf numFmtId="164" fontId="14" fillId="6" borderId="77" xfId="1" applyNumberFormat="1" applyFont="1" applyFill="1" applyBorder="1" applyAlignment="1">
      <alignment horizontal="center"/>
      <protection locked="0"/>
    </xf>
    <xf numFmtId="164" fontId="14" fillId="6" borderId="83" xfId="1" applyNumberFormat="1" applyFont="1" applyFill="1" applyBorder="1" applyAlignment="1">
      <alignment horizontal="center"/>
      <protection locked="0"/>
    </xf>
    <xf numFmtId="165" fontId="12" fillId="17" borderId="46" xfId="1" applyNumberFormat="1" applyFont="1" applyFill="1" applyBorder="1" applyAlignment="1">
      <alignment horizontal="center"/>
      <protection locked="0"/>
    </xf>
    <xf numFmtId="165" fontId="12" fillId="17" borderId="47" xfId="1" applyNumberFormat="1" applyFont="1" applyFill="1" applyBorder="1" applyAlignment="1">
      <alignment horizontal="center"/>
      <protection locked="0"/>
    </xf>
    <xf numFmtId="165" fontId="12" fillId="17" borderId="63" xfId="1" applyNumberFormat="1" applyFont="1" applyFill="1" applyBorder="1" applyAlignment="1">
      <alignment horizontal="center"/>
      <protection locked="0"/>
    </xf>
    <xf numFmtId="165" fontId="12" fillId="22" borderId="46" xfId="1" applyNumberFormat="1" applyFont="1" applyFill="1" applyBorder="1" applyAlignment="1">
      <alignment horizontal="center"/>
      <protection locked="0"/>
    </xf>
    <xf numFmtId="165" fontId="12" fillId="22" borderId="47" xfId="1" applyNumberFormat="1" applyFont="1" applyFill="1" applyBorder="1" applyAlignment="1">
      <alignment horizontal="center"/>
      <protection locked="0"/>
    </xf>
    <xf numFmtId="165" fontId="12" fillId="22" borderId="96" xfId="1" applyNumberFormat="1" applyFont="1" applyFill="1" applyBorder="1" applyAlignment="1">
      <alignment horizontal="center"/>
      <protection locked="0"/>
    </xf>
    <xf numFmtId="165" fontId="12" fillId="24" borderId="62" xfId="1" applyNumberFormat="1" applyFont="1" applyFill="1" applyBorder="1" applyAlignment="1">
      <alignment horizontal="center"/>
      <protection locked="0"/>
    </xf>
    <xf numFmtId="165" fontId="12" fillId="24" borderId="47" xfId="1" applyNumberFormat="1" applyFont="1" applyFill="1" applyBorder="1" applyAlignment="1">
      <alignment horizontal="center"/>
      <protection locked="0"/>
    </xf>
    <xf numFmtId="165" fontId="12" fillId="24" borderId="63" xfId="1" applyNumberFormat="1" applyFont="1" applyFill="1" applyBorder="1" applyAlignment="1">
      <alignment horizontal="center"/>
      <protection locked="0"/>
    </xf>
    <xf numFmtId="164" fontId="12" fillId="27" borderId="46" xfId="1" applyNumberFormat="1" applyFont="1" applyFill="1" applyBorder="1" applyAlignment="1">
      <alignment horizontal="center"/>
      <protection locked="0"/>
    </xf>
    <xf numFmtId="164" fontId="12" fillId="27" borderId="47" xfId="1" applyNumberFormat="1" applyFont="1" applyFill="1" applyBorder="1" applyAlignment="1">
      <alignment horizontal="center"/>
      <protection locked="0"/>
    </xf>
    <xf numFmtId="164" fontId="12" fillId="27" borderId="96" xfId="1" applyNumberFormat="1" applyFont="1" applyFill="1" applyBorder="1" applyAlignment="1">
      <alignment horizontal="center"/>
      <protection locked="0"/>
    </xf>
    <xf numFmtId="164" fontId="12" fillId="5" borderId="62" xfId="1" applyNumberFormat="1" applyFont="1" applyFill="1" applyBorder="1" applyAlignment="1">
      <alignment horizontal="center"/>
      <protection locked="0"/>
    </xf>
    <xf numFmtId="164" fontId="12" fillId="5" borderId="47" xfId="1" applyNumberFormat="1" applyFont="1" applyFill="1" applyBorder="1" applyAlignment="1">
      <alignment horizontal="center"/>
      <protection locked="0"/>
    </xf>
    <xf numFmtId="164" fontId="12" fillId="5" borderId="96" xfId="1" applyNumberFormat="1" applyFont="1" applyFill="1" applyBorder="1" applyAlignment="1">
      <alignment horizontal="center"/>
      <protection locked="0"/>
    </xf>
    <xf numFmtId="164" fontId="12" fillId="6" borderId="195" xfId="1" applyNumberFormat="1" applyFont="1" applyFill="1" applyBorder="1" applyAlignment="1">
      <alignment horizontal="center"/>
      <protection locked="0"/>
    </xf>
    <xf numFmtId="164" fontId="12" fillId="6" borderId="89" xfId="1" applyNumberFormat="1" applyFont="1" applyFill="1" applyBorder="1" applyAlignment="1">
      <alignment horizontal="center"/>
      <protection locked="0"/>
    </xf>
    <xf numFmtId="165" fontId="12" fillId="17" borderId="216" xfId="1" applyNumberFormat="1" applyFont="1" applyFill="1" applyBorder="1" applyAlignment="1">
      <alignment horizontal="center"/>
      <protection locked="0"/>
    </xf>
    <xf numFmtId="165" fontId="12" fillId="17" borderId="37" xfId="1" applyNumberFormat="1" applyFont="1" applyFill="1" applyBorder="1" applyAlignment="1">
      <alignment horizontal="center"/>
      <protection locked="0"/>
    </xf>
    <xf numFmtId="165" fontId="12" fillId="17" borderId="38" xfId="1" applyNumberFormat="1" applyFont="1" applyFill="1" applyBorder="1" applyAlignment="1">
      <alignment horizontal="center"/>
      <protection locked="0"/>
    </xf>
    <xf numFmtId="165" fontId="12" fillId="22" borderId="33" xfId="1" applyNumberFormat="1" applyFont="1" applyFill="1" applyBorder="1" applyAlignment="1">
      <alignment horizontal="center"/>
      <protection locked="0"/>
    </xf>
    <xf numFmtId="165" fontId="12" fillId="22" borderId="37" xfId="1" applyNumberFormat="1" applyFont="1" applyFill="1" applyBorder="1" applyAlignment="1">
      <alignment horizontal="center"/>
      <protection locked="0"/>
    </xf>
    <xf numFmtId="165" fontId="12" fillId="22" borderId="38" xfId="1" applyNumberFormat="1" applyFont="1" applyFill="1" applyBorder="1" applyAlignment="1">
      <alignment horizontal="center"/>
      <protection locked="0"/>
    </xf>
    <xf numFmtId="165" fontId="12" fillId="24" borderId="33" xfId="1" applyNumberFormat="1" applyFont="1" applyFill="1" applyBorder="1" applyAlignment="1">
      <alignment horizontal="center"/>
      <protection locked="0"/>
    </xf>
    <xf numFmtId="165" fontId="12" fillId="24" borderId="37" xfId="1" applyNumberFormat="1" applyFont="1" applyFill="1" applyBorder="1" applyAlignment="1">
      <alignment horizontal="center"/>
      <protection locked="0"/>
    </xf>
    <xf numFmtId="165" fontId="12" fillId="24" borderId="38" xfId="1" applyNumberFormat="1" applyFont="1" applyFill="1" applyBorder="1" applyAlignment="1">
      <alignment horizontal="center"/>
      <protection locked="0"/>
    </xf>
    <xf numFmtId="164" fontId="12" fillId="27" borderId="33" xfId="1" applyNumberFormat="1" applyFont="1" applyFill="1" applyBorder="1" applyAlignment="1">
      <alignment horizontal="center"/>
      <protection locked="0"/>
    </xf>
    <xf numFmtId="164" fontId="12" fillId="27" borderId="37" xfId="1" applyNumberFormat="1" applyFont="1" applyFill="1" applyBorder="1" applyAlignment="1">
      <alignment horizontal="center"/>
      <protection locked="0"/>
    </xf>
    <xf numFmtId="164" fontId="12" fillId="27" borderId="38" xfId="1" applyNumberFormat="1" applyFont="1" applyFill="1" applyBorder="1" applyAlignment="1">
      <alignment horizontal="center"/>
      <protection locked="0"/>
    </xf>
    <xf numFmtId="164" fontId="12" fillId="5" borderId="33" xfId="1" applyNumberFormat="1" applyFont="1" applyFill="1" applyBorder="1" applyAlignment="1">
      <alignment horizontal="center"/>
      <protection locked="0"/>
    </xf>
    <xf numFmtId="164" fontId="12" fillId="5" borderId="37" xfId="1" applyNumberFormat="1" applyFont="1" applyFill="1" applyBorder="1" applyAlignment="1">
      <alignment horizontal="center"/>
      <protection locked="0"/>
    </xf>
    <xf numFmtId="164" fontId="12" fillId="5" borderId="196" xfId="1" applyNumberFormat="1" applyFont="1" applyFill="1" applyBorder="1" applyAlignment="1">
      <alignment horizontal="center"/>
      <protection locked="0"/>
    </xf>
    <xf numFmtId="164" fontId="12" fillId="6" borderId="216" xfId="1" applyNumberFormat="1" applyFont="1" applyFill="1" applyBorder="1" applyAlignment="1">
      <alignment horizontal="center"/>
      <protection locked="0"/>
    </xf>
    <xf numFmtId="164" fontId="12" fillId="6" borderId="196" xfId="1" applyNumberFormat="1" applyFont="1" applyFill="1" applyBorder="1" applyAlignment="1">
      <alignment horizontal="center"/>
      <protection locked="0"/>
    </xf>
    <xf numFmtId="165" fontId="12" fillId="17" borderId="221" xfId="1" applyNumberFormat="1" applyFont="1" applyFill="1" applyBorder="1" applyAlignment="1">
      <alignment horizontal="center"/>
      <protection locked="0"/>
    </xf>
    <xf numFmtId="165" fontId="12" fillId="17" borderId="41" xfId="1" applyNumberFormat="1" applyFont="1" applyFill="1" applyBorder="1" applyAlignment="1">
      <alignment horizontal="center"/>
      <protection locked="0"/>
    </xf>
    <xf numFmtId="165" fontId="12" fillId="17" borderId="42" xfId="1" applyNumberFormat="1" applyFont="1" applyFill="1" applyBorder="1" applyAlignment="1">
      <alignment horizontal="center"/>
      <protection locked="0"/>
    </xf>
    <xf numFmtId="165" fontId="12" fillId="22" borderId="32" xfId="1" applyNumberFormat="1" applyFont="1" applyFill="1" applyBorder="1" applyAlignment="1">
      <alignment horizontal="center"/>
      <protection locked="0"/>
    </xf>
    <xf numFmtId="165" fontId="12" fillId="22" borderId="41" xfId="1" applyNumberFormat="1" applyFont="1" applyFill="1" applyBorder="1" applyAlignment="1">
      <alignment horizontal="center"/>
      <protection locked="0"/>
    </xf>
    <xf numFmtId="165" fontId="12" fillId="22" borderId="42" xfId="1" applyNumberFormat="1" applyFont="1" applyFill="1" applyBorder="1" applyAlignment="1">
      <alignment horizontal="center"/>
      <protection locked="0"/>
    </xf>
    <xf numFmtId="165" fontId="12" fillId="24" borderId="32" xfId="1" applyNumberFormat="1" applyFont="1" applyFill="1" applyBorder="1" applyAlignment="1">
      <alignment horizontal="center"/>
      <protection locked="0"/>
    </xf>
    <xf numFmtId="165" fontId="12" fillId="24" borderId="41" xfId="1" applyNumberFormat="1" applyFont="1" applyFill="1" applyBorder="1" applyAlignment="1">
      <alignment horizontal="center"/>
      <protection locked="0"/>
    </xf>
    <xf numFmtId="165" fontId="12" fillId="24" borderId="42" xfId="1" applyNumberFormat="1" applyFont="1" applyFill="1" applyBorder="1" applyAlignment="1">
      <alignment horizontal="center"/>
      <protection locked="0"/>
    </xf>
    <xf numFmtId="164" fontId="12" fillId="27" borderId="32" xfId="1" applyNumberFormat="1" applyFont="1" applyFill="1" applyBorder="1" applyAlignment="1">
      <alignment horizontal="center"/>
      <protection locked="0"/>
    </xf>
    <xf numFmtId="164" fontId="12" fillId="27" borderId="41" xfId="1" applyNumberFormat="1" applyFont="1" applyFill="1" applyBorder="1" applyAlignment="1">
      <alignment horizontal="center"/>
      <protection locked="0"/>
    </xf>
    <xf numFmtId="164" fontId="12" fillId="27" borderId="42" xfId="1" applyNumberFormat="1" applyFont="1" applyFill="1" applyBorder="1" applyAlignment="1">
      <alignment horizontal="center"/>
      <protection locked="0"/>
    </xf>
    <xf numFmtId="164" fontId="12" fillId="5" borderId="32" xfId="1" applyNumberFormat="1" applyFont="1" applyFill="1" applyBorder="1" applyAlignment="1">
      <alignment horizontal="center"/>
      <protection locked="0"/>
    </xf>
    <xf numFmtId="164" fontId="12" fillId="5" borderId="41" xfId="1" applyNumberFormat="1" applyFont="1" applyFill="1" applyBorder="1" applyAlignment="1">
      <alignment horizontal="center"/>
      <protection locked="0"/>
    </xf>
    <xf numFmtId="164" fontId="12" fillId="5" borderId="108" xfId="1" applyNumberFormat="1" applyFont="1" applyFill="1" applyBorder="1" applyAlignment="1">
      <alignment horizontal="center"/>
      <protection locked="0"/>
    </xf>
    <xf numFmtId="164" fontId="12" fillId="6" borderId="221" xfId="1" applyNumberFormat="1" applyFont="1" applyFill="1" applyBorder="1" applyAlignment="1">
      <alignment horizontal="center"/>
      <protection locked="0"/>
    </xf>
    <xf numFmtId="164" fontId="12" fillId="6" borderId="108" xfId="1" applyNumberFormat="1" applyFont="1" applyFill="1" applyBorder="1" applyAlignment="1">
      <alignment horizontal="center"/>
      <protection locked="0"/>
    </xf>
    <xf numFmtId="164" fontId="12" fillId="17" borderId="45" xfId="1" applyNumberFormat="1" applyFont="1" applyFill="1" applyBorder="1" applyAlignment="1">
      <alignment horizontal="center"/>
      <protection locked="0"/>
    </xf>
    <xf numFmtId="164" fontId="12" fillId="17" borderId="15" xfId="1" applyNumberFormat="1" applyFont="1" applyFill="1" applyBorder="1" applyAlignment="1">
      <alignment horizontal="center"/>
      <protection locked="0"/>
    </xf>
    <xf numFmtId="164" fontId="12" fillId="17" borderId="60" xfId="1" applyNumberFormat="1" applyFont="1" applyFill="1" applyBorder="1" applyAlignment="1">
      <alignment horizontal="center"/>
      <protection locked="0"/>
    </xf>
    <xf numFmtId="164" fontId="12" fillId="22" borderId="45" xfId="1" applyNumberFormat="1" applyFont="1" applyFill="1" applyBorder="1" applyAlignment="1">
      <alignment horizontal="center"/>
      <protection locked="0"/>
    </xf>
    <xf numFmtId="164" fontId="12" fillId="22" borderId="15" xfId="1" applyNumberFormat="1" applyFont="1" applyFill="1" applyBorder="1" applyAlignment="1">
      <alignment horizontal="center"/>
      <protection locked="0"/>
    </xf>
    <xf numFmtId="164" fontId="12" fillId="22" borderId="16" xfId="1" applyNumberFormat="1" applyFont="1" applyFill="1" applyBorder="1" applyAlignment="1">
      <alignment horizontal="center"/>
      <protection locked="0"/>
    </xf>
    <xf numFmtId="164" fontId="12" fillId="24" borderId="18" xfId="1" applyNumberFormat="1" applyFont="1" applyFill="1" applyBorder="1" applyAlignment="1">
      <alignment horizontal="center"/>
      <protection locked="0"/>
    </xf>
    <xf numFmtId="164" fontId="12" fillId="24" borderId="15" xfId="1" applyNumberFormat="1" applyFont="1" applyFill="1" applyBorder="1" applyAlignment="1">
      <alignment horizontal="center"/>
      <protection locked="0"/>
    </xf>
    <xf numFmtId="164" fontId="12" fillId="24" borderId="60" xfId="1" applyNumberFormat="1" applyFont="1" applyFill="1" applyBorder="1" applyAlignment="1">
      <alignment horizontal="center"/>
      <protection locked="0"/>
    </xf>
    <xf numFmtId="164" fontId="12" fillId="27" borderId="45" xfId="1" applyNumberFormat="1" applyFont="1" applyFill="1" applyBorder="1" applyAlignment="1">
      <alignment horizontal="center"/>
      <protection locked="0"/>
    </xf>
    <xf numFmtId="164" fontId="12" fillId="27" borderId="15" xfId="1" applyNumberFormat="1" applyFont="1" applyFill="1" applyBorder="1" applyAlignment="1">
      <alignment horizontal="center"/>
      <protection locked="0"/>
    </xf>
    <xf numFmtId="164" fontId="12" fillId="27" borderId="16" xfId="1" applyNumberFormat="1" applyFont="1" applyFill="1" applyBorder="1" applyAlignment="1">
      <alignment horizontal="center"/>
      <protection locked="0"/>
    </xf>
    <xf numFmtId="164" fontId="12" fillId="5" borderId="18" xfId="1" applyNumberFormat="1" applyFont="1" applyFill="1" applyBorder="1" applyAlignment="1">
      <alignment horizontal="center"/>
      <protection locked="0"/>
    </xf>
    <xf numFmtId="164" fontId="12" fillId="5" borderId="15" xfId="1" applyNumberFormat="1" applyFont="1" applyFill="1" applyBorder="1" applyAlignment="1">
      <alignment horizontal="center"/>
      <protection locked="0"/>
    </xf>
    <xf numFmtId="164" fontId="12" fillId="5" borderId="16" xfId="1" applyNumberFormat="1" applyFont="1" applyFill="1" applyBorder="1" applyAlignment="1">
      <alignment horizontal="center"/>
      <protection locked="0"/>
    </xf>
    <xf numFmtId="164" fontId="12" fillId="6" borderId="77" xfId="1" applyNumberFormat="1" applyFont="1" applyFill="1" applyBorder="1" applyAlignment="1">
      <alignment horizontal="center"/>
      <protection locked="0"/>
    </xf>
    <xf numFmtId="164" fontId="12" fillId="6" borderId="83" xfId="1" applyNumberFormat="1" applyFont="1" applyFill="1" applyBorder="1" applyAlignment="1">
      <alignment horizontal="center"/>
      <protection locked="0"/>
    </xf>
    <xf numFmtId="164" fontId="12" fillId="17" borderId="95" xfId="1" applyNumberFormat="1" applyFont="1" applyFill="1" applyBorder="1" applyAlignment="1">
      <alignment horizontal="center"/>
      <protection locked="0"/>
    </xf>
    <xf numFmtId="164" fontId="12" fillId="17" borderId="78" xfId="1" applyNumberFormat="1" applyFont="1" applyFill="1" applyBorder="1" applyAlignment="1">
      <alignment horizontal="center"/>
      <protection locked="0"/>
    </xf>
    <xf numFmtId="164" fontId="12" fillId="17" borderId="158" xfId="1" applyNumberFormat="1" applyFont="1" applyFill="1" applyBorder="1" applyAlignment="1">
      <alignment horizontal="center"/>
      <protection locked="0"/>
    </xf>
    <xf numFmtId="164" fontId="12" fillId="22" borderId="95" xfId="1" applyNumberFormat="1" applyFont="1" applyFill="1" applyBorder="1" applyAlignment="1">
      <alignment horizontal="center"/>
      <protection locked="0"/>
    </xf>
    <xf numFmtId="164" fontId="12" fillId="22" borderId="78" xfId="1" applyNumberFormat="1" applyFont="1" applyFill="1" applyBorder="1" applyAlignment="1">
      <alignment horizontal="center"/>
      <protection locked="0"/>
    </xf>
    <xf numFmtId="164" fontId="12" fillId="22" borderId="97" xfId="1" applyNumberFormat="1" applyFont="1" applyFill="1" applyBorder="1" applyAlignment="1">
      <alignment horizontal="center"/>
      <protection locked="0"/>
    </xf>
    <xf numFmtId="164" fontId="12" fillId="24" borderId="157" xfId="1" applyNumberFormat="1" applyFont="1" applyFill="1" applyBorder="1" applyAlignment="1">
      <alignment horizontal="center"/>
      <protection locked="0"/>
    </xf>
    <xf numFmtId="164" fontId="12" fillId="24" borderId="78" xfId="1" applyNumberFormat="1" applyFont="1" applyFill="1" applyBorder="1" applyAlignment="1">
      <alignment horizontal="center"/>
      <protection locked="0"/>
    </xf>
    <xf numFmtId="164" fontId="12" fillId="24" borderId="158" xfId="1" applyNumberFormat="1" applyFont="1" applyFill="1" applyBorder="1" applyAlignment="1">
      <alignment horizontal="center"/>
      <protection locked="0"/>
    </xf>
    <xf numFmtId="164" fontId="12" fillId="27" borderId="95" xfId="1" applyNumberFormat="1" applyFont="1" applyFill="1" applyBorder="1" applyAlignment="1">
      <alignment horizontal="center"/>
      <protection locked="0"/>
    </xf>
    <xf numFmtId="164" fontId="12" fillId="27" borderId="78" xfId="1" applyNumberFormat="1" applyFont="1" applyFill="1" applyBorder="1" applyAlignment="1">
      <alignment horizontal="center"/>
      <protection locked="0"/>
    </xf>
    <xf numFmtId="164" fontId="12" fillId="27" borderId="97" xfId="1" applyNumberFormat="1" applyFont="1" applyFill="1" applyBorder="1" applyAlignment="1">
      <alignment horizontal="center"/>
      <protection locked="0"/>
    </xf>
    <xf numFmtId="164" fontId="12" fillId="5" borderId="157" xfId="1" applyNumberFormat="1" applyFont="1" applyFill="1" applyBorder="1" applyAlignment="1">
      <alignment horizontal="center"/>
      <protection locked="0"/>
    </xf>
    <xf numFmtId="164" fontId="12" fillId="5" borderId="78" xfId="1" applyNumberFormat="1" applyFont="1" applyFill="1" applyBorder="1" applyAlignment="1">
      <alignment horizontal="center"/>
      <protection locked="0"/>
    </xf>
    <xf numFmtId="164" fontId="12" fillId="5" borderId="97" xfId="1" applyNumberFormat="1" applyFont="1" applyFill="1" applyBorder="1" applyAlignment="1">
      <alignment horizontal="center"/>
      <protection locked="0"/>
    </xf>
    <xf numFmtId="164" fontId="12" fillId="6" borderId="80" xfId="1" applyNumberFormat="1" applyFont="1" applyFill="1" applyBorder="1" applyAlignment="1">
      <alignment horizontal="center"/>
      <protection locked="0"/>
    </xf>
    <xf numFmtId="164" fontId="12" fillId="6" borderId="79" xfId="1" applyNumberFormat="1" applyFont="1" applyFill="1" applyBorder="1" applyAlignment="1">
      <alignment horizontal="center"/>
      <protection locked="0"/>
    </xf>
    <xf numFmtId="164" fontId="12" fillId="17" borderId="159" xfId="1" applyNumberFormat="1" applyFont="1" applyFill="1" applyBorder="1" applyAlignment="1">
      <alignment horizontal="center"/>
      <protection locked="0"/>
    </xf>
    <xf numFmtId="164" fontId="12" fillId="17" borderId="187" xfId="1" applyNumberFormat="1" applyFont="1" applyFill="1" applyBorder="1" applyAlignment="1">
      <alignment horizontal="center"/>
      <protection locked="0"/>
    </xf>
    <xf numFmtId="164" fontId="12" fillId="17" borderId="145" xfId="1" applyNumberFormat="1" applyFont="1" applyFill="1" applyBorder="1" applyAlignment="1">
      <alignment horizontal="center"/>
      <protection locked="0"/>
    </xf>
    <xf numFmtId="164" fontId="12" fillId="22" borderId="159" xfId="1" applyNumberFormat="1" applyFont="1" applyFill="1" applyBorder="1" applyAlignment="1">
      <alignment horizontal="center"/>
      <protection locked="0"/>
    </xf>
    <xf numFmtId="164" fontId="12" fillId="22" borderId="187" xfId="1" applyNumberFormat="1" applyFont="1" applyFill="1" applyBorder="1" applyAlignment="1">
      <alignment horizontal="center"/>
      <protection locked="0"/>
    </xf>
    <xf numFmtId="164" fontId="12" fillId="22" borderId="17" xfId="1" applyNumberFormat="1" applyFont="1" applyFill="1" applyBorder="1" applyAlignment="1">
      <alignment horizontal="center"/>
      <protection locked="0"/>
    </xf>
    <xf numFmtId="164" fontId="12" fillId="24" borderId="153" xfId="1" applyNumberFormat="1" applyFont="1" applyFill="1" applyBorder="1" applyAlignment="1">
      <alignment horizontal="center"/>
      <protection locked="0"/>
    </xf>
    <xf numFmtId="164" fontId="12" fillId="24" borderId="187" xfId="1" applyNumberFormat="1" applyFont="1" applyFill="1" applyBorder="1" applyAlignment="1">
      <alignment horizontal="center"/>
      <protection locked="0"/>
    </xf>
    <xf numFmtId="164" fontId="12" fillId="24" borderId="145" xfId="1" applyNumberFormat="1" applyFont="1" applyFill="1" applyBorder="1" applyAlignment="1">
      <alignment horizontal="center"/>
      <protection locked="0"/>
    </xf>
    <xf numFmtId="164" fontId="12" fillId="27" borderId="159" xfId="1" applyNumberFormat="1" applyFont="1" applyFill="1" applyBorder="1" applyAlignment="1">
      <alignment horizontal="center"/>
      <protection locked="0"/>
    </xf>
    <xf numFmtId="164" fontId="12" fillId="27" borderId="187" xfId="1" applyNumberFormat="1" applyFont="1" applyFill="1" applyBorder="1" applyAlignment="1">
      <alignment horizontal="center"/>
      <protection locked="0"/>
    </xf>
    <xf numFmtId="164" fontId="12" fillId="27" borderId="17" xfId="1" applyNumberFormat="1" applyFont="1" applyFill="1" applyBorder="1" applyAlignment="1">
      <alignment horizontal="center"/>
      <protection locked="0"/>
    </xf>
    <xf numFmtId="164" fontId="12" fillId="5" borderId="153" xfId="1" applyNumberFormat="1" applyFont="1" applyFill="1" applyBorder="1" applyAlignment="1">
      <alignment horizontal="center"/>
      <protection locked="0"/>
    </xf>
    <xf numFmtId="164" fontId="12" fillId="5" borderId="187" xfId="1" applyNumberFormat="1" applyFont="1" applyFill="1" applyBorder="1" applyAlignment="1">
      <alignment horizontal="center"/>
      <protection locked="0"/>
    </xf>
    <xf numFmtId="164" fontId="12" fillId="5" borderId="17" xfId="1" applyNumberFormat="1" applyFont="1" applyFill="1" applyBorder="1" applyAlignment="1">
      <alignment horizontal="center"/>
      <protection locked="0"/>
    </xf>
    <xf numFmtId="164" fontId="14" fillId="6" borderId="202" xfId="1" applyNumberFormat="1" applyFont="1" applyFill="1" applyBorder="1">
      <protection locked="0"/>
    </xf>
    <xf numFmtId="164" fontId="14" fillId="6" borderId="138" xfId="1" applyNumberFormat="1" applyFont="1" applyFill="1" applyBorder="1">
      <protection locked="0"/>
    </xf>
    <xf numFmtId="164" fontId="14" fillId="17" borderId="45" xfId="1" applyNumberFormat="1" applyFont="1" applyFill="1" applyBorder="1" applyAlignment="1">
      <alignment horizontal="center"/>
      <protection locked="0"/>
    </xf>
    <xf numFmtId="164" fontId="14" fillId="17" borderId="15" xfId="1" applyNumberFormat="1" applyFont="1" applyFill="1" applyBorder="1" applyAlignment="1">
      <alignment horizontal="center"/>
      <protection locked="0"/>
    </xf>
    <xf numFmtId="164" fontId="14" fillId="17" borderId="60" xfId="1" applyNumberFormat="1" applyFont="1" applyFill="1" applyBorder="1" applyAlignment="1">
      <alignment horizontal="center"/>
      <protection locked="0"/>
    </xf>
    <xf numFmtId="164" fontId="14" fillId="22" borderId="45" xfId="1" applyNumberFormat="1" applyFont="1" applyFill="1" applyBorder="1" applyAlignment="1">
      <alignment horizontal="center"/>
      <protection locked="0"/>
    </xf>
    <xf numFmtId="164" fontId="14" fillId="22" borderId="15" xfId="1" applyNumberFormat="1" applyFont="1" applyFill="1" applyBorder="1" applyAlignment="1">
      <alignment horizontal="center"/>
      <protection locked="0"/>
    </xf>
    <xf numFmtId="164" fontId="14" fillId="22" borderId="16" xfId="1" applyNumberFormat="1" applyFont="1" applyFill="1" applyBorder="1" applyAlignment="1">
      <alignment horizontal="center"/>
      <protection locked="0"/>
    </xf>
    <xf numFmtId="164" fontId="14" fillId="24" borderId="18" xfId="1" applyNumberFormat="1" applyFont="1" applyFill="1" applyBorder="1" applyAlignment="1">
      <alignment horizontal="center"/>
      <protection locked="0"/>
    </xf>
    <xf numFmtId="164" fontId="14" fillId="24" borderId="15" xfId="1" applyNumberFormat="1" applyFont="1" applyFill="1" applyBorder="1" applyAlignment="1">
      <alignment horizontal="center"/>
      <protection locked="0"/>
    </xf>
    <xf numFmtId="164" fontId="14" fillId="24" borderId="60" xfId="1" applyNumberFormat="1" applyFont="1" applyFill="1" applyBorder="1" applyAlignment="1">
      <alignment horizontal="center"/>
      <protection locked="0"/>
    </xf>
    <xf numFmtId="164" fontId="14" fillId="6" borderId="202" xfId="1" applyNumberFormat="1" applyFont="1" applyFill="1" applyBorder="1" applyAlignment="1">
      <alignment horizontal="center"/>
      <protection locked="0"/>
    </xf>
    <xf numFmtId="164" fontId="14" fillId="6" borderId="138" xfId="1" applyNumberFormat="1" applyFont="1" applyFill="1" applyBorder="1" applyAlignment="1">
      <alignment horizontal="center"/>
      <protection locked="0"/>
    </xf>
    <xf numFmtId="164" fontId="14" fillId="6" borderId="211" xfId="1" applyNumberFormat="1" applyFont="1" applyFill="1" applyBorder="1" applyAlignment="1">
      <alignment horizontal="center"/>
      <protection locked="0"/>
    </xf>
    <xf numFmtId="164" fontId="14" fillId="6" borderId="128" xfId="1" applyNumberFormat="1" applyFont="1" applyFill="1" applyBorder="1" applyAlignment="1">
      <alignment horizontal="center"/>
      <protection locked="0"/>
    </xf>
    <xf numFmtId="0" fontId="16" fillId="6" borderId="77" xfId="0" applyFont="1" applyFill="1" applyBorder="1" applyAlignment="1">
      <alignment horizontal="center" wrapText="1"/>
    </xf>
    <xf numFmtId="0" fontId="16" fillId="6" borderId="83" xfId="0" applyFont="1" applyFill="1" applyBorder="1" applyAlignment="1">
      <alignment horizontal="center" wrapText="1"/>
    </xf>
    <xf numFmtId="164" fontId="16" fillId="20" borderId="45" xfId="1" applyNumberFormat="1" applyFont="1" applyFill="1" applyBorder="1" applyAlignment="1">
      <alignment horizontal="center"/>
      <protection locked="0"/>
    </xf>
    <xf numFmtId="164" fontId="16" fillId="20" borderId="15" xfId="1" applyNumberFormat="1" applyFont="1" applyFill="1" applyBorder="1" applyAlignment="1">
      <alignment horizontal="center"/>
      <protection locked="0"/>
    </xf>
    <xf numFmtId="164" fontId="16" fillId="20" borderId="60" xfId="1" applyNumberFormat="1" applyFont="1" applyFill="1" applyBorder="1" applyAlignment="1">
      <alignment horizontal="center"/>
      <protection locked="0"/>
    </xf>
    <xf numFmtId="1" fontId="16" fillId="20" borderId="45" xfId="1" applyNumberFormat="1" applyFont="1" applyFill="1" applyBorder="1" applyAlignment="1">
      <alignment horizontal="right"/>
      <protection locked="0"/>
    </xf>
    <xf numFmtId="1" fontId="16" fillId="20" borderId="15" xfId="1" applyNumberFormat="1" applyFont="1" applyFill="1" applyBorder="1" applyAlignment="1">
      <alignment horizontal="right"/>
      <protection locked="0"/>
    </xf>
    <xf numFmtId="1" fontId="16" fillId="20" borderId="16" xfId="1" applyNumberFormat="1" applyFont="1" applyFill="1" applyBorder="1" applyAlignment="1">
      <alignment horizontal="right"/>
      <protection locked="0"/>
    </xf>
    <xf numFmtId="164" fontId="14" fillId="20" borderId="18" xfId="1" applyNumberFormat="1" applyFont="1" applyFill="1" applyBorder="1">
      <protection locked="0"/>
    </xf>
    <xf numFmtId="164" fontId="14" fillId="20" borderId="15" xfId="1" applyNumberFormat="1" applyFont="1" applyFill="1" applyBorder="1">
      <protection locked="0"/>
    </xf>
    <xf numFmtId="164" fontId="14" fillId="20" borderId="60" xfId="1" applyNumberFormat="1" applyFont="1" applyFill="1" applyBorder="1">
      <protection locked="0"/>
    </xf>
    <xf numFmtId="164" fontId="16" fillId="20" borderId="16" xfId="1" applyNumberFormat="1" applyFont="1" applyFill="1" applyBorder="1" applyAlignment="1">
      <alignment horizontal="center"/>
      <protection locked="0"/>
    </xf>
    <xf numFmtId="164" fontId="16" fillId="20" borderId="18" xfId="1" applyNumberFormat="1" applyFont="1" applyFill="1" applyBorder="1" applyAlignment="1">
      <alignment horizontal="center"/>
      <protection locked="0"/>
    </xf>
    <xf numFmtId="164" fontId="14" fillId="20" borderId="77" xfId="1" applyNumberFormat="1" applyFont="1" applyFill="1" applyBorder="1">
      <protection locked="0"/>
    </xf>
    <xf numFmtId="164" fontId="14" fillId="20" borderId="83" xfId="1" applyNumberFormat="1" applyFont="1" applyFill="1" applyBorder="1">
      <protection locked="0"/>
    </xf>
    <xf numFmtId="164" fontId="90" fillId="17" borderId="95" xfId="1" applyNumberFormat="1" applyFont="1" applyFill="1" applyBorder="1" applyAlignment="1">
      <alignment horizontal="center"/>
      <protection locked="0"/>
    </xf>
    <xf numFmtId="164" fontId="90" fillId="17" borderId="78" xfId="1" applyNumberFormat="1" applyFont="1" applyFill="1" applyBorder="1" applyAlignment="1">
      <alignment horizontal="center"/>
      <protection locked="0"/>
    </xf>
    <xf numFmtId="164" fontId="90" fillId="17" borderId="158" xfId="1" applyNumberFormat="1" applyFont="1" applyFill="1" applyBorder="1" applyAlignment="1">
      <alignment horizontal="center"/>
      <protection locked="0"/>
    </xf>
    <xf numFmtId="164" fontId="90" fillId="22" borderId="95" xfId="1" applyNumberFormat="1" applyFont="1" applyFill="1" applyBorder="1" applyAlignment="1">
      <alignment horizontal="center"/>
      <protection locked="0"/>
    </xf>
    <xf numFmtId="164" fontId="90" fillId="22" borderId="78" xfId="1" applyNumberFormat="1" applyFont="1" applyFill="1" applyBorder="1" applyAlignment="1">
      <alignment horizontal="center"/>
      <protection locked="0"/>
    </xf>
    <xf numFmtId="164" fontId="90" fillId="22" borderId="97" xfId="1" applyNumberFormat="1" applyFont="1" applyFill="1" applyBorder="1" applyAlignment="1">
      <alignment horizontal="center"/>
      <protection locked="0"/>
    </xf>
    <xf numFmtId="164" fontId="90" fillId="24" borderId="157" xfId="1" applyNumberFormat="1" applyFont="1" applyFill="1" applyBorder="1" applyAlignment="1">
      <alignment horizontal="center"/>
      <protection locked="0"/>
    </xf>
    <xf numFmtId="164" fontId="90" fillId="24" borderId="78" xfId="1" applyNumberFormat="1" applyFont="1" applyFill="1" applyBorder="1" applyAlignment="1">
      <alignment horizontal="center"/>
      <protection locked="0"/>
    </xf>
    <xf numFmtId="164" fontId="90" fillId="24" borderId="158" xfId="1" applyNumberFormat="1" applyFont="1" applyFill="1" applyBorder="1" applyAlignment="1">
      <alignment horizontal="center"/>
      <protection locked="0"/>
    </xf>
    <xf numFmtId="165" fontId="90" fillId="27" borderId="95" xfId="1" applyNumberFormat="1" applyFont="1" applyFill="1" applyBorder="1" applyAlignment="1">
      <alignment horizontal="center"/>
      <protection locked="0"/>
    </xf>
    <xf numFmtId="165" fontId="90" fillId="27" borderId="78" xfId="1" applyNumberFormat="1" applyFont="1" applyFill="1" applyBorder="1" applyAlignment="1">
      <alignment horizontal="center"/>
      <protection locked="0"/>
    </xf>
    <xf numFmtId="165" fontId="90" fillId="27" borderId="97" xfId="1" applyNumberFormat="1" applyFont="1" applyFill="1" applyBorder="1" applyAlignment="1">
      <alignment horizontal="center"/>
      <protection locked="0"/>
    </xf>
    <xf numFmtId="165" fontId="90" fillId="5" borderId="157" xfId="1" applyNumberFormat="1" applyFont="1" applyFill="1" applyBorder="1" applyAlignment="1">
      <alignment horizontal="center"/>
      <protection locked="0"/>
    </xf>
    <xf numFmtId="165" fontId="90" fillId="5" borderId="78" xfId="1" applyNumberFormat="1" applyFont="1" applyFill="1" applyBorder="1" applyAlignment="1">
      <alignment horizontal="center"/>
      <protection locked="0"/>
    </xf>
    <xf numFmtId="165" fontId="90" fillId="5" borderId="97" xfId="1" applyNumberFormat="1" applyFont="1" applyFill="1" applyBorder="1" applyAlignment="1">
      <alignment horizontal="center"/>
      <protection locked="0"/>
    </xf>
    <xf numFmtId="0" fontId="13" fillId="6" borderId="80" xfId="0" applyFont="1" applyFill="1" applyBorder="1" applyAlignment="1">
      <alignment horizontal="center" wrapText="1"/>
    </xf>
    <xf numFmtId="0" fontId="13" fillId="6" borderId="79" xfId="0" applyFont="1" applyFill="1" applyBorder="1" applyAlignment="1">
      <alignment horizontal="center" wrapText="1"/>
    </xf>
    <xf numFmtId="0" fontId="15" fillId="3" borderId="209" xfId="7" applyFont="1" applyFill="1" applyBorder="1" applyAlignment="1">
      <alignment horizontal="left" vertical="center"/>
    </xf>
    <xf numFmtId="0" fontId="15" fillId="3" borderId="140" xfId="7" applyFont="1" applyFill="1" applyBorder="1" applyAlignment="1">
      <alignment horizontal="left" vertical="center"/>
    </xf>
    <xf numFmtId="165" fontId="14" fillId="0" borderId="140" xfId="1" applyNumberFormat="1" applyFont="1" applyBorder="1" applyAlignment="1">
      <alignment vertical="center"/>
      <protection locked="0"/>
    </xf>
    <xf numFmtId="173" fontId="14" fillId="0" borderId="140" xfId="1" applyNumberFormat="1" applyFont="1" applyBorder="1" applyAlignment="1">
      <alignment horizontal="center" vertical="center"/>
      <protection locked="0"/>
    </xf>
    <xf numFmtId="173" fontId="14" fillId="0" borderId="210" xfId="1" applyNumberFormat="1" applyFont="1" applyBorder="1" applyAlignment="1">
      <alignment horizontal="center" vertical="center"/>
      <protection locked="0"/>
    </xf>
    <xf numFmtId="0" fontId="13" fillId="17" borderId="152" xfId="0" applyFont="1" applyFill="1" applyBorder="1" applyAlignment="1">
      <alignment horizontal="center" vertical="center"/>
    </xf>
    <xf numFmtId="0" fontId="13" fillId="17" borderId="90" xfId="0" applyFont="1" applyFill="1" applyBorder="1" applyAlignment="1">
      <alignment horizontal="center" vertical="center"/>
    </xf>
    <xf numFmtId="0" fontId="13" fillId="17" borderId="119" xfId="0" applyFont="1" applyFill="1" applyBorder="1" applyAlignment="1">
      <alignment horizontal="center" vertical="center"/>
    </xf>
    <xf numFmtId="0" fontId="13" fillId="22" borderId="152" xfId="0" applyFont="1" applyFill="1" applyBorder="1" applyAlignment="1">
      <alignment horizontal="center" vertical="center"/>
    </xf>
    <xf numFmtId="0" fontId="13" fillId="22" borderId="90" xfId="0" applyFont="1" applyFill="1" applyBorder="1" applyAlignment="1">
      <alignment horizontal="center" vertical="center"/>
    </xf>
    <xf numFmtId="0" fontId="13" fillId="22" borderId="105" xfId="0" applyFont="1" applyFill="1" applyBorder="1" applyAlignment="1">
      <alignment horizontal="center" vertical="center"/>
    </xf>
    <xf numFmtId="0" fontId="13" fillId="24" borderId="118" xfId="0" applyFont="1" applyFill="1" applyBorder="1" applyAlignment="1">
      <alignment horizontal="center" vertical="center"/>
    </xf>
    <xf numFmtId="0" fontId="13" fillId="24" borderId="90" xfId="0" applyFont="1" applyFill="1" applyBorder="1" applyAlignment="1">
      <alignment horizontal="center" vertical="center"/>
    </xf>
    <xf numFmtId="0" fontId="13" fillId="24" borderId="119" xfId="0" applyFont="1" applyFill="1" applyBorder="1" applyAlignment="1">
      <alignment horizontal="center" vertical="center"/>
    </xf>
    <xf numFmtId="0" fontId="13" fillId="27" borderId="152" xfId="0" applyFont="1" applyFill="1" applyBorder="1" applyAlignment="1">
      <alignment horizontal="center" vertical="center"/>
    </xf>
    <xf numFmtId="0" fontId="13" fillId="27" borderId="90" xfId="0" applyFont="1" applyFill="1" applyBorder="1" applyAlignment="1">
      <alignment horizontal="center" vertical="center"/>
    </xf>
    <xf numFmtId="0" fontId="13" fillId="27" borderId="105" xfId="0" applyFont="1" applyFill="1" applyBorder="1" applyAlignment="1">
      <alignment horizontal="center" vertical="center"/>
    </xf>
    <xf numFmtId="0" fontId="13" fillId="5" borderId="118" xfId="0" applyFont="1" applyFill="1" applyBorder="1" applyAlignment="1">
      <alignment horizontal="center" vertical="center"/>
    </xf>
    <xf numFmtId="0" fontId="13" fillId="5" borderId="90" xfId="0" applyFont="1" applyFill="1" applyBorder="1" applyAlignment="1">
      <alignment horizontal="center" vertical="center"/>
    </xf>
    <xf numFmtId="0" fontId="13" fillId="5" borderId="105" xfId="0" applyFont="1" applyFill="1" applyBorder="1" applyAlignment="1">
      <alignment horizontal="center" vertical="center"/>
    </xf>
    <xf numFmtId="0" fontId="13" fillId="6" borderId="71" xfId="0" applyFont="1" applyFill="1" applyBorder="1" applyAlignment="1">
      <alignment horizontal="center" vertical="center"/>
    </xf>
    <xf numFmtId="0" fontId="13" fillId="6" borderId="70" xfId="0" applyFont="1" applyFill="1" applyBorder="1" applyAlignment="1">
      <alignment horizontal="center" vertical="center"/>
    </xf>
    <xf numFmtId="0" fontId="39" fillId="3" borderId="77" xfId="7" applyFont="1" applyFill="1" applyBorder="1" applyAlignment="1">
      <alignment horizontal="left" vertical="center"/>
    </xf>
    <xf numFmtId="0" fontId="39" fillId="3" borderId="15" xfId="7" applyFont="1" applyFill="1" applyBorder="1" applyAlignment="1">
      <alignment horizontal="left" vertical="center"/>
    </xf>
    <xf numFmtId="9" fontId="14" fillId="0" borderId="15" xfId="2" applyFont="1" applyBorder="1" applyAlignment="1" applyProtection="1">
      <alignment horizontal="center" vertical="center"/>
      <protection locked="0"/>
    </xf>
    <xf numFmtId="5" fontId="14" fillId="0" borderId="15" xfId="1" applyNumberFormat="1" applyFont="1" applyBorder="1" applyAlignment="1">
      <alignment horizontal="center" vertical="center"/>
      <protection locked="0"/>
    </xf>
    <xf numFmtId="7" fontId="14" fillId="0" borderId="15" xfId="1" applyNumberFormat="1" applyFont="1" applyBorder="1" applyAlignment="1">
      <alignment horizontal="center" vertical="center"/>
      <protection locked="0"/>
    </xf>
    <xf numFmtId="7" fontId="14" fillId="0" borderId="83" xfId="1" applyNumberFormat="1" applyFont="1" applyBorder="1" applyAlignment="1">
      <alignment horizontal="center" vertical="center"/>
      <protection locked="0"/>
    </xf>
    <xf numFmtId="0" fontId="39" fillId="3" borderId="76" xfId="7" applyFont="1" applyFill="1" applyBorder="1" applyAlignment="1">
      <alignment horizontal="left" vertical="center"/>
    </xf>
    <xf numFmtId="0" fontId="39" fillId="3" borderId="187" xfId="7" applyFont="1" applyFill="1" applyBorder="1" applyAlignment="1">
      <alignment horizontal="left" vertical="center"/>
    </xf>
    <xf numFmtId="9" fontId="14" fillId="0" borderId="187" xfId="2" applyFont="1" applyBorder="1" applyAlignment="1" applyProtection="1">
      <alignment horizontal="center" vertical="center"/>
      <protection locked="0"/>
    </xf>
    <xf numFmtId="5" fontId="14" fillId="0" borderId="187" xfId="1" applyNumberFormat="1" applyFont="1" applyBorder="1" applyAlignment="1">
      <alignment horizontal="center" vertical="center"/>
      <protection locked="0"/>
    </xf>
    <xf numFmtId="7" fontId="14" fillId="0" borderId="187" xfId="1" applyNumberFormat="1" applyFont="1" applyBorder="1" applyAlignment="1">
      <alignment horizontal="center" vertical="center"/>
      <protection locked="0"/>
    </xf>
    <xf numFmtId="7" fontId="14" fillId="0" borderId="197" xfId="1" applyNumberFormat="1" applyFont="1" applyBorder="1" applyAlignment="1">
      <alignment horizontal="center" vertical="center"/>
      <protection locked="0"/>
    </xf>
    <xf numFmtId="17" fontId="11" fillId="0" borderId="98" xfId="0" applyNumberFormat="1" applyFont="1" applyFill="1" applyBorder="1" applyAlignment="1">
      <alignment horizontal="center" vertical="center"/>
    </xf>
    <xf numFmtId="0" fontId="13" fillId="3" borderId="206" xfId="7" applyFont="1" applyFill="1" applyBorder="1" applyAlignment="1">
      <alignment horizontal="left" vertical="center"/>
    </xf>
    <xf numFmtId="0" fontId="13" fillId="3" borderId="207" xfId="7" applyFont="1" applyFill="1" applyBorder="1" applyAlignment="1">
      <alignment horizontal="left" vertical="center"/>
    </xf>
    <xf numFmtId="164" fontId="12" fillId="0" borderId="207" xfId="1" applyNumberFormat="1" applyFont="1" applyBorder="1" applyAlignment="1">
      <alignment horizontal="center" vertical="center"/>
      <protection locked="0"/>
    </xf>
    <xf numFmtId="164" fontId="12" fillId="0" borderId="208" xfId="1" applyNumberFormat="1" applyFont="1" applyBorder="1" applyAlignment="1">
      <alignment horizontal="center" vertical="center"/>
      <protection locked="0"/>
    </xf>
    <xf numFmtId="0" fontId="39" fillId="3" borderId="195" xfId="7" applyFont="1" applyFill="1" applyBorder="1" applyAlignment="1">
      <alignment horizontal="left" vertical="center"/>
    </xf>
    <xf numFmtId="0" fontId="39" fillId="3" borderId="47" xfId="7" applyFont="1" applyFill="1" applyBorder="1" applyAlignment="1">
      <alignment horizontal="left" vertical="center"/>
    </xf>
    <xf numFmtId="9" fontId="14" fillId="0" borderId="47" xfId="2" applyFont="1" applyBorder="1" applyAlignment="1" applyProtection="1">
      <alignment horizontal="center" vertical="center"/>
      <protection locked="0"/>
    </xf>
    <xf numFmtId="5" fontId="14" fillId="0" borderId="47" xfId="1" applyNumberFormat="1" applyFont="1" applyBorder="1" applyAlignment="1">
      <alignment horizontal="center" vertical="center"/>
      <protection locked="0"/>
    </xf>
    <xf numFmtId="7" fontId="14" fillId="0" borderId="47" xfId="1" applyNumberFormat="1" applyFont="1" applyBorder="1" applyAlignment="1">
      <alignment horizontal="center" vertical="center"/>
      <protection locked="0"/>
    </xf>
    <xf numFmtId="7" fontId="14" fillId="0" borderId="89" xfId="1" applyNumberFormat="1" applyFont="1" applyBorder="1" applyAlignment="1">
      <alignment horizontal="center" vertical="center"/>
      <protection locked="0"/>
    </xf>
    <xf numFmtId="0" fontId="25" fillId="22" borderId="151" xfId="0" applyFont="1" applyFill="1" applyBorder="1" applyAlignment="1">
      <alignment horizontal="center" wrapText="1"/>
    </xf>
    <xf numFmtId="0" fontId="25" fillId="22" borderId="10" xfId="0" applyFont="1" applyFill="1" applyBorder="1" applyAlignment="1">
      <alignment horizontal="center" wrapText="1"/>
    </xf>
    <xf numFmtId="0" fontId="25" fillId="32" borderId="151" xfId="0" applyFont="1" applyFill="1" applyBorder="1" applyAlignment="1">
      <alignment horizontal="center" wrapText="1"/>
    </xf>
    <xf numFmtId="0" fontId="25" fillId="32" borderId="10" xfId="0" applyFont="1" applyFill="1" applyBorder="1" applyAlignment="1">
      <alignment horizontal="center" wrapText="1"/>
    </xf>
    <xf numFmtId="0" fontId="9" fillId="11" borderId="80" xfId="0" applyFont="1" applyFill="1" applyBorder="1" applyAlignment="1">
      <alignment horizontal="center" vertical="center"/>
    </xf>
    <xf numFmtId="0" fontId="9" fillId="11" borderId="74" xfId="0" applyFont="1" applyFill="1" applyBorder="1" applyAlignment="1">
      <alignment horizontal="center" vertical="center"/>
    </xf>
    <xf numFmtId="0" fontId="9" fillId="12" borderId="80" xfId="0" applyFont="1" applyFill="1" applyBorder="1" applyAlignment="1">
      <alignment horizontal="center" vertical="center"/>
    </xf>
    <xf numFmtId="0" fontId="9" fillId="12" borderId="78" xfId="0" applyFont="1" applyFill="1" applyBorder="1" applyAlignment="1">
      <alignment horizontal="center" vertical="center"/>
    </xf>
    <xf numFmtId="0" fontId="9" fillId="12" borderId="79" xfId="0" applyFont="1" applyFill="1" applyBorder="1" applyAlignment="1">
      <alignment horizontal="center" vertical="center"/>
    </xf>
    <xf numFmtId="0" fontId="9" fillId="9" borderId="95" xfId="0" applyFont="1" applyFill="1" applyBorder="1" applyAlignment="1">
      <alignment horizontal="center" vertical="center"/>
    </xf>
    <xf numFmtId="0" fontId="9" fillId="9" borderId="78" xfId="0" applyFont="1" applyFill="1" applyBorder="1" applyAlignment="1">
      <alignment horizontal="center" vertical="center"/>
    </xf>
    <xf numFmtId="0" fontId="9" fillId="9" borderId="97" xfId="0" applyFont="1" applyFill="1" applyBorder="1" applyAlignment="1">
      <alignment horizontal="center" vertical="center"/>
    </xf>
    <xf numFmtId="0" fontId="9" fillId="17" borderId="92" xfId="0" applyFont="1" applyFill="1" applyBorder="1" applyAlignment="1">
      <alignment horizontal="center" vertical="center" wrapText="1"/>
    </xf>
    <xf numFmtId="0" fontId="9" fillId="17" borderId="94" xfId="0" applyFont="1" applyFill="1" applyBorder="1" applyAlignment="1">
      <alignment horizontal="center" vertical="center" wrapText="1"/>
    </xf>
    <xf numFmtId="0" fontId="9" fillId="11" borderId="97" xfId="0" applyFont="1" applyFill="1" applyBorder="1" applyAlignment="1">
      <alignment horizontal="left" vertical="center"/>
    </xf>
    <xf numFmtId="0" fontId="9" fillId="11" borderId="99" xfId="0" applyFont="1" applyFill="1" applyBorder="1" applyAlignment="1">
      <alignment horizontal="left" vertical="center"/>
    </xf>
    <xf numFmtId="0" fontId="9" fillId="11" borderId="78" xfId="0" applyFont="1" applyFill="1" applyBorder="1" applyAlignment="1">
      <alignment horizontal="left" vertical="center"/>
    </xf>
    <xf numFmtId="0" fontId="9" fillId="11" borderId="75" xfId="0" applyFont="1" applyFill="1" applyBorder="1" applyAlignment="1">
      <alignment horizontal="left" vertical="center"/>
    </xf>
    <xf numFmtId="0" fontId="16" fillId="0" borderId="82" xfId="0" applyFont="1" applyFill="1" applyBorder="1" applyAlignment="1">
      <alignment horizontal="center" wrapText="1"/>
    </xf>
    <xf numFmtId="0" fontId="16" fillId="0" borderId="86" xfId="0" applyFont="1" applyFill="1" applyBorder="1" applyAlignment="1">
      <alignment horizontal="center" wrapText="1"/>
    </xf>
    <xf numFmtId="0" fontId="16" fillId="0" borderId="128" xfId="0" applyFont="1" applyFill="1" applyBorder="1" applyAlignment="1">
      <alignment horizontal="center" wrapText="1"/>
    </xf>
    <xf numFmtId="0" fontId="11" fillId="0" borderId="98" xfId="0" applyFont="1" applyFill="1" applyBorder="1" applyAlignment="1">
      <alignment horizontal="center" vertical="center"/>
    </xf>
    <xf numFmtId="0" fontId="25" fillId="3" borderId="84" xfId="7" applyFont="1" applyFill="1" applyBorder="1" applyAlignment="1">
      <alignment horizontal="left" vertical="center"/>
    </xf>
    <xf numFmtId="0" fontId="25" fillId="3" borderId="95" xfId="7" applyFont="1" applyFill="1" applyBorder="1" applyAlignment="1">
      <alignment horizontal="left" vertical="center"/>
    </xf>
    <xf numFmtId="164" fontId="12" fillId="0" borderId="97" xfId="1" applyNumberFormat="1" applyFont="1" applyBorder="1" applyAlignment="1">
      <alignment horizontal="center" vertical="center"/>
      <protection locked="0"/>
    </xf>
    <xf numFmtId="164" fontId="12" fillId="0" borderId="95" xfId="1" applyNumberFormat="1" applyFont="1" applyBorder="1" applyAlignment="1">
      <alignment horizontal="center" vertical="center"/>
      <protection locked="0"/>
    </xf>
    <xf numFmtId="164" fontId="12" fillId="0" borderId="82" xfId="1" applyNumberFormat="1" applyFont="1" applyBorder="1" applyAlignment="1">
      <alignment horizontal="center" vertical="center"/>
      <protection locked="0"/>
    </xf>
    <xf numFmtId="0" fontId="39" fillId="3" borderId="85" xfId="7" applyFont="1" applyFill="1" applyBorder="1" applyAlignment="1">
      <alignment horizontal="left" vertical="center"/>
    </xf>
    <xf numFmtId="0" fontId="39" fillId="3" borderId="45" xfId="7" applyFont="1" applyFill="1" applyBorder="1" applyAlignment="1">
      <alignment horizontal="left" vertical="center"/>
    </xf>
    <xf numFmtId="9" fontId="14" fillId="0" borderId="16" xfId="2" applyFont="1" applyBorder="1" applyAlignment="1" applyProtection="1">
      <alignment horizontal="center" vertical="center"/>
      <protection locked="0"/>
    </xf>
    <xf numFmtId="9" fontId="14" fillId="0" borderId="45" xfId="2" applyFont="1" applyBorder="1" applyAlignment="1" applyProtection="1">
      <alignment horizontal="center" vertical="center"/>
      <protection locked="0"/>
    </xf>
    <xf numFmtId="9" fontId="16" fillId="3" borderId="16" xfId="2" applyFont="1" applyFill="1" applyBorder="1" applyAlignment="1">
      <alignment horizontal="center" vertical="center"/>
    </xf>
    <xf numFmtId="9" fontId="16" fillId="3" borderId="45" xfId="2" applyFont="1" applyFill="1" applyBorder="1" applyAlignment="1">
      <alignment horizontal="center" vertical="center"/>
    </xf>
    <xf numFmtId="0" fontId="15" fillId="3" borderId="87" xfId="7" applyFont="1" applyFill="1" applyBorder="1" applyAlignment="1">
      <alignment horizontal="left"/>
    </xf>
    <xf numFmtId="0" fontId="15" fillId="3" borderId="91" xfId="7" applyFont="1" applyFill="1" applyBorder="1" applyAlignment="1">
      <alignment horizontal="left"/>
    </xf>
    <xf numFmtId="164" fontId="14" fillId="0" borderId="99" xfId="1" applyNumberFormat="1" applyFont="1" applyBorder="1" applyAlignment="1">
      <alignment horizontal="center"/>
      <protection locked="0"/>
    </xf>
    <xf numFmtId="164" fontId="14" fillId="0" borderId="91" xfId="1" applyNumberFormat="1" applyFont="1" applyBorder="1" applyAlignment="1">
      <alignment horizontal="center"/>
      <protection locked="0"/>
    </xf>
    <xf numFmtId="0" fontId="15" fillId="3" borderId="188" xfId="7" applyFont="1" applyFill="1" applyBorder="1" applyAlignment="1">
      <alignment horizontal="left" vertical="center"/>
    </xf>
    <xf numFmtId="0" fontId="15" fillId="3" borderId="189" xfId="7" applyFont="1" applyFill="1" applyBorder="1" applyAlignment="1">
      <alignment horizontal="left" vertical="center"/>
    </xf>
    <xf numFmtId="0" fontId="15" fillId="3" borderId="107" xfId="7" applyFont="1" applyFill="1" applyBorder="1" applyAlignment="1">
      <alignment horizontal="left" vertical="center"/>
    </xf>
    <xf numFmtId="0" fontId="13" fillId="0" borderId="78" xfId="0" applyFont="1" applyFill="1" applyBorder="1" applyAlignment="1">
      <alignment horizontal="left" vertical="center"/>
    </xf>
    <xf numFmtId="0" fontId="13" fillId="0" borderId="97" xfId="0" applyFont="1" applyFill="1" applyBorder="1" applyAlignment="1">
      <alignment horizontal="left" vertical="center"/>
    </xf>
    <xf numFmtId="0" fontId="13" fillId="20" borderId="75" xfId="0" applyFont="1" applyFill="1" applyBorder="1" applyAlignment="1">
      <alignment horizontal="left" vertical="center"/>
    </xf>
    <xf numFmtId="0" fontId="13" fillId="20" borderId="99" xfId="0" applyFont="1" applyFill="1" applyBorder="1" applyAlignment="1">
      <alignment horizontal="left" vertical="center"/>
    </xf>
    <xf numFmtId="0" fontId="13" fillId="3" borderId="84" xfId="7" applyFont="1" applyFill="1" applyBorder="1" applyAlignment="1">
      <alignment horizontal="left" vertical="center"/>
    </xf>
    <xf numFmtId="0" fontId="13" fillId="3" borderId="81" xfId="7" applyFont="1" applyFill="1" applyBorder="1" applyAlignment="1">
      <alignment horizontal="left" vertical="center"/>
    </xf>
    <xf numFmtId="0" fontId="13" fillId="3" borderId="95" xfId="7" applyFont="1" applyFill="1" applyBorder="1" applyAlignment="1">
      <alignment horizontal="left" vertical="center"/>
    </xf>
    <xf numFmtId="0" fontId="39" fillId="3" borderId="39" xfId="7" applyFont="1" applyFill="1" applyBorder="1" applyAlignment="1">
      <alignment horizontal="left" vertical="center"/>
    </xf>
    <xf numFmtId="0" fontId="15" fillId="3" borderId="88" xfId="7" applyFont="1" applyFill="1" applyBorder="1" applyAlignment="1">
      <alignment horizontal="left"/>
    </xf>
    <xf numFmtId="0" fontId="15" fillId="3" borderId="151" xfId="7" applyFont="1" applyFill="1" applyBorder="1" applyAlignment="1">
      <alignment horizontal="left" vertical="center"/>
    </xf>
    <xf numFmtId="0" fontId="15" fillId="3" borderId="9" xfId="7" applyFont="1" applyFill="1" applyBorder="1" applyAlignment="1">
      <alignment horizontal="left" vertical="center"/>
    </xf>
    <xf numFmtId="0" fontId="15" fillId="3" borderId="152" xfId="7" applyFont="1" applyFill="1" applyBorder="1" applyAlignment="1">
      <alignment horizontal="left" vertical="center"/>
    </xf>
    <xf numFmtId="165" fontId="14" fillId="0" borderId="105" xfId="1" applyNumberFormat="1" applyFont="1" applyBorder="1" applyAlignment="1">
      <alignment vertical="center"/>
      <protection locked="0"/>
    </xf>
    <xf numFmtId="165" fontId="14" fillId="0" borderId="152" xfId="1" applyNumberFormat="1" applyFont="1" applyBorder="1" applyAlignment="1">
      <alignment vertical="center"/>
      <protection locked="0"/>
    </xf>
    <xf numFmtId="5" fontId="14" fillId="0" borderId="16" xfId="1" applyNumberFormat="1" applyFont="1" applyBorder="1" applyAlignment="1">
      <alignment horizontal="center" vertical="center"/>
      <protection locked="0"/>
    </xf>
    <xf numFmtId="5" fontId="14" fillId="0" borderId="45" xfId="1" applyNumberFormat="1" applyFont="1" applyBorder="1" applyAlignment="1">
      <alignment horizontal="center" vertical="center"/>
      <protection locked="0"/>
    </xf>
    <xf numFmtId="5" fontId="14" fillId="0" borderId="99" xfId="1" applyNumberFormat="1" applyFont="1" applyBorder="1" applyAlignment="1">
      <alignment horizontal="center"/>
      <protection locked="0"/>
    </xf>
    <xf numFmtId="5" fontId="14" fillId="0" borderId="91" xfId="1" applyNumberFormat="1" applyFont="1" applyBorder="1" applyAlignment="1">
      <alignment horizontal="center"/>
      <protection locked="0"/>
    </xf>
    <xf numFmtId="164" fontId="12" fillId="0" borderId="81" xfId="1" applyNumberFormat="1" applyFont="1" applyBorder="1" applyAlignment="1">
      <alignment horizontal="center" vertical="center"/>
      <protection locked="0"/>
    </xf>
    <xf numFmtId="9" fontId="14" fillId="0" borderId="39" xfId="2" applyFont="1" applyBorder="1" applyAlignment="1" applyProtection="1">
      <alignment horizontal="center" vertical="center"/>
      <protection locked="0"/>
    </xf>
    <xf numFmtId="9" fontId="16" fillId="3" borderId="39" xfId="2" applyFont="1" applyFill="1" applyBorder="1" applyAlignment="1">
      <alignment horizontal="center" vertical="center"/>
    </xf>
    <xf numFmtId="164" fontId="14" fillId="0" borderId="88" xfId="1" applyNumberFormat="1" applyFont="1" applyBorder="1" applyAlignment="1">
      <alignment horizontal="center"/>
      <protection locked="0"/>
    </xf>
    <xf numFmtId="170" fontId="14" fillId="0" borderId="160" xfId="2" applyNumberFormat="1" applyFont="1" applyBorder="1" applyProtection="1">
      <protection locked="0"/>
    </xf>
    <xf numFmtId="170" fontId="14" fillId="0" borderId="162" xfId="2" applyNumberFormat="1" applyFont="1" applyBorder="1" applyProtection="1">
      <protection locked="0"/>
    </xf>
    <xf numFmtId="170" fontId="14" fillId="0" borderId="126" xfId="2" applyNumberFormat="1" applyFont="1" applyBorder="1" applyProtection="1">
      <protection locked="0"/>
    </xf>
    <xf numFmtId="170" fontId="14" fillId="0" borderId="155" xfId="2" applyNumberFormat="1" applyFont="1" applyBorder="1" applyProtection="1">
      <protection locked="0"/>
    </xf>
    <xf numFmtId="170" fontId="14" fillId="0" borderId="161" xfId="2" applyNumberFormat="1" applyFont="1" applyBorder="1" applyProtection="1">
      <protection locked="0"/>
    </xf>
    <xf numFmtId="164" fontId="14" fillId="0" borderId="171" xfId="1" applyNumberFormat="1" applyFont="1" applyBorder="1">
      <protection locked="0"/>
    </xf>
    <xf numFmtId="164" fontId="14" fillId="0" borderId="57" xfId="1" applyNumberFormat="1" applyFont="1" applyBorder="1">
      <protection locked="0"/>
    </xf>
    <xf numFmtId="164" fontId="14" fillId="0" borderId="170" xfId="1" applyNumberFormat="1" applyFont="1" applyBorder="1">
      <protection locked="0"/>
    </xf>
    <xf numFmtId="164" fontId="14" fillId="0" borderId="29" xfId="1" applyNumberFormat="1" applyFont="1" applyBorder="1">
      <protection locked="0"/>
    </xf>
    <xf numFmtId="164" fontId="14" fillId="0" borderId="21" xfId="1" applyNumberFormat="1" applyFont="1" applyBorder="1">
      <protection locked="0"/>
    </xf>
    <xf numFmtId="165" fontId="12" fillId="0" borderId="171" xfId="1" applyNumberFormat="1" applyFont="1" applyBorder="1">
      <protection locked="0"/>
    </xf>
    <xf numFmtId="165" fontId="12" fillId="0" borderId="57" xfId="1" applyNumberFormat="1" applyFont="1" applyBorder="1">
      <protection locked="0"/>
    </xf>
    <xf numFmtId="165" fontId="12" fillId="0" borderId="170" xfId="1" applyNumberFormat="1" applyFont="1" applyBorder="1">
      <protection locked="0"/>
    </xf>
    <xf numFmtId="165" fontId="12" fillId="0" borderId="29" xfId="1" applyNumberFormat="1" applyFont="1" applyBorder="1">
      <protection locked="0"/>
    </xf>
    <xf numFmtId="165" fontId="12" fillId="0" borderId="21" xfId="1" applyNumberFormat="1" applyFont="1" applyBorder="1">
      <protection locked="0"/>
    </xf>
    <xf numFmtId="165" fontId="12" fillId="0" borderId="160" xfId="1" applyNumberFormat="1" applyFont="1" applyBorder="1">
      <protection locked="0"/>
    </xf>
    <xf numFmtId="165" fontId="12" fillId="0" borderId="162" xfId="1" applyNumberFormat="1" applyFont="1" applyBorder="1">
      <protection locked="0"/>
    </xf>
    <xf numFmtId="165" fontId="12" fillId="0" borderId="126" xfId="1" applyNumberFormat="1" applyFont="1" applyBorder="1">
      <protection locked="0"/>
    </xf>
    <xf numFmtId="165" fontId="12" fillId="0" borderId="155" xfId="1" applyNumberFormat="1" applyFont="1" applyBorder="1">
      <protection locked="0"/>
    </xf>
    <xf numFmtId="165" fontId="12" fillId="0" borderId="161" xfId="1" applyNumberFormat="1" applyFont="1" applyBorder="1">
      <protection locked="0"/>
    </xf>
    <xf numFmtId="165" fontId="12" fillId="11" borderId="169" xfId="1" applyNumberFormat="1" applyFont="1" applyFill="1" applyBorder="1">
      <protection locked="0"/>
    </xf>
    <xf numFmtId="165" fontId="12" fillId="11" borderId="61" xfId="1" applyNumberFormat="1" applyFont="1" applyFill="1" applyBorder="1">
      <protection locked="0"/>
    </xf>
    <xf numFmtId="165" fontId="12" fillId="11" borderId="144" xfId="1" applyNumberFormat="1" applyFont="1" applyFill="1" applyBorder="1">
      <protection locked="0"/>
    </xf>
    <xf numFmtId="165" fontId="12" fillId="11" borderId="26" xfId="1" applyNumberFormat="1" applyFont="1" applyFill="1" applyBorder="1">
      <protection locked="0"/>
    </xf>
    <xf numFmtId="165" fontId="12" fillId="11" borderId="19" xfId="1" applyNumberFormat="1" applyFont="1" applyFill="1" applyBorder="1">
      <protection locked="0"/>
    </xf>
    <xf numFmtId="165" fontId="14" fillId="11" borderId="77" xfId="1" applyNumberFormat="1" applyFont="1" applyFill="1" applyBorder="1">
      <protection locked="0"/>
    </xf>
    <xf numFmtId="165" fontId="14" fillId="11" borderId="60" xfId="1" applyNumberFormat="1" applyFont="1" applyFill="1" applyBorder="1">
      <protection locked="0"/>
    </xf>
    <xf numFmtId="165" fontId="14" fillId="11" borderId="45" xfId="1" applyNumberFormat="1" applyFont="1" applyFill="1" applyBorder="1">
      <protection locked="0"/>
    </xf>
    <xf numFmtId="165" fontId="14" fillId="11" borderId="16" xfId="1" applyNumberFormat="1" applyFont="1" applyFill="1" applyBorder="1">
      <protection locked="0"/>
    </xf>
    <xf numFmtId="165" fontId="14" fillId="11" borderId="18" xfId="1" applyNumberFormat="1" applyFont="1" applyFill="1" applyBorder="1">
      <protection locked="0"/>
    </xf>
    <xf numFmtId="165" fontId="12" fillId="11" borderId="168" xfId="1" applyNumberFormat="1" applyFont="1" applyFill="1" applyBorder="1">
      <protection locked="0"/>
    </xf>
    <xf numFmtId="165" fontId="12" fillId="11" borderId="59" xfId="1" applyNumberFormat="1" applyFont="1" applyFill="1" applyBorder="1">
      <protection locked="0"/>
    </xf>
    <xf numFmtId="165" fontId="12" fillId="11" borderId="143" xfId="1" applyNumberFormat="1" applyFont="1" applyFill="1" applyBorder="1">
      <protection locked="0"/>
    </xf>
    <xf numFmtId="165" fontId="12" fillId="11" borderId="69" xfId="1" applyNumberFormat="1" applyFont="1" applyFill="1" applyBorder="1">
      <protection locked="0"/>
    </xf>
    <xf numFmtId="165" fontId="12" fillId="11" borderId="58" xfId="1" applyNumberFormat="1" applyFont="1" applyFill="1" applyBorder="1">
      <protection locked="0"/>
    </xf>
    <xf numFmtId="165" fontId="12" fillId="14" borderId="169" xfId="1" applyNumberFormat="1" applyFont="1" applyFill="1" applyBorder="1">
      <protection locked="0"/>
    </xf>
    <xf numFmtId="165" fontId="12" fillId="14" borderId="61" xfId="1" applyNumberFormat="1" applyFont="1" applyFill="1" applyBorder="1">
      <protection locked="0"/>
    </xf>
    <xf numFmtId="165" fontId="12" fillId="14" borderId="144" xfId="1" applyNumberFormat="1" applyFont="1" applyFill="1" applyBorder="1">
      <protection locked="0"/>
    </xf>
    <xf numFmtId="165" fontId="12" fillId="14" borderId="26" xfId="1" applyNumberFormat="1" applyFont="1" applyFill="1" applyBorder="1">
      <protection locked="0"/>
    </xf>
    <xf numFmtId="165" fontId="12" fillId="14" borderId="19" xfId="1" applyNumberFormat="1" applyFont="1" applyFill="1" applyBorder="1">
      <protection locked="0"/>
    </xf>
    <xf numFmtId="165" fontId="14" fillId="14" borderId="77" xfId="1" applyNumberFormat="1" applyFont="1" applyFill="1" applyBorder="1">
      <protection locked="0"/>
    </xf>
    <xf numFmtId="165" fontId="14" fillId="14" borderId="60" xfId="1" applyNumberFormat="1" applyFont="1" applyFill="1" applyBorder="1">
      <protection locked="0"/>
    </xf>
    <xf numFmtId="165" fontId="14" fillId="14" borderId="45" xfId="1" applyNumberFormat="1" applyFont="1" applyFill="1" applyBorder="1">
      <protection locked="0"/>
    </xf>
    <xf numFmtId="165" fontId="14" fillId="14" borderId="16" xfId="1" applyNumberFormat="1" applyFont="1" applyFill="1" applyBorder="1">
      <protection locked="0"/>
    </xf>
    <xf numFmtId="165" fontId="14" fillId="14" borderId="18" xfId="1" applyNumberFormat="1" applyFont="1" applyFill="1" applyBorder="1">
      <protection locked="0"/>
    </xf>
    <xf numFmtId="165" fontId="12" fillId="14" borderId="168" xfId="1" applyNumberFormat="1" applyFont="1" applyFill="1" applyBorder="1">
      <protection locked="0"/>
    </xf>
    <xf numFmtId="165" fontId="12" fillId="14" borderId="59" xfId="1" applyNumberFormat="1" applyFont="1" applyFill="1" applyBorder="1">
      <protection locked="0"/>
    </xf>
    <xf numFmtId="165" fontId="12" fillId="14" borderId="143" xfId="1" applyNumberFormat="1" applyFont="1" applyFill="1" applyBorder="1">
      <protection locked="0"/>
    </xf>
    <xf numFmtId="165" fontId="12" fillId="14" borderId="69" xfId="1" applyNumberFormat="1" applyFont="1" applyFill="1" applyBorder="1">
      <protection locked="0"/>
    </xf>
    <xf numFmtId="165" fontId="12" fillId="14" borderId="58" xfId="1" applyNumberFormat="1" applyFont="1" applyFill="1" applyBorder="1">
      <protection locked="0"/>
    </xf>
    <xf numFmtId="165" fontId="12" fillId="7" borderId="169" xfId="1" applyNumberFormat="1" applyFont="1" applyFill="1" applyBorder="1">
      <protection locked="0"/>
    </xf>
    <xf numFmtId="165" fontId="12" fillId="7" borderId="61" xfId="1" applyNumberFormat="1" applyFont="1" applyFill="1" applyBorder="1">
      <protection locked="0"/>
    </xf>
    <xf numFmtId="165" fontId="12" fillId="7" borderId="144" xfId="1" applyNumberFormat="1" applyFont="1" applyFill="1" applyBorder="1">
      <protection locked="0"/>
    </xf>
    <xf numFmtId="165" fontId="12" fillId="7" borderId="26" xfId="1" applyNumberFormat="1" applyFont="1" applyFill="1" applyBorder="1">
      <protection locked="0"/>
    </xf>
    <xf numFmtId="165" fontId="12" fillId="7" borderId="19" xfId="1" applyNumberFormat="1" applyFont="1" applyFill="1" applyBorder="1">
      <protection locked="0"/>
    </xf>
    <xf numFmtId="165" fontId="14" fillId="7" borderId="77" xfId="1" applyNumberFormat="1" applyFont="1" applyFill="1" applyBorder="1">
      <protection locked="0"/>
    </xf>
    <xf numFmtId="165" fontId="14" fillId="7" borderId="60" xfId="1" applyNumberFormat="1" applyFont="1" applyFill="1" applyBorder="1">
      <protection locked="0"/>
    </xf>
    <xf numFmtId="165" fontId="14" fillId="7" borderId="45" xfId="1" applyNumberFormat="1" applyFont="1" applyFill="1" applyBorder="1">
      <protection locked="0"/>
    </xf>
    <xf numFmtId="165" fontId="14" fillId="7" borderId="16" xfId="1" applyNumberFormat="1" applyFont="1" applyFill="1" applyBorder="1">
      <protection locked="0"/>
    </xf>
    <xf numFmtId="165" fontId="14" fillId="7" borderId="18" xfId="1" applyNumberFormat="1" applyFont="1" applyFill="1" applyBorder="1">
      <protection locked="0"/>
    </xf>
    <xf numFmtId="165" fontId="12" fillId="7" borderId="168" xfId="1" applyNumberFormat="1" applyFont="1" applyFill="1" applyBorder="1">
      <protection locked="0"/>
    </xf>
    <xf numFmtId="165" fontId="12" fillId="7" borderId="59" xfId="1" applyNumberFormat="1" applyFont="1" applyFill="1" applyBorder="1">
      <protection locked="0"/>
    </xf>
    <xf numFmtId="165" fontId="12" fillId="7" borderId="143" xfId="1" applyNumberFormat="1" applyFont="1" applyFill="1" applyBorder="1">
      <protection locked="0"/>
    </xf>
    <xf numFmtId="165" fontId="12" fillId="7" borderId="69" xfId="1" applyNumberFormat="1" applyFont="1" applyFill="1" applyBorder="1">
      <protection locked="0"/>
    </xf>
    <xf numFmtId="165" fontId="12" fillId="7" borderId="58" xfId="1" applyNumberFormat="1" applyFont="1" applyFill="1" applyBorder="1">
      <protection locked="0"/>
    </xf>
    <xf numFmtId="165" fontId="12" fillId="12" borderId="169" xfId="1" applyNumberFormat="1" applyFont="1" applyFill="1" applyBorder="1">
      <protection locked="0"/>
    </xf>
    <xf numFmtId="165" fontId="12" fillId="12" borderId="61" xfId="1" applyNumberFormat="1" applyFont="1" applyFill="1" applyBorder="1">
      <protection locked="0"/>
    </xf>
    <xf numFmtId="165" fontId="12" fillId="12" borderId="144" xfId="1" applyNumberFormat="1" applyFont="1" applyFill="1" applyBorder="1">
      <protection locked="0"/>
    </xf>
    <xf numFmtId="165" fontId="12" fillId="12" borderId="26" xfId="1" applyNumberFormat="1" applyFont="1" applyFill="1" applyBorder="1">
      <protection locked="0"/>
    </xf>
    <xf numFmtId="165" fontId="12" fillId="12" borderId="19" xfId="1" applyNumberFormat="1" applyFont="1" applyFill="1" applyBorder="1">
      <protection locked="0"/>
    </xf>
    <xf numFmtId="165" fontId="14" fillId="12" borderId="77" xfId="1" applyNumberFormat="1" applyFont="1" applyFill="1" applyBorder="1">
      <protection locked="0"/>
    </xf>
    <xf numFmtId="165" fontId="14" fillId="12" borderId="60" xfId="1" applyNumberFormat="1" applyFont="1" applyFill="1" applyBorder="1">
      <protection locked="0"/>
    </xf>
    <xf numFmtId="165" fontId="14" fillId="12" borderId="45" xfId="1" applyNumberFormat="1" applyFont="1" applyFill="1" applyBorder="1">
      <protection locked="0"/>
    </xf>
    <xf numFmtId="165" fontId="14" fillId="12" borderId="16" xfId="1" applyNumberFormat="1" applyFont="1" applyFill="1" applyBorder="1">
      <protection locked="0"/>
    </xf>
    <xf numFmtId="165" fontId="14" fillId="12" borderId="18" xfId="1" applyNumberFormat="1" applyFont="1" applyFill="1" applyBorder="1">
      <protection locked="0"/>
    </xf>
    <xf numFmtId="164" fontId="12" fillId="12" borderId="168" xfId="1" applyNumberFormat="1" applyFont="1" applyFill="1" applyBorder="1">
      <protection locked="0"/>
    </xf>
    <xf numFmtId="164" fontId="12" fillId="12" borderId="59" xfId="1" applyNumberFormat="1" applyFont="1" applyFill="1" applyBorder="1">
      <protection locked="0"/>
    </xf>
    <xf numFmtId="164" fontId="12" fillId="12" borderId="143" xfId="1" applyNumberFormat="1" applyFont="1" applyFill="1" applyBorder="1">
      <protection locked="0"/>
    </xf>
    <xf numFmtId="164" fontId="12" fillId="12" borderId="69" xfId="1" applyNumberFormat="1" applyFont="1" applyFill="1" applyBorder="1">
      <protection locked="0"/>
    </xf>
    <xf numFmtId="164" fontId="12" fillId="12" borderId="58" xfId="1" applyNumberFormat="1" applyFont="1" applyFill="1" applyBorder="1">
      <protection locked="0"/>
    </xf>
    <xf numFmtId="164" fontId="12" fillId="0" borderId="163" xfId="1" applyNumberFormat="1" applyFont="1" applyBorder="1">
      <protection locked="0"/>
    </xf>
    <xf numFmtId="164" fontId="12" fillId="0" borderId="166" xfId="1" applyNumberFormat="1" applyFont="1" applyBorder="1">
      <protection locked="0"/>
    </xf>
    <xf numFmtId="164" fontId="12" fillId="0" borderId="107" xfId="1" applyNumberFormat="1" applyFont="1" applyBorder="1">
      <protection locked="0"/>
    </xf>
    <xf numFmtId="164" fontId="12" fillId="0" borderId="164" xfId="1" applyNumberFormat="1" applyFont="1" applyBorder="1">
      <protection locked="0"/>
    </xf>
    <xf numFmtId="164" fontId="12" fillId="0" borderId="165" xfId="1" applyNumberFormat="1" applyFont="1" applyBorder="1">
      <protection locked="0"/>
    </xf>
    <xf numFmtId="164" fontId="14" fillId="4" borderId="76" xfId="1" applyNumberFormat="1" applyFont="1" applyFill="1" applyBorder="1">
      <protection locked="0"/>
    </xf>
    <xf numFmtId="164" fontId="14" fillId="4" borderId="145" xfId="1" applyNumberFormat="1" applyFont="1" applyFill="1" applyBorder="1">
      <protection locked="0"/>
    </xf>
    <xf numFmtId="164" fontId="14" fillId="4" borderId="159" xfId="1" applyNumberFormat="1" applyFont="1" applyFill="1" applyBorder="1">
      <protection locked="0"/>
    </xf>
    <xf numFmtId="164" fontId="14" fillId="4" borderId="17" xfId="1" applyNumberFormat="1" applyFont="1" applyFill="1" applyBorder="1">
      <protection locked="0"/>
    </xf>
    <xf numFmtId="164" fontId="14" fillId="4" borderId="153" xfId="1" applyNumberFormat="1" applyFont="1" applyFill="1" applyBorder="1">
      <protection locked="0"/>
    </xf>
    <xf numFmtId="164" fontId="14" fillId="4" borderId="77" xfId="1" applyNumberFormat="1" applyFont="1" applyFill="1" applyBorder="1">
      <protection locked="0"/>
    </xf>
    <xf numFmtId="164" fontId="14" fillId="4" borderId="60" xfId="1" applyNumberFormat="1" applyFont="1" applyFill="1" applyBorder="1">
      <protection locked="0"/>
    </xf>
    <xf numFmtId="164" fontId="14" fillId="4" borderId="45" xfId="1" applyNumberFormat="1" applyFont="1" applyFill="1" applyBorder="1">
      <protection locked="0"/>
    </xf>
    <xf numFmtId="164" fontId="14" fillId="4" borderId="16" xfId="1" applyNumberFormat="1" applyFont="1" applyFill="1" applyBorder="1">
      <protection locked="0"/>
    </xf>
    <xf numFmtId="164" fontId="14" fillId="4" borderId="18" xfId="1" applyNumberFormat="1" applyFont="1" applyFill="1" applyBorder="1">
      <protection locked="0"/>
    </xf>
    <xf numFmtId="164" fontId="14" fillId="0" borderId="18" xfId="1" applyNumberFormat="1" applyFont="1" applyFill="1" applyBorder="1" applyAlignment="1">
      <alignment horizontal="center"/>
      <protection locked="0"/>
    </xf>
    <xf numFmtId="164" fontId="14" fillId="0" borderId="60" xfId="1" applyNumberFormat="1" applyFont="1" applyFill="1" applyBorder="1" applyAlignment="1">
      <alignment horizontal="center"/>
      <protection locked="0"/>
    </xf>
    <xf numFmtId="165" fontId="14" fillId="0" borderId="77" xfId="1" applyNumberFormat="1" applyFont="1" applyFill="1" applyBorder="1" applyAlignment="1">
      <alignment horizontal="center"/>
      <protection locked="0"/>
    </xf>
    <xf numFmtId="165" fontId="14" fillId="0" borderId="60" xfId="1" applyNumberFormat="1" applyFont="1" applyFill="1" applyBorder="1" applyAlignment="1">
      <alignment horizontal="center"/>
      <protection locked="0"/>
    </xf>
    <xf numFmtId="165" fontId="14" fillId="0" borderId="45" xfId="1" applyNumberFormat="1" applyFont="1" applyFill="1" applyBorder="1" applyAlignment="1">
      <alignment horizontal="center"/>
      <protection locked="0"/>
    </xf>
    <xf numFmtId="165" fontId="14" fillId="0" borderId="16" xfId="1" applyNumberFormat="1" applyFont="1" applyFill="1" applyBorder="1" applyAlignment="1">
      <alignment horizontal="center"/>
      <protection locked="0"/>
    </xf>
    <xf numFmtId="165" fontId="14" fillId="0" borderId="18" xfId="1" applyNumberFormat="1" applyFont="1" applyFill="1" applyBorder="1" applyAlignment="1">
      <alignment horizontal="center"/>
      <protection locked="0"/>
    </xf>
    <xf numFmtId="164" fontId="14" fillId="4" borderId="168" xfId="1" applyNumberFormat="1" applyFont="1" applyFill="1" applyBorder="1">
      <protection locked="0"/>
    </xf>
    <xf numFmtId="164" fontId="14" fillId="4" borderId="59" xfId="1" applyNumberFormat="1" applyFont="1" applyFill="1" applyBorder="1">
      <protection locked="0"/>
    </xf>
    <xf numFmtId="43" fontId="14" fillId="4" borderId="143" xfId="1" applyNumberFormat="1" applyFont="1" applyFill="1" applyBorder="1">
      <protection locked="0"/>
    </xf>
    <xf numFmtId="43" fontId="14" fillId="4" borderId="69" xfId="1" applyNumberFormat="1" applyFont="1" applyFill="1" applyBorder="1">
      <protection locked="0"/>
    </xf>
    <xf numFmtId="43" fontId="14" fillId="4" borderId="58" xfId="1" applyNumberFormat="1" applyFont="1" applyFill="1" applyBorder="1">
      <protection locked="0"/>
    </xf>
    <xf numFmtId="43" fontId="14" fillId="4" borderId="59" xfId="1" applyNumberFormat="1" applyFont="1" applyFill="1" applyBorder="1">
      <protection locked="0"/>
    </xf>
    <xf numFmtId="164" fontId="14" fillId="4" borderId="143" xfId="1" applyNumberFormat="1" applyFont="1" applyFill="1" applyBorder="1">
      <protection locked="0"/>
    </xf>
    <xf numFmtId="164" fontId="14" fillId="4" borderId="69" xfId="1" applyNumberFormat="1" applyFont="1" applyFill="1" applyBorder="1">
      <protection locked="0"/>
    </xf>
    <xf numFmtId="164" fontId="14" fillId="4" borderId="58" xfId="1" applyNumberFormat="1" applyFont="1" applyFill="1" applyBorder="1">
      <protection locked="0"/>
    </xf>
    <xf numFmtId="164" fontId="12" fillId="0" borderId="169" xfId="1" applyNumberFormat="1" applyFont="1" applyFill="1" applyBorder="1" applyAlignment="1">
      <alignment horizontal="center"/>
      <protection locked="0"/>
    </xf>
    <xf numFmtId="164" fontId="12" fillId="0" borderId="61" xfId="1" applyNumberFormat="1" applyFont="1" applyFill="1" applyBorder="1" applyAlignment="1">
      <alignment horizontal="center"/>
      <protection locked="0"/>
    </xf>
    <xf numFmtId="164" fontId="12" fillId="0" borderId="144" xfId="1" applyNumberFormat="1" applyFont="1" applyFill="1" applyBorder="1" applyAlignment="1">
      <alignment horizontal="center"/>
      <protection locked="0"/>
    </xf>
    <xf numFmtId="164" fontId="12" fillId="0" borderId="26" xfId="1" applyNumberFormat="1" applyFont="1" applyFill="1" applyBorder="1" applyAlignment="1">
      <alignment horizontal="center"/>
      <protection locked="0"/>
    </xf>
    <xf numFmtId="164" fontId="12" fillId="0" borderId="19" xfId="1" applyNumberFormat="1" applyFont="1" applyFill="1" applyBorder="1" applyAlignment="1">
      <alignment horizontal="center"/>
      <protection locked="0"/>
    </xf>
    <xf numFmtId="164" fontId="90" fillId="0" borderId="58" xfId="1" applyNumberFormat="1" applyFont="1" applyFill="1" applyBorder="1" applyAlignment="1">
      <alignment horizontal="center"/>
      <protection locked="0"/>
    </xf>
    <xf numFmtId="164" fontId="90" fillId="0" borderId="59" xfId="1" applyNumberFormat="1" applyFont="1" applyFill="1" applyBorder="1" applyAlignment="1">
      <alignment horizontal="center"/>
      <protection locked="0"/>
    </xf>
    <xf numFmtId="165" fontId="90" fillId="0" borderId="143" xfId="1" applyNumberFormat="1" applyFont="1" applyFill="1" applyBorder="1" applyAlignment="1">
      <alignment horizontal="center"/>
      <protection locked="0"/>
    </xf>
    <xf numFmtId="165" fontId="90" fillId="0" borderId="69" xfId="1" applyNumberFormat="1" applyFont="1" applyFill="1" applyBorder="1" applyAlignment="1">
      <alignment horizontal="center"/>
      <protection locked="0"/>
    </xf>
    <xf numFmtId="165" fontId="90" fillId="0" borderId="58" xfId="1" applyNumberFormat="1" applyFont="1" applyFill="1" applyBorder="1" applyAlignment="1">
      <alignment horizontal="center"/>
      <protection locked="0"/>
    </xf>
    <xf numFmtId="165" fontId="90" fillId="0" borderId="59" xfId="1" applyNumberFormat="1" applyFont="1" applyFill="1" applyBorder="1" applyAlignment="1">
      <alignment horizontal="center"/>
      <protection locked="0"/>
    </xf>
    <xf numFmtId="0" fontId="13" fillId="0" borderId="15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64" fontId="12" fillId="0" borderId="77" xfId="1" applyNumberFormat="1" applyFont="1" applyFill="1" applyBorder="1" applyAlignment="1">
      <alignment horizontal="center"/>
      <protection locked="0"/>
    </xf>
    <xf numFmtId="164" fontId="12" fillId="0" borderId="60" xfId="1" applyNumberFormat="1" applyFont="1" applyFill="1" applyBorder="1" applyAlignment="1">
      <alignment horizontal="center"/>
      <protection locked="0"/>
    </xf>
    <xf numFmtId="164" fontId="12" fillId="0" borderId="45" xfId="1" applyNumberFormat="1" applyFont="1" applyFill="1" applyBorder="1" applyAlignment="1">
      <alignment horizontal="center"/>
      <protection locked="0"/>
    </xf>
    <xf numFmtId="164" fontId="12" fillId="0" borderId="16" xfId="1" applyNumberFormat="1" applyFont="1" applyFill="1" applyBorder="1" applyAlignment="1">
      <alignment horizontal="center"/>
      <protection locked="0"/>
    </xf>
    <xf numFmtId="164" fontId="12" fillId="0" borderId="18" xfId="1" applyNumberFormat="1" applyFont="1" applyFill="1" applyBorder="1" applyAlignment="1">
      <alignment horizontal="center"/>
      <protection locked="0"/>
    </xf>
    <xf numFmtId="164" fontId="16" fillId="9" borderId="18" xfId="1" applyNumberFormat="1" applyFont="1" applyFill="1" applyBorder="1" applyAlignment="1">
      <alignment horizontal="center"/>
      <protection locked="0"/>
    </xf>
    <xf numFmtId="164" fontId="16" fillId="9" borderId="60" xfId="1" applyNumberFormat="1" applyFont="1" applyFill="1" applyBorder="1" applyAlignment="1">
      <alignment horizontal="center"/>
      <protection locked="0"/>
    </xf>
    <xf numFmtId="164" fontId="16" fillId="9" borderId="45" xfId="1" applyNumberFormat="1" applyFont="1" applyFill="1" applyBorder="1" applyAlignment="1">
      <alignment horizontal="center"/>
      <protection locked="0"/>
    </xf>
    <xf numFmtId="164" fontId="16" fillId="9" borderId="16" xfId="1" applyNumberFormat="1" applyFont="1" applyFill="1" applyBorder="1" applyAlignment="1">
      <alignment horizontal="center"/>
      <protection locked="0"/>
    </xf>
    <xf numFmtId="164" fontId="14" fillId="0" borderId="45" xfId="1" applyNumberFormat="1" applyFont="1" applyFill="1" applyBorder="1" applyAlignment="1">
      <alignment horizontal="center"/>
      <protection locked="0"/>
    </xf>
    <xf numFmtId="164" fontId="14" fillId="0" borderId="16" xfId="1" applyNumberFormat="1" applyFont="1" applyFill="1" applyBorder="1" applyAlignment="1">
      <alignment horizontal="center"/>
      <protection locked="0"/>
    </xf>
    <xf numFmtId="164" fontId="14" fillId="0" borderId="77" xfId="1" applyNumberFormat="1" applyFont="1" applyFill="1" applyBorder="1" applyAlignment="1">
      <alignment horizontal="center"/>
      <protection locked="0"/>
    </xf>
    <xf numFmtId="0" fontId="13" fillId="0" borderId="154" xfId="0" applyFont="1" applyFill="1" applyBorder="1" applyAlignment="1">
      <alignment horizontal="center" vertical="center"/>
    </xf>
    <xf numFmtId="164" fontId="16" fillId="9" borderId="85" xfId="1" applyNumberFormat="1" applyFont="1" applyFill="1" applyBorder="1" applyAlignment="1">
      <alignment horizontal="center"/>
      <protection locked="0"/>
    </xf>
    <xf numFmtId="164" fontId="16" fillId="9" borderId="39" xfId="1" applyNumberFormat="1" applyFont="1" applyFill="1" applyBorder="1" applyAlignment="1">
      <alignment horizontal="center"/>
      <protection locked="0"/>
    </xf>
    <xf numFmtId="164" fontId="16" fillId="9" borderId="86" xfId="1" applyNumberFormat="1" applyFont="1" applyFill="1" applyBorder="1" applyAlignment="1">
      <alignment horizontal="center"/>
      <protection locked="0"/>
    </xf>
    <xf numFmtId="1" fontId="16" fillId="9" borderId="85" xfId="1" applyNumberFormat="1" applyFont="1" applyFill="1" applyBorder="1" applyAlignment="1">
      <alignment horizontal="right"/>
      <protection locked="0"/>
    </xf>
    <xf numFmtId="1" fontId="16" fillId="9" borderId="39" xfId="1" applyNumberFormat="1" applyFont="1" applyFill="1" applyBorder="1" applyAlignment="1">
      <alignment horizontal="right"/>
      <protection locked="0"/>
    </xf>
    <xf numFmtId="1" fontId="16" fillId="9" borderId="86" xfId="1" applyNumberFormat="1" applyFont="1" applyFill="1" applyBorder="1" applyAlignment="1">
      <alignment horizontal="right"/>
      <protection locked="0"/>
    </xf>
    <xf numFmtId="164" fontId="8" fillId="0" borderId="0" xfId="1" applyNumberFormat="1">
      <protection locked="0"/>
    </xf>
    <xf numFmtId="0" fontId="13" fillId="0" borderId="156" xfId="0" applyFont="1" applyFill="1" applyBorder="1" applyAlignment="1">
      <alignment horizontal="center" vertical="center"/>
    </xf>
    <xf numFmtId="164" fontId="90" fillId="0" borderId="168" xfId="1" applyNumberFormat="1" applyFont="1" applyFill="1" applyBorder="1" applyAlignment="1">
      <alignment horizontal="center"/>
      <protection locked="0"/>
    </xf>
    <xf numFmtId="164" fontId="90" fillId="0" borderId="143" xfId="1" applyNumberFormat="1" applyFont="1" applyFill="1" applyBorder="1" applyAlignment="1">
      <alignment horizontal="center"/>
      <protection locked="0"/>
    </xf>
    <xf numFmtId="164" fontId="90" fillId="0" borderId="69" xfId="1" applyNumberFormat="1" applyFont="1" applyFill="1" applyBorder="1" applyAlignment="1">
      <alignment horizontal="center"/>
      <protection locked="0"/>
    </xf>
    <xf numFmtId="0" fontId="93" fillId="0" borderId="34" xfId="22" applyFont="1" applyFill="1" applyBorder="1" applyAlignment="1">
      <alignment horizontal="center" vertical="center"/>
    </xf>
    <xf numFmtId="0" fontId="93" fillId="0" borderId="35" xfId="22" applyFont="1" applyFill="1" applyBorder="1" applyAlignment="1">
      <alignment horizontal="center" vertical="center"/>
    </xf>
    <xf numFmtId="0" fontId="96" fillId="0" borderId="34" xfId="22" applyFont="1" applyFill="1" applyBorder="1" applyAlignment="1">
      <alignment horizontal="center" vertical="center" wrapText="1"/>
    </xf>
    <xf numFmtId="0" fontId="96" fillId="0" borderId="35" xfId="22" applyFont="1" applyFill="1" applyBorder="1" applyAlignment="1">
      <alignment horizontal="center" vertical="center" wrapText="1"/>
    </xf>
    <xf numFmtId="0" fontId="93" fillId="18" borderId="34" xfId="22" applyFont="1" applyFill="1" applyBorder="1" applyAlignment="1">
      <alignment horizontal="center" vertical="center" wrapText="1"/>
    </xf>
    <xf numFmtId="0" fontId="93" fillId="18" borderId="35" xfId="22" applyFont="1" applyFill="1" applyBorder="1" applyAlignment="1">
      <alignment horizontal="center" vertical="center" wrapText="1"/>
    </xf>
    <xf numFmtId="0" fontId="93" fillId="0" borderId="1" xfId="22" applyFont="1" applyFill="1" applyBorder="1" applyAlignment="1">
      <alignment horizontal="center" vertical="center"/>
    </xf>
    <xf numFmtId="0" fontId="93" fillId="0" borderId="34" xfId="22" applyFont="1" applyFill="1" applyBorder="1" applyAlignment="1">
      <alignment horizontal="center" vertical="center" wrapText="1"/>
    </xf>
    <xf numFmtId="0" fontId="93" fillId="0" borderId="36" xfId="22" applyFont="1" applyFill="1" applyBorder="1" applyAlignment="1">
      <alignment horizontal="center" vertical="center" wrapText="1"/>
    </xf>
    <xf numFmtId="0" fontId="83" fillId="0" borderId="34" xfId="22" applyFont="1" applyBorder="1" applyAlignment="1">
      <alignment horizontal="center" vertical="center" wrapText="1"/>
    </xf>
    <xf numFmtId="0" fontId="83" fillId="0" borderId="36" xfId="22" applyFont="1" applyBorder="1" applyAlignment="1">
      <alignment horizontal="center" vertical="center" wrapText="1"/>
    </xf>
    <xf numFmtId="0" fontId="93" fillId="0" borderId="35" xfId="22" applyFont="1" applyFill="1" applyBorder="1" applyAlignment="1">
      <alignment horizontal="center" vertical="center" wrapText="1"/>
    </xf>
    <xf numFmtId="0" fontId="93" fillId="18" borderId="34" xfId="22" applyFont="1" applyFill="1" applyBorder="1" applyAlignment="1">
      <alignment horizontal="center" vertical="center"/>
    </xf>
    <xf numFmtId="0" fontId="93" fillId="18" borderId="35" xfId="22" applyFont="1" applyFill="1" applyBorder="1" applyAlignment="1">
      <alignment horizontal="center" vertical="center"/>
    </xf>
    <xf numFmtId="0" fontId="93" fillId="0" borderId="137" xfId="22" applyFont="1" applyBorder="1" applyAlignment="1">
      <alignment horizontal="center" vertical="center"/>
    </xf>
    <xf numFmtId="0" fontId="93" fillId="0" borderId="121" xfId="22" applyFont="1" applyBorder="1" applyAlignment="1">
      <alignment horizontal="center" vertical="center"/>
    </xf>
    <xf numFmtId="0" fontId="93" fillId="0" borderId="64" xfId="22" applyFont="1" applyBorder="1" applyAlignment="1">
      <alignment horizontal="center" vertical="center"/>
    </xf>
    <xf numFmtId="0" fontId="83" fillId="0" borderId="35" xfId="22" applyFont="1" applyBorder="1" applyAlignment="1">
      <alignment horizontal="center" vertical="center" wrapText="1"/>
    </xf>
    <xf numFmtId="177" fontId="42" fillId="0" borderId="0" xfId="15" applyNumberFormat="1" applyFont="1" applyAlignment="1">
      <alignment horizontal="center" vertical="center"/>
    </xf>
    <xf numFmtId="0" fontId="20" fillId="0" borderId="137" xfId="20" applyFont="1" applyBorder="1" applyAlignment="1">
      <alignment horizontal="center"/>
    </xf>
    <xf numFmtId="0" fontId="20" fillId="0" borderId="124" xfId="20" applyFont="1" applyBorder="1" applyAlignment="1">
      <alignment horizontal="center"/>
    </xf>
    <xf numFmtId="0" fontId="20" fillId="0" borderId="150" xfId="20" applyFont="1" applyBorder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86" fillId="0" borderId="0" xfId="18" applyFont="1" applyFill="1" applyBorder="1" applyAlignment="1">
      <alignment horizontal="center" vertical="center"/>
    </xf>
    <xf numFmtId="0" fontId="18" fillId="0" borderId="0" xfId="18" applyFont="1" applyFill="1" applyAlignment="1">
      <alignment horizontal="center" vertical="center"/>
    </xf>
    <xf numFmtId="0" fontId="18" fillId="0" borderId="0" xfId="18" applyFont="1" applyFill="1" applyAlignment="1">
      <alignment horizontal="left" vertical="center"/>
    </xf>
    <xf numFmtId="164" fontId="18" fillId="0" borderId="0" xfId="19" applyNumberFormat="1" applyFont="1" applyFill="1" applyAlignment="1">
      <alignment horizontal="center" vertical="center"/>
    </xf>
    <xf numFmtId="0" fontId="89" fillId="0" borderId="2" xfId="18" applyFont="1" applyBorder="1" applyAlignment="1">
      <alignment horizontal="center" vertical="center" wrapText="1"/>
    </xf>
    <xf numFmtId="0" fontId="89" fillId="0" borderId="4" xfId="18" applyFont="1" applyBorder="1" applyAlignment="1">
      <alignment horizontal="center" vertical="center" wrapText="1"/>
    </xf>
    <xf numFmtId="0" fontId="89" fillId="0" borderId="150" xfId="18" applyFont="1" applyBorder="1" applyAlignment="1">
      <alignment horizontal="center" vertical="center" wrapText="1"/>
    </xf>
    <xf numFmtId="0" fontId="89" fillId="0" borderId="149" xfId="18" applyFont="1" applyBorder="1" applyAlignment="1">
      <alignment horizontal="center" vertical="center" wrapText="1"/>
    </xf>
    <xf numFmtId="164" fontId="18" fillId="0" borderId="0" xfId="19" applyNumberFormat="1" applyFont="1" applyAlignment="1">
      <alignment horizontal="center" vertical="center"/>
    </xf>
    <xf numFmtId="0" fontId="18" fillId="0" borderId="0" xfId="18" applyFont="1" applyAlignment="1">
      <alignment horizontal="left" vertical="center"/>
    </xf>
    <xf numFmtId="0" fontId="87" fillId="0" borderId="0" xfId="18" applyFont="1" applyBorder="1" applyAlignment="1">
      <alignment horizontal="center" vertical="center"/>
    </xf>
    <xf numFmtId="0" fontId="86" fillId="0" borderId="0" xfId="18" applyFont="1" applyBorder="1" applyAlignment="1">
      <alignment horizontal="center" vertical="center"/>
    </xf>
    <xf numFmtId="0" fontId="88" fillId="0" borderId="0" xfId="18" applyFont="1" applyAlignment="1">
      <alignment horizontal="center" vertical="center"/>
    </xf>
    <xf numFmtId="0" fontId="88" fillId="13" borderId="147" xfId="18" applyFont="1" applyFill="1" applyBorder="1" applyAlignment="1">
      <alignment horizontal="center" vertical="center" wrapText="1"/>
    </xf>
    <xf numFmtId="0" fontId="88" fillId="13" borderId="148" xfId="18" applyFont="1" applyFill="1" applyBorder="1" applyAlignment="1">
      <alignment horizontal="center" vertical="center" wrapText="1"/>
    </xf>
    <xf numFmtId="0" fontId="89" fillId="0" borderId="3" xfId="18" applyFont="1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177" fontId="42" fillId="0" borderId="34" xfId="15" applyNumberFormat="1" applyFont="1" applyBorder="1" applyAlignment="1">
      <alignment horizontal="center" vertical="center"/>
    </xf>
    <xf numFmtId="177" fontId="42" fillId="0" borderId="36" xfId="15" applyNumberFormat="1" applyFont="1" applyBorder="1" applyAlignment="1">
      <alignment horizontal="center" vertical="center"/>
    </xf>
    <xf numFmtId="0" fontId="16" fillId="0" borderId="18" xfId="0" applyFont="1" applyFill="1" applyBorder="1" applyAlignment="1">
      <alignment wrapText="1"/>
    </xf>
    <xf numFmtId="0" fontId="16" fillId="0" borderId="15" xfId="0" applyFont="1" applyFill="1" applyBorder="1" applyAlignment="1">
      <alignment wrapText="1"/>
    </xf>
    <xf numFmtId="0" fontId="16" fillId="0" borderId="60" xfId="0" applyFont="1" applyFill="1" applyBorder="1" applyAlignment="1">
      <alignment wrapText="1"/>
    </xf>
    <xf numFmtId="0" fontId="28" fillId="0" borderId="0" xfId="0" applyFont="1" applyFill="1" applyBorder="1" applyAlignment="1">
      <alignment horizontal="left" vertical="top" wrapText="1"/>
    </xf>
    <xf numFmtId="0" fontId="30" fillId="0" borderId="50" xfId="0" applyFont="1" applyFill="1" applyBorder="1" applyAlignment="1">
      <alignment horizontal="left" vertical="top" wrapText="1"/>
    </xf>
    <xf numFmtId="0" fontId="30" fillId="0" borderId="51" xfId="0" applyFont="1" applyFill="1" applyBorder="1" applyAlignment="1">
      <alignment horizontal="left" vertical="top" wrapText="1"/>
    </xf>
    <xf numFmtId="0" fontId="30" fillId="0" borderId="52" xfId="0" applyFont="1" applyFill="1" applyBorder="1" applyAlignment="1">
      <alignment horizontal="left" vertical="top" wrapText="1"/>
    </xf>
    <xf numFmtId="0" fontId="30" fillId="0" borderId="34" xfId="0" applyFont="1" applyFill="1" applyBorder="1" applyAlignment="1">
      <alignment horizontal="left" vertical="top" wrapText="1"/>
    </xf>
    <xf numFmtId="0" fontId="30" fillId="0" borderId="35" xfId="0" applyFont="1" applyFill="1" applyBorder="1" applyAlignment="1">
      <alignment horizontal="left" vertical="top" wrapText="1"/>
    </xf>
    <xf numFmtId="0" fontId="30" fillId="0" borderId="53" xfId="0" applyFont="1" applyFill="1" applyBorder="1" applyAlignment="1">
      <alignment horizontal="left" vertical="top" wrapText="1"/>
    </xf>
    <xf numFmtId="14" fontId="30" fillId="0" borderId="34" xfId="0" applyNumberFormat="1" applyFont="1" applyFill="1" applyBorder="1" applyAlignment="1">
      <alignment horizontal="left" vertical="top"/>
    </xf>
    <xf numFmtId="14" fontId="30" fillId="0" borderId="35" xfId="0" applyNumberFormat="1" applyFont="1" applyFill="1" applyBorder="1" applyAlignment="1">
      <alignment horizontal="left" vertical="top"/>
    </xf>
    <xf numFmtId="14" fontId="30" fillId="0" borderId="53" xfId="0" applyNumberFormat="1" applyFont="1" applyFill="1" applyBorder="1" applyAlignment="1">
      <alignment horizontal="left" vertical="top"/>
    </xf>
    <xf numFmtId="1" fontId="30" fillId="0" borderId="34" xfId="0" applyNumberFormat="1" applyFont="1" applyFill="1" applyBorder="1" applyAlignment="1">
      <alignment horizontal="left" vertical="top"/>
    </xf>
    <xf numFmtId="1" fontId="30" fillId="0" borderId="35" xfId="0" applyNumberFormat="1" applyFont="1" applyFill="1" applyBorder="1" applyAlignment="1">
      <alignment horizontal="left" vertical="top"/>
    </xf>
    <xf numFmtId="1" fontId="30" fillId="0" borderId="53" xfId="0" applyNumberFormat="1" applyFont="1" applyFill="1" applyBorder="1" applyAlignment="1">
      <alignment horizontal="left" vertical="top"/>
    </xf>
    <xf numFmtId="3" fontId="30" fillId="0" borderId="34" xfId="0" applyNumberFormat="1" applyFont="1" applyFill="1" applyBorder="1" applyAlignment="1">
      <alignment horizontal="left" vertical="top"/>
    </xf>
    <xf numFmtId="3" fontId="30" fillId="0" borderId="35" xfId="0" applyNumberFormat="1" applyFont="1" applyFill="1" applyBorder="1" applyAlignment="1">
      <alignment horizontal="left" vertical="top"/>
    </xf>
    <xf numFmtId="3" fontId="30" fillId="0" borderId="53" xfId="0" applyNumberFormat="1" applyFont="1" applyFill="1" applyBorder="1" applyAlignment="1">
      <alignment horizontal="left" vertical="top"/>
    </xf>
    <xf numFmtId="0" fontId="30" fillId="0" borderId="34" xfId="0" applyFont="1" applyFill="1" applyBorder="1" applyAlignment="1">
      <alignment horizontal="left" vertical="top"/>
    </xf>
    <xf numFmtId="0" fontId="30" fillId="0" borderId="35" xfId="0" applyFont="1" applyFill="1" applyBorder="1" applyAlignment="1">
      <alignment horizontal="left" vertical="top"/>
    </xf>
    <xf numFmtId="0" fontId="30" fillId="0" borderId="53" xfId="0" applyFont="1" applyFill="1" applyBorder="1" applyAlignment="1">
      <alignment horizontal="left" vertical="top"/>
    </xf>
    <xf numFmtId="0" fontId="30" fillId="0" borderId="54" xfId="0" applyFont="1" applyFill="1" applyBorder="1" applyAlignment="1">
      <alignment horizontal="left" vertical="top"/>
    </xf>
    <xf numFmtId="0" fontId="30" fillId="0" borderId="55" xfId="0" applyFont="1" applyFill="1" applyBorder="1" applyAlignment="1">
      <alignment horizontal="left" vertical="top"/>
    </xf>
    <xf numFmtId="0" fontId="30" fillId="0" borderId="56" xfId="0" applyFont="1" applyFill="1" applyBorder="1" applyAlignment="1">
      <alignment horizontal="left" vertical="top"/>
    </xf>
    <xf numFmtId="0" fontId="13" fillId="0" borderId="21" xfId="0" applyFont="1" applyFill="1" applyBorder="1" applyAlignment="1">
      <alignment horizontal="left" vertical="center" wrapText="1"/>
    </xf>
    <xf numFmtId="0" fontId="13" fillId="0" borderId="22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wrapText="1"/>
    </xf>
    <xf numFmtId="0" fontId="16" fillId="0" borderId="44" xfId="0" applyFont="1" applyFill="1" applyBorder="1" applyAlignment="1">
      <alignment wrapText="1"/>
    </xf>
    <xf numFmtId="0" fontId="16" fillId="0" borderId="59" xfId="0" applyFont="1" applyFill="1" applyBorder="1" applyAlignment="1">
      <alignment wrapText="1"/>
    </xf>
    <xf numFmtId="0" fontId="16" fillId="0" borderId="18" xfId="0" applyFont="1" applyFill="1" applyBorder="1" applyAlignment="1">
      <alignment horizontal="left" vertical="top" wrapText="1"/>
    </xf>
    <xf numFmtId="0" fontId="16" fillId="0" borderId="15" xfId="0" applyFont="1" applyFill="1" applyBorder="1" applyAlignment="1">
      <alignment horizontal="left" vertical="top" wrapText="1"/>
    </xf>
    <xf numFmtId="0" fontId="16" fillId="0" borderId="60" xfId="0" applyFont="1" applyFill="1" applyBorder="1" applyAlignment="1">
      <alignment horizontal="left" vertical="top" wrapText="1"/>
    </xf>
    <xf numFmtId="0" fontId="34" fillId="0" borderId="18" xfId="0" applyFont="1" applyFill="1" applyBorder="1" applyAlignment="1">
      <alignment horizontal="left" vertical="top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60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0" borderId="61" xfId="0" applyFont="1" applyFill="1" applyBorder="1" applyAlignment="1">
      <alignment horizontal="left" vertical="top" wrapText="1"/>
    </xf>
    <xf numFmtId="0" fontId="16" fillId="0" borderId="58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59" xfId="0" applyFont="1" applyFill="1" applyBorder="1" applyAlignment="1">
      <alignment horizontal="left" vertical="top" wrapText="1"/>
    </xf>
    <xf numFmtId="0" fontId="16" fillId="0" borderId="62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63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6" fillId="3" borderId="18" xfId="0" applyFont="1" applyFill="1" applyBorder="1" applyAlignment="1">
      <alignment horizontal="left" vertical="top" wrapText="1"/>
    </xf>
    <xf numFmtId="0" fontId="16" fillId="3" borderId="15" xfId="0" applyFont="1" applyFill="1" applyBorder="1" applyAlignment="1">
      <alignment horizontal="left" vertical="top" wrapText="1"/>
    </xf>
    <xf numFmtId="0" fontId="16" fillId="3" borderId="60" xfId="0" applyFont="1" applyFill="1" applyBorder="1" applyAlignment="1">
      <alignment horizontal="left" vertical="top" wrapText="1"/>
    </xf>
    <xf numFmtId="0" fontId="13" fillId="0" borderId="58" xfId="0" applyFont="1" applyFill="1" applyBorder="1" applyAlignment="1">
      <alignment horizontal="left" vertical="top" wrapText="1"/>
    </xf>
    <xf numFmtId="0" fontId="13" fillId="0" borderId="44" xfId="0" applyFont="1" applyFill="1" applyBorder="1" applyAlignment="1">
      <alignment horizontal="left" vertical="top" wrapText="1"/>
    </xf>
    <xf numFmtId="0" fontId="13" fillId="0" borderId="59" xfId="0" applyFont="1" applyFill="1" applyBorder="1" applyAlignment="1">
      <alignment horizontal="left" vertical="top" wrapText="1"/>
    </xf>
    <xf numFmtId="0" fontId="13" fillId="0" borderId="65" xfId="0" applyFont="1" applyFill="1" applyBorder="1" applyAlignment="1">
      <alignment horizontal="left" vertical="top" wrapText="1"/>
    </xf>
    <xf numFmtId="0" fontId="13" fillId="0" borderId="66" xfId="0" applyFont="1" applyFill="1" applyBorder="1" applyAlignment="1">
      <alignment horizontal="left" vertical="top" wrapText="1"/>
    </xf>
    <xf numFmtId="0" fontId="13" fillId="0" borderId="67" xfId="0" applyFont="1" applyFill="1" applyBorder="1" applyAlignment="1">
      <alignment horizontal="left" vertical="top" wrapText="1"/>
    </xf>
    <xf numFmtId="0" fontId="13" fillId="17" borderId="9" xfId="0" applyFont="1" applyFill="1" applyBorder="1" applyAlignment="1">
      <alignment horizontal="center" vertical="center"/>
    </xf>
    <xf numFmtId="0" fontId="13" fillId="17" borderId="151" xfId="0" applyFont="1" applyFill="1" applyBorder="1" applyAlignment="1">
      <alignment horizontal="center" vertical="center"/>
    </xf>
    <xf numFmtId="164" fontId="14" fillId="17" borderId="77" xfId="1" applyNumberFormat="1" applyFont="1" applyFill="1" applyBorder="1">
      <protection locked="0"/>
    </xf>
    <xf numFmtId="164" fontId="12" fillId="17" borderId="20" xfId="1" applyNumberFormat="1" applyFont="1" applyFill="1" applyBorder="1">
      <protection locked="0"/>
    </xf>
    <xf numFmtId="9" fontId="14" fillId="17" borderId="15" xfId="2" applyFont="1" applyFill="1" applyBorder="1" applyProtection="1">
      <protection locked="0"/>
    </xf>
    <xf numFmtId="164" fontId="14" fillId="17" borderId="15" xfId="2" applyNumberFormat="1" applyFont="1" applyFill="1" applyBorder="1" applyProtection="1">
      <protection locked="0"/>
    </xf>
    <xf numFmtId="170" fontId="14" fillId="17" borderId="15" xfId="2" applyNumberFormat="1" applyFont="1" applyFill="1" applyBorder="1" applyProtection="1">
      <protection locked="0"/>
    </xf>
    <xf numFmtId="164" fontId="14" fillId="23" borderId="15" xfId="1" applyNumberFormat="1" applyFont="1" applyFill="1" applyBorder="1">
      <protection locked="0"/>
    </xf>
    <xf numFmtId="9" fontId="14" fillId="23" borderId="15" xfId="2" applyFont="1" applyFill="1" applyBorder="1" applyProtection="1">
      <protection locked="0"/>
    </xf>
    <xf numFmtId="164" fontId="14" fillId="23" borderId="15" xfId="2" applyNumberFormat="1" applyFont="1" applyFill="1" applyBorder="1" applyProtection="1">
      <protection locked="0"/>
    </xf>
    <xf numFmtId="0" fontId="16" fillId="23" borderId="16" xfId="0" applyFont="1" applyFill="1" applyBorder="1">
      <alignment vertical="center"/>
    </xf>
    <xf numFmtId="0" fontId="16" fillId="34" borderId="16" xfId="0" applyFont="1" applyFill="1" applyBorder="1">
      <alignment vertical="center"/>
    </xf>
    <xf numFmtId="0" fontId="16" fillId="33" borderId="16" xfId="0" applyFont="1" applyFill="1" applyBorder="1">
      <alignment vertical="center"/>
    </xf>
    <xf numFmtId="0" fontId="16" fillId="36" borderId="16" xfId="0" applyFont="1" applyFill="1" applyBorder="1">
      <alignment vertical="center"/>
    </xf>
    <xf numFmtId="0" fontId="16" fillId="24" borderId="16" xfId="0" applyFont="1" applyFill="1" applyBorder="1">
      <alignment vertical="center"/>
    </xf>
    <xf numFmtId="0" fontId="16" fillId="22" borderId="16" xfId="0" applyFont="1" applyFill="1" applyBorder="1">
      <alignment vertical="center"/>
    </xf>
    <xf numFmtId="0" fontId="16" fillId="5" borderId="16" xfId="0" applyFont="1" applyFill="1" applyBorder="1">
      <alignment vertical="center"/>
    </xf>
    <xf numFmtId="0" fontId="13" fillId="17" borderId="17" xfId="0" applyFont="1" applyFill="1" applyBorder="1">
      <alignment vertical="center"/>
    </xf>
    <xf numFmtId="164" fontId="14" fillId="17" borderId="47" xfId="1" applyNumberFormat="1" applyFont="1" applyFill="1" applyBorder="1">
      <protection locked="0"/>
    </xf>
    <xf numFmtId="9" fontId="14" fillId="17" borderId="47" xfId="2" applyFont="1" applyFill="1" applyBorder="1" applyProtection="1">
      <protection locked="0"/>
    </xf>
    <xf numFmtId="164" fontId="14" fillId="17" borderId="47" xfId="2" applyNumberFormat="1" applyFont="1" applyFill="1" applyBorder="1" applyProtection="1">
      <protection locked="0"/>
    </xf>
    <xf numFmtId="170" fontId="14" fillId="17" borderId="47" xfId="2" applyNumberFormat="1" applyFont="1" applyFill="1" applyBorder="1" applyProtection="1">
      <protection locked="0"/>
    </xf>
    <xf numFmtId="164" fontId="14" fillId="23" borderId="47" xfId="1" applyNumberFormat="1" applyFont="1" applyFill="1" applyBorder="1">
      <protection locked="0"/>
    </xf>
    <xf numFmtId="9" fontId="14" fillId="23" borderId="47" xfId="2" applyFont="1" applyFill="1" applyBorder="1" applyProtection="1">
      <protection locked="0"/>
    </xf>
    <xf numFmtId="164" fontId="14" fillId="23" borderId="47" xfId="2" applyNumberFormat="1" applyFont="1" applyFill="1" applyBorder="1" applyProtection="1">
      <protection locked="0"/>
    </xf>
    <xf numFmtId="164" fontId="14" fillId="12" borderId="47" xfId="1" applyNumberFormat="1" applyFont="1" applyFill="1" applyBorder="1">
      <protection locked="0"/>
    </xf>
    <xf numFmtId="164" fontId="14" fillId="17" borderId="44" xfId="1" applyNumberFormat="1" applyFont="1" applyFill="1" applyBorder="1">
      <protection locked="0"/>
    </xf>
    <xf numFmtId="9" fontId="14" fillId="17" borderId="44" xfId="2" applyFont="1" applyFill="1" applyBorder="1" applyProtection="1">
      <protection locked="0"/>
    </xf>
    <xf numFmtId="164" fontId="14" fillId="17" borderId="44" xfId="2" applyNumberFormat="1" applyFont="1" applyFill="1" applyBorder="1" applyProtection="1">
      <protection locked="0"/>
    </xf>
    <xf numFmtId="170" fontId="14" fillId="17" borderId="44" xfId="2" applyNumberFormat="1" applyFont="1" applyFill="1" applyBorder="1" applyProtection="1">
      <protection locked="0"/>
    </xf>
    <xf numFmtId="164" fontId="14" fillId="23" borderId="44" xfId="1" applyNumberFormat="1" applyFont="1" applyFill="1" applyBorder="1">
      <protection locked="0"/>
    </xf>
    <xf numFmtId="9" fontId="14" fillId="23" borderId="44" xfId="2" applyFont="1" applyFill="1" applyBorder="1" applyProtection="1">
      <protection locked="0"/>
    </xf>
    <xf numFmtId="164" fontId="14" fillId="23" borderId="44" xfId="2" applyNumberFormat="1" applyFont="1" applyFill="1" applyBorder="1" applyProtection="1">
      <protection locked="0"/>
    </xf>
    <xf numFmtId="9" fontId="12" fillId="17" borderId="20" xfId="2" applyFont="1" applyFill="1" applyBorder="1" applyProtection="1">
      <protection locked="0"/>
    </xf>
    <xf numFmtId="164" fontId="12" fillId="17" borderId="20" xfId="2" applyNumberFormat="1" applyFont="1" applyFill="1" applyBorder="1" applyProtection="1">
      <protection locked="0"/>
    </xf>
    <xf numFmtId="170" fontId="12" fillId="17" borderId="20" xfId="2" applyNumberFormat="1" applyFont="1" applyFill="1" applyBorder="1" applyProtection="1">
      <protection locked="0"/>
    </xf>
    <xf numFmtId="164" fontId="12" fillId="23" borderId="20" xfId="1" applyNumberFormat="1" applyFont="1" applyFill="1" applyBorder="1">
      <protection locked="0"/>
    </xf>
    <xf numFmtId="9" fontId="12" fillId="23" borderId="20" xfId="2" applyFont="1" applyFill="1" applyBorder="1" applyProtection="1">
      <protection locked="0"/>
    </xf>
    <xf numFmtId="164" fontId="12" fillId="23" borderId="20" xfId="2" applyNumberFormat="1" applyFont="1" applyFill="1" applyBorder="1" applyProtection="1">
      <protection locked="0"/>
    </xf>
    <xf numFmtId="164" fontId="12" fillId="12" borderId="20" xfId="1" applyNumberFormat="1" applyFont="1" applyFill="1" applyBorder="1">
      <protection locked="0"/>
    </xf>
    <xf numFmtId="9" fontId="12" fillId="17" borderId="187" xfId="2" applyFont="1" applyFill="1" applyBorder="1" applyProtection="1">
      <protection locked="0"/>
    </xf>
    <xf numFmtId="164" fontId="12" fillId="17" borderId="187" xfId="2" applyNumberFormat="1" applyFont="1" applyFill="1" applyBorder="1" applyProtection="1">
      <protection locked="0"/>
    </xf>
    <xf numFmtId="170" fontId="12" fillId="17" borderId="187" xfId="2" applyNumberFormat="1" applyFont="1" applyFill="1" applyBorder="1" applyProtection="1">
      <protection locked="0"/>
    </xf>
    <xf numFmtId="164" fontId="12" fillId="23" borderId="187" xfId="1" applyNumberFormat="1" applyFont="1" applyFill="1" applyBorder="1">
      <protection locked="0"/>
    </xf>
    <xf numFmtId="0" fontId="25" fillId="17" borderId="103" xfId="0" applyFont="1" applyFill="1" applyBorder="1" applyAlignment="1">
      <alignment horizontal="center" vertical="center" wrapText="1"/>
    </xf>
    <xf numFmtId="0" fontId="25" fillId="23" borderId="103" xfId="0" applyFont="1" applyFill="1" applyBorder="1" applyAlignment="1">
      <alignment horizontal="center" vertical="center" wrapText="1"/>
    </xf>
    <xf numFmtId="0" fontId="25" fillId="12" borderId="103" xfId="0" applyFont="1" applyFill="1" applyBorder="1" applyAlignment="1">
      <alignment horizontal="center" vertical="center" wrapText="1"/>
    </xf>
    <xf numFmtId="9" fontId="12" fillId="23" borderId="187" xfId="2" applyFont="1" applyFill="1" applyBorder="1" applyProtection="1">
      <protection locked="0"/>
    </xf>
    <xf numFmtId="164" fontId="12" fillId="12" borderId="187" xfId="1" applyNumberFormat="1" applyFont="1" applyFill="1" applyBorder="1">
      <protection locked="0"/>
    </xf>
    <xf numFmtId="0" fontId="25" fillId="17" borderId="66" xfId="0" applyFont="1" applyFill="1" applyBorder="1" applyAlignment="1">
      <alignment horizontal="center" vertical="center" wrapText="1"/>
    </xf>
    <xf numFmtId="0" fontId="25" fillId="23" borderId="66" xfId="0" applyFont="1" applyFill="1" applyBorder="1" applyAlignment="1">
      <alignment horizontal="center" vertical="center" wrapText="1"/>
    </xf>
    <xf numFmtId="0" fontId="25" fillId="12" borderId="66" xfId="0" applyFont="1" applyFill="1" applyBorder="1" applyAlignment="1">
      <alignment horizontal="center" vertical="center" wrapText="1"/>
    </xf>
    <xf numFmtId="0" fontId="13" fillId="23" borderId="9" xfId="0" applyFont="1" applyFill="1" applyBorder="1" applyAlignment="1">
      <alignment horizontal="center" vertical="center"/>
    </xf>
    <xf numFmtId="0" fontId="13" fillId="12" borderId="9" xfId="0" applyFont="1" applyFill="1" applyBorder="1" applyAlignment="1">
      <alignment horizontal="center" vertical="center"/>
    </xf>
    <xf numFmtId="0" fontId="13" fillId="12" borderId="10" xfId="0" applyFont="1" applyFill="1" applyBorder="1" applyAlignment="1">
      <alignment horizontal="center" vertical="center"/>
    </xf>
    <xf numFmtId="0" fontId="25" fillId="12" borderId="229" xfId="0" applyFont="1" applyFill="1" applyBorder="1" applyAlignment="1">
      <alignment horizontal="center" vertical="center" wrapText="1"/>
    </xf>
    <xf numFmtId="164" fontId="12" fillId="12" borderId="144" xfId="1" applyNumberFormat="1" applyFont="1" applyFill="1" applyBorder="1">
      <protection locked="0"/>
    </xf>
    <xf numFmtId="164" fontId="14" fillId="12" borderId="46" xfId="1" applyNumberFormat="1" applyFont="1" applyFill="1" applyBorder="1">
      <protection locked="0"/>
    </xf>
    <xf numFmtId="164" fontId="12" fillId="12" borderId="159" xfId="1" applyNumberFormat="1" applyFont="1" applyFill="1" applyBorder="1">
      <protection locked="0"/>
    </xf>
    <xf numFmtId="0" fontId="13" fillId="23" borderId="151" xfId="0" applyFont="1" applyFill="1" applyBorder="1" applyAlignment="1">
      <alignment horizontal="center" vertical="center"/>
    </xf>
    <xf numFmtId="0" fontId="13" fillId="23" borderId="10" xfId="0" applyFont="1" applyFill="1" applyBorder="1" applyAlignment="1">
      <alignment horizontal="center" vertical="center"/>
    </xf>
    <xf numFmtId="0" fontId="25" fillId="23" borderId="231" xfId="0" applyFont="1" applyFill="1" applyBorder="1" applyAlignment="1">
      <alignment horizontal="center" vertical="center" wrapText="1"/>
    </xf>
    <xf numFmtId="0" fontId="25" fillId="23" borderId="232" xfId="0" applyFont="1" applyFill="1" applyBorder="1" applyAlignment="1">
      <alignment horizontal="center" vertical="center" wrapText="1"/>
    </xf>
    <xf numFmtId="164" fontId="14" fillId="23" borderId="168" xfId="1" applyNumberFormat="1" applyFont="1" applyFill="1" applyBorder="1">
      <protection locked="0"/>
    </xf>
    <xf numFmtId="164" fontId="14" fillId="23" borderId="233" xfId="1" applyNumberFormat="1" applyFont="1" applyFill="1" applyBorder="1">
      <protection locked="0"/>
    </xf>
    <xf numFmtId="164" fontId="14" fillId="23" borderId="77" xfId="1" applyNumberFormat="1" applyFont="1" applyFill="1" applyBorder="1">
      <protection locked="0"/>
    </xf>
    <xf numFmtId="164" fontId="14" fillId="23" borderId="83" xfId="1" applyNumberFormat="1" applyFont="1" applyFill="1" applyBorder="1">
      <protection locked="0"/>
    </xf>
    <xf numFmtId="164" fontId="12" fillId="23" borderId="169" xfId="1" applyNumberFormat="1" applyFont="1" applyFill="1" applyBorder="1">
      <protection locked="0"/>
    </xf>
    <xf numFmtId="164" fontId="12" fillId="23" borderId="222" xfId="1" applyNumberFormat="1" applyFont="1" applyFill="1" applyBorder="1">
      <protection locked="0"/>
    </xf>
    <xf numFmtId="164" fontId="14" fillId="23" borderId="195" xfId="1" applyNumberFormat="1" applyFont="1" applyFill="1" applyBorder="1">
      <protection locked="0"/>
    </xf>
    <xf numFmtId="164" fontId="14" fillId="23" borderId="89" xfId="1" applyNumberFormat="1" applyFont="1" applyFill="1" applyBorder="1">
      <protection locked="0"/>
    </xf>
    <xf numFmtId="164" fontId="12" fillId="23" borderId="76" xfId="1" applyNumberFormat="1" applyFont="1" applyFill="1" applyBorder="1">
      <protection locked="0"/>
    </xf>
    <xf numFmtId="164" fontId="12" fillId="23" borderId="197" xfId="1" applyNumberFormat="1" applyFont="1" applyFill="1" applyBorder="1">
      <protection locked="0"/>
    </xf>
    <xf numFmtId="164" fontId="12" fillId="23" borderId="234" xfId="1" applyNumberFormat="1" applyFont="1" applyFill="1" applyBorder="1" applyAlignment="1">
      <alignment horizontal="right"/>
      <protection locked="0"/>
    </xf>
    <xf numFmtId="164" fontId="12" fillId="23" borderId="227" xfId="1" applyNumberFormat="1" applyFont="1" applyFill="1" applyBorder="1" applyAlignment="1">
      <alignment horizontal="right"/>
      <protection locked="0"/>
    </xf>
    <xf numFmtId="164" fontId="12" fillId="23" borderId="228" xfId="1" applyNumberFormat="1" applyFont="1" applyFill="1" applyBorder="1" applyAlignment="1">
      <alignment horizontal="right"/>
      <protection locked="0"/>
    </xf>
    <xf numFmtId="0" fontId="13" fillId="30" borderId="230" xfId="0" applyFont="1" applyFill="1" applyBorder="1" applyAlignment="1">
      <alignment vertical="center"/>
    </xf>
    <xf numFmtId="0" fontId="16" fillId="20" borderId="69" xfId="0" applyFont="1" applyFill="1" applyBorder="1">
      <alignment vertical="center"/>
    </xf>
    <xf numFmtId="0" fontId="13" fillId="17" borderId="26" xfId="0" applyFont="1" applyFill="1" applyBorder="1">
      <alignment vertical="center"/>
    </xf>
    <xf numFmtId="0" fontId="16" fillId="34" borderId="69" xfId="0" applyFont="1" applyFill="1" applyBorder="1">
      <alignment vertical="center"/>
    </xf>
    <xf numFmtId="0" fontId="16" fillId="37" borderId="69" xfId="0" applyFont="1" applyFill="1" applyBorder="1">
      <alignment vertical="center"/>
    </xf>
    <xf numFmtId="0" fontId="16" fillId="36" borderId="96" xfId="0" applyFont="1" applyFill="1" applyBorder="1">
      <alignment vertical="center"/>
    </xf>
    <xf numFmtId="0" fontId="16" fillId="26" borderId="96" xfId="0" applyFont="1" applyFill="1" applyBorder="1">
      <alignment vertical="center"/>
    </xf>
    <xf numFmtId="0" fontId="13" fillId="17" borderId="10" xfId="0" applyFont="1" applyFill="1" applyBorder="1" applyAlignment="1">
      <alignment horizontal="center" vertical="center"/>
    </xf>
    <xf numFmtId="0" fontId="25" fillId="17" borderId="231" xfId="0" applyFont="1" applyFill="1" applyBorder="1" applyAlignment="1">
      <alignment horizontal="center" vertical="center" wrapText="1"/>
    </xf>
    <xf numFmtId="0" fontId="25" fillId="17" borderId="232" xfId="0" applyFont="1" applyFill="1" applyBorder="1" applyAlignment="1">
      <alignment horizontal="center" vertical="center" wrapText="1"/>
    </xf>
    <xf numFmtId="164" fontId="14" fillId="17" borderId="168" xfId="1" applyNumberFormat="1" applyFont="1" applyFill="1" applyBorder="1">
      <protection locked="0"/>
    </xf>
    <xf numFmtId="164" fontId="14" fillId="17" borderId="233" xfId="2" applyNumberFormat="1" applyFont="1" applyFill="1" applyBorder="1" applyProtection="1">
      <protection locked="0"/>
    </xf>
    <xf numFmtId="164" fontId="14" fillId="17" borderId="83" xfId="2" applyNumberFormat="1" applyFont="1" applyFill="1" applyBorder="1" applyProtection="1">
      <protection locked="0"/>
    </xf>
    <xf numFmtId="164" fontId="12" fillId="17" borderId="169" xfId="1" applyNumberFormat="1" applyFont="1" applyFill="1" applyBorder="1">
      <protection locked="0"/>
    </xf>
    <xf numFmtId="164" fontId="12" fillId="17" borderId="222" xfId="2" applyNumberFormat="1" applyFont="1" applyFill="1" applyBorder="1" applyProtection="1">
      <protection locked="0"/>
    </xf>
    <xf numFmtId="164" fontId="14" fillId="17" borderId="195" xfId="1" applyNumberFormat="1" applyFont="1" applyFill="1" applyBorder="1">
      <protection locked="0"/>
    </xf>
    <xf numFmtId="164" fontId="14" fillId="17" borderId="89" xfId="2" applyNumberFormat="1" applyFont="1" applyFill="1" applyBorder="1" applyProtection="1">
      <protection locked="0"/>
    </xf>
    <xf numFmtId="164" fontId="12" fillId="17" borderId="76" xfId="1" applyNumberFormat="1" applyFont="1" applyFill="1" applyBorder="1">
      <protection locked="0"/>
    </xf>
    <xf numFmtId="164" fontId="12" fillId="17" borderId="197" xfId="2" applyNumberFormat="1" applyFont="1" applyFill="1" applyBorder="1" applyProtection="1">
      <protection locked="0"/>
    </xf>
    <xf numFmtId="164" fontId="12" fillId="17" borderId="234" xfId="1" applyNumberFormat="1" applyFont="1" applyFill="1" applyBorder="1" applyAlignment="1">
      <alignment horizontal="right"/>
      <protection locked="0"/>
    </xf>
    <xf numFmtId="164" fontId="12" fillId="17" borderId="227" xfId="1" applyNumberFormat="1" applyFont="1" applyFill="1" applyBorder="1" applyAlignment="1">
      <alignment horizontal="right"/>
      <protection locked="0"/>
    </xf>
    <xf numFmtId="164" fontId="12" fillId="17" borderId="227" xfId="1" applyNumberFormat="1" applyFont="1" applyFill="1" applyBorder="1">
      <protection locked="0"/>
    </xf>
    <xf numFmtId="164" fontId="12" fillId="17" borderId="228" xfId="1" applyNumberFormat="1" applyFont="1" applyFill="1" applyBorder="1">
      <protection locked="0"/>
    </xf>
    <xf numFmtId="0" fontId="13" fillId="30" borderId="231" xfId="0" applyFont="1" applyFill="1" applyBorder="1" applyAlignment="1">
      <alignment horizontal="center" vertical="center"/>
    </xf>
    <xf numFmtId="0" fontId="25" fillId="12" borderId="232" xfId="0" applyFont="1" applyFill="1" applyBorder="1" applyAlignment="1">
      <alignment horizontal="center" vertical="center" wrapText="1"/>
    </xf>
    <xf numFmtId="0" fontId="16" fillId="30" borderId="168" xfId="0" applyFont="1" applyFill="1" applyBorder="1" applyAlignment="1">
      <alignment horizontal="center"/>
    </xf>
    <xf numFmtId="164" fontId="14" fillId="12" borderId="233" xfId="1" applyNumberFormat="1" applyFont="1" applyFill="1" applyBorder="1">
      <protection locked="0"/>
    </xf>
    <xf numFmtId="164" fontId="14" fillId="12" borderId="83" xfId="1" applyNumberFormat="1" applyFont="1" applyFill="1" applyBorder="1">
      <protection locked="0"/>
    </xf>
    <xf numFmtId="0" fontId="13" fillId="30" borderId="169" xfId="0" applyFont="1" applyFill="1" applyBorder="1" applyAlignment="1">
      <alignment horizontal="center"/>
    </xf>
    <xf numFmtId="164" fontId="12" fillId="12" borderId="222" xfId="1" applyNumberFormat="1" applyFont="1" applyFill="1" applyBorder="1">
      <protection locked="0"/>
    </xf>
    <xf numFmtId="0" fontId="16" fillId="30" borderId="195" xfId="0" applyFont="1" applyFill="1" applyBorder="1" applyAlignment="1">
      <alignment horizontal="center"/>
    </xf>
    <xf numFmtId="164" fontId="14" fillId="12" borderId="89" xfId="1" applyNumberFormat="1" applyFont="1" applyFill="1" applyBorder="1">
      <protection locked="0"/>
    </xf>
    <xf numFmtId="0" fontId="13" fillId="30" borderId="76" xfId="0" applyFont="1" applyFill="1" applyBorder="1" applyAlignment="1">
      <alignment horizontal="center"/>
    </xf>
    <xf numFmtId="164" fontId="12" fillId="12" borderId="197" xfId="1" applyNumberFormat="1" applyFont="1" applyFill="1" applyBorder="1">
      <protection locked="0"/>
    </xf>
    <xf numFmtId="0" fontId="13" fillId="30" borderId="234" xfId="0" applyFont="1" applyFill="1" applyBorder="1" applyAlignment="1">
      <alignment horizontal="center" vertical="center"/>
    </xf>
    <xf numFmtId="0" fontId="13" fillId="17" borderId="235" xfId="0" applyFont="1" applyFill="1" applyBorder="1">
      <alignment vertical="center"/>
    </xf>
    <xf numFmtId="164" fontId="12" fillId="12" borderId="227" xfId="1" applyNumberFormat="1" applyFont="1" applyFill="1" applyBorder="1" applyAlignment="1">
      <alignment horizontal="right"/>
      <protection locked="0"/>
    </xf>
    <xf numFmtId="164" fontId="12" fillId="12" borderId="228" xfId="1" applyNumberFormat="1" applyFont="1" applyFill="1" applyBorder="1" applyAlignment="1">
      <alignment horizontal="right"/>
      <protection locked="0"/>
    </xf>
    <xf numFmtId="170" fontId="14" fillId="23" borderId="44" xfId="2" applyNumberFormat="1" applyFont="1" applyFill="1" applyBorder="1" applyProtection="1">
      <protection locked="0"/>
    </xf>
    <xf numFmtId="170" fontId="14" fillId="23" borderId="15" xfId="2" applyNumberFormat="1" applyFont="1" applyFill="1" applyBorder="1" applyProtection="1">
      <protection locked="0"/>
    </xf>
    <xf numFmtId="170" fontId="12" fillId="23" borderId="20" xfId="2" applyNumberFormat="1" applyFont="1" applyFill="1" applyBorder="1" applyProtection="1">
      <protection locked="0"/>
    </xf>
    <xf numFmtId="170" fontId="14" fillId="23" borderId="47" xfId="2" applyNumberFormat="1" applyFont="1" applyFill="1" applyBorder="1" applyProtection="1">
      <protection locked="0"/>
    </xf>
    <xf numFmtId="170" fontId="12" fillId="23" borderId="187" xfId="2" applyNumberFormat="1" applyFont="1" applyFill="1" applyBorder="1" applyProtection="1">
      <protection locked="0"/>
    </xf>
    <xf numFmtId="9" fontId="12" fillId="17" borderId="227" xfId="2" applyFont="1" applyFill="1" applyBorder="1" applyProtection="1">
      <protection locked="0"/>
    </xf>
    <xf numFmtId="170" fontId="12" fillId="17" borderId="227" xfId="2" applyNumberFormat="1" applyFont="1" applyFill="1" applyBorder="1" applyProtection="1">
      <protection locked="0"/>
    </xf>
    <xf numFmtId="164" fontId="12" fillId="12" borderId="226" xfId="1" applyNumberFormat="1" applyFont="1" applyFill="1" applyBorder="1">
      <protection locked="0"/>
    </xf>
    <xf numFmtId="0" fontId="13" fillId="0" borderId="0" xfId="0" applyFont="1" applyAlignment="1">
      <alignment horizontal="center" vertical="center"/>
    </xf>
    <xf numFmtId="0" fontId="13" fillId="22" borderId="80" xfId="7" applyFont="1" applyFill="1" applyBorder="1" applyAlignment="1">
      <alignment vertical="center"/>
    </xf>
    <xf numFmtId="0" fontId="13" fillId="22" borderId="78" xfId="7" applyFont="1" applyFill="1" applyBorder="1" applyAlignment="1">
      <alignment vertical="center"/>
    </xf>
    <xf numFmtId="164" fontId="12" fillId="22" borderId="78" xfId="1" applyNumberFormat="1" applyFont="1" applyFill="1" applyBorder="1" applyAlignment="1">
      <alignment horizontal="center" vertical="center"/>
      <protection locked="0"/>
    </xf>
    <xf numFmtId="164" fontId="12" fillId="22" borderId="79" xfId="1" applyNumberFormat="1" applyFont="1" applyFill="1" applyBorder="1" applyAlignment="1">
      <alignment vertical="center"/>
      <protection locked="0"/>
    </xf>
    <xf numFmtId="0" fontId="39" fillId="22" borderId="77" xfId="7" applyFont="1" applyFill="1" applyBorder="1" applyAlignment="1">
      <alignment vertical="center"/>
    </xf>
    <xf numFmtId="0" fontId="39" fillId="22" borderId="15" xfId="7" applyFont="1" applyFill="1" applyBorder="1" applyAlignment="1">
      <alignment vertical="center"/>
    </xf>
    <xf numFmtId="9" fontId="14" fillId="22" borderId="15" xfId="2" applyFont="1" applyFill="1" applyBorder="1" applyAlignment="1" applyProtection="1">
      <alignment vertical="center"/>
      <protection locked="0"/>
    </xf>
    <xf numFmtId="5" fontId="14" fillId="22" borderId="15" xfId="1" applyNumberFormat="1" applyFont="1" applyFill="1" applyBorder="1" applyAlignment="1">
      <alignment vertical="center"/>
      <protection locked="0"/>
    </xf>
    <xf numFmtId="7" fontId="14" fillId="22" borderId="83" xfId="1" applyNumberFormat="1" applyFont="1" applyFill="1" applyBorder="1" applyAlignment="1">
      <alignment vertical="center"/>
      <protection locked="0"/>
    </xf>
    <xf numFmtId="0" fontId="15" fillId="22" borderId="74" xfId="7" applyFont="1" applyFill="1" applyBorder="1" applyAlignment="1">
      <alignment vertical="center"/>
    </xf>
    <xf numFmtId="0" fontId="15" fillId="22" borderId="75" xfId="7" applyFont="1" applyFill="1" applyBorder="1" applyAlignment="1">
      <alignment vertical="center"/>
    </xf>
    <xf numFmtId="165" fontId="14" fillId="22" borderId="75" xfId="1" applyNumberFormat="1" applyFont="1" applyFill="1" applyBorder="1" applyAlignment="1">
      <alignment vertical="center"/>
      <protection locked="0"/>
    </xf>
    <xf numFmtId="173" fontId="14" fillId="22" borderId="73" xfId="1" applyNumberFormat="1" applyFont="1" applyFill="1" applyBorder="1" applyAlignment="1">
      <alignment vertical="center"/>
      <protection locked="0"/>
    </xf>
    <xf numFmtId="0" fontId="13" fillId="6" borderId="72" xfId="0" applyFont="1" applyFill="1" applyBorder="1" applyAlignment="1">
      <alignment vertical="center"/>
    </xf>
    <xf numFmtId="164" fontId="12" fillId="6" borderId="92" xfId="1" applyNumberFormat="1" applyFont="1" applyFill="1" applyBorder="1" applyAlignment="1">
      <protection locked="0"/>
    </xf>
    <xf numFmtId="164" fontId="12" fillId="6" borderId="93" xfId="1" applyNumberFormat="1" applyFont="1" applyFill="1" applyBorder="1" applyAlignment="1">
      <protection locked="0"/>
    </xf>
    <xf numFmtId="164" fontId="14" fillId="6" borderId="93" xfId="1" applyNumberFormat="1" applyFont="1" applyFill="1" applyBorder="1" applyAlignment="1">
      <protection locked="0"/>
    </xf>
    <xf numFmtId="164" fontId="12" fillId="6" borderId="220" xfId="1" applyNumberFormat="1" applyFont="1" applyFill="1" applyBorder="1" applyAlignment="1">
      <protection locked="0"/>
    </xf>
    <xf numFmtId="164" fontId="12" fillId="6" borderId="125" xfId="1" applyNumberFormat="1" applyFont="1" applyFill="1" applyBorder="1" applyAlignment="1">
      <protection locked="0"/>
    </xf>
    <xf numFmtId="164" fontId="12" fillId="6" borderId="223" xfId="1" applyNumberFormat="1" applyFont="1" applyFill="1" applyBorder="1" applyAlignment="1">
      <protection locked="0"/>
    </xf>
    <xf numFmtId="0" fontId="16" fillId="35" borderId="16" xfId="0" applyFont="1" applyFill="1" applyBorder="1">
      <alignment vertical="center"/>
    </xf>
    <xf numFmtId="0" fontId="13" fillId="12" borderId="151" xfId="0" applyFont="1" applyFill="1" applyBorder="1" applyAlignment="1">
      <alignment horizontal="center" vertical="center"/>
    </xf>
    <xf numFmtId="170" fontId="25" fillId="12" borderId="66" xfId="2" applyNumberFormat="1" applyFont="1" applyFill="1" applyBorder="1" applyAlignment="1">
      <alignment horizontal="center" vertical="center" wrapText="1"/>
    </xf>
    <xf numFmtId="170" fontId="14" fillId="12" borderId="44" xfId="2" applyNumberFormat="1" applyFont="1" applyFill="1" applyBorder="1" applyProtection="1">
      <protection locked="0"/>
    </xf>
    <xf numFmtId="170" fontId="14" fillId="12" borderId="15" xfId="2" applyNumberFormat="1" applyFont="1" applyFill="1" applyBorder="1" applyProtection="1">
      <protection locked="0"/>
    </xf>
    <xf numFmtId="170" fontId="12" fillId="12" borderId="20" xfId="2" applyNumberFormat="1" applyFont="1" applyFill="1" applyBorder="1" applyProtection="1">
      <protection locked="0"/>
    </xf>
    <xf numFmtId="170" fontId="14" fillId="12" borderId="47" xfId="2" applyNumberFormat="1" applyFont="1" applyFill="1" applyBorder="1" applyProtection="1">
      <protection locked="0"/>
    </xf>
    <xf numFmtId="170" fontId="12" fillId="12" borderId="187" xfId="2" applyNumberFormat="1" applyFont="1" applyFill="1" applyBorder="1" applyProtection="1">
      <protection locked="0"/>
    </xf>
    <xf numFmtId="170" fontId="12" fillId="12" borderId="227" xfId="2" applyNumberFormat="1" applyFont="1" applyFill="1" applyBorder="1" applyAlignment="1" applyProtection="1">
      <alignment horizontal="right"/>
      <protection locked="0"/>
    </xf>
    <xf numFmtId="0" fontId="13" fillId="30" borderId="160" xfId="0" applyFont="1" applyFill="1" applyBorder="1" applyAlignment="1">
      <alignment horizontal="center" vertical="center"/>
    </xf>
    <xf numFmtId="0" fontId="13" fillId="30" borderId="155" xfId="0" applyFont="1" applyFill="1" applyBorder="1" applyAlignment="1">
      <alignment vertical="center"/>
    </xf>
    <xf numFmtId="0" fontId="25" fillId="17" borderId="160" xfId="0" applyFont="1" applyFill="1" applyBorder="1" applyAlignment="1">
      <alignment horizontal="center" vertical="center" wrapText="1"/>
    </xf>
    <xf numFmtId="0" fontId="25" fillId="17" borderId="104" xfId="0" applyFont="1" applyFill="1" applyBorder="1" applyAlignment="1">
      <alignment horizontal="center" vertical="center" wrapText="1"/>
    </xf>
    <xf numFmtId="0" fontId="25" fillId="23" borderId="160" xfId="0" applyFont="1" applyFill="1" applyBorder="1" applyAlignment="1">
      <alignment horizontal="center" vertical="center" wrapText="1"/>
    </xf>
    <xf numFmtId="0" fontId="25" fillId="23" borderId="104" xfId="0" applyFont="1" applyFill="1" applyBorder="1" applyAlignment="1">
      <alignment horizontal="center" vertical="center" wrapText="1"/>
    </xf>
    <xf numFmtId="0" fontId="25" fillId="12" borderId="126" xfId="0" applyFont="1" applyFill="1" applyBorder="1" applyAlignment="1">
      <alignment horizontal="center" vertical="center" wrapText="1"/>
    </xf>
    <xf numFmtId="170" fontId="25" fillId="12" borderId="103" xfId="2" applyNumberFormat="1" applyFont="1" applyFill="1" applyBorder="1" applyAlignment="1">
      <alignment horizontal="center" vertical="center" wrapText="1"/>
    </xf>
    <xf numFmtId="0" fontId="25" fillId="12" borderId="104" xfId="0" applyFont="1" applyFill="1" applyBorder="1" applyAlignment="1">
      <alignment horizontal="center" vertical="center" wrapText="1"/>
    </xf>
    <xf numFmtId="164" fontId="12" fillId="23" borderId="236" xfId="1" applyNumberFormat="1" applyFont="1" applyFill="1" applyBorder="1" applyAlignment="1">
      <alignment horizontal="right"/>
      <protection locked="0"/>
    </xf>
    <xf numFmtId="9" fontId="12" fillId="23" borderId="236" xfId="2" applyFont="1" applyFill="1" applyBorder="1" applyProtection="1">
      <protection locked="0"/>
    </xf>
    <xf numFmtId="170" fontId="12" fillId="23" borderId="236" xfId="2" applyNumberFormat="1" applyFont="1" applyFill="1" applyBorder="1" applyProtection="1">
      <protection locked="0"/>
    </xf>
    <xf numFmtId="0" fontId="13" fillId="29" borderId="20" xfId="0" applyFont="1" applyFill="1" applyBorder="1" applyAlignment="1">
      <alignment horizontal="center" vertical="center"/>
    </xf>
    <xf numFmtId="164" fontId="14" fillId="21" borderId="195" xfId="1" applyNumberFormat="1" applyFont="1" applyFill="1" applyBorder="1">
      <protection locked="0"/>
    </xf>
    <xf numFmtId="164" fontId="14" fillId="21" borderId="77" xfId="1" applyNumberFormat="1" applyFont="1" applyFill="1" applyBorder="1">
      <protection locked="0"/>
    </xf>
    <xf numFmtId="164" fontId="14" fillId="21" borderId="168" xfId="1" applyNumberFormat="1" applyFont="1" applyFill="1" applyBorder="1">
      <protection locked="0"/>
    </xf>
    <xf numFmtId="0" fontId="13" fillId="29" borderId="80" xfId="0" applyFont="1" applyFill="1" applyBorder="1" applyAlignment="1">
      <alignment horizontal="center" vertical="center"/>
    </xf>
    <xf numFmtId="0" fontId="13" fillId="29" borderId="78" xfId="0" applyFont="1" applyFill="1" applyBorder="1" applyAlignment="1">
      <alignment horizontal="center" vertical="center"/>
    </xf>
    <xf numFmtId="0" fontId="13" fillId="29" borderId="79" xfId="0" applyFont="1" applyFill="1" applyBorder="1" applyAlignment="1">
      <alignment horizontal="center" vertical="center"/>
    </xf>
    <xf numFmtId="0" fontId="13" fillId="29" borderId="169" xfId="0" applyFont="1" applyFill="1" applyBorder="1" applyAlignment="1">
      <alignment horizontal="center" vertical="center"/>
    </xf>
    <xf numFmtId="0" fontId="13" fillId="29" borderId="222" xfId="0" applyFont="1" applyFill="1" applyBorder="1" applyAlignment="1">
      <alignment horizontal="center" vertical="center"/>
    </xf>
    <xf numFmtId="0" fontId="16" fillId="20" borderId="216" xfId="0" applyFont="1" applyFill="1" applyBorder="1">
      <alignment vertical="center"/>
    </xf>
    <xf numFmtId="164" fontId="14" fillId="21" borderId="89" xfId="1" applyNumberFormat="1" applyFont="1" applyFill="1" applyBorder="1">
      <protection locked="0"/>
    </xf>
    <xf numFmtId="0" fontId="16" fillId="9" borderId="85" xfId="0" applyFont="1" applyFill="1" applyBorder="1">
      <alignment vertical="center"/>
    </xf>
    <xf numFmtId="164" fontId="14" fillId="21" borderId="83" xfId="1" applyNumberFormat="1" applyFont="1" applyFill="1" applyBorder="1">
      <protection locked="0"/>
    </xf>
    <xf numFmtId="0" fontId="16" fillId="23" borderId="85" xfId="0" applyFont="1" applyFill="1" applyBorder="1">
      <alignment vertical="center"/>
    </xf>
    <xf numFmtId="0" fontId="16" fillId="34" borderId="237" xfId="0" applyFont="1" applyFill="1" applyBorder="1">
      <alignment vertical="center"/>
    </xf>
    <xf numFmtId="164" fontId="14" fillId="21" borderId="233" xfId="1" applyNumberFormat="1" applyFont="1" applyFill="1" applyBorder="1">
      <protection locked="0"/>
    </xf>
    <xf numFmtId="0" fontId="16" fillId="33" borderId="85" xfId="0" applyFont="1" applyFill="1" applyBorder="1">
      <alignment vertical="center"/>
    </xf>
    <xf numFmtId="0" fontId="16" fillId="34" borderId="85" xfId="0" applyFont="1" applyFill="1" applyBorder="1">
      <alignment vertical="center"/>
    </xf>
    <xf numFmtId="0" fontId="16" fillId="37" borderId="237" xfId="0" applyFont="1" applyFill="1" applyBorder="1">
      <alignment vertical="center"/>
    </xf>
    <xf numFmtId="0" fontId="16" fillId="36" borderId="85" xfId="0" applyFont="1" applyFill="1" applyBorder="1">
      <alignment vertical="center"/>
    </xf>
    <xf numFmtId="0" fontId="16" fillId="36" borderId="216" xfId="0" applyFont="1" applyFill="1" applyBorder="1">
      <alignment vertical="center"/>
    </xf>
    <xf numFmtId="0" fontId="16" fillId="35" borderId="85" xfId="0" applyFont="1" applyFill="1" applyBorder="1">
      <alignment vertical="center"/>
    </xf>
    <xf numFmtId="0" fontId="16" fillId="20" borderId="237" xfId="0" applyFont="1" applyFill="1" applyBorder="1">
      <alignment vertical="center"/>
    </xf>
    <xf numFmtId="0" fontId="16" fillId="26" borderId="216" xfId="0" applyFont="1" applyFill="1" applyBorder="1">
      <alignment vertical="center"/>
    </xf>
    <xf numFmtId="0" fontId="16" fillId="24" borderId="85" xfId="0" applyFont="1" applyFill="1" applyBorder="1">
      <alignment vertical="center"/>
    </xf>
    <xf numFmtId="0" fontId="16" fillId="22" borderId="85" xfId="0" applyFont="1" applyFill="1" applyBorder="1">
      <alignment vertical="center"/>
    </xf>
    <xf numFmtId="0" fontId="16" fillId="5" borderId="87" xfId="0" applyFont="1" applyFill="1" applyBorder="1">
      <alignment vertical="center"/>
    </xf>
    <xf numFmtId="164" fontId="14" fillId="17" borderId="74" xfId="1" applyNumberFormat="1" applyFont="1" applyFill="1" applyBorder="1">
      <protection locked="0"/>
    </xf>
    <xf numFmtId="164" fontId="14" fillId="17" borderId="75" xfId="1" applyNumberFormat="1" applyFont="1" applyFill="1" applyBorder="1">
      <protection locked="0"/>
    </xf>
    <xf numFmtId="164" fontId="14" fillId="21" borderId="74" xfId="1" applyNumberFormat="1" applyFont="1" applyFill="1" applyBorder="1">
      <protection locked="0"/>
    </xf>
    <xf numFmtId="164" fontId="14" fillId="21" borderId="73" xfId="1" applyNumberFormat="1" applyFont="1" applyFill="1" applyBorder="1">
      <protection locked="0"/>
    </xf>
    <xf numFmtId="164" fontId="13" fillId="0" borderId="0" xfId="0" applyNumberFormat="1" applyFont="1">
      <alignment vertical="center"/>
    </xf>
  </cellXfs>
  <cellStyles count="23">
    <cellStyle name="Comma" xfId="1" builtinId="3"/>
    <cellStyle name="Comma 11" xfId="11"/>
    <cellStyle name="Comma 13" xfId="5"/>
    <cellStyle name="Comma 2" xfId="3"/>
    <cellStyle name="Comma 3" xfId="4"/>
    <cellStyle name="Comma 4" xfId="8"/>
    <cellStyle name="Comma 5" xfId="15"/>
    <cellStyle name="Comma 5 2" xfId="17"/>
    <cellStyle name="Comma 6" xfId="19"/>
    <cellStyle name="Comma 7" xfId="21"/>
    <cellStyle name="Normal" xfId="0" builtinId="0"/>
    <cellStyle name="Normal 13" xfId="6"/>
    <cellStyle name="Normal 2" xfId="7"/>
    <cellStyle name="Normal 3" xfId="10"/>
    <cellStyle name="Normal 4" xfId="14"/>
    <cellStyle name="Normal 4 2" xfId="16"/>
    <cellStyle name="Normal 5" xfId="18"/>
    <cellStyle name="Normal 6" xfId="20"/>
    <cellStyle name="Normal 7" xfId="22"/>
    <cellStyle name="Percent" xfId="2" builtinId="5"/>
    <cellStyle name="Percent 2" xfId="9"/>
    <cellStyle name="Percent 3" xfId="13"/>
    <cellStyle name="Percent 5" xfId="12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55" Type="http://www.wps.cn/officeDocument/2020/cellImage" Target="NUL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SCACC~1/AppData/Local/Temp/Budget%202019%20(Draft%20Final)%2027mar19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5.55\Accounts%20Share%20File\Report%20to%20CFO%20sir\Project%20profile%20required%20by%20CFO%20sir\Navana%20LPG%20Forecast%20for%20Bank%20loan_updated_26.05.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\LPG%202019\Bank%20Liab\2020\31-12-20\Navana%20LPG%20Ltd%20Liability%20%20position%2031-01-2-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Document%2028.10.15/Budget%202016%2017dec15/Budget%202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5.55\Accounts%20Share%20File\recipe\ALL%20Recipe\updated%20Recipe%20with%20pri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Document%2028.10.2015/Budget%202018/Budget%202018%20Navana%20Limited%20(Toyota)%20Dec%2023'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SCACC~1/AppData/Local/Temp/Budget%202018%20Navana%20Limited%20RSP%20&amp;%20COG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NLPG%20Financial%20Statements%20July%20-%20Dec'21%20Mostafiz%20Vai-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SIR/Accounts%20Preparation/17.%20March%202020/Income%20Statement%20March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Rate"/>
      <sheetName val="Actual Vs Budget"/>
      <sheetName val="Model Variance"/>
      <sheetName val="Budgeted IS 2019"/>
      <sheetName val="Budgeted IS (Adi Sale) 2019"/>
      <sheetName val="Master"/>
      <sheetName val="Common Exp."/>
      <sheetName val="Sale,COGS,Delivery &amp; Collect"/>
      <sheetName val="Mkt Budget"/>
      <sheetName val="Indent Sale"/>
      <sheetName val="Incentive"/>
      <sheetName val="LTR"/>
      <sheetName val="Canopy,Reg,CNG,Acc"/>
      <sheetName val="CD VAT &amp; Port Due"/>
      <sheetName val="LC Margin LC Ch Insurance"/>
      <sheetName val="Sheet2"/>
    </sheetNames>
    <sheetDataSet>
      <sheetData sheetId="0"/>
      <sheetData sheetId="1">
        <row r="4">
          <cell r="E4">
            <v>0.79</v>
          </cell>
        </row>
        <row r="5">
          <cell r="E5">
            <v>86.5</v>
          </cell>
        </row>
        <row r="6">
          <cell r="E6">
            <v>0.12</v>
          </cell>
        </row>
        <row r="9">
          <cell r="E9">
            <v>0.08</v>
          </cell>
        </row>
        <row r="15">
          <cell r="E15">
            <v>0.79</v>
          </cell>
        </row>
        <row r="17">
          <cell r="E17">
            <v>0.77</v>
          </cell>
        </row>
        <row r="18">
          <cell r="E18">
            <v>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xpected case KPI"/>
      <sheetName val="Worst case KPI"/>
      <sheetName val="Best case KPI"/>
      <sheetName val="Key Assumptions"/>
      <sheetName val="bal_sheet(Con)"/>
      <sheetName val="income(Con) (Y)"/>
      <sheetName val="income(Con)"/>
      <sheetName val="cash_flow(Con) (Y)"/>
      <sheetName val="cash_flow(Con)"/>
      <sheetName val="Net_adj_sales"/>
      <sheetName val="income(LPG) (Y)"/>
      <sheetName val="income(LPG)"/>
      <sheetName val="bal_sheet(LPG)"/>
      <sheetName val="cash_flow(LPG) (Y)"/>
      <sheetName val="cash_flow(LPG)"/>
      <sheetName val="income(CNG) (Y)"/>
      <sheetName val="income(CNG)"/>
      <sheetName val="bal_sheet(CNG)"/>
      <sheetName val="cash_flow(CNG) (Y)"/>
      <sheetName val="cash_flow(CNG)"/>
      <sheetName val="income(WEL) (Y)"/>
      <sheetName val="income(WEL)"/>
      <sheetName val="bal_sheet(WEL)"/>
      <sheetName val="cash_flow(WEL) (Y)"/>
      <sheetName val="cash_flow(WEL)"/>
      <sheetName val="income(ENG) (Y) (2)"/>
      <sheetName val="income(ENG)"/>
      <sheetName val="bal_sheet(ENG)"/>
      <sheetName val="cash_flow(ENG) (Y)"/>
      <sheetName val="cash_flow(ENG)"/>
      <sheetName val="manpower"/>
      <sheetName val="plant_machineries"/>
      <sheetName val="Loan Amortization Schedule"/>
      <sheetName val="amortization"/>
      <sheetName val="wacc"/>
      <sheetName val="lpg_import - for analysis"/>
      <sheetName val="Payback Period"/>
      <sheetName val="ARR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A1" t="str">
            <v>Loan Amortization Schedule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0</v>
          </cell>
          <cell r="B4" t="str">
            <v>Enter values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Loan summary</v>
          </cell>
          <cell r="I4">
            <v>0</v>
          </cell>
          <cell r="J4">
            <v>0</v>
          </cell>
        </row>
        <row r="5">
          <cell r="A5">
            <v>0</v>
          </cell>
          <cell r="B5">
            <v>0</v>
          </cell>
          <cell r="C5" t="str">
            <v>Loan amount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 t="str">
            <v>Scheduled payment</v>
          </cell>
          <cell r="J5">
            <v>0</v>
          </cell>
        </row>
        <row r="6">
          <cell r="A6">
            <v>0</v>
          </cell>
          <cell r="B6">
            <v>0</v>
          </cell>
          <cell r="C6" t="str">
            <v>Annual interest rate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 t="str">
            <v>Scheduled number of payments</v>
          </cell>
          <cell r="J6">
            <v>0</v>
          </cell>
        </row>
        <row r="7">
          <cell r="A7">
            <v>0</v>
          </cell>
          <cell r="B7">
            <v>0</v>
          </cell>
          <cell r="C7" t="str">
            <v>Loan period in years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 t="str">
            <v>Actual number of payments</v>
          </cell>
          <cell r="J7">
            <v>0</v>
          </cell>
        </row>
        <row r="8">
          <cell r="A8">
            <v>0</v>
          </cell>
          <cell r="B8">
            <v>0</v>
          </cell>
          <cell r="C8" t="str">
            <v>Number of payments per year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 t="str">
            <v>Total early payments</v>
          </cell>
          <cell r="J8">
            <v>0</v>
          </cell>
        </row>
        <row r="9">
          <cell r="A9">
            <v>0</v>
          </cell>
          <cell r="B9">
            <v>0</v>
          </cell>
          <cell r="C9" t="str">
            <v>Start date of loan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Total interest</v>
          </cell>
          <cell r="J9">
            <v>0</v>
          </cell>
        </row>
        <row r="10">
          <cell r="A10">
            <v>0</v>
          </cell>
          <cell r="B10">
            <v>0</v>
          </cell>
          <cell r="C10" t="str">
            <v>Optional extra payments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0</v>
          </cell>
          <cell r="B12" t="str">
            <v>Lender name: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Pmt. No.</v>
          </cell>
          <cell r="B16" t="str">
            <v>Payment Date</v>
          </cell>
          <cell r="C16" t="str">
            <v>Beginning Balance</v>
          </cell>
          <cell r="D16" t="str">
            <v>Scheduled Payment</v>
          </cell>
          <cell r="E16" t="str">
            <v>Extra Payment</v>
          </cell>
          <cell r="F16" t="str">
            <v>Total Payment</v>
          </cell>
          <cell r="G16" t="str">
            <v>Principal</v>
          </cell>
          <cell r="H16" t="str">
            <v>Interest</v>
          </cell>
          <cell r="I16" t="str">
            <v>Ending Balance</v>
          </cell>
          <cell r="J16" t="str">
            <v>Cumulative Interest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 t="e">
            <v>#VALUE!</v>
          </cell>
          <cell r="F18" t="e">
            <v>#VALUE!</v>
          </cell>
          <cell r="G18">
            <v>0</v>
          </cell>
          <cell r="H18">
            <v>0</v>
          </cell>
          <cell r="I18" t="e">
            <v>#VALUE!</v>
          </cell>
          <cell r="J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 t="e">
            <v>#VALUE!</v>
          </cell>
          <cell r="F19" t="e">
            <v>#VALUE!</v>
          </cell>
          <cell r="G19">
            <v>0</v>
          </cell>
          <cell r="H19">
            <v>0</v>
          </cell>
          <cell r="I19" t="e">
            <v>#VALUE!</v>
          </cell>
          <cell r="J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 t="e">
            <v>#VALUE!</v>
          </cell>
          <cell r="F20" t="e">
            <v>#VALUE!</v>
          </cell>
          <cell r="G20">
            <v>0</v>
          </cell>
          <cell r="H20">
            <v>0</v>
          </cell>
          <cell r="I20" t="e">
            <v>#VALUE!</v>
          </cell>
          <cell r="J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 t="e">
            <v>#VALUE!</v>
          </cell>
          <cell r="F21" t="e">
            <v>#VALUE!</v>
          </cell>
          <cell r="G21">
            <v>0</v>
          </cell>
          <cell r="H21">
            <v>0</v>
          </cell>
          <cell r="I21" t="e">
            <v>#VALUE!</v>
          </cell>
          <cell r="J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 t="e">
            <v>#VALUE!</v>
          </cell>
          <cell r="F22" t="e">
            <v>#VALUE!</v>
          </cell>
          <cell r="G22">
            <v>0</v>
          </cell>
          <cell r="H22">
            <v>0</v>
          </cell>
          <cell r="I22" t="e">
            <v>#VALUE!</v>
          </cell>
          <cell r="J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 t="e">
            <v>#VALUE!</v>
          </cell>
          <cell r="F23" t="e">
            <v>#VALUE!</v>
          </cell>
          <cell r="G23">
            <v>0</v>
          </cell>
          <cell r="H23">
            <v>0</v>
          </cell>
          <cell r="I23" t="e">
            <v>#VALUE!</v>
          </cell>
          <cell r="J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 t="e">
            <v>#VALUE!</v>
          </cell>
          <cell r="F24" t="e">
            <v>#VALUE!</v>
          </cell>
          <cell r="G24">
            <v>0</v>
          </cell>
          <cell r="H24">
            <v>0</v>
          </cell>
          <cell r="I24" t="e">
            <v>#VALUE!</v>
          </cell>
          <cell r="J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 t="e">
            <v>#VALUE!</v>
          </cell>
          <cell r="F25" t="e">
            <v>#VALUE!</v>
          </cell>
          <cell r="G25">
            <v>0</v>
          </cell>
          <cell r="H25">
            <v>0</v>
          </cell>
          <cell r="I25" t="e">
            <v>#VALUE!</v>
          </cell>
          <cell r="J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 t="e">
            <v>#VALUE!</v>
          </cell>
          <cell r="F26" t="e">
            <v>#VALUE!</v>
          </cell>
          <cell r="G26">
            <v>0</v>
          </cell>
          <cell r="H26">
            <v>0</v>
          </cell>
          <cell r="I26" t="e">
            <v>#VALUE!</v>
          </cell>
          <cell r="J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 t="e">
            <v>#VALUE!</v>
          </cell>
          <cell r="F27" t="e">
            <v>#VALUE!</v>
          </cell>
          <cell r="G27">
            <v>0</v>
          </cell>
          <cell r="H27">
            <v>0</v>
          </cell>
          <cell r="I27" t="e">
            <v>#VALUE!</v>
          </cell>
          <cell r="J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 t="e">
            <v>#VALUE!</v>
          </cell>
          <cell r="F28" t="e">
            <v>#VALUE!</v>
          </cell>
          <cell r="G28">
            <v>0</v>
          </cell>
          <cell r="H28">
            <v>0</v>
          </cell>
          <cell r="I28" t="e">
            <v>#VALUE!</v>
          </cell>
          <cell r="J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 t="e">
            <v>#VALUE!</v>
          </cell>
          <cell r="F29" t="e">
            <v>#VALUE!</v>
          </cell>
          <cell r="G29">
            <v>0</v>
          </cell>
          <cell r="H29">
            <v>0</v>
          </cell>
          <cell r="I29" t="e">
            <v>#VALUE!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 t="e">
            <v>#VALUE!</v>
          </cell>
          <cell r="F30" t="e">
            <v>#VALUE!</v>
          </cell>
          <cell r="G30">
            <v>0</v>
          </cell>
          <cell r="H30">
            <v>0</v>
          </cell>
          <cell r="I30" t="e">
            <v>#VALUE!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 t="e">
            <v>#VALUE!</v>
          </cell>
          <cell r="F31" t="e">
            <v>#VALUE!</v>
          </cell>
          <cell r="G31">
            <v>0</v>
          </cell>
          <cell r="H31">
            <v>0</v>
          </cell>
          <cell r="I31" t="e">
            <v>#VALUE!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 t="e">
            <v>#VALUE!</v>
          </cell>
          <cell r="F32" t="e">
            <v>#VALUE!</v>
          </cell>
          <cell r="G32">
            <v>0</v>
          </cell>
          <cell r="H32">
            <v>0</v>
          </cell>
          <cell r="I32" t="e">
            <v>#VALUE!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 t="e">
            <v>#VALUE!</v>
          </cell>
          <cell r="F33" t="e">
            <v>#VALUE!</v>
          </cell>
          <cell r="G33">
            <v>0</v>
          </cell>
          <cell r="H33">
            <v>0</v>
          </cell>
          <cell r="I33" t="e">
            <v>#VALUE!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 t="e">
            <v>#VALUE!</v>
          </cell>
          <cell r="F34" t="e">
            <v>#VALUE!</v>
          </cell>
          <cell r="G34">
            <v>0</v>
          </cell>
          <cell r="H34">
            <v>0</v>
          </cell>
          <cell r="I34" t="e">
            <v>#VALUE!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 t="e">
            <v>#VALUE!</v>
          </cell>
          <cell r="F35" t="e">
            <v>#VALUE!</v>
          </cell>
          <cell r="G35">
            <v>0</v>
          </cell>
          <cell r="H35">
            <v>0</v>
          </cell>
          <cell r="I35" t="e">
            <v>#VALUE!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 t="e">
            <v>#VALUE!</v>
          </cell>
          <cell r="F36" t="e">
            <v>#VALUE!</v>
          </cell>
          <cell r="G36">
            <v>0</v>
          </cell>
          <cell r="H36">
            <v>0</v>
          </cell>
          <cell r="I36" t="e">
            <v>#VALUE!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 t="e">
            <v>#VALUE!</v>
          </cell>
          <cell r="F37" t="e">
            <v>#VALUE!</v>
          </cell>
          <cell r="G37">
            <v>0</v>
          </cell>
          <cell r="H37">
            <v>0</v>
          </cell>
          <cell r="I37" t="e">
            <v>#VALUE!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 t="e">
            <v>#VALUE!</v>
          </cell>
          <cell r="F38" t="e">
            <v>#VALUE!</v>
          </cell>
          <cell r="G38">
            <v>0</v>
          </cell>
          <cell r="H38">
            <v>0</v>
          </cell>
          <cell r="I38" t="e">
            <v>#VALUE!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 t="e">
            <v>#VALUE!</v>
          </cell>
          <cell r="F39" t="e">
            <v>#VALUE!</v>
          </cell>
          <cell r="G39">
            <v>0</v>
          </cell>
          <cell r="H39">
            <v>0</v>
          </cell>
          <cell r="I39" t="e">
            <v>#VALUE!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 t="e">
            <v>#VALUE!</v>
          </cell>
          <cell r="F40" t="e">
            <v>#VALUE!</v>
          </cell>
          <cell r="G40">
            <v>0</v>
          </cell>
          <cell r="H40">
            <v>0</v>
          </cell>
          <cell r="I40" t="e">
            <v>#VALUE!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 t="e">
            <v>#VALUE!</v>
          </cell>
          <cell r="F41" t="e">
            <v>#VALUE!</v>
          </cell>
          <cell r="G41">
            <v>0</v>
          </cell>
          <cell r="H41">
            <v>0</v>
          </cell>
          <cell r="I41" t="e">
            <v>#VALUE!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 t="e">
            <v>#VALUE!</v>
          </cell>
          <cell r="F42" t="e">
            <v>#VALUE!</v>
          </cell>
          <cell r="G42">
            <v>0</v>
          </cell>
          <cell r="H42">
            <v>0</v>
          </cell>
          <cell r="I42" t="e">
            <v>#VALUE!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 t="e">
            <v>#VALUE!</v>
          </cell>
          <cell r="F43" t="e">
            <v>#VALUE!</v>
          </cell>
          <cell r="G43">
            <v>0</v>
          </cell>
          <cell r="H43">
            <v>0</v>
          </cell>
          <cell r="I43" t="e">
            <v>#VALUE!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 t="e">
            <v>#VALUE!</v>
          </cell>
          <cell r="F44" t="e">
            <v>#VALUE!</v>
          </cell>
          <cell r="G44">
            <v>0</v>
          </cell>
          <cell r="H44">
            <v>0</v>
          </cell>
          <cell r="I44" t="e">
            <v>#VALUE!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 t="e">
            <v>#VALUE!</v>
          </cell>
          <cell r="F45" t="e">
            <v>#VALUE!</v>
          </cell>
          <cell r="G45">
            <v>0</v>
          </cell>
          <cell r="H45">
            <v>0</v>
          </cell>
          <cell r="I45" t="e">
            <v>#VALUE!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 t="e">
            <v>#VALUE!</v>
          </cell>
          <cell r="F46" t="e">
            <v>#VALUE!</v>
          </cell>
          <cell r="G46">
            <v>0</v>
          </cell>
          <cell r="H46">
            <v>0</v>
          </cell>
          <cell r="I46" t="e">
            <v>#VALUE!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 t="e">
            <v>#VALUE!</v>
          </cell>
          <cell r="F47" t="e">
            <v>#VALUE!</v>
          </cell>
          <cell r="G47">
            <v>0</v>
          </cell>
          <cell r="H47">
            <v>0</v>
          </cell>
          <cell r="I47" t="e">
            <v>#VALUE!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 t="e">
            <v>#VALUE!</v>
          </cell>
          <cell r="F48" t="e">
            <v>#VALUE!</v>
          </cell>
          <cell r="G48">
            <v>0</v>
          </cell>
          <cell r="H48">
            <v>0</v>
          </cell>
          <cell r="I48" t="e">
            <v>#VALUE!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 t="e">
            <v>#VALUE!</v>
          </cell>
          <cell r="F49" t="e">
            <v>#VALUE!</v>
          </cell>
          <cell r="G49">
            <v>0</v>
          </cell>
          <cell r="H49">
            <v>0</v>
          </cell>
          <cell r="I49" t="e">
            <v>#VALUE!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 t="e">
            <v>#VALUE!</v>
          </cell>
          <cell r="F50" t="e">
            <v>#VALUE!</v>
          </cell>
          <cell r="G50">
            <v>0</v>
          </cell>
          <cell r="H50">
            <v>0</v>
          </cell>
          <cell r="I50" t="e">
            <v>#VALUE!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 t="e">
            <v>#VALUE!</v>
          </cell>
          <cell r="F51" t="e">
            <v>#VALUE!</v>
          </cell>
          <cell r="G51">
            <v>0</v>
          </cell>
          <cell r="H51">
            <v>0</v>
          </cell>
          <cell r="I51" t="e">
            <v>#VALUE!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 t="e">
            <v>#VALUE!</v>
          </cell>
          <cell r="F52" t="e">
            <v>#VALUE!</v>
          </cell>
          <cell r="G52">
            <v>0</v>
          </cell>
          <cell r="H52">
            <v>0</v>
          </cell>
          <cell r="I52" t="e">
            <v>#VALUE!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 t="e">
            <v>#VALUE!</v>
          </cell>
          <cell r="F53" t="e">
            <v>#VALUE!</v>
          </cell>
          <cell r="G53">
            <v>0</v>
          </cell>
          <cell r="H53">
            <v>0</v>
          </cell>
          <cell r="I53" t="e">
            <v>#VALUE!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 t="e">
            <v>#VALUE!</v>
          </cell>
          <cell r="F54" t="e">
            <v>#VALUE!</v>
          </cell>
          <cell r="G54">
            <v>0</v>
          </cell>
          <cell r="H54">
            <v>0</v>
          </cell>
          <cell r="I54" t="e">
            <v>#VALUE!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 t="e">
            <v>#VALUE!</v>
          </cell>
          <cell r="F55" t="e">
            <v>#VALUE!</v>
          </cell>
          <cell r="G55">
            <v>0</v>
          </cell>
          <cell r="H55">
            <v>0</v>
          </cell>
          <cell r="I55" t="e">
            <v>#VALUE!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 t="e">
            <v>#VALUE!</v>
          </cell>
          <cell r="F56" t="e">
            <v>#VALUE!</v>
          </cell>
          <cell r="G56">
            <v>0</v>
          </cell>
          <cell r="H56">
            <v>0</v>
          </cell>
          <cell r="I56" t="e">
            <v>#VALUE!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 t="e">
            <v>#VALUE!</v>
          </cell>
          <cell r="F57" t="e">
            <v>#VALUE!</v>
          </cell>
          <cell r="G57">
            <v>0</v>
          </cell>
          <cell r="H57">
            <v>0</v>
          </cell>
          <cell r="I57" t="e">
            <v>#VALUE!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 t="e">
            <v>#VALUE!</v>
          </cell>
          <cell r="F58" t="e">
            <v>#VALUE!</v>
          </cell>
          <cell r="G58">
            <v>0</v>
          </cell>
          <cell r="H58">
            <v>0</v>
          </cell>
          <cell r="I58" t="e">
            <v>#VALUE!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 t="e">
            <v>#VALUE!</v>
          </cell>
          <cell r="F59" t="e">
            <v>#VALUE!</v>
          </cell>
          <cell r="G59">
            <v>0</v>
          </cell>
          <cell r="H59">
            <v>0</v>
          </cell>
          <cell r="I59" t="e">
            <v>#VALUE!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 t="e">
            <v>#VALUE!</v>
          </cell>
          <cell r="F60" t="e">
            <v>#VALUE!</v>
          </cell>
          <cell r="G60">
            <v>0</v>
          </cell>
          <cell r="H60">
            <v>0</v>
          </cell>
          <cell r="I60" t="e">
            <v>#VALUE!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 t="e">
            <v>#VALUE!</v>
          </cell>
          <cell r="F61" t="e">
            <v>#VALUE!</v>
          </cell>
          <cell r="G61">
            <v>0</v>
          </cell>
          <cell r="H61">
            <v>0</v>
          </cell>
          <cell r="I61" t="e">
            <v>#VALUE!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 t="e">
            <v>#VALUE!</v>
          </cell>
          <cell r="F62" t="e">
            <v>#VALUE!</v>
          </cell>
          <cell r="G62">
            <v>0</v>
          </cell>
          <cell r="H62">
            <v>0</v>
          </cell>
          <cell r="I62" t="e">
            <v>#VALUE!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 t="e">
            <v>#VALUE!</v>
          </cell>
          <cell r="F63" t="e">
            <v>#VALUE!</v>
          </cell>
          <cell r="G63">
            <v>0</v>
          </cell>
          <cell r="H63">
            <v>0</v>
          </cell>
          <cell r="I63" t="e">
            <v>#VALUE!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 t="e">
            <v>#VALUE!</v>
          </cell>
          <cell r="F64" t="e">
            <v>#VALUE!</v>
          </cell>
          <cell r="G64">
            <v>0</v>
          </cell>
          <cell r="H64">
            <v>0</v>
          </cell>
          <cell r="I64" t="e">
            <v>#VALUE!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 t="e">
            <v>#VALUE!</v>
          </cell>
          <cell r="F65" t="e">
            <v>#VALUE!</v>
          </cell>
          <cell r="G65">
            <v>0</v>
          </cell>
          <cell r="H65">
            <v>0</v>
          </cell>
          <cell r="I65" t="e">
            <v>#VALUE!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 t="e">
            <v>#VALUE!</v>
          </cell>
          <cell r="F66" t="e">
            <v>#VALUE!</v>
          </cell>
          <cell r="G66">
            <v>0</v>
          </cell>
          <cell r="H66">
            <v>0</v>
          </cell>
          <cell r="I66" t="e">
            <v>#VALUE!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 t="e">
            <v>#VALUE!</v>
          </cell>
          <cell r="F67" t="e">
            <v>#VALUE!</v>
          </cell>
          <cell r="G67">
            <v>0</v>
          </cell>
          <cell r="H67">
            <v>0</v>
          </cell>
          <cell r="I67" t="e">
            <v>#VALUE!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 t="e">
            <v>#VALUE!</v>
          </cell>
          <cell r="F68" t="e">
            <v>#VALUE!</v>
          </cell>
          <cell r="G68">
            <v>0</v>
          </cell>
          <cell r="H68">
            <v>0</v>
          </cell>
          <cell r="I68" t="e">
            <v>#VALUE!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 t="e">
            <v>#VALUE!</v>
          </cell>
          <cell r="F69" t="e">
            <v>#VALUE!</v>
          </cell>
          <cell r="G69">
            <v>0</v>
          </cell>
          <cell r="H69">
            <v>0</v>
          </cell>
          <cell r="I69" t="e">
            <v>#VALUE!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 t="e">
            <v>#VALUE!</v>
          </cell>
          <cell r="F70" t="e">
            <v>#VALUE!</v>
          </cell>
          <cell r="G70">
            <v>0</v>
          </cell>
          <cell r="H70">
            <v>0</v>
          </cell>
          <cell r="I70" t="e">
            <v>#VALUE!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 t="e">
            <v>#VALUE!</v>
          </cell>
          <cell r="F71" t="e">
            <v>#VALUE!</v>
          </cell>
          <cell r="G71">
            <v>0</v>
          </cell>
          <cell r="H71">
            <v>0</v>
          </cell>
          <cell r="I71" t="e">
            <v>#VALUE!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 t="e">
            <v>#VALUE!</v>
          </cell>
          <cell r="F72" t="e">
            <v>#VALUE!</v>
          </cell>
          <cell r="G72">
            <v>0</v>
          </cell>
          <cell r="H72">
            <v>0</v>
          </cell>
          <cell r="I72" t="e">
            <v>#VALUE!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 t="e">
            <v>#VALUE!</v>
          </cell>
          <cell r="F73" t="e">
            <v>#VALUE!</v>
          </cell>
          <cell r="G73">
            <v>0</v>
          </cell>
          <cell r="H73">
            <v>0</v>
          </cell>
          <cell r="I73" t="e">
            <v>#VALUE!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 t="e">
            <v>#VALUE!</v>
          </cell>
          <cell r="F74" t="e">
            <v>#VALUE!</v>
          </cell>
          <cell r="G74">
            <v>0</v>
          </cell>
          <cell r="H74">
            <v>0</v>
          </cell>
          <cell r="I74" t="e">
            <v>#VALUE!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 t="e">
            <v>#VALUE!</v>
          </cell>
          <cell r="F75" t="e">
            <v>#VALUE!</v>
          </cell>
          <cell r="G75">
            <v>0</v>
          </cell>
          <cell r="H75">
            <v>0</v>
          </cell>
          <cell r="I75" t="e">
            <v>#VALUE!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 t="e">
            <v>#VALUE!</v>
          </cell>
          <cell r="F76" t="e">
            <v>#VALUE!</v>
          </cell>
          <cell r="G76">
            <v>0</v>
          </cell>
          <cell r="H76">
            <v>0</v>
          </cell>
          <cell r="I76" t="e">
            <v>#VALUE!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 t="e">
            <v>#VALUE!</v>
          </cell>
          <cell r="F77" t="e">
            <v>#VALUE!</v>
          </cell>
          <cell r="G77">
            <v>0</v>
          </cell>
          <cell r="H77">
            <v>0</v>
          </cell>
          <cell r="I77" t="e">
            <v>#VALUE!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 t="e">
            <v>#VALUE!</v>
          </cell>
          <cell r="F78" t="e">
            <v>#VALUE!</v>
          </cell>
          <cell r="G78">
            <v>0</v>
          </cell>
          <cell r="H78">
            <v>0</v>
          </cell>
          <cell r="I78" t="e">
            <v>#VALUE!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 t="e">
            <v>#VALUE!</v>
          </cell>
          <cell r="F79" t="e">
            <v>#VALUE!</v>
          </cell>
          <cell r="G79">
            <v>0</v>
          </cell>
          <cell r="H79">
            <v>0</v>
          </cell>
          <cell r="I79" t="e">
            <v>#VALUE!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 t="e">
            <v>#VALUE!</v>
          </cell>
          <cell r="F80" t="e">
            <v>#VALUE!</v>
          </cell>
          <cell r="G80">
            <v>0</v>
          </cell>
          <cell r="H80">
            <v>0</v>
          </cell>
          <cell r="I80" t="e">
            <v>#VALUE!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 t="e">
            <v>#VALUE!</v>
          </cell>
          <cell r="F81" t="e">
            <v>#VALUE!</v>
          </cell>
          <cell r="G81">
            <v>0</v>
          </cell>
          <cell r="H81">
            <v>0</v>
          </cell>
          <cell r="I81" t="e">
            <v>#VALUE!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 t="e">
            <v>#VALUE!</v>
          </cell>
          <cell r="F82" t="e">
            <v>#VALUE!</v>
          </cell>
          <cell r="G82">
            <v>0</v>
          </cell>
          <cell r="H82">
            <v>0</v>
          </cell>
          <cell r="I82" t="e">
            <v>#VALUE!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 t="e">
            <v>#VALUE!</v>
          </cell>
          <cell r="F83" t="e">
            <v>#VALUE!</v>
          </cell>
          <cell r="G83">
            <v>0</v>
          </cell>
          <cell r="H83">
            <v>0</v>
          </cell>
          <cell r="I83" t="e">
            <v>#VALUE!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 t="e">
            <v>#VALUE!</v>
          </cell>
          <cell r="F84" t="e">
            <v>#VALUE!</v>
          </cell>
          <cell r="G84">
            <v>0</v>
          </cell>
          <cell r="H84">
            <v>0</v>
          </cell>
          <cell r="I84" t="e">
            <v>#VALUE!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 t="e">
            <v>#VALUE!</v>
          </cell>
          <cell r="F85" t="e">
            <v>#VALUE!</v>
          </cell>
          <cell r="G85">
            <v>0</v>
          </cell>
          <cell r="H85">
            <v>0</v>
          </cell>
          <cell r="I85" t="e">
            <v>#VALUE!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 t="e">
            <v>#VALUE!</v>
          </cell>
          <cell r="F86" t="e">
            <v>#VALUE!</v>
          </cell>
          <cell r="G86">
            <v>0</v>
          </cell>
          <cell r="H86">
            <v>0</v>
          </cell>
          <cell r="I86" t="e">
            <v>#VALUE!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 t="e">
            <v>#VALUE!</v>
          </cell>
          <cell r="F87" t="e">
            <v>#VALUE!</v>
          </cell>
          <cell r="G87">
            <v>0</v>
          </cell>
          <cell r="H87">
            <v>0</v>
          </cell>
          <cell r="I87" t="e">
            <v>#VALUE!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 t="e">
            <v>#VALUE!</v>
          </cell>
          <cell r="F88" t="e">
            <v>#VALUE!</v>
          </cell>
          <cell r="G88">
            <v>0</v>
          </cell>
          <cell r="H88">
            <v>0</v>
          </cell>
          <cell r="I88" t="e">
            <v>#VALUE!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 t="e">
            <v>#VALUE!</v>
          </cell>
          <cell r="F89" t="e">
            <v>#VALUE!</v>
          </cell>
          <cell r="G89">
            <v>0</v>
          </cell>
          <cell r="H89">
            <v>0</v>
          </cell>
          <cell r="I89" t="e">
            <v>#VALUE!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 t="e">
            <v>#VALUE!</v>
          </cell>
          <cell r="F90" t="e">
            <v>#VALUE!</v>
          </cell>
          <cell r="G90">
            <v>0</v>
          </cell>
          <cell r="H90">
            <v>0</v>
          </cell>
          <cell r="I90" t="e">
            <v>#VALUE!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 t="e">
            <v>#VALUE!</v>
          </cell>
          <cell r="F91" t="e">
            <v>#VALUE!</v>
          </cell>
          <cell r="G91">
            <v>0</v>
          </cell>
          <cell r="H91">
            <v>0</v>
          </cell>
          <cell r="I91" t="e">
            <v>#VALUE!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 t="e">
            <v>#VALUE!</v>
          </cell>
          <cell r="F92" t="e">
            <v>#VALUE!</v>
          </cell>
          <cell r="G92">
            <v>0</v>
          </cell>
          <cell r="H92">
            <v>0</v>
          </cell>
          <cell r="I92" t="e">
            <v>#VALUE!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 t="e">
            <v>#VALUE!</v>
          </cell>
          <cell r="F93" t="e">
            <v>#VALUE!</v>
          </cell>
          <cell r="G93">
            <v>0</v>
          </cell>
          <cell r="H93">
            <v>0</v>
          </cell>
          <cell r="I93" t="e">
            <v>#VALUE!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 t="e">
            <v>#VALUE!</v>
          </cell>
          <cell r="F94" t="e">
            <v>#VALUE!</v>
          </cell>
          <cell r="G94">
            <v>0</v>
          </cell>
          <cell r="H94">
            <v>0</v>
          </cell>
          <cell r="I94" t="e">
            <v>#VALUE!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 t="e">
            <v>#VALUE!</v>
          </cell>
          <cell r="F95" t="e">
            <v>#VALUE!</v>
          </cell>
          <cell r="G95">
            <v>0</v>
          </cell>
          <cell r="H95">
            <v>0</v>
          </cell>
          <cell r="I95" t="e">
            <v>#VALUE!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 t="e">
            <v>#VALUE!</v>
          </cell>
          <cell r="F96" t="e">
            <v>#VALUE!</v>
          </cell>
          <cell r="G96">
            <v>0</v>
          </cell>
          <cell r="H96">
            <v>0</v>
          </cell>
          <cell r="I96" t="e">
            <v>#VALUE!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 t="e">
            <v>#VALUE!</v>
          </cell>
          <cell r="F97" t="e">
            <v>#VALUE!</v>
          </cell>
          <cell r="G97">
            <v>0</v>
          </cell>
          <cell r="H97">
            <v>0</v>
          </cell>
          <cell r="I97" t="e">
            <v>#VALUE!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 t="e">
            <v>#VALUE!</v>
          </cell>
          <cell r="F98" t="e">
            <v>#VALUE!</v>
          </cell>
          <cell r="G98">
            <v>0</v>
          </cell>
          <cell r="H98">
            <v>0</v>
          </cell>
          <cell r="I98" t="e">
            <v>#VALUE!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 t="e">
            <v>#VALUE!</v>
          </cell>
          <cell r="F99" t="e">
            <v>#VALUE!</v>
          </cell>
          <cell r="G99">
            <v>0</v>
          </cell>
          <cell r="H99">
            <v>0</v>
          </cell>
          <cell r="I99" t="e">
            <v>#VALUE!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 t="e">
            <v>#VALUE!</v>
          </cell>
          <cell r="F100" t="e">
            <v>#VALUE!</v>
          </cell>
          <cell r="G100">
            <v>0</v>
          </cell>
          <cell r="H100">
            <v>0</v>
          </cell>
          <cell r="I100" t="e">
            <v>#VALUE!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 t="e">
            <v>#VALUE!</v>
          </cell>
          <cell r="F101" t="e">
            <v>#VALUE!</v>
          </cell>
          <cell r="G101">
            <v>0</v>
          </cell>
          <cell r="H101">
            <v>0</v>
          </cell>
          <cell r="I101" t="e">
            <v>#VALUE!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 t="e">
            <v>#VALUE!</v>
          </cell>
          <cell r="F102" t="e">
            <v>#VALUE!</v>
          </cell>
          <cell r="G102">
            <v>0</v>
          </cell>
          <cell r="H102">
            <v>0</v>
          </cell>
          <cell r="I102" t="e">
            <v>#VALUE!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 t="e">
            <v>#VALUE!</v>
          </cell>
          <cell r="F103" t="e">
            <v>#VALUE!</v>
          </cell>
          <cell r="G103">
            <v>0</v>
          </cell>
          <cell r="H103">
            <v>0</v>
          </cell>
          <cell r="I103" t="e">
            <v>#VALUE!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 t="e">
            <v>#VALUE!</v>
          </cell>
          <cell r="F104" t="e">
            <v>#VALUE!</v>
          </cell>
          <cell r="G104">
            <v>0</v>
          </cell>
          <cell r="H104">
            <v>0</v>
          </cell>
          <cell r="I104" t="e">
            <v>#VALUE!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 t="e">
            <v>#VALUE!</v>
          </cell>
          <cell r="F105" t="e">
            <v>#VALUE!</v>
          </cell>
          <cell r="G105">
            <v>0</v>
          </cell>
          <cell r="H105">
            <v>0</v>
          </cell>
          <cell r="I105" t="e">
            <v>#VALUE!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 t="e">
            <v>#VALUE!</v>
          </cell>
          <cell r="F106" t="e">
            <v>#VALUE!</v>
          </cell>
          <cell r="G106">
            <v>0</v>
          </cell>
          <cell r="H106">
            <v>0</v>
          </cell>
          <cell r="I106" t="e">
            <v>#VALUE!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 t="e">
            <v>#VALUE!</v>
          </cell>
          <cell r="F107" t="e">
            <v>#VALUE!</v>
          </cell>
          <cell r="G107">
            <v>0</v>
          </cell>
          <cell r="H107">
            <v>0</v>
          </cell>
          <cell r="I107" t="e">
            <v>#VALUE!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 t="e">
            <v>#VALUE!</v>
          </cell>
          <cell r="F108" t="e">
            <v>#VALUE!</v>
          </cell>
          <cell r="G108">
            <v>0</v>
          </cell>
          <cell r="H108">
            <v>0</v>
          </cell>
          <cell r="I108" t="e">
            <v>#VALUE!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 t="e">
            <v>#VALUE!</v>
          </cell>
          <cell r="F109" t="e">
            <v>#VALUE!</v>
          </cell>
          <cell r="G109">
            <v>0</v>
          </cell>
          <cell r="H109">
            <v>0</v>
          </cell>
          <cell r="I109" t="e">
            <v>#VALUE!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 t="e">
            <v>#VALUE!</v>
          </cell>
          <cell r="F110" t="e">
            <v>#VALUE!</v>
          </cell>
          <cell r="G110">
            <v>0</v>
          </cell>
          <cell r="H110">
            <v>0</v>
          </cell>
          <cell r="I110" t="e">
            <v>#VALUE!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 t="e">
            <v>#VALUE!</v>
          </cell>
          <cell r="F111" t="e">
            <v>#VALUE!</v>
          </cell>
          <cell r="G111">
            <v>0</v>
          </cell>
          <cell r="H111">
            <v>0</v>
          </cell>
          <cell r="I111" t="e">
            <v>#VALUE!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 t="e">
            <v>#VALUE!</v>
          </cell>
          <cell r="F112" t="e">
            <v>#VALUE!</v>
          </cell>
          <cell r="G112">
            <v>0</v>
          </cell>
          <cell r="H112">
            <v>0</v>
          </cell>
          <cell r="I112" t="e">
            <v>#VALUE!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 t="e">
            <v>#VALUE!</v>
          </cell>
          <cell r="F113" t="e">
            <v>#VALUE!</v>
          </cell>
          <cell r="G113">
            <v>0</v>
          </cell>
          <cell r="H113">
            <v>0</v>
          </cell>
          <cell r="I113" t="e">
            <v>#VALUE!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 t="e">
            <v>#VALUE!</v>
          </cell>
          <cell r="F114" t="e">
            <v>#VALUE!</v>
          </cell>
          <cell r="G114">
            <v>0</v>
          </cell>
          <cell r="H114">
            <v>0</v>
          </cell>
          <cell r="I114" t="e">
            <v>#VALUE!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 t="e">
            <v>#VALUE!</v>
          </cell>
          <cell r="F115" t="e">
            <v>#VALUE!</v>
          </cell>
          <cell r="G115">
            <v>0</v>
          </cell>
          <cell r="H115">
            <v>0</v>
          </cell>
          <cell r="I115" t="e">
            <v>#VALUE!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 t="e">
            <v>#VALUE!</v>
          </cell>
          <cell r="F116" t="e">
            <v>#VALUE!</v>
          </cell>
          <cell r="G116">
            <v>0</v>
          </cell>
          <cell r="H116">
            <v>0</v>
          </cell>
          <cell r="I116" t="e">
            <v>#VALUE!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 t="e">
            <v>#VALUE!</v>
          </cell>
          <cell r="F117" t="e">
            <v>#VALUE!</v>
          </cell>
          <cell r="G117">
            <v>0</v>
          </cell>
          <cell r="H117">
            <v>0</v>
          </cell>
          <cell r="I117" t="e">
            <v>#VALUE!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 t="e">
            <v>#VALUE!</v>
          </cell>
          <cell r="F118" t="e">
            <v>#VALUE!</v>
          </cell>
          <cell r="G118">
            <v>0</v>
          </cell>
          <cell r="H118">
            <v>0</v>
          </cell>
          <cell r="I118" t="e">
            <v>#VALUE!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 t="e">
            <v>#VALUE!</v>
          </cell>
          <cell r="F119" t="e">
            <v>#VALUE!</v>
          </cell>
          <cell r="G119">
            <v>0</v>
          </cell>
          <cell r="H119">
            <v>0</v>
          </cell>
          <cell r="I119" t="e">
            <v>#VALUE!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 t="e">
            <v>#VALUE!</v>
          </cell>
          <cell r="F120" t="e">
            <v>#VALUE!</v>
          </cell>
          <cell r="G120">
            <v>0</v>
          </cell>
          <cell r="H120">
            <v>0</v>
          </cell>
          <cell r="I120" t="e">
            <v>#VALUE!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 t="e">
            <v>#VALUE!</v>
          </cell>
          <cell r="F121" t="e">
            <v>#VALUE!</v>
          </cell>
          <cell r="G121">
            <v>0</v>
          </cell>
          <cell r="H121">
            <v>0</v>
          </cell>
          <cell r="I121" t="e">
            <v>#VALUE!</v>
          </cell>
          <cell r="J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 t="e">
            <v>#VALUE!</v>
          </cell>
          <cell r="F122" t="e">
            <v>#VALUE!</v>
          </cell>
          <cell r="G122">
            <v>0</v>
          </cell>
          <cell r="H122">
            <v>0</v>
          </cell>
          <cell r="I122" t="e">
            <v>#VALUE!</v>
          </cell>
          <cell r="J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 t="e">
            <v>#VALUE!</v>
          </cell>
          <cell r="F123" t="e">
            <v>#VALUE!</v>
          </cell>
          <cell r="G123">
            <v>0</v>
          </cell>
          <cell r="H123">
            <v>0</v>
          </cell>
          <cell r="I123" t="e">
            <v>#VALUE!</v>
          </cell>
          <cell r="J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 t="e">
            <v>#VALUE!</v>
          </cell>
          <cell r="F124" t="e">
            <v>#VALUE!</v>
          </cell>
          <cell r="G124">
            <v>0</v>
          </cell>
          <cell r="H124">
            <v>0</v>
          </cell>
          <cell r="I124" t="e">
            <v>#VALUE!</v>
          </cell>
          <cell r="J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 t="e">
            <v>#VALUE!</v>
          </cell>
          <cell r="F125" t="e">
            <v>#VALUE!</v>
          </cell>
          <cell r="G125">
            <v>0</v>
          </cell>
          <cell r="H125">
            <v>0</v>
          </cell>
          <cell r="I125" t="e">
            <v>#VALUE!</v>
          </cell>
          <cell r="J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 t="e">
            <v>#VALUE!</v>
          </cell>
          <cell r="F126" t="e">
            <v>#VALUE!</v>
          </cell>
          <cell r="G126">
            <v>0</v>
          </cell>
          <cell r="H126">
            <v>0</v>
          </cell>
          <cell r="I126" t="e">
            <v>#VALUE!</v>
          </cell>
          <cell r="J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 t="e">
            <v>#VALUE!</v>
          </cell>
          <cell r="F127" t="e">
            <v>#VALUE!</v>
          </cell>
          <cell r="G127">
            <v>0</v>
          </cell>
          <cell r="H127">
            <v>0</v>
          </cell>
          <cell r="I127" t="e">
            <v>#VALUE!</v>
          </cell>
          <cell r="J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 t="e">
            <v>#VALUE!</v>
          </cell>
          <cell r="F128" t="e">
            <v>#VALUE!</v>
          </cell>
          <cell r="G128">
            <v>0</v>
          </cell>
          <cell r="H128">
            <v>0</v>
          </cell>
          <cell r="I128" t="e">
            <v>#VALUE!</v>
          </cell>
          <cell r="J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 t="e">
            <v>#VALUE!</v>
          </cell>
          <cell r="F129" t="e">
            <v>#VALUE!</v>
          </cell>
          <cell r="G129">
            <v>0</v>
          </cell>
          <cell r="H129">
            <v>0</v>
          </cell>
          <cell r="I129" t="e">
            <v>#VALUE!</v>
          </cell>
          <cell r="J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 t="e">
            <v>#VALUE!</v>
          </cell>
          <cell r="F130" t="e">
            <v>#VALUE!</v>
          </cell>
          <cell r="G130">
            <v>0</v>
          </cell>
          <cell r="H130">
            <v>0</v>
          </cell>
          <cell r="I130" t="e">
            <v>#VALUE!</v>
          </cell>
          <cell r="J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 t="e">
            <v>#VALUE!</v>
          </cell>
          <cell r="F131" t="e">
            <v>#VALUE!</v>
          </cell>
          <cell r="G131">
            <v>0</v>
          </cell>
          <cell r="H131">
            <v>0</v>
          </cell>
          <cell r="I131" t="e">
            <v>#VALUE!</v>
          </cell>
          <cell r="J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 t="e">
            <v>#VALUE!</v>
          </cell>
          <cell r="F132" t="e">
            <v>#VALUE!</v>
          </cell>
          <cell r="G132">
            <v>0</v>
          </cell>
          <cell r="H132">
            <v>0</v>
          </cell>
          <cell r="I132" t="e">
            <v>#VALUE!</v>
          </cell>
          <cell r="J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 t="e">
            <v>#VALUE!</v>
          </cell>
          <cell r="F133" t="e">
            <v>#VALUE!</v>
          </cell>
          <cell r="G133">
            <v>0</v>
          </cell>
          <cell r="H133">
            <v>0</v>
          </cell>
          <cell r="I133" t="e">
            <v>#VALUE!</v>
          </cell>
          <cell r="J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 t="e">
            <v>#VALUE!</v>
          </cell>
          <cell r="F134" t="e">
            <v>#VALUE!</v>
          </cell>
          <cell r="G134">
            <v>0</v>
          </cell>
          <cell r="H134">
            <v>0</v>
          </cell>
          <cell r="I134" t="e">
            <v>#VALUE!</v>
          </cell>
          <cell r="J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 t="e">
            <v>#VALUE!</v>
          </cell>
          <cell r="F135" t="e">
            <v>#VALUE!</v>
          </cell>
          <cell r="G135">
            <v>0</v>
          </cell>
          <cell r="H135">
            <v>0</v>
          </cell>
          <cell r="I135" t="e">
            <v>#VALUE!</v>
          </cell>
          <cell r="J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 t="e">
            <v>#VALUE!</v>
          </cell>
          <cell r="F136" t="e">
            <v>#VALUE!</v>
          </cell>
          <cell r="G136">
            <v>0</v>
          </cell>
          <cell r="H136">
            <v>0</v>
          </cell>
          <cell r="I136" t="e">
            <v>#VALUE!</v>
          </cell>
          <cell r="J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 t="e">
            <v>#VALUE!</v>
          </cell>
          <cell r="F137" t="e">
            <v>#VALUE!</v>
          </cell>
          <cell r="G137">
            <v>0</v>
          </cell>
          <cell r="H137">
            <v>0</v>
          </cell>
          <cell r="I137" t="e">
            <v>#VALUE!</v>
          </cell>
          <cell r="J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 t="e">
            <v>#VALUE!</v>
          </cell>
          <cell r="F138" t="e">
            <v>#VALUE!</v>
          </cell>
          <cell r="G138">
            <v>0</v>
          </cell>
          <cell r="H138">
            <v>0</v>
          </cell>
          <cell r="I138" t="e">
            <v>#VALUE!</v>
          </cell>
          <cell r="J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 t="e">
            <v>#VALUE!</v>
          </cell>
          <cell r="F139" t="e">
            <v>#VALUE!</v>
          </cell>
          <cell r="G139">
            <v>0</v>
          </cell>
          <cell r="H139">
            <v>0</v>
          </cell>
          <cell r="I139" t="e">
            <v>#VALUE!</v>
          </cell>
          <cell r="J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 t="e">
            <v>#VALUE!</v>
          </cell>
          <cell r="F140" t="e">
            <v>#VALUE!</v>
          </cell>
          <cell r="G140">
            <v>0</v>
          </cell>
          <cell r="H140">
            <v>0</v>
          </cell>
          <cell r="I140" t="e">
            <v>#VALUE!</v>
          </cell>
          <cell r="J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 t="e">
            <v>#VALUE!</v>
          </cell>
          <cell r="F141" t="e">
            <v>#VALUE!</v>
          </cell>
          <cell r="G141">
            <v>0</v>
          </cell>
          <cell r="H141">
            <v>0</v>
          </cell>
          <cell r="I141" t="e">
            <v>#VALUE!</v>
          </cell>
          <cell r="J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 t="e">
            <v>#VALUE!</v>
          </cell>
          <cell r="F142" t="e">
            <v>#VALUE!</v>
          </cell>
          <cell r="G142">
            <v>0</v>
          </cell>
          <cell r="H142">
            <v>0</v>
          </cell>
          <cell r="I142" t="e">
            <v>#VALUE!</v>
          </cell>
          <cell r="J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 t="e">
            <v>#VALUE!</v>
          </cell>
          <cell r="F143" t="e">
            <v>#VALUE!</v>
          </cell>
          <cell r="G143">
            <v>0</v>
          </cell>
          <cell r="H143">
            <v>0</v>
          </cell>
          <cell r="I143" t="e">
            <v>#VALUE!</v>
          </cell>
          <cell r="J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 t="e">
            <v>#VALUE!</v>
          </cell>
          <cell r="F144" t="e">
            <v>#VALUE!</v>
          </cell>
          <cell r="G144">
            <v>0</v>
          </cell>
          <cell r="H144">
            <v>0</v>
          </cell>
          <cell r="I144" t="e">
            <v>#VALUE!</v>
          </cell>
          <cell r="J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 t="e">
            <v>#VALUE!</v>
          </cell>
          <cell r="F145" t="e">
            <v>#VALUE!</v>
          </cell>
          <cell r="G145">
            <v>0</v>
          </cell>
          <cell r="H145">
            <v>0</v>
          </cell>
          <cell r="I145" t="e">
            <v>#VALUE!</v>
          </cell>
          <cell r="J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 t="e">
            <v>#VALUE!</v>
          </cell>
          <cell r="F146" t="e">
            <v>#VALUE!</v>
          </cell>
          <cell r="G146">
            <v>0</v>
          </cell>
          <cell r="H146">
            <v>0</v>
          </cell>
          <cell r="I146" t="e">
            <v>#VALUE!</v>
          </cell>
          <cell r="J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 t="e">
            <v>#VALUE!</v>
          </cell>
          <cell r="F147" t="e">
            <v>#VALUE!</v>
          </cell>
          <cell r="G147">
            <v>0</v>
          </cell>
          <cell r="H147">
            <v>0</v>
          </cell>
          <cell r="I147" t="e">
            <v>#VALUE!</v>
          </cell>
          <cell r="J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 t="e">
            <v>#VALUE!</v>
          </cell>
          <cell r="F148" t="e">
            <v>#VALUE!</v>
          </cell>
          <cell r="G148">
            <v>0</v>
          </cell>
          <cell r="H148">
            <v>0</v>
          </cell>
          <cell r="I148" t="e">
            <v>#VALUE!</v>
          </cell>
          <cell r="J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 t="e">
            <v>#VALUE!</v>
          </cell>
          <cell r="F149" t="e">
            <v>#VALUE!</v>
          </cell>
          <cell r="G149">
            <v>0</v>
          </cell>
          <cell r="H149">
            <v>0</v>
          </cell>
          <cell r="I149" t="e">
            <v>#VALUE!</v>
          </cell>
          <cell r="J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 t="e">
            <v>#VALUE!</v>
          </cell>
          <cell r="F150" t="e">
            <v>#VALUE!</v>
          </cell>
          <cell r="G150">
            <v>0</v>
          </cell>
          <cell r="H150">
            <v>0</v>
          </cell>
          <cell r="I150" t="e">
            <v>#VALUE!</v>
          </cell>
          <cell r="J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 t="e">
            <v>#VALUE!</v>
          </cell>
          <cell r="F151" t="e">
            <v>#VALUE!</v>
          </cell>
          <cell r="G151">
            <v>0</v>
          </cell>
          <cell r="H151">
            <v>0</v>
          </cell>
          <cell r="I151" t="e">
            <v>#VALUE!</v>
          </cell>
          <cell r="J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 t="e">
            <v>#VALUE!</v>
          </cell>
          <cell r="F152" t="e">
            <v>#VALUE!</v>
          </cell>
          <cell r="G152">
            <v>0</v>
          </cell>
          <cell r="H152">
            <v>0</v>
          </cell>
          <cell r="I152" t="e">
            <v>#VALUE!</v>
          </cell>
          <cell r="J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 t="e">
            <v>#VALUE!</v>
          </cell>
          <cell r="F153" t="e">
            <v>#VALUE!</v>
          </cell>
          <cell r="G153">
            <v>0</v>
          </cell>
          <cell r="H153">
            <v>0</v>
          </cell>
          <cell r="I153" t="e">
            <v>#VALUE!</v>
          </cell>
          <cell r="J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 t="e">
            <v>#VALUE!</v>
          </cell>
          <cell r="F154" t="e">
            <v>#VALUE!</v>
          </cell>
          <cell r="G154">
            <v>0</v>
          </cell>
          <cell r="H154">
            <v>0</v>
          </cell>
          <cell r="I154" t="e">
            <v>#VALUE!</v>
          </cell>
          <cell r="J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 t="e">
            <v>#VALUE!</v>
          </cell>
          <cell r="F155" t="e">
            <v>#VALUE!</v>
          </cell>
          <cell r="G155">
            <v>0</v>
          </cell>
          <cell r="H155">
            <v>0</v>
          </cell>
          <cell r="I155" t="e">
            <v>#VALUE!</v>
          </cell>
          <cell r="J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 t="e">
            <v>#VALUE!</v>
          </cell>
          <cell r="F156" t="e">
            <v>#VALUE!</v>
          </cell>
          <cell r="G156">
            <v>0</v>
          </cell>
          <cell r="H156">
            <v>0</v>
          </cell>
          <cell r="I156" t="e">
            <v>#VALUE!</v>
          </cell>
          <cell r="J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 t="e">
            <v>#VALUE!</v>
          </cell>
          <cell r="F157" t="e">
            <v>#VALUE!</v>
          </cell>
          <cell r="G157">
            <v>0</v>
          </cell>
          <cell r="H157">
            <v>0</v>
          </cell>
          <cell r="I157" t="e">
            <v>#VALUE!</v>
          </cell>
          <cell r="J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 t="e">
            <v>#VALUE!</v>
          </cell>
          <cell r="F158" t="e">
            <v>#VALUE!</v>
          </cell>
          <cell r="G158">
            <v>0</v>
          </cell>
          <cell r="H158">
            <v>0</v>
          </cell>
          <cell r="I158" t="e">
            <v>#VALUE!</v>
          </cell>
          <cell r="J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 t="e">
            <v>#VALUE!</v>
          </cell>
          <cell r="F159" t="e">
            <v>#VALUE!</v>
          </cell>
          <cell r="G159">
            <v>0</v>
          </cell>
          <cell r="H159">
            <v>0</v>
          </cell>
          <cell r="I159" t="e">
            <v>#VALUE!</v>
          </cell>
          <cell r="J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 t="e">
            <v>#VALUE!</v>
          </cell>
          <cell r="F160" t="e">
            <v>#VALUE!</v>
          </cell>
          <cell r="G160">
            <v>0</v>
          </cell>
          <cell r="H160">
            <v>0</v>
          </cell>
          <cell r="I160" t="e">
            <v>#VALUE!</v>
          </cell>
          <cell r="J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 t="e">
            <v>#VALUE!</v>
          </cell>
          <cell r="F161" t="e">
            <v>#VALUE!</v>
          </cell>
          <cell r="G161">
            <v>0</v>
          </cell>
          <cell r="H161">
            <v>0</v>
          </cell>
          <cell r="I161" t="e">
            <v>#VALUE!</v>
          </cell>
          <cell r="J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 t="e">
            <v>#VALUE!</v>
          </cell>
          <cell r="F162" t="e">
            <v>#VALUE!</v>
          </cell>
          <cell r="G162">
            <v>0</v>
          </cell>
          <cell r="H162">
            <v>0</v>
          </cell>
          <cell r="I162" t="e">
            <v>#VALUE!</v>
          </cell>
          <cell r="J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 t="e">
            <v>#VALUE!</v>
          </cell>
          <cell r="F163" t="e">
            <v>#VALUE!</v>
          </cell>
          <cell r="G163">
            <v>0</v>
          </cell>
          <cell r="H163">
            <v>0</v>
          </cell>
          <cell r="I163" t="e">
            <v>#VALUE!</v>
          </cell>
          <cell r="J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 t="e">
            <v>#VALUE!</v>
          </cell>
          <cell r="F164" t="e">
            <v>#VALUE!</v>
          </cell>
          <cell r="G164">
            <v>0</v>
          </cell>
          <cell r="H164">
            <v>0</v>
          </cell>
          <cell r="I164" t="e">
            <v>#VALUE!</v>
          </cell>
          <cell r="J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 t="e">
            <v>#VALUE!</v>
          </cell>
          <cell r="F165" t="e">
            <v>#VALUE!</v>
          </cell>
          <cell r="G165">
            <v>0</v>
          </cell>
          <cell r="H165">
            <v>0</v>
          </cell>
          <cell r="I165" t="e">
            <v>#VALUE!</v>
          </cell>
          <cell r="J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 t="e">
            <v>#VALUE!</v>
          </cell>
          <cell r="F166" t="e">
            <v>#VALUE!</v>
          </cell>
          <cell r="G166">
            <v>0</v>
          </cell>
          <cell r="H166">
            <v>0</v>
          </cell>
          <cell r="I166" t="e">
            <v>#VALUE!</v>
          </cell>
          <cell r="J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 t="e">
            <v>#VALUE!</v>
          </cell>
          <cell r="F167" t="e">
            <v>#VALUE!</v>
          </cell>
          <cell r="G167">
            <v>0</v>
          </cell>
          <cell r="H167">
            <v>0</v>
          </cell>
          <cell r="I167" t="e">
            <v>#VALUE!</v>
          </cell>
          <cell r="J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 t="e">
            <v>#VALUE!</v>
          </cell>
          <cell r="F168" t="e">
            <v>#VALUE!</v>
          </cell>
          <cell r="G168">
            <v>0</v>
          </cell>
          <cell r="H168">
            <v>0</v>
          </cell>
          <cell r="I168" t="e">
            <v>#VALUE!</v>
          </cell>
          <cell r="J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 t="e">
            <v>#VALUE!</v>
          </cell>
          <cell r="F169" t="e">
            <v>#VALUE!</v>
          </cell>
          <cell r="G169">
            <v>0</v>
          </cell>
          <cell r="H169">
            <v>0</v>
          </cell>
          <cell r="I169" t="e">
            <v>#VALUE!</v>
          </cell>
          <cell r="J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 t="e">
            <v>#VALUE!</v>
          </cell>
          <cell r="F170" t="e">
            <v>#VALUE!</v>
          </cell>
          <cell r="G170">
            <v>0</v>
          </cell>
          <cell r="H170">
            <v>0</v>
          </cell>
          <cell r="I170" t="e">
            <v>#VALUE!</v>
          </cell>
          <cell r="J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e">
            <v>#VALUE!</v>
          </cell>
          <cell r="F171" t="e">
            <v>#VALUE!</v>
          </cell>
          <cell r="G171">
            <v>0</v>
          </cell>
          <cell r="H171">
            <v>0</v>
          </cell>
          <cell r="I171" t="e">
            <v>#VALUE!</v>
          </cell>
          <cell r="J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 t="e">
            <v>#VALUE!</v>
          </cell>
          <cell r="F172" t="e">
            <v>#VALUE!</v>
          </cell>
          <cell r="G172">
            <v>0</v>
          </cell>
          <cell r="H172">
            <v>0</v>
          </cell>
          <cell r="I172" t="e">
            <v>#VALUE!</v>
          </cell>
          <cell r="J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 t="e">
            <v>#VALUE!</v>
          </cell>
          <cell r="F173" t="e">
            <v>#VALUE!</v>
          </cell>
          <cell r="G173">
            <v>0</v>
          </cell>
          <cell r="H173">
            <v>0</v>
          </cell>
          <cell r="I173" t="e">
            <v>#VALUE!</v>
          </cell>
          <cell r="J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 t="e">
            <v>#VALUE!</v>
          </cell>
          <cell r="F174" t="e">
            <v>#VALUE!</v>
          </cell>
          <cell r="G174">
            <v>0</v>
          </cell>
          <cell r="H174">
            <v>0</v>
          </cell>
          <cell r="I174" t="e">
            <v>#VALUE!</v>
          </cell>
          <cell r="J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 t="e">
            <v>#VALUE!</v>
          </cell>
          <cell r="F175" t="e">
            <v>#VALUE!</v>
          </cell>
          <cell r="G175">
            <v>0</v>
          </cell>
          <cell r="H175">
            <v>0</v>
          </cell>
          <cell r="I175" t="e">
            <v>#VALUE!</v>
          </cell>
          <cell r="J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 t="e">
            <v>#VALUE!</v>
          </cell>
          <cell r="F176" t="e">
            <v>#VALUE!</v>
          </cell>
          <cell r="G176">
            <v>0</v>
          </cell>
          <cell r="H176">
            <v>0</v>
          </cell>
          <cell r="I176" t="e">
            <v>#VALUE!</v>
          </cell>
          <cell r="J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 t="e">
            <v>#VALUE!</v>
          </cell>
          <cell r="F177" t="e">
            <v>#VALUE!</v>
          </cell>
          <cell r="G177">
            <v>0</v>
          </cell>
          <cell r="H177">
            <v>0</v>
          </cell>
          <cell r="I177" t="e">
            <v>#VALUE!</v>
          </cell>
          <cell r="J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 t="e">
            <v>#VALUE!</v>
          </cell>
          <cell r="F178" t="e">
            <v>#VALUE!</v>
          </cell>
          <cell r="G178">
            <v>0</v>
          </cell>
          <cell r="H178">
            <v>0</v>
          </cell>
          <cell r="I178" t="e">
            <v>#VALUE!</v>
          </cell>
          <cell r="J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 t="e">
            <v>#VALUE!</v>
          </cell>
          <cell r="F179" t="e">
            <v>#VALUE!</v>
          </cell>
          <cell r="G179">
            <v>0</v>
          </cell>
          <cell r="H179">
            <v>0</v>
          </cell>
          <cell r="I179" t="e">
            <v>#VALUE!</v>
          </cell>
          <cell r="J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 t="e">
            <v>#VALUE!</v>
          </cell>
          <cell r="F180" t="e">
            <v>#VALUE!</v>
          </cell>
          <cell r="G180">
            <v>0</v>
          </cell>
          <cell r="H180">
            <v>0</v>
          </cell>
          <cell r="I180" t="e">
            <v>#VALUE!</v>
          </cell>
          <cell r="J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e">
            <v>#VALUE!</v>
          </cell>
          <cell r="F181" t="e">
            <v>#VALUE!</v>
          </cell>
          <cell r="G181">
            <v>0</v>
          </cell>
          <cell r="H181">
            <v>0</v>
          </cell>
          <cell r="I181" t="e">
            <v>#VALUE!</v>
          </cell>
          <cell r="J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 t="e">
            <v>#VALUE!</v>
          </cell>
          <cell r="F182" t="e">
            <v>#VALUE!</v>
          </cell>
          <cell r="G182">
            <v>0</v>
          </cell>
          <cell r="H182">
            <v>0</v>
          </cell>
          <cell r="I182" t="e">
            <v>#VALUE!</v>
          </cell>
          <cell r="J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 t="e">
            <v>#VALUE!</v>
          </cell>
          <cell r="F183" t="e">
            <v>#VALUE!</v>
          </cell>
          <cell r="G183">
            <v>0</v>
          </cell>
          <cell r="H183">
            <v>0</v>
          </cell>
          <cell r="I183" t="e">
            <v>#VALUE!</v>
          </cell>
          <cell r="J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 t="e">
            <v>#VALUE!</v>
          </cell>
          <cell r="F184" t="e">
            <v>#VALUE!</v>
          </cell>
          <cell r="G184">
            <v>0</v>
          </cell>
          <cell r="H184">
            <v>0</v>
          </cell>
          <cell r="I184" t="e">
            <v>#VALUE!</v>
          </cell>
          <cell r="J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 t="e">
            <v>#VALUE!</v>
          </cell>
          <cell r="F185" t="e">
            <v>#VALUE!</v>
          </cell>
          <cell r="G185">
            <v>0</v>
          </cell>
          <cell r="H185">
            <v>0</v>
          </cell>
          <cell r="I185" t="e">
            <v>#VALUE!</v>
          </cell>
          <cell r="J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 t="e">
            <v>#VALUE!</v>
          </cell>
          <cell r="F186" t="e">
            <v>#VALUE!</v>
          </cell>
          <cell r="G186">
            <v>0</v>
          </cell>
          <cell r="H186">
            <v>0</v>
          </cell>
          <cell r="I186" t="e">
            <v>#VALUE!</v>
          </cell>
          <cell r="J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 t="e">
            <v>#VALUE!</v>
          </cell>
          <cell r="F187" t="e">
            <v>#VALUE!</v>
          </cell>
          <cell r="G187">
            <v>0</v>
          </cell>
          <cell r="H187">
            <v>0</v>
          </cell>
          <cell r="I187" t="e">
            <v>#VALUE!</v>
          </cell>
          <cell r="J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 t="e">
            <v>#VALUE!</v>
          </cell>
          <cell r="F188" t="e">
            <v>#VALUE!</v>
          </cell>
          <cell r="G188">
            <v>0</v>
          </cell>
          <cell r="H188">
            <v>0</v>
          </cell>
          <cell r="I188" t="e">
            <v>#VALUE!</v>
          </cell>
          <cell r="J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 t="e">
            <v>#VALUE!</v>
          </cell>
          <cell r="F189" t="e">
            <v>#VALUE!</v>
          </cell>
          <cell r="G189">
            <v>0</v>
          </cell>
          <cell r="H189">
            <v>0</v>
          </cell>
          <cell r="I189" t="e">
            <v>#VALUE!</v>
          </cell>
          <cell r="J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 t="e">
            <v>#VALUE!</v>
          </cell>
          <cell r="F190" t="e">
            <v>#VALUE!</v>
          </cell>
          <cell r="G190">
            <v>0</v>
          </cell>
          <cell r="H190">
            <v>0</v>
          </cell>
          <cell r="I190" t="e">
            <v>#VALUE!</v>
          </cell>
          <cell r="J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 t="e">
            <v>#VALUE!</v>
          </cell>
          <cell r="F191" t="e">
            <v>#VALUE!</v>
          </cell>
          <cell r="G191">
            <v>0</v>
          </cell>
          <cell r="H191">
            <v>0</v>
          </cell>
          <cell r="I191" t="e">
            <v>#VALUE!</v>
          </cell>
          <cell r="J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 t="e">
            <v>#VALUE!</v>
          </cell>
          <cell r="F192" t="e">
            <v>#VALUE!</v>
          </cell>
          <cell r="G192">
            <v>0</v>
          </cell>
          <cell r="H192">
            <v>0</v>
          </cell>
          <cell r="I192" t="e">
            <v>#VALUE!</v>
          </cell>
          <cell r="J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 t="e">
            <v>#VALUE!</v>
          </cell>
          <cell r="F193" t="e">
            <v>#VALUE!</v>
          </cell>
          <cell r="G193">
            <v>0</v>
          </cell>
          <cell r="H193">
            <v>0</v>
          </cell>
          <cell r="I193" t="e">
            <v>#VALUE!</v>
          </cell>
          <cell r="J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 t="e">
            <v>#VALUE!</v>
          </cell>
          <cell r="F194" t="e">
            <v>#VALUE!</v>
          </cell>
          <cell r="G194">
            <v>0</v>
          </cell>
          <cell r="H194">
            <v>0</v>
          </cell>
          <cell r="I194" t="e">
            <v>#VALUE!</v>
          </cell>
          <cell r="J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 t="e">
            <v>#VALUE!</v>
          </cell>
          <cell r="F195" t="e">
            <v>#VALUE!</v>
          </cell>
          <cell r="G195">
            <v>0</v>
          </cell>
          <cell r="H195">
            <v>0</v>
          </cell>
          <cell r="I195" t="e">
            <v>#VALUE!</v>
          </cell>
          <cell r="J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 t="e">
            <v>#VALUE!</v>
          </cell>
          <cell r="F196" t="e">
            <v>#VALUE!</v>
          </cell>
          <cell r="G196">
            <v>0</v>
          </cell>
          <cell r="H196">
            <v>0</v>
          </cell>
          <cell r="I196" t="e">
            <v>#VALUE!</v>
          </cell>
          <cell r="J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 t="e">
            <v>#VALUE!</v>
          </cell>
          <cell r="F197" t="e">
            <v>#VALUE!</v>
          </cell>
          <cell r="G197">
            <v>0</v>
          </cell>
          <cell r="H197">
            <v>0</v>
          </cell>
          <cell r="I197" t="e">
            <v>#VALUE!</v>
          </cell>
          <cell r="J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 t="e">
            <v>#VALUE!</v>
          </cell>
          <cell r="F198" t="e">
            <v>#VALUE!</v>
          </cell>
          <cell r="G198">
            <v>0</v>
          </cell>
          <cell r="H198">
            <v>0</v>
          </cell>
          <cell r="I198" t="e">
            <v>#VALUE!</v>
          </cell>
          <cell r="J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 t="e">
            <v>#VALUE!</v>
          </cell>
          <cell r="F199" t="e">
            <v>#VALUE!</v>
          </cell>
          <cell r="G199">
            <v>0</v>
          </cell>
          <cell r="H199">
            <v>0</v>
          </cell>
          <cell r="I199" t="e">
            <v>#VALUE!</v>
          </cell>
          <cell r="J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 t="e">
            <v>#VALUE!</v>
          </cell>
          <cell r="F200" t="e">
            <v>#VALUE!</v>
          </cell>
          <cell r="G200">
            <v>0</v>
          </cell>
          <cell r="H200">
            <v>0</v>
          </cell>
          <cell r="I200" t="e">
            <v>#VALUE!</v>
          </cell>
          <cell r="J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 t="e">
            <v>#VALUE!</v>
          </cell>
          <cell r="F201" t="e">
            <v>#VALUE!</v>
          </cell>
          <cell r="G201">
            <v>0</v>
          </cell>
          <cell r="H201">
            <v>0</v>
          </cell>
          <cell r="I201" t="e">
            <v>#VALUE!</v>
          </cell>
          <cell r="J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 t="e">
            <v>#VALUE!</v>
          </cell>
          <cell r="F202" t="e">
            <v>#VALUE!</v>
          </cell>
          <cell r="G202">
            <v>0</v>
          </cell>
          <cell r="H202">
            <v>0</v>
          </cell>
          <cell r="I202" t="e">
            <v>#VALUE!</v>
          </cell>
          <cell r="J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 t="e">
            <v>#VALUE!</v>
          </cell>
          <cell r="F203" t="e">
            <v>#VALUE!</v>
          </cell>
          <cell r="G203">
            <v>0</v>
          </cell>
          <cell r="H203">
            <v>0</v>
          </cell>
          <cell r="I203" t="e">
            <v>#VALUE!</v>
          </cell>
          <cell r="J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 t="e">
            <v>#VALUE!</v>
          </cell>
          <cell r="F204" t="e">
            <v>#VALUE!</v>
          </cell>
          <cell r="G204">
            <v>0</v>
          </cell>
          <cell r="H204">
            <v>0</v>
          </cell>
          <cell r="I204" t="e">
            <v>#VALUE!</v>
          </cell>
          <cell r="J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 t="e">
            <v>#VALUE!</v>
          </cell>
          <cell r="F205" t="e">
            <v>#VALUE!</v>
          </cell>
          <cell r="G205">
            <v>0</v>
          </cell>
          <cell r="H205">
            <v>0</v>
          </cell>
          <cell r="I205" t="e">
            <v>#VALUE!</v>
          </cell>
          <cell r="J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 t="e">
            <v>#VALUE!</v>
          </cell>
          <cell r="F206" t="e">
            <v>#VALUE!</v>
          </cell>
          <cell r="G206">
            <v>0</v>
          </cell>
          <cell r="H206">
            <v>0</v>
          </cell>
          <cell r="I206" t="e">
            <v>#VALUE!</v>
          </cell>
          <cell r="J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 t="e">
            <v>#VALUE!</v>
          </cell>
          <cell r="F207" t="e">
            <v>#VALUE!</v>
          </cell>
          <cell r="G207">
            <v>0</v>
          </cell>
          <cell r="H207">
            <v>0</v>
          </cell>
          <cell r="I207" t="e">
            <v>#VALUE!</v>
          </cell>
          <cell r="J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 t="e">
            <v>#VALUE!</v>
          </cell>
          <cell r="F208" t="e">
            <v>#VALUE!</v>
          </cell>
          <cell r="G208">
            <v>0</v>
          </cell>
          <cell r="H208">
            <v>0</v>
          </cell>
          <cell r="I208" t="e">
            <v>#VALUE!</v>
          </cell>
          <cell r="J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 t="e">
            <v>#VALUE!</v>
          </cell>
          <cell r="F209" t="e">
            <v>#VALUE!</v>
          </cell>
          <cell r="G209">
            <v>0</v>
          </cell>
          <cell r="H209">
            <v>0</v>
          </cell>
          <cell r="I209" t="e">
            <v>#VALUE!</v>
          </cell>
          <cell r="J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 t="e">
            <v>#VALUE!</v>
          </cell>
          <cell r="F210" t="e">
            <v>#VALUE!</v>
          </cell>
          <cell r="G210">
            <v>0</v>
          </cell>
          <cell r="H210">
            <v>0</v>
          </cell>
          <cell r="I210" t="e">
            <v>#VALUE!</v>
          </cell>
          <cell r="J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 t="e">
            <v>#VALUE!</v>
          </cell>
          <cell r="F211" t="e">
            <v>#VALUE!</v>
          </cell>
          <cell r="G211">
            <v>0</v>
          </cell>
          <cell r="H211">
            <v>0</v>
          </cell>
          <cell r="I211" t="e">
            <v>#VALUE!</v>
          </cell>
          <cell r="J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 t="e">
            <v>#VALUE!</v>
          </cell>
          <cell r="F212" t="e">
            <v>#VALUE!</v>
          </cell>
          <cell r="G212">
            <v>0</v>
          </cell>
          <cell r="H212">
            <v>0</v>
          </cell>
          <cell r="I212" t="e">
            <v>#VALUE!</v>
          </cell>
          <cell r="J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 t="e">
            <v>#VALUE!</v>
          </cell>
          <cell r="F213" t="e">
            <v>#VALUE!</v>
          </cell>
          <cell r="G213">
            <v>0</v>
          </cell>
          <cell r="H213">
            <v>0</v>
          </cell>
          <cell r="I213" t="e">
            <v>#VALUE!</v>
          </cell>
          <cell r="J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 t="e">
            <v>#VALUE!</v>
          </cell>
          <cell r="F214" t="e">
            <v>#VALUE!</v>
          </cell>
          <cell r="G214">
            <v>0</v>
          </cell>
          <cell r="H214">
            <v>0</v>
          </cell>
          <cell r="I214" t="e">
            <v>#VALUE!</v>
          </cell>
          <cell r="J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 t="e">
            <v>#VALUE!</v>
          </cell>
          <cell r="F215" t="e">
            <v>#VALUE!</v>
          </cell>
          <cell r="G215">
            <v>0</v>
          </cell>
          <cell r="H215">
            <v>0</v>
          </cell>
          <cell r="I215" t="e">
            <v>#VALUE!</v>
          </cell>
          <cell r="J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 t="e">
            <v>#VALUE!</v>
          </cell>
          <cell r="F216" t="e">
            <v>#VALUE!</v>
          </cell>
          <cell r="G216">
            <v>0</v>
          </cell>
          <cell r="H216">
            <v>0</v>
          </cell>
          <cell r="I216" t="e">
            <v>#VALUE!</v>
          </cell>
          <cell r="J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 t="e">
            <v>#VALUE!</v>
          </cell>
          <cell r="F217" t="e">
            <v>#VALUE!</v>
          </cell>
          <cell r="G217">
            <v>0</v>
          </cell>
          <cell r="H217">
            <v>0</v>
          </cell>
          <cell r="I217" t="e">
            <v>#VALUE!</v>
          </cell>
          <cell r="J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 t="e">
            <v>#VALUE!</v>
          </cell>
          <cell r="F218" t="e">
            <v>#VALUE!</v>
          </cell>
          <cell r="G218">
            <v>0</v>
          </cell>
          <cell r="H218">
            <v>0</v>
          </cell>
          <cell r="I218" t="e">
            <v>#VALUE!</v>
          </cell>
          <cell r="J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 t="e">
            <v>#VALUE!</v>
          </cell>
          <cell r="F219" t="e">
            <v>#VALUE!</v>
          </cell>
          <cell r="G219">
            <v>0</v>
          </cell>
          <cell r="H219">
            <v>0</v>
          </cell>
          <cell r="I219" t="e">
            <v>#VALUE!</v>
          </cell>
          <cell r="J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 t="e">
            <v>#VALUE!</v>
          </cell>
          <cell r="F220" t="e">
            <v>#VALUE!</v>
          </cell>
          <cell r="G220">
            <v>0</v>
          </cell>
          <cell r="H220">
            <v>0</v>
          </cell>
          <cell r="I220" t="e">
            <v>#VALUE!</v>
          </cell>
          <cell r="J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 t="e">
            <v>#VALUE!</v>
          </cell>
          <cell r="F221" t="e">
            <v>#VALUE!</v>
          </cell>
          <cell r="G221">
            <v>0</v>
          </cell>
          <cell r="H221">
            <v>0</v>
          </cell>
          <cell r="I221" t="e">
            <v>#VALUE!</v>
          </cell>
          <cell r="J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 t="e">
            <v>#VALUE!</v>
          </cell>
          <cell r="F222" t="e">
            <v>#VALUE!</v>
          </cell>
          <cell r="G222">
            <v>0</v>
          </cell>
          <cell r="H222">
            <v>0</v>
          </cell>
          <cell r="I222" t="e">
            <v>#VALUE!</v>
          </cell>
          <cell r="J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 t="e">
            <v>#VALUE!</v>
          </cell>
          <cell r="F223" t="e">
            <v>#VALUE!</v>
          </cell>
          <cell r="G223">
            <v>0</v>
          </cell>
          <cell r="H223">
            <v>0</v>
          </cell>
          <cell r="I223" t="e">
            <v>#VALUE!</v>
          </cell>
          <cell r="J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 t="e">
            <v>#VALUE!</v>
          </cell>
          <cell r="F224" t="e">
            <v>#VALUE!</v>
          </cell>
          <cell r="G224">
            <v>0</v>
          </cell>
          <cell r="H224">
            <v>0</v>
          </cell>
          <cell r="I224" t="e">
            <v>#VALUE!</v>
          </cell>
          <cell r="J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 t="e">
            <v>#VALUE!</v>
          </cell>
          <cell r="F225" t="e">
            <v>#VALUE!</v>
          </cell>
          <cell r="G225">
            <v>0</v>
          </cell>
          <cell r="H225">
            <v>0</v>
          </cell>
          <cell r="I225" t="e">
            <v>#VALUE!</v>
          </cell>
          <cell r="J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 t="e">
            <v>#VALUE!</v>
          </cell>
          <cell r="F226" t="e">
            <v>#VALUE!</v>
          </cell>
          <cell r="G226">
            <v>0</v>
          </cell>
          <cell r="H226">
            <v>0</v>
          </cell>
          <cell r="I226" t="e">
            <v>#VALUE!</v>
          </cell>
          <cell r="J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 t="e">
            <v>#VALUE!</v>
          </cell>
          <cell r="F227" t="e">
            <v>#VALUE!</v>
          </cell>
          <cell r="G227">
            <v>0</v>
          </cell>
          <cell r="H227">
            <v>0</v>
          </cell>
          <cell r="I227" t="e">
            <v>#VALUE!</v>
          </cell>
          <cell r="J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 t="e">
            <v>#VALUE!</v>
          </cell>
          <cell r="F228" t="e">
            <v>#VALUE!</v>
          </cell>
          <cell r="G228">
            <v>0</v>
          </cell>
          <cell r="H228">
            <v>0</v>
          </cell>
          <cell r="I228" t="e">
            <v>#VALUE!</v>
          </cell>
          <cell r="J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 t="e">
            <v>#VALUE!</v>
          </cell>
          <cell r="F229" t="e">
            <v>#VALUE!</v>
          </cell>
          <cell r="G229">
            <v>0</v>
          </cell>
          <cell r="H229">
            <v>0</v>
          </cell>
          <cell r="I229" t="e">
            <v>#VALUE!</v>
          </cell>
          <cell r="J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 t="e">
            <v>#VALUE!</v>
          </cell>
          <cell r="F230" t="e">
            <v>#VALUE!</v>
          </cell>
          <cell r="G230">
            <v>0</v>
          </cell>
          <cell r="H230">
            <v>0</v>
          </cell>
          <cell r="I230" t="e">
            <v>#VALUE!</v>
          </cell>
          <cell r="J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 t="e">
            <v>#VALUE!</v>
          </cell>
          <cell r="F231" t="e">
            <v>#VALUE!</v>
          </cell>
          <cell r="G231">
            <v>0</v>
          </cell>
          <cell r="H231">
            <v>0</v>
          </cell>
          <cell r="I231" t="e">
            <v>#VALUE!</v>
          </cell>
          <cell r="J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 t="e">
            <v>#VALUE!</v>
          </cell>
          <cell r="F232" t="e">
            <v>#VALUE!</v>
          </cell>
          <cell r="G232">
            <v>0</v>
          </cell>
          <cell r="H232">
            <v>0</v>
          </cell>
          <cell r="I232" t="e">
            <v>#VALUE!</v>
          </cell>
          <cell r="J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 t="e">
            <v>#VALUE!</v>
          </cell>
          <cell r="F233" t="e">
            <v>#VALUE!</v>
          </cell>
          <cell r="G233">
            <v>0</v>
          </cell>
          <cell r="H233">
            <v>0</v>
          </cell>
          <cell r="I233" t="e">
            <v>#VALUE!</v>
          </cell>
          <cell r="J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e">
            <v>#VALUE!</v>
          </cell>
          <cell r="F234" t="e">
            <v>#VALUE!</v>
          </cell>
          <cell r="G234">
            <v>0</v>
          </cell>
          <cell r="H234">
            <v>0</v>
          </cell>
          <cell r="I234" t="e">
            <v>#VALUE!</v>
          </cell>
          <cell r="J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 t="e">
            <v>#VALUE!</v>
          </cell>
          <cell r="F235" t="e">
            <v>#VALUE!</v>
          </cell>
          <cell r="G235">
            <v>0</v>
          </cell>
          <cell r="H235">
            <v>0</v>
          </cell>
          <cell r="I235" t="e">
            <v>#VALUE!</v>
          </cell>
          <cell r="J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 t="e">
            <v>#VALUE!</v>
          </cell>
          <cell r="F236" t="e">
            <v>#VALUE!</v>
          </cell>
          <cell r="G236">
            <v>0</v>
          </cell>
          <cell r="H236">
            <v>0</v>
          </cell>
          <cell r="I236" t="e">
            <v>#VALUE!</v>
          </cell>
          <cell r="J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 t="e">
            <v>#VALUE!</v>
          </cell>
          <cell r="F237" t="e">
            <v>#VALUE!</v>
          </cell>
          <cell r="G237">
            <v>0</v>
          </cell>
          <cell r="H237">
            <v>0</v>
          </cell>
          <cell r="I237" t="e">
            <v>#VALUE!</v>
          </cell>
          <cell r="J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 t="e">
            <v>#VALUE!</v>
          </cell>
          <cell r="F238" t="e">
            <v>#VALUE!</v>
          </cell>
          <cell r="G238">
            <v>0</v>
          </cell>
          <cell r="H238">
            <v>0</v>
          </cell>
          <cell r="I238" t="e">
            <v>#VALUE!</v>
          </cell>
          <cell r="J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 t="e">
            <v>#VALUE!</v>
          </cell>
          <cell r="F239" t="e">
            <v>#VALUE!</v>
          </cell>
          <cell r="G239">
            <v>0</v>
          </cell>
          <cell r="H239">
            <v>0</v>
          </cell>
          <cell r="I239" t="e">
            <v>#VALUE!</v>
          </cell>
          <cell r="J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 t="e">
            <v>#VALUE!</v>
          </cell>
          <cell r="F240" t="e">
            <v>#VALUE!</v>
          </cell>
          <cell r="G240">
            <v>0</v>
          </cell>
          <cell r="H240">
            <v>0</v>
          </cell>
          <cell r="I240" t="e">
            <v>#VALUE!</v>
          </cell>
          <cell r="J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 t="e">
            <v>#VALUE!</v>
          </cell>
          <cell r="F241" t="e">
            <v>#VALUE!</v>
          </cell>
          <cell r="G241">
            <v>0</v>
          </cell>
          <cell r="H241">
            <v>0</v>
          </cell>
          <cell r="I241" t="e">
            <v>#VALUE!</v>
          </cell>
          <cell r="J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 t="e">
            <v>#VALUE!</v>
          </cell>
          <cell r="F242" t="e">
            <v>#VALUE!</v>
          </cell>
          <cell r="G242">
            <v>0</v>
          </cell>
          <cell r="H242">
            <v>0</v>
          </cell>
          <cell r="I242" t="e">
            <v>#VALUE!</v>
          </cell>
          <cell r="J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 t="e">
            <v>#VALUE!</v>
          </cell>
          <cell r="F243" t="e">
            <v>#VALUE!</v>
          </cell>
          <cell r="G243">
            <v>0</v>
          </cell>
          <cell r="H243">
            <v>0</v>
          </cell>
          <cell r="I243" t="e">
            <v>#VALUE!</v>
          </cell>
          <cell r="J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 t="e">
            <v>#VALUE!</v>
          </cell>
          <cell r="F244" t="e">
            <v>#VALUE!</v>
          </cell>
          <cell r="G244">
            <v>0</v>
          </cell>
          <cell r="H244">
            <v>0</v>
          </cell>
          <cell r="I244" t="e">
            <v>#VALUE!</v>
          </cell>
          <cell r="J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 t="e">
            <v>#VALUE!</v>
          </cell>
          <cell r="F245" t="e">
            <v>#VALUE!</v>
          </cell>
          <cell r="G245">
            <v>0</v>
          </cell>
          <cell r="H245">
            <v>0</v>
          </cell>
          <cell r="I245" t="e">
            <v>#VALUE!</v>
          </cell>
          <cell r="J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 t="e">
            <v>#VALUE!</v>
          </cell>
          <cell r="F246" t="e">
            <v>#VALUE!</v>
          </cell>
          <cell r="G246">
            <v>0</v>
          </cell>
          <cell r="H246">
            <v>0</v>
          </cell>
          <cell r="I246" t="e">
            <v>#VALUE!</v>
          </cell>
          <cell r="J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 t="e">
            <v>#VALUE!</v>
          </cell>
          <cell r="F247" t="e">
            <v>#VALUE!</v>
          </cell>
          <cell r="G247">
            <v>0</v>
          </cell>
          <cell r="H247">
            <v>0</v>
          </cell>
          <cell r="I247" t="e">
            <v>#VALUE!</v>
          </cell>
          <cell r="J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 t="e">
            <v>#VALUE!</v>
          </cell>
          <cell r="F248" t="e">
            <v>#VALUE!</v>
          </cell>
          <cell r="G248">
            <v>0</v>
          </cell>
          <cell r="H248">
            <v>0</v>
          </cell>
          <cell r="I248" t="e">
            <v>#VALUE!</v>
          </cell>
          <cell r="J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 t="e">
            <v>#VALUE!</v>
          </cell>
          <cell r="F249" t="e">
            <v>#VALUE!</v>
          </cell>
          <cell r="G249">
            <v>0</v>
          </cell>
          <cell r="H249">
            <v>0</v>
          </cell>
          <cell r="I249" t="e">
            <v>#VALUE!</v>
          </cell>
          <cell r="J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 t="e">
            <v>#VALUE!</v>
          </cell>
          <cell r="F250" t="e">
            <v>#VALUE!</v>
          </cell>
          <cell r="G250">
            <v>0</v>
          </cell>
          <cell r="H250">
            <v>0</v>
          </cell>
          <cell r="I250" t="e">
            <v>#VALUE!</v>
          </cell>
          <cell r="J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 t="e">
            <v>#VALUE!</v>
          </cell>
          <cell r="F251" t="e">
            <v>#VALUE!</v>
          </cell>
          <cell r="G251">
            <v>0</v>
          </cell>
          <cell r="H251">
            <v>0</v>
          </cell>
          <cell r="I251" t="e">
            <v>#VALUE!</v>
          </cell>
          <cell r="J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 t="e">
            <v>#VALUE!</v>
          </cell>
          <cell r="F252" t="e">
            <v>#VALUE!</v>
          </cell>
          <cell r="G252">
            <v>0</v>
          </cell>
          <cell r="H252">
            <v>0</v>
          </cell>
          <cell r="I252" t="e">
            <v>#VALUE!</v>
          </cell>
          <cell r="J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 t="e">
            <v>#VALUE!</v>
          </cell>
          <cell r="F253" t="e">
            <v>#VALUE!</v>
          </cell>
          <cell r="G253">
            <v>0</v>
          </cell>
          <cell r="H253">
            <v>0</v>
          </cell>
          <cell r="I253" t="e">
            <v>#VALUE!</v>
          </cell>
          <cell r="J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 t="e">
            <v>#VALUE!</v>
          </cell>
          <cell r="F254" t="e">
            <v>#VALUE!</v>
          </cell>
          <cell r="G254">
            <v>0</v>
          </cell>
          <cell r="H254">
            <v>0</v>
          </cell>
          <cell r="I254" t="e">
            <v>#VALUE!</v>
          </cell>
          <cell r="J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 t="e">
            <v>#VALUE!</v>
          </cell>
          <cell r="F255" t="e">
            <v>#VALUE!</v>
          </cell>
          <cell r="G255">
            <v>0</v>
          </cell>
          <cell r="H255">
            <v>0</v>
          </cell>
          <cell r="I255" t="e">
            <v>#VALUE!</v>
          </cell>
          <cell r="J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 t="e">
            <v>#VALUE!</v>
          </cell>
          <cell r="F256" t="e">
            <v>#VALUE!</v>
          </cell>
          <cell r="G256">
            <v>0</v>
          </cell>
          <cell r="H256">
            <v>0</v>
          </cell>
          <cell r="I256" t="e">
            <v>#VALUE!</v>
          </cell>
          <cell r="J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 t="e">
            <v>#VALUE!</v>
          </cell>
          <cell r="F257" t="e">
            <v>#VALUE!</v>
          </cell>
          <cell r="G257">
            <v>0</v>
          </cell>
          <cell r="H257">
            <v>0</v>
          </cell>
          <cell r="I257" t="e">
            <v>#VALUE!</v>
          </cell>
          <cell r="J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 t="e">
            <v>#VALUE!</v>
          </cell>
          <cell r="F258" t="e">
            <v>#VALUE!</v>
          </cell>
          <cell r="G258">
            <v>0</v>
          </cell>
          <cell r="H258">
            <v>0</v>
          </cell>
          <cell r="I258" t="e">
            <v>#VALUE!</v>
          </cell>
          <cell r="J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 t="e">
            <v>#VALUE!</v>
          </cell>
          <cell r="F259" t="e">
            <v>#VALUE!</v>
          </cell>
          <cell r="G259">
            <v>0</v>
          </cell>
          <cell r="H259">
            <v>0</v>
          </cell>
          <cell r="I259" t="e">
            <v>#VALUE!</v>
          </cell>
          <cell r="J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 t="e">
            <v>#VALUE!</v>
          </cell>
          <cell r="F260" t="e">
            <v>#VALUE!</v>
          </cell>
          <cell r="G260">
            <v>0</v>
          </cell>
          <cell r="H260">
            <v>0</v>
          </cell>
          <cell r="I260" t="e">
            <v>#VALUE!</v>
          </cell>
          <cell r="J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 t="e">
            <v>#VALUE!</v>
          </cell>
          <cell r="F261" t="e">
            <v>#VALUE!</v>
          </cell>
          <cell r="G261">
            <v>0</v>
          </cell>
          <cell r="H261">
            <v>0</v>
          </cell>
          <cell r="I261" t="e">
            <v>#VALUE!</v>
          </cell>
          <cell r="J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 t="e">
            <v>#VALUE!</v>
          </cell>
          <cell r="F262" t="e">
            <v>#VALUE!</v>
          </cell>
          <cell r="G262">
            <v>0</v>
          </cell>
          <cell r="H262">
            <v>0</v>
          </cell>
          <cell r="I262" t="e">
            <v>#VALUE!</v>
          </cell>
          <cell r="J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 t="e">
            <v>#VALUE!</v>
          </cell>
          <cell r="F263" t="e">
            <v>#VALUE!</v>
          </cell>
          <cell r="G263">
            <v>0</v>
          </cell>
          <cell r="H263">
            <v>0</v>
          </cell>
          <cell r="I263" t="e">
            <v>#VALUE!</v>
          </cell>
          <cell r="J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 t="e">
            <v>#VALUE!</v>
          </cell>
          <cell r="F264" t="e">
            <v>#VALUE!</v>
          </cell>
          <cell r="G264">
            <v>0</v>
          </cell>
          <cell r="H264">
            <v>0</v>
          </cell>
          <cell r="I264" t="e">
            <v>#VALUE!</v>
          </cell>
          <cell r="J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 t="e">
            <v>#VALUE!</v>
          </cell>
          <cell r="F265" t="e">
            <v>#VALUE!</v>
          </cell>
          <cell r="G265">
            <v>0</v>
          </cell>
          <cell r="H265">
            <v>0</v>
          </cell>
          <cell r="I265" t="e">
            <v>#VALUE!</v>
          </cell>
          <cell r="J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 t="e">
            <v>#VALUE!</v>
          </cell>
          <cell r="F266" t="e">
            <v>#VALUE!</v>
          </cell>
          <cell r="G266">
            <v>0</v>
          </cell>
          <cell r="H266">
            <v>0</v>
          </cell>
          <cell r="I266" t="e">
            <v>#VALUE!</v>
          </cell>
          <cell r="J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 t="e">
            <v>#VALUE!</v>
          </cell>
          <cell r="F267" t="e">
            <v>#VALUE!</v>
          </cell>
          <cell r="G267">
            <v>0</v>
          </cell>
          <cell r="H267">
            <v>0</v>
          </cell>
          <cell r="I267" t="e">
            <v>#VALUE!</v>
          </cell>
          <cell r="J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 t="e">
            <v>#VALUE!</v>
          </cell>
          <cell r="F268" t="e">
            <v>#VALUE!</v>
          </cell>
          <cell r="G268">
            <v>0</v>
          </cell>
          <cell r="H268">
            <v>0</v>
          </cell>
          <cell r="I268" t="e">
            <v>#VALUE!</v>
          </cell>
          <cell r="J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 t="e">
            <v>#VALUE!</v>
          </cell>
          <cell r="F269" t="e">
            <v>#VALUE!</v>
          </cell>
          <cell r="G269">
            <v>0</v>
          </cell>
          <cell r="H269">
            <v>0</v>
          </cell>
          <cell r="I269" t="e">
            <v>#VALUE!</v>
          </cell>
          <cell r="J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 t="e">
            <v>#VALUE!</v>
          </cell>
          <cell r="F270" t="e">
            <v>#VALUE!</v>
          </cell>
          <cell r="G270">
            <v>0</v>
          </cell>
          <cell r="H270">
            <v>0</v>
          </cell>
          <cell r="I270" t="e">
            <v>#VALUE!</v>
          </cell>
          <cell r="J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 t="e">
            <v>#VALUE!</v>
          </cell>
          <cell r="F271" t="e">
            <v>#VALUE!</v>
          </cell>
          <cell r="G271">
            <v>0</v>
          </cell>
          <cell r="H271">
            <v>0</v>
          </cell>
          <cell r="I271" t="e">
            <v>#VALUE!</v>
          </cell>
          <cell r="J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 t="e">
            <v>#VALUE!</v>
          </cell>
          <cell r="F272" t="e">
            <v>#VALUE!</v>
          </cell>
          <cell r="G272">
            <v>0</v>
          </cell>
          <cell r="H272">
            <v>0</v>
          </cell>
          <cell r="I272" t="e">
            <v>#VALUE!</v>
          </cell>
          <cell r="J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 t="e">
            <v>#VALUE!</v>
          </cell>
          <cell r="F273" t="e">
            <v>#VALUE!</v>
          </cell>
          <cell r="G273">
            <v>0</v>
          </cell>
          <cell r="H273">
            <v>0</v>
          </cell>
          <cell r="I273" t="e">
            <v>#VALUE!</v>
          </cell>
          <cell r="J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 t="e">
            <v>#VALUE!</v>
          </cell>
          <cell r="F274" t="e">
            <v>#VALUE!</v>
          </cell>
          <cell r="G274">
            <v>0</v>
          </cell>
          <cell r="H274">
            <v>0</v>
          </cell>
          <cell r="I274" t="e">
            <v>#VALUE!</v>
          </cell>
          <cell r="J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 t="e">
            <v>#VALUE!</v>
          </cell>
          <cell r="F275" t="e">
            <v>#VALUE!</v>
          </cell>
          <cell r="G275">
            <v>0</v>
          </cell>
          <cell r="H275">
            <v>0</v>
          </cell>
          <cell r="I275" t="e">
            <v>#VALUE!</v>
          </cell>
          <cell r="J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 t="e">
            <v>#VALUE!</v>
          </cell>
          <cell r="F276" t="e">
            <v>#VALUE!</v>
          </cell>
          <cell r="G276">
            <v>0</v>
          </cell>
          <cell r="H276">
            <v>0</v>
          </cell>
          <cell r="I276" t="e">
            <v>#VALUE!</v>
          </cell>
          <cell r="J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 t="e">
            <v>#VALUE!</v>
          </cell>
          <cell r="F277" t="e">
            <v>#VALUE!</v>
          </cell>
          <cell r="G277">
            <v>0</v>
          </cell>
          <cell r="H277">
            <v>0</v>
          </cell>
          <cell r="I277" t="e">
            <v>#VALUE!</v>
          </cell>
          <cell r="J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 t="e">
            <v>#VALUE!</v>
          </cell>
          <cell r="F278" t="e">
            <v>#VALUE!</v>
          </cell>
          <cell r="G278">
            <v>0</v>
          </cell>
          <cell r="H278">
            <v>0</v>
          </cell>
          <cell r="I278" t="e">
            <v>#VALUE!</v>
          </cell>
          <cell r="J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 t="e">
            <v>#VALUE!</v>
          </cell>
          <cell r="F279" t="e">
            <v>#VALUE!</v>
          </cell>
          <cell r="G279">
            <v>0</v>
          </cell>
          <cell r="H279">
            <v>0</v>
          </cell>
          <cell r="I279" t="e">
            <v>#VALUE!</v>
          </cell>
          <cell r="J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 t="e">
            <v>#VALUE!</v>
          </cell>
          <cell r="F280" t="e">
            <v>#VALUE!</v>
          </cell>
          <cell r="G280">
            <v>0</v>
          </cell>
          <cell r="H280">
            <v>0</v>
          </cell>
          <cell r="I280" t="e">
            <v>#VALUE!</v>
          </cell>
          <cell r="J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 t="e">
            <v>#VALUE!</v>
          </cell>
          <cell r="F281" t="e">
            <v>#VALUE!</v>
          </cell>
          <cell r="G281">
            <v>0</v>
          </cell>
          <cell r="H281">
            <v>0</v>
          </cell>
          <cell r="I281" t="e">
            <v>#VALUE!</v>
          </cell>
          <cell r="J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 t="e">
            <v>#VALUE!</v>
          </cell>
          <cell r="F282" t="e">
            <v>#VALUE!</v>
          </cell>
          <cell r="G282">
            <v>0</v>
          </cell>
          <cell r="H282">
            <v>0</v>
          </cell>
          <cell r="I282" t="e">
            <v>#VALUE!</v>
          </cell>
          <cell r="J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 t="e">
            <v>#VALUE!</v>
          </cell>
          <cell r="F283" t="e">
            <v>#VALUE!</v>
          </cell>
          <cell r="G283">
            <v>0</v>
          </cell>
          <cell r="H283">
            <v>0</v>
          </cell>
          <cell r="I283" t="e">
            <v>#VALUE!</v>
          </cell>
          <cell r="J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 t="e">
            <v>#VALUE!</v>
          </cell>
          <cell r="F284" t="e">
            <v>#VALUE!</v>
          </cell>
          <cell r="G284">
            <v>0</v>
          </cell>
          <cell r="H284">
            <v>0</v>
          </cell>
          <cell r="I284" t="e">
            <v>#VALUE!</v>
          </cell>
          <cell r="J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 t="e">
            <v>#VALUE!</v>
          </cell>
          <cell r="F285" t="e">
            <v>#VALUE!</v>
          </cell>
          <cell r="G285">
            <v>0</v>
          </cell>
          <cell r="H285">
            <v>0</v>
          </cell>
          <cell r="I285" t="e">
            <v>#VALUE!</v>
          </cell>
          <cell r="J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 t="e">
            <v>#VALUE!</v>
          </cell>
          <cell r="F286" t="e">
            <v>#VALUE!</v>
          </cell>
          <cell r="G286">
            <v>0</v>
          </cell>
          <cell r="H286">
            <v>0</v>
          </cell>
          <cell r="I286" t="e">
            <v>#VALUE!</v>
          </cell>
          <cell r="J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 t="e">
            <v>#VALUE!</v>
          </cell>
          <cell r="F287" t="e">
            <v>#VALUE!</v>
          </cell>
          <cell r="G287">
            <v>0</v>
          </cell>
          <cell r="H287">
            <v>0</v>
          </cell>
          <cell r="I287" t="e">
            <v>#VALUE!</v>
          </cell>
          <cell r="J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 t="e">
            <v>#VALUE!</v>
          </cell>
          <cell r="F288" t="e">
            <v>#VALUE!</v>
          </cell>
          <cell r="G288">
            <v>0</v>
          </cell>
          <cell r="H288">
            <v>0</v>
          </cell>
          <cell r="I288" t="e">
            <v>#VALUE!</v>
          </cell>
          <cell r="J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 t="e">
            <v>#VALUE!</v>
          </cell>
          <cell r="F289" t="e">
            <v>#VALUE!</v>
          </cell>
          <cell r="G289">
            <v>0</v>
          </cell>
          <cell r="H289">
            <v>0</v>
          </cell>
          <cell r="I289" t="e">
            <v>#VALUE!</v>
          </cell>
          <cell r="J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 t="e">
            <v>#VALUE!</v>
          </cell>
          <cell r="F290" t="e">
            <v>#VALUE!</v>
          </cell>
          <cell r="G290">
            <v>0</v>
          </cell>
          <cell r="H290">
            <v>0</v>
          </cell>
          <cell r="I290" t="e">
            <v>#VALUE!</v>
          </cell>
          <cell r="J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 t="e">
            <v>#VALUE!</v>
          </cell>
          <cell r="F291" t="e">
            <v>#VALUE!</v>
          </cell>
          <cell r="G291">
            <v>0</v>
          </cell>
          <cell r="H291">
            <v>0</v>
          </cell>
          <cell r="I291" t="e">
            <v>#VALUE!</v>
          </cell>
          <cell r="J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 t="e">
            <v>#VALUE!</v>
          </cell>
          <cell r="F292" t="e">
            <v>#VALUE!</v>
          </cell>
          <cell r="G292">
            <v>0</v>
          </cell>
          <cell r="H292">
            <v>0</v>
          </cell>
          <cell r="I292" t="e">
            <v>#VALUE!</v>
          </cell>
          <cell r="J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 t="e">
            <v>#VALUE!</v>
          </cell>
          <cell r="F293" t="e">
            <v>#VALUE!</v>
          </cell>
          <cell r="G293">
            <v>0</v>
          </cell>
          <cell r="H293">
            <v>0</v>
          </cell>
          <cell r="I293" t="e">
            <v>#VALUE!</v>
          </cell>
          <cell r="J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 t="e">
            <v>#VALUE!</v>
          </cell>
          <cell r="F294" t="e">
            <v>#VALUE!</v>
          </cell>
          <cell r="G294">
            <v>0</v>
          </cell>
          <cell r="H294">
            <v>0</v>
          </cell>
          <cell r="I294" t="e">
            <v>#VALUE!</v>
          </cell>
          <cell r="J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 t="e">
            <v>#VALUE!</v>
          </cell>
          <cell r="F295" t="e">
            <v>#VALUE!</v>
          </cell>
          <cell r="G295">
            <v>0</v>
          </cell>
          <cell r="H295">
            <v>0</v>
          </cell>
          <cell r="I295" t="e">
            <v>#VALUE!</v>
          </cell>
          <cell r="J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 t="e">
            <v>#VALUE!</v>
          </cell>
          <cell r="F296" t="e">
            <v>#VALUE!</v>
          </cell>
          <cell r="G296">
            <v>0</v>
          </cell>
          <cell r="H296">
            <v>0</v>
          </cell>
          <cell r="I296" t="e">
            <v>#VALUE!</v>
          </cell>
          <cell r="J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 t="e">
            <v>#VALUE!</v>
          </cell>
          <cell r="F297" t="e">
            <v>#VALUE!</v>
          </cell>
          <cell r="G297">
            <v>0</v>
          </cell>
          <cell r="H297">
            <v>0</v>
          </cell>
          <cell r="I297" t="e">
            <v>#VALUE!</v>
          </cell>
          <cell r="J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 t="e">
            <v>#VALUE!</v>
          </cell>
          <cell r="F298" t="e">
            <v>#VALUE!</v>
          </cell>
          <cell r="G298">
            <v>0</v>
          </cell>
          <cell r="H298">
            <v>0</v>
          </cell>
          <cell r="I298" t="e">
            <v>#VALUE!</v>
          </cell>
          <cell r="J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 t="e">
            <v>#VALUE!</v>
          </cell>
          <cell r="F299" t="e">
            <v>#VALUE!</v>
          </cell>
          <cell r="G299">
            <v>0</v>
          </cell>
          <cell r="H299">
            <v>0</v>
          </cell>
          <cell r="I299" t="e">
            <v>#VALUE!</v>
          </cell>
          <cell r="J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 t="e">
            <v>#VALUE!</v>
          </cell>
          <cell r="F300" t="e">
            <v>#VALUE!</v>
          </cell>
          <cell r="G300">
            <v>0</v>
          </cell>
          <cell r="H300">
            <v>0</v>
          </cell>
          <cell r="I300" t="e">
            <v>#VALUE!</v>
          </cell>
          <cell r="J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 t="e">
            <v>#VALUE!</v>
          </cell>
          <cell r="F301" t="e">
            <v>#VALUE!</v>
          </cell>
          <cell r="G301">
            <v>0</v>
          </cell>
          <cell r="H301">
            <v>0</v>
          </cell>
          <cell r="I301" t="e">
            <v>#VALUE!</v>
          </cell>
          <cell r="J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 t="e">
            <v>#VALUE!</v>
          </cell>
          <cell r="F302" t="e">
            <v>#VALUE!</v>
          </cell>
          <cell r="G302">
            <v>0</v>
          </cell>
          <cell r="H302">
            <v>0</v>
          </cell>
          <cell r="I302" t="e">
            <v>#VALUE!</v>
          </cell>
          <cell r="J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 t="e">
            <v>#VALUE!</v>
          </cell>
          <cell r="F303" t="e">
            <v>#VALUE!</v>
          </cell>
          <cell r="G303">
            <v>0</v>
          </cell>
          <cell r="H303">
            <v>0</v>
          </cell>
          <cell r="I303" t="e">
            <v>#VALUE!</v>
          </cell>
          <cell r="J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 t="e">
            <v>#VALUE!</v>
          </cell>
          <cell r="F304" t="e">
            <v>#VALUE!</v>
          </cell>
          <cell r="G304">
            <v>0</v>
          </cell>
          <cell r="H304">
            <v>0</v>
          </cell>
          <cell r="I304" t="e">
            <v>#VALUE!</v>
          </cell>
          <cell r="J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 t="e">
            <v>#VALUE!</v>
          </cell>
          <cell r="F305" t="e">
            <v>#VALUE!</v>
          </cell>
          <cell r="G305">
            <v>0</v>
          </cell>
          <cell r="H305">
            <v>0</v>
          </cell>
          <cell r="I305" t="e">
            <v>#VALUE!</v>
          </cell>
          <cell r="J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 t="e">
            <v>#VALUE!</v>
          </cell>
          <cell r="F306" t="e">
            <v>#VALUE!</v>
          </cell>
          <cell r="G306">
            <v>0</v>
          </cell>
          <cell r="H306">
            <v>0</v>
          </cell>
          <cell r="I306" t="e">
            <v>#VALUE!</v>
          </cell>
          <cell r="J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 t="e">
            <v>#VALUE!</v>
          </cell>
          <cell r="F307" t="e">
            <v>#VALUE!</v>
          </cell>
          <cell r="G307">
            <v>0</v>
          </cell>
          <cell r="H307">
            <v>0</v>
          </cell>
          <cell r="I307" t="e">
            <v>#VALUE!</v>
          </cell>
          <cell r="J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 t="e">
            <v>#VALUE!</v>
          </cell>
          <cell r="F308" t="e">
            <v>#VALUE!</v>
          </cell>
          <cell r="G308">
            <v>0</v>
          </cell>
          <cell r="H308">
            <v>0</v>
          </cell>
          <cell r="I308" t="e">
            <v>#VALUE!</v>
          </cell>
          <cell r="J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 t="e">
            <v>#VALUE!</v>
          </cell>
          <cell r="F309" t="e">
            <v>#VALUE!</v>
          </cell>
          <cell r="G309">
            <v>0</v>
          </cell>
          <cell r="H309">
            <v>0</v>
          </cell>
          <cell r="I309" t="e">
            <v>#VALUE!</v>
          </cell>
          <cell r="J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 t="e">
            <v>#VALUE!</v>
          </cell>
          <cell r="F310" t="e">
            <v>#VALUE!</v>
          </cell>
          <cell r="G310">
            <v>0</v>
          </cell>
          <cell r="H310">
            <v>0</v>
          </cell>
          <cell r="I310" t="e">
            <v>#VALUE!</v>
          </cell>
          <cell r="J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 t="e">
            <v>#VALUE!</v>
          </cell>
          <cell r="F311" t="e">
            <v>#VALUE!</v>
          </cell>
          <cell r="G311">
            <v>0</v>
          </cell>
          <cell r="H311">
            <v>0</v>
          </cell>
          <cell r="I311" t="e">
            <v>#VALUE!</v>
          </cell>
          <cell r="J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 t="e">
            <v>#VALUE!</v>
          </cell>
          <cell r="F312" t="e">
            <v>#VALUE!</v>
          </cell>
          <cell r="G312">
            <v>0</v>
          </cell>
          <cell r="H312">
            <v>0</v>
          </cell>
          <cell r="I312" t="e">
            <v>#VALUE!</v>
          </cell>
          <cell r="J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 t="e">
            <v>#VALUE!</v>
          </cell>
          <cell r="F313" t="e">
            <v>#VALUE!</v>
          </cell>
          <cell r="G313">
            <v>0</v>
          </cell>
          <cell r="H313">
            <v>0</v>
          </cell>
          <cell r="I313" t="e">
            <v>#VALUE!</v>
          </cell>
          <cell r="J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 t="e">
            <v>#VALUE!</v>
          </cell>
          <cell r="F314" t="e">
            <v>#VALUE!</v>
          </cell>
          <cell r="G314">
            <v>0</v>
          </cell>
          <cell r="H314">
            <v>0</v>
          </cell>
          <cell r="I314" t="e">
            <v>#VALUE!</v>
          </cell>
          <cell r="J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 t="e">
            <v>#VALUE!</v>
          </cell>
          <cell r="F315" t="e">
            <v>#VALUE!</v>
          </cell>
          <cell r="G315">
            <v>0</v>
          </cell>
          <cell r="H315">
            <v>0</v>
          </cell>
          <cell r="I315" t="e">
            <v>#VALUE!</v>
          </cell>
          <cell r="J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 t="e">
            <v>#VALUE!</v>
          </cell>
          <cell r="F316" t="e">
            <v>#VALUE!</v>
          </cell>
          <cell r="G316">
            <v>0</v>
          </cell>
          <cell r="H316">
            <v>0</v>
          </cell>
          <cell r="I316" t="e">
            <v>#VALUE!</v>
          </cell>
          <cell r="J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 t="e">
            <v>#VALUE!</v>
          </cell>
          <cell r="F317" t="e">
            <v>#VALUE!</v>
          </cell>
          <cell r="G317">
            <v>0</v>
          </cell>
          <cell r="H317">
            <v>0</v>
          </cell>
          <cell r="I317" t="e">
            <v>#VALUE!</v>
          </cell>
          <cell r="J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 t="e">
            <v>#VALUE!</v>
          </cell>
          <cell r="F318" t="e">
            <v>#VALUE!</v>
          </cell>
          <cell r="G318">
            <v>0</v>
          </cell>
          <cell r="H318">
            <v>0</v>
          </cell>
          <cell r="I318" t="e">
            <v>#VALUE!</v>
          </cell>
          <cell r="J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 t="e">
            <v>#VALUE!</v>
          </cell>
          <cell r="F319" t="e">
            <v>#VALUE!</v>
          </cell>
          <cell r="G319">
            <v>0</v>
          </cell>
          <cell r="H319">
            <v>0</v>
          </cell>
          <cell r="I319" t="e">
            <v>#VALUE!</v>
          </cell>
          <cell r="J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 t="e">
            <v>#VALUE!</v>
          </cell>
          <cell r="F320" t="e">
            <v>#VALUE!</v>
          </cell>
          <cell r="G320">
            <v>0</v>
          </cell>
          <cell r="H320">
            <v>0</v>
          </cell>
          <cell r="I320" t="e">
            <v>#VALUE!</v>
          </cell>
          <cell r="J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 t="e">
            <v>#VALUE!</v>
          </cell>
          <cell r="F321" t="e">
            <v>#VALUE!</v>
          </cell>
          <cell r="G321">
            <v>0</v>
          </cell>
          <cell r="H321">
            <v>0</v>
          </cell>
          <cell r="I321" t="e">
            <v>#VALUE!</v>
          </cell>
          <cell r="J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 t="e">
            <v>#VALUE!</v>
          </cell>
          <cell r="F322" t="e">
            <v>#VALUE!</v>
          </cell>
          <cell r="G322">
            <v>0</v>
          </cell>
          <cell r="H322">
            <v>0</v>
          </cell>
          <cell r="I322" t="e">
            <v>#VALUE!</v>
          </cell>
          <cell r="J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 t="e">
            <v>#VALUE!</v>
          </cell>
          <cell r="F323" t="e">
            <v>#VALUE!</v>
          </cell>
          <cell r="G323">
            <v>0</v>
          </cell>
          <cell r="H323">
            <v>0</v>
          </cell>
          <cell r="I323" t="e">
            <v>#VALUE!</v>
          </cell>
          <cell r="J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 t="e">
            <v>#VALUE!</v>
          </cell>
          <cell r="F324" t="e">
            <v>#VALUE!</v>
          </cell>
          <cell r="G324">
            <v>0</v>
          </cell>
          <cell r="H324">
            <v>0</v>
          </cell>
          <cell r="I324" t="e">
            <v>#VALUE!</v>
          </cell>
          <cell r="J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 t="e">
            <v>#VALUE!</v>
          </cell>
          <cell r="F325" t="e">
            <v>#VALUE!</v>
          </cell>
          <cell r="G325">
            <v>0</v>
          </cell>
          <cell r="H325">
            <v>0</v>
          </cell>
          <cell r="I325" t="e">
            <v>#VALUE!</v>
          </cell>
          <cell r="J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 t="e">
            <v>#VALUE!</v>
          </cell>
          <cell r="F326" t="e">
            <v>#VALUE!</v>
          </cell>
          <cell r="G326">
            <v>0</v>
          </cell>
          <cell r="H326">
            <v>0</v>
          </cell>
          <cell r="I326" t="e">
            <v>#VALUE!</v>
          </cell>
          <cell r="J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 t="e">
            <v>#VALUE!</v>
          </cell>
          <cell r="F327" t="e">
            <v>#VALUE!</v>
          </cell>
          <cell r="G327">
            <v>0</v>
          </cell>
          <cell r="H327">
            <v>0</v>
          </cell>
          <cell r="I327" t="e">
            <v>#VALUE!</v>
          </cell>
          <cell r="J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 t="e">
            <v>#VALUE!</v>
          </cell>
          <cell r="F328" t="e">
            <v>#VALUE!</v>
          </cell>
          <cell r="G328">
            <v>0</v>
          </cell>
          <cell r="H328">
            <v>0</v>
          </cell>
          <cell r="I328" t="e">
            <v>#VALUE!</v>
          </cell>
          <cell r="J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 t="e">
            <v>#VALUE!</v>
          </cell>
          <cell r="F329" t="e">
            <v>#VALUE!</v>
          </cell>
          <cell r="G329">
            <v>0</v>
          </cell>
          <cell r="H329">
            <v>0</v>
          </cell>
          <cell r="I329" t="e">
            <v>#VALUE!</v>
          </cell>
          <cell r="J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 t="e">
            <v>#VALUE!</v>
          </cell>
          <cell r="F330" t="e">
            <v>#VALUE!</v>
          </cell>
          <cell r="G330">
            <v>0</v>
          </cell>
          <cell r="H330">
            <v>0</v>
          </cell>
          <cell r="I330" t="e">
            <v>#VALUE!</v>
          </cell>
          <cell r="J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 t="e">
            <v>#VALUE!</v>
          </cell>
          <cell r="F331" t="e">
            <v>#VALUE!</v>
          </cell>
          <cell r="G331">
            <v>0</v>
          </cell>
          <cell r="H331">
            <v>0</v>
          </cell>
          <cell r="I331" t="e">
            <v>#VALUE!</v>
          </cell>
          <cell r="J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 t="e">
            <v>#VALUE!</v>
          </cell>
          <cell r="F332" t="e">
            <v>#VALUE!</v>
          </cell>
          <cell r="G332">
            <v>0</v>
          </cell>
          <cell r="H332">
            <v>0</v>
          </cell>
          <cell r="I332" t="e">
            <v>#VALUE!</v>
          </cell>
          <cell r="J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 t="e">
            <v>#VALUE!</v>
          </cell>
          <cell r="F333" t="e">
            <v>#VALUE!</v>
          </cell>
          <cell r="G333">
            <v>0</v>
          </cell>
          <cell r="H333">
            <v>0</v>
          </cell>
          <cell r="I333" t="e">
            <v>#VALUE!</v>
          </cell>
          <cell r="J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 t="e">
            <v>#VALUE!</v>
          </cell>
          <cell r="F334" t="e">
            <v>#VALUE!</v>
          </cell>
          <cell r="G334">
            <v>0</v>
          </cell>
          <cell r="H334">
            <v>0</v>
          </cell>
          <cell r="I334" t="e">
            <v>#VALUE!</v>
          </cell>
          <cell r="J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 t="e">
            <v>#VALUE!</v>
          </cell>
          <cell r="F335" t="e">
            <v>#VALUE!</v>
          </cell>
          <cell r="G335">
            <v>0</v>
          </cell>
          <cell r="H335">
            <v>0</v>
          </cell>
          <cell r="I335" t="e">
            <v>#VALUE!</v>
          </cell>
          <cell r="J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 t="e">
            <v>#VALUE!</v>
          </cell>
          <cell r="F336" t="e">
            <v>#VALUE!</v>
          </cell>
          <cell r="G336">
            <v>0</v>
          </cell>
          <cell r="H336">
            <v>0</v>
          </cell>
          <cell r="I336" t="e">
            <v>#VALUE!</v>
          </cell>
          <cell r="J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 t="e">
            <v>#VALUE!</v>
          </cell>
          <cell r="F337" t="e">
            <v>#VALUE!</v>
          </cell>
          <cell r="G337">
            <v>0</v>
          </cell>
          <cell r="H337">
            <v>0</v>
          </cell>
          <cell r="I337" t="e">
            <v>#VALUE!</v>
          </cell>
          <cell r="J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 t="e">
            <v>#VALUE!</v>
          </cell>
          <cell r="F338" t="e">
            <v>#VALUE!</v>
          </cell>
          <cell r="G338">
            <v>0</v>
          </cell>
          <cell r="H338">
            <v>0</v>
          </cell>
          <cell r="I338" t="e">
            <v>#VALUE!</v>
          </cell>
          <cell r="J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 t="e">
            <v>#VALUE!</v>
          </cell>
          <cell r="F339" t="e">
            <v>#VALUE!</v>
          </cell>
          <cell r="G339">
            <v>0</v>
          </cell>
          <cell r="H339">
            <v>0</v>
          </cell>
          <cell r="I339" t="e">
            <v>#VALUE!</v>
          </cell>
          <cell r="J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 t="e">
            <v>#VALUE!</v>
          </cell>
          <cell r="F340" t="e">
            <v>#VALUE!</v>
          </cell>
          <cell r="G340">
            <v>0</v>
          </cell>
          <cell r="H340">
            <v>0</v>
          </cell>
          <cell r="I340" t="e">
            <v>#VALUE!</v>
          </cell>
          <cell r="J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 t="e">
            <v>#VALUE!</v>
          </cell>
          <cell r="F341" t="e">
            <v>#VALUE!</v>
          </cell>
          <cell r="G341">
            <v>0</v>
          </cell>
          <cell r="H341">
            <v>0</v>
          </cell>
          <cell r="I341" t="e">
            <v>#VALUE!</v>
          </cell>
          <cell r="J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 t="e">
            <v>#VALUE!</v>
          </cell>
          <cell r="F342" t="e">
            <v>#VALUE!</v>
          </cell>
          <cell r="G342">
            <v>0</v>
          </cell>
          <cell r="H342">
            <v>0</v>
          </cell>
          <cell r="I342" t="e">
            <v>#VALUE!</v>
          </cell>
          <cell r="J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 t="e">
            <v>#VALUE!</v>
          </cell>
          <cell r="F343" t="e">
            <v>#VALUE!</v>
          </cell>
          <cell r="G343">
            <v>0</v>
          </cell>
          <cell r="H343">
            <v>0</v>
          </cell>
          <cell r="I343" t="e">
            <v>#VALUE!</v>
          </cell>
          <cell r="J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 t="e">
            <v>#VALUE!</v>
          </cell>
          <cell r="F344" t="e">
            <v>#VALUE!</v>
          </cell>
          <cell r="G344">
            <v>0</v>
          </cell>
          <cell r="H344">
            <v>0</v>
          </cell>
          <cell r="I344" t="e">
            <v>#VALUE!</v>
          </cell>
          <cell r="J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 t="e">
            <v>#VALUE!</v>
          </cell>
          <cell r="F345" t="e">
            <v>#VALUE!</v>
          </cell>
          <cell r="G345">
            <v>0</v>
          </cell>
          <cell r="H345">
            <v>0</v>
          </cell>
          <cell r="I345" t="e">
            <v>#VALUE!</v>
          </cell>
          <cell r="J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 t="e">
            <v>#VALUE!</v>
          </cell>
          <cell r="F346" t="e">
            <v>#VALUE!</v>
          </cell>
          <cell r="G346">
            <v>0</v>
          </cell>
          <cell r="H346">
            <v>0</v>
          </cell>
          <cell r="I346" t="e">
            <v>#VALUE!</v>
          </cell>
          <cell r="J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 t="e">
            <v>#VALUE!</v>
          </cell>
          <cell r="F347" t="e">
            <v>#VALUE!</v>
          </cell>
          <cell r="G347">
            <v>0</v>
          </cell>
          <cell r="H347">
            <v>0</v>
          </cell>
          <cell r="I347" t="e">
            <v>#VALUE!</v>
          </cell>
          <cell r="J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 t="e">
            <v>#VALUE!</v>
          </cell>
          <cell r="F348" t="e">
            <v>#VALUE!</v>
          </cell>
          <cell r="G348">
            <v>0</v>
          </cell>
          <cell r="H348">
            <v>0</v>
          </cell>
          <cell r="I348" t="e">
            <v>#VALUE!</v>
          </cell>
          <cell r="J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 t="e">
            <v>#VALUE!</v>
          </cell>
          <cell r="F349" t="e">
            <v>#VALUE!</v>
          </cell>
          <cell r="G349">
            <v>0</v>
          </cell>
          <cell r="H349">
            <v>0</v>
          </cell>
          <cell r="I349" t="e">
            <v>#VALUE!</v>
          </cell>
          <cell r="J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 t="e">
            <v>#VALUE!</v>
          </cell>
          <cell r="F350" t="e">
            <v>#VALUE!</v>
          </cell>
          <cell r="G350">
            <v>0</v>
          </cell>
          <cell r="H350">
            <v>0</v>
          </cell>
          <cell r="I350" t="e">
            <v>#VALUE!</v>
          </cell>
          <cell r="J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 t="e">
            <v>#VALUE!</v>
          </cell>
          <cell r="F351" t="e">
            <v>#VALUE!</v>
          </cell>
          <cell r="G351">
            <v>0</v>
          </cell>
          <cell r="H351">
            <v>0</v>
          </cell>
          <cell r="I351" t="e">
            <v>#VALUE!</v>
          </cell>
          <cell r="J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 t="e">
            <v>#VALUE!</v>
          </cell>
          <cell r="F352" t="e">
            <v>#VALUE!</v>
          </cell>
          <cell r="G352">
            <v>0</v>
          </cell>
          <cell r="H352">
            <v>0</v>
          </cell>
          <cell r="I352" t="e">
            <v>#VALUE!</v>
          </cell>
          <cell r="J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 t="e">
            <v>#VALUE!</v>
          </cell>
          <cell r="F353" t="e">
            <v>#VALUE!</v>
          </cell>
          <cell r="G353">
            <v>0</v>
          </cell>
          <cell r="H353">
            <v>0</v>
          </cell>
          <cell r="I353" t="e">
            <v>#VALUE!</v>
          </cell>
          <cell r="J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 t="e">
            <v>#VALUE!</v>
          </cell>
          <cell r="F354" t="e">
            <v>#VALUE!</v>
          </cell>
          <cell r="G354">
            <v>0</v>
          </cell>
          <cell r="H354">
            <v>0</v>
          </cell>
          <cell r="I354" t="e">
            <v>#VALUE!</v>
          </cell>
          <cell r="J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 t="e">
            <v>#VALUE!</v>
          </cell>
          <cell r="F355" t="e">
            <v>#VALUE!</v>
          </cell>
          <cell r="G355">
            <v>0</v>
          </cell>
          <cell r="H355">
            <v>0</v>
          </cell>
          <cell r="I355" t="e">
            <v>#VALUE!</v>
          </cell>
          <cell r="J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 t="e">
            <v>#VALUE!</v>
          </cell>
          <cell r="F356" t="e">
            <v>#VALUE!</v>
          </cell>
          <cell r="G356">
            <v>0</v>
          </cell>
          <cell r="H356">
            <v>0</v>
          </cell>
          <cell r="I356" t="e">
            <v>#VALUE!</v>
          </cell>
          <cell r="J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 t="e">
            <v>#VALUE!</v>
          </cell>
          <cell r="F357" t="e">
            <v>#VALUE!</v>
          </cell>
          <cell r="G357">
            <v>0</v>
          </cell>
          <cell r="H357">
            <v>0</v>
          </cell>
          <cell r="I357" t="e">
            <v>#VALUE!</v>
          </cell>
          <cell r="J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 t="e">
            <v>#VALUE!</v>
          </cell>
          <cell r="F358" t="e">
            <v>#VALUE!</v>
          </cell>
          <cell r="G358">
            <v>0</v>
          </cell>
          <cell r="H358">
            <v>0</v>
          </cell>
          <cell r="I358" t="e">
            <v>#VALUE!</v>
          </cell>
          <cell r="J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 t="e">
            <v>#VALUE!</v>
          </cell>
          <cell r="F359" t="e">
            <v>#VALUE!</v>
          </cell>
          <cell r="G359">
            <v>0</v>
          </cell>
          <cell r="H359">
            <v>0</v>
          </cell>
          <cell r="I359" t="e">
            <v>#VALUE!</v>
          </cell>
          <cell r="J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 t="e">
            <v>#VALUE!</v>
          </cell>
          <cell r="F360" t="e">
            <v>#VALUE!</v>
          </cell>
          <cell r="G360">
            <v>0</v>
          </cell>
          <cell r="H360">
            <v>0</v>
          </cell>
          <cell r="I360" t="e">
            <v>#VALUE!</v>
          </cell>
          <cell r="J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 t="e">
            <v>#VALUE!</v>
          </cell>
          <cell r="F361" t="e">
            <v>#VALUE!</v>
          </cell>
          <cell r="G361">
            <v>0</v>
          </cell>
          <cell r="H361">
            <v>0</v>
          </cell>
          <cell r="I361" t="e">
            <v>#VALUE!</v>
          </cell>
          <cell r="J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 t="e">
            <v>#VALUE!</v>
          </cell>
          <cell r="F362" t="e">
            <v>#VALUE!</v>
          </cell>
          <cell r="G362">
            <v>0</v>
          </cell>
          <cell r="H362">
            <v>0</v>
          </cell>
          <cell r="I362" t="e">
            <v>#VALUE!</v>
          </cell>
          <cell r="J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 t="e">
            <v>#VALUE!</v>
          </cell>
          <cell r="F363" t="e">
            <v>#VALUE!</v>
          </cell>
          <cell r="G363">
            <v>0</v>
          </cell>
          <cell r="H363">
            <v>0</v>
          </cell>
          <cell r="I363" t="e">
            <v>#VALUE!</v>
          </cell>
          <cell r="J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 t="e">
            <v>#VALUE!</v>
          </cell>
          <cell r="F364" t="e">
            <v>#VALUE!</v>
          </cell>
          <cell r="G364">
            <v>0</v>
          </cell>
          <cell r="H364">
            <v>0</v>
          </cell>
          <cell r="I364" t="e">
            <v>#VALUE!</v>
          </cell>
          <cell r="J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 t="e">
            <v>#VALUE!</v>
          </cell>
          <cell r="F365" t="e">
            <v>#VALUE!</v>
          </cell>
          <cell r="G365">
            <v>0</v>
          </cell>
          <cell r="H365">
            <v>0</v>
          </cell>
          <cell r="I365" t="e">
            <v>#VALUE!</v>
          </cell>
          <cell r="J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 t="e">
            <v>#VALUE!</v>
          </cell>
          <cell r="F366" t="e">
            <v>#VALUE!</v>
          </cell>
          <cell r="G366">
            <v>0</v>
          </cell>
          <cell r="H366">
            <v>0</v>
          </cell>
          <cell r="I366" t="e">
            <v>#VALUE!</v>
          </cell>
          <cell r="J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 t="e">
            <v>#VALUE!</v>
          </cell>
          <cell r="F367" t="e">
            <v>#VALUE!</v>
          </cell>
          <cell r="G367">
            <v>0</v>
          </cell>
          <cell r="H367">
            <v>0</v>
          </cell>
          <cell r="I367" t="e">
            <v>#VALUE!</v>
          </cell>
          <cell r="J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 t="e">
            <v>#VALUE!</v>
          </cell>
          <cell r="F368" t="e">
            <v>#VALUE!</v>
          </cell>
          <cell r="G368">
            <v>0</v>
          </cell>
          <cell r="H368">
            <v>0</v>
          </cell>
          <cell r="I368" t="e">
            <v>#VALUE!</v>
          </cell>
          <cell r="J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 t="e">
            <v>#VALUE!</v>
          </cell>
          <cell r="F369" t="e">
            <v>#VALUE!</v>
          </cell>
          <cell r="G369">
            <v>0</v>
          </cell>
          <cell r="H369">
            <v>0</v>
          </cell>
          <cell r="I369" t="e">
            <v>#VALUE!</v>
          </cell>
          <cell r="J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 t="e">
            <v>#VALUE!</v>
          </cell>
          <cell r="F370" t="e">
            <v>#VALUE!</v>
          </cell>
          <cell r="G370">
            <v>0</v>
          </cell>
          <cell r="H370">
            <v>0</v>
          </cell>
          <cell r="I370" t="e">
            <v>#VALUE!</v>
          </cell>
          <cell r="J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 t="e">
            <v>#VALUE!</v>
          </cell>
          <cell r="F371" t="e">
            <v>#VALUE!</v>
          </cell>
          <cell r="G371">
            <v>0</v>
          </cell>
          <cell r="H371">
            <v>0</v>
          </cell>
          <cell r="I371" t="e">
            <v>#VALUE!</v>
          </cell>
          <cell r="J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 t="e">
            <v>#VALUE!</v>
          </cell>
          <cell r="F372" t="e">
            <v>#VALUE!</v>
          </cell>
          <cell r="G372">
            <v>0</v>
          </cell>
          <cell r="H372">
            <v>0</v>
          </cell>
          <cell r="I372" t="e">
            <v>#VALUE!</v>
          </cell>
          <cell r="J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 t="e">
            <v>#VALUE!</v>
          </cell>
          <cell r="F373" t="e">
            <v>#VALUE!</v>
          </cell>
          <cell r="G373">
            <v>0</v>
          </cell>
          <cell r="H373">
            <v>0</v>
          </cell>
          <cell r="I373" t="e">
            <v>#VALUE!</v>
          </cell>
          <cell r="J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 t="e">
            <v>#VALUE!</v>
          </cell>
          <cell r="F374" t="e">
            <v>#VALUE!</v>
          </cell>
          <cell r="G374">
            <v>0</v>
          </cell>
          <cell r="H374">
            <v>0</v>
          </cell>
          <cell r="I374" t="e">
            <v>#VALUE!</v>
          </cell>
          <cell r="J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 t="e">
            <v>#VALUE!</v>
          </cell>
          <cell r="F375" t="e">
            <v>#VALUE!</v>
          </cell>
          <cell r="G375">
            <v>0</v>
          </cell>
          <cell r="H375">
            <v>0</v>
          </cell>
          <cell r="I375" t="e">
            <v>#VALUE!</v>
          </cell>
          <cell r="J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 t="e">
            <v>#VALUE!</v>
          </cell>
          <cell r="F376" t="e">
            <v>#VALUE!</v>
          </cell>
          <cell r="G376">
            <v>0</v>
          </cell>
          <cell r="H376">
            <v>0</v>
          </cell>
          <cell r="I376" t="e">
            <v>#VALUE!</v>
          </cell>
          <cell r="J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 t="e">
            <v>#VALUE!</v>
          </cell>
          <cell r="F377" t="e">
            <v>#VALUE!</v>
          </cell>
          <cell r="G377">
            <v>0</v>
          </cell>
          <cell r="H377">
            <v>0</v>
          </cell>
          <cell r="I377" t="e">
            <v>#VALUE!</v>
          </cell>
          <cell r="J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 t="e">
            <v>#VALUE!</v>
          </cell>
          <cell r="F378" t="e">
            <v>#VALUE!</v>
          </cell>
          <cell r="G378">
            <v>0</v>
          </cell>
          <cell r="H378">
            <v>0</v>
          </cell>
          <cell r="I378" t="e">
            <v>#VALUE!</v>
          </cell>
          <cell r="J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 t="e">
            <v>#VALUE!</v>
          </cell>
          <cell r="F379" t="e">
            <v>#VALUE!</v>
          </cell>
          <cell r="G379">
            <v>0</v>
          </cell>
          <cell r="H379">
            <v>0</v>
          </cell>
          <cell r="I379" t="e">
            <v>#VALUE!</v>
          </cell>
          <cell r="J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 t="e">
            <v>#VALUE!</v>
          </cell>
          <cell r="F380" t="e">
            <v>#VALUE!</v>
          </cell>
          <cell r="G380">
            <v>0</v>
          </cell>
          <cell r="H380">
            <v>0</v>
          </cell>
          <cell r="I380" t="e">
            <v>#VALUE!</v>
          </cell>
          <cell r="J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 t="e">
            <v>#VALUE!</v>
          </cell>
          <cell r="F381" t="e">
            <v>#VALUE!</v>
          </cell>
          <cell r="G381">
            <v>0</v>
          </cell>
          <cell r="H381">
            <v>0</v>
          </cell>
          <cell r="I381" t="e">
            <v>#VALUE!</v>
          </cell>
          <cell r="J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 t="e">
            <v>#VALUE!</v>
          </cell>
          <cell r="F382" t="e">
            <v>#VALUE!</v>
          </cell>
          <cell r="G382">
            <v>0</v>
          </cell>
          <cell r="H382">
            <v>0</v>
          </cell>
          <cell r="I382" t="e">
            <v>#VALUE!</v>
          </cell>
          <cell r="J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 t="e">
            <v>#VALUE!</v>
          </cell>
          <cell r="F383" t="e">
            <v>#VALUE!</v>
          </cell>
          <cell r="G383">
            <v>0</v>
          </cell>
          <cell r="H383">
            <v>0</v>
          </cell>
          <cell r="I383" t="e">
            <v>#VALUE!</v>
          </cell>
          <cell r="J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 t="e">
            <v>#VALUE!</v>
          </cell>
          <cell r="F384" t="e">
            <v>#VALUE!</v>
          </cell>
          <cell r="G384">
            <v>0</v>
          </cell>
          <cell r="H384">
            <v>0</v>
          </cell>
          <cell r="I384" t="e">
            <v>#VALUE!</v>
          </cell>
          <cell r="J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 t="e">
            <v>#VALUE!</v>
          </cell>
          <cell r="F385" t="e">
            <v>#VALUE!</v>
          </cell>
          <cell r="G385">
            <v>0</v>
          </cell>
          <cell r="H385">
            <v>0</v>
          </cell>
          <cell r="I385" t="e">
            <v>#VALUE!</v>
          </cell>
          <cell r="J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 t="e">
            <v>#VALUE!</v>
          </cell>
          <cell r="F386" t="e">
            <v>#VALUE!</v>
          </cell>
          <cell r="G386">
            <v>0</v>
          </cell>
          <cell r="H386">
            <v>0</v>
          </cell>
          <cell r="I386" t="e">
            <v>#VALUE!</v>
          </cell>
          <cell r="J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 t="e">
            <v>#VALUE!</v>
          </cell>
          <cell r="F387" t="e">
            <v>#VALUE!</v>
          </cell>
          <cell r="G387">
            <v>0</v>
          </cell>
          <cell r="H387">
            <v>0</v>
          </cell>
          <cell r="I387" t="e">
            <v>#VALUE!</v>
          </cell>
          <cell r="J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 t="e">
            <v>#VALUE!</v>
          </cell>
          <cell r="F388" t="e">
            <v>#VALUE!</v>
          </cell>
          <cell r="G388">
            <v>0</v>
          </cell>
          <cell r="H388">
            <v>0</v>
          </cell>
          <cell r="I388" t="e">
            <v>#VALUE!</v>
          </cell>
          <cell r="J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 t="e">
            <v>#VALUE!</v>
          </cell>
          <cell r="F389" t="e">
            <v>#VALUE!</v>
          </cell>
          <cell r="G389">
            <v>0</v>
          </cell>
          <cell r="H389">
            <v>0</v>
          </cell>
          <cell r="I389" t="e">
            <v>#VALUE!</v>
          </cell>
          <cell r="J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 t="e">
            <v>#VALUE!</v>
          </cell>
          <cell r="F390" t="e">
            <v>#VALUE!</v>
          </cell>
          <cell r="G390">
            <v>0</v>
          </cell>
          <cell r="H390">
            <v>0</v>
          </cell>
          <cell r="I390" t="e">
            <v>#VALUE!</v>
          </cell>
          <cell r="J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 t="e">
            <v>#VALUE!</v>
          </cell>
          <cell r="F391" t="e">
            <v>#VALUE!</v>
          </cell>
          <cell r="G391">
            <v>0</v>
          </cell>
          <cell r="H391">
            <v>0</v>
          </cell>
          <cell r="I391" t="e">
            <v>#VALUE!</v>
          </cell>
          <cell r="J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 t="e">
            <v>#VALUE!</v>
          </cell>
          <cell r="F392" t="e">
            <v>#VALUE!</v>
          </cell>
          <cell r="G392">
            <v>0</v>
          </cell>
          <cell r="H392">
            <v>0</v>
          </cell>
          <cell r="I392" t="e">
            <v>#VALUE!</v>
          </cell>
          <cell r="J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 t="e">
            <v>#VALUE!</v>
          </cell>
          <cell r="F393" t="e">
            <v>#VALUE!</v>
          </cell>
          <cell r="G393">
            <v>0</v>
          </cell>
          <cell r="H393">
            <v>0</v>
          </cell>
          <cell r="I393" t="e">
            <v>#VALUE!</v>
          </cell>
          <cell r="J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 t="e">
            <v>#VALUE!</v>
          </cell>
          <cell r="F394" t="e">
            <v>#VALUE!</v>
          </cell>
          <cell r="G394">
            <v>0</v>
          </cell>
          <cell r="H394">
            <v>0</v>
          </cell>
          <cell r="I394" t="e">
            <v>#VALUE!</v>
          </cell>
          <cell r="J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 t="e">
            <v>#VALUE!</v>
          </cell>
          <cell r="F395" t="e">
            <v>#VALUE!</v>
          </cell>
          <cell r="G395">
            <v>0</v>
          </cell>
          <cell r="H395">
            <v>0</v>
          </cell>
          <cell r="I395" t="e">
            <v>#VALUE!</v>
          </cell>
          <cell r="J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 t="e">
            <v>#VALUE!</v>
          </cell>
          <cell r="F396" t="e">
            <v>#VALUE!</v>
          </cell>
          <cell r="G396">
            <v>0</v>
          </cell>
          <cell r="H396">
            <v>0</v>
          </cell>
          <cell r="I396" t="e">
            <v>#VALUE!</v>
          </cell>
          <cell r="J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 t="e">
            <v>#VALUE!</v>
          </cell>
          <cell r="F397" t="e">
            <v>#VALUE!</v>
          </cell>
          <cell r="G397">
            <v>0</v>
          </cell>
          <cell r="H397">
            <v>0</v>
          </cell>
          <cell r="I397" t="e">
            <v>#VALUE!</v>
          </cell>
          <cell r="J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 t="e">
            <v>#VALUE!</v>
          </cell>
          <cell r="F398" t="e">
            <v>#VALUE!</v>
          </cell>
          <cell r="G398">
            <v>0</v>
          </cell>
          <cell r="H398">
            <v>0</v>
          </cell>
          <cell r="I398" t="e">
            <v>#VALUE!</v>
          </cell>
          <cell r="J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 t="e">
            <v>#VALUE!</v>
          </cell>
          <cell r="F399" t="e">
            <v>#VALUE!</v>
          </cell>
          <cell r="G399">
            <v>0</v>
          </cell>
          <cell r="H399">
            <v>0</v>
          </cell>
          <cell r="I399" t="e">
            <v>#VALUE!</v>
          </cell>
          <cell r="J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 t="e">
            <v>#VALUE!</v>
          </cell>
          <cell r="F400" t="e">
            <v>#VALUE!</v>
          </cell>
          <cell r="G400">
            <v>0</v>
          </cell>
          <cell r="H400">
            <v>0</v>
          </cell>
          <cell r="I400" t="e">
            <v>#VALUE!</v>
          </cell>
          <cell r="J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 t="e">
            <v>#VALUE!</v>
          </cell>
          <cell r="F401" t="e">
            <v>#VALUE!</v>
          </cell>
          <cell r="G401">
            <v>0</v>
          </cell>
          <cell r="H401">
            <v>0</v>
          </cell>
          <cell r="I401" t="e">
            <v>#VALUE!</v>
          </cell>
          <cell r="J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 t="e">
            <v>#VALUE!</v>
          </cell>
          <cell r="F402" t="e">
            <v>#VALUE!</v>
          </cell>
          <cell r="G402">
            <v>0</v>
          </cell>
          <cell r="H402">
            <v>0</v>
          </cell>
          <cell r="I402" t="e">
            <v>#VALUE!</v>
          </cell>
          <cell r="J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 t="e">
            <v>#VALUE!</v>
          </cell>
          <cell r="F403" t="e">
            <v>#VALUE!</v>
          </cell>
          <cell r="G403">
            <v>0</v>
          </cell>
          <cell r="H403">
            <v>0</v>
          </cell>
          <cell r="I403" t="e">
            <v>#VALUE!</v>
          </cell>
          <cell r="J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 t="e">
            <v>#VALUE!</v>
          </cell>
          <cell r="F404" t="e">
            <v>#VALUE!</v>
          </cell>
          <cell r="G404">
            <v>0</v>
          </cell>
          <cell r="H404">
            <v>0</v>
          </cell>
          <cell r="I404" t="e">
            <v>#VALUE!</v>
          </cell>
          <cell r="J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 t="e">
            <v>#VALUE!</v>
          </cell>
          <cell r="F405" t="e">
            <v>#VALUE!</v>
          </cell>
          <cell r="G405">
            <v>0</v>
          </cell>
          <cell r="H405">
            <v>0</v>
          </cell>
          <cell r="I405" t="e">
            <v>#VALUE!</v>
          </cell>
          <cell r="J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 t="e">
            <v>#VALUE!</v>
          </cell>
          <cell r="F406" t="e">
            <v>#VALUE!</v>
          </cell>
          <cell r="G406">
            <v>0</v>
          </cell>
          <cell r="H406">
            <v>0</v>
          </cell>
          <cell r="I406" t="e">
            <v>#VALUE!</v>
          </cell>
          <cell r="J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 t="e">
            <v>#VALUE!</v>
          </cell>
          <cell r="F407" t="e">
            <v>#VALUE!</v>
          </cell>
          <cell r="G407">
            <v>0</v>
          </cell>
          <cell r="H407">
            <v>0</v>
          </cell>
          <cell r="I407" t="e">
            <v>#VALUE!</v>
          </cell>
          <cell r="J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 t="e">
            <v>#VALUE!</v>
          </cell>
          <cell r="F408" t="e">
            <v>#VALUE!</v>
          </cell>
          <cell r="G408">
            <v>0</v>
          </cell>
          <cell r="H408">
            <v>0</v>
          </cell>
          <cell r="I408" t="e">
            <v>#VALUE!</v>
          </cell>
          <cell r="J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 t="e">
            <v>#VALUE!</v>
          </cell>
          <cell r="F409" t="e">
            <v>#VALUE!</v>
          </cell>
          <cell r="G409">
            <v>0</v>
          </cell>
          <cell r="H409">
            <v>0</v>
          </cell>
          <cell r="I409" t="e">
            <v>#VALUE!</v>
          </cell>
          <cell r="J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 t="e">
            <v>#VALUE!</v>
          </cell>
          <cell r="F410" t="e">
            <v>#VALUE!</v>
          </cell>
          <cell r="G410">
            <v>0</v>
          </cell>
          <cell r="H410">
            <v>0</v>
          </cell>
          <cell r="I410" t="e">
            <v>#VALUE!</v>
          </cell>
          <cell r="J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 t="e">
            <v>#VALUE!</v>
          </cell>
          <cell r="F411" t="e">
            <v>#VALUE!</v>
          </cell>
          <cell r="G411">
            <v>0</v>
          </cell>
          <cell r="H411">
            <v>0</v>
          </cell>
          <cell r="I411" t="e">
            <v>#VALUE!</v>
          </cell>
          <cell r="J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 t="e">
            <v>#VALUE!</v>
          </cell>
          <cell r="F412" t="e">
            <v>#VALUE!</v>
          </cell>
          <cell r="G412">
            <v>0</v>
          </cell>
          <cell r="H412">
            <v>0</v>
          </cell>
          <cell r="I412" t="e">
            <v>#VALUE!</v>
          </cell>
          <cell r="J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 t="e">
            <v>#VALUE!</v>
          </cell>
          <cell r="F413" t="e">
            <v>#VALUE!</v>
          </cell>
          <cell r="G413">
            <v>0</v>
          </cell>
          <cell r="H413">
            <v>0</v>
          </cell>
          <cell r="I413" t="e">
            <v>#VALUE!</v>
          </cell>
          <cell r="J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 t="e">
            <v>#VALUE!</v>
          </cell>
          <cell r="F414" t="e">
            <v>#VALUE!</v>
          </cell>
          <cell r="G414">
            <v>0</v>
          </cell>
          <cell r="H414">
            <v>0</v>
          </cell>
          <cell r="I414" t="e">
            <v>#VALUE!</v>
          </cell>
          <cell r="J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 t="e">
            <v>#VALUE!</v>
          </cell>
          <cell r="F415" t="e">
            <v>#VALUE!</v>
          </cell>
          <cell r="G415">
            <v>0</v>
          </cell>
          <cell r="H415">
            <v>0</v>
          </cell>
          <cell r="I415" t="e">
            <v>#VALUE!</v>
          </cell>
          <cell r="J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 t="e">
            <v>#VALUE!</v>
          </cell>
          <cell r="F416" t="e">
            <v>#VALUE!</v>
          </cell>
          <cell r="G416">
            <v>0</v>
          </cell>
          <cell r="H416">
            <v>0</v>
          </cell>
          <cell r="I416" t="e">
            <v>#VALUE!</v>
          </cell>
          <cell r="J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 t="e">
            <v>#VALUE!</v>
          </cell>
          <cell r="F417" t="e">
            <v>#VALUE!</v>
          </cell>
          <cell r="G417">
            <v>0</v>
          </cell>
          <cell r="H417">
            <v>0</v>
          </cell>
          <cell r="I417" t="e">
            <v>#VALUE!</v>
          </cell>
          <cell r="J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 t="e">
            <v>#VALUE!</v>
          </cell>
          <cell r="F418" t="e">
            <v>#VALUE!</v>
          </cell>
          <cell r="G418">
            <v>0</v>
          </cell>
          <cell r="H418">
            <v>0</v>
          </cell>
          <cell r="I418" t="e">
            <v>#VALUE!</v>
          </cell>
          <cell r="J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 t="e">
            <v>#VALUE!</v>
          </cell>
          <cell r="F419" t="e">
            <v>#VALUE!</v>
          </cell>
          <cell r="G419">
            <v>0</v>
          </cell>
          <cell r="H419">
            <v>0</v>
          </cell>
          <cell r="I419" t="e">
            <v>#VALUE!</v>
          </cell>
          <cell r="J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 t="e">
            <v>#VALUE!</v>
          </cell>
          <cell r="F420" t="e">
            <v>#VALUE!</v>
          </cell>
          <cell r="G420">
            <v>0</v>
          </cell>
          <cell r="H420">
            <v>0</v>
          </cell>
          <cell r="I420" t="e">
            <v>#VALUE!</v>
          </cell>
          <cell r="J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 t="e">
            <v>#VALUE!</v>
          </cell>
          <cell r="F421" t="e">
            <v>#VALUE!</v>
          </cell>
          <cell r="G421">
            <v>0</v>
          </cell>
          <cell r="H421">
            <v>0</v>
          </cell>
          <cell r="I421" t="e">
            <v>#VALUE!</v>
          </cell>
          <cell r="J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 t="e">
            <v>#VALUE!</v>
          </cell>
          <cell r="F422" t="e">
            <v>#VALUE!</v>
          </cell>
          <cell r="G422">
            <v>0</v>
          </cell>
          <cell r="H422">
            <v>0</v>
          </cell>
          <cell r="I422" t="e">
            <v>#VALUE!</v>
          </cell>
          <cell r="J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 t="e">
            <v>#VALUE!</v>
          </cell>
          <cell r="F423" t="e">
            <v>#VALUE!</v>
          </cell>
          <cell r="G423">
            <v>0</v>
          </cell>
          <cell r="H423">
            <v>0</v>
          </cell>
          <cell r="I423" t="e">
            <v>#VALUE!</v>
          </cell>
          <cell r="J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 t="e">
            <v>#VALUE!</v>
          </cell>
          <cell r="F424" t="e">
            <v>#VALUE!</v>
          </cell>
          <cell r="G424">
            <v>0</v>
          </cell>
          <cell r="H424">
            <v>0</v>
          </cell>
          <cell r="I424" t="e">
            <v>#VALUE!</v>
          </cell>
          <cell r="J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 t="e">
            <v>#VALUE!</v>
          </cell>
          <cell r="F425" t="e">
            <v>#VALUE!</v>
          </cell>
          <cell r="G425">
            <v>0</v>
          </cell>
          <cell r="H425">
            <v>0</v>
          </cell>
          <cell r="I425" t="e">
            <v>#VALUE!</v>
          </cell>
          <cell r="J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 t="e">
            <v>#VALUE!</v>
          </cell>
          <cell r="F426" t="e">
            <v>#VALUE!</v>
          </cell>
          <cell r="G426">
            <v>0</v>
          </cell>
          <cell r="H426">
            <v>0</v>
          </cell>
          <cell r="I426" t="e">
            <v>#VALUE!</v>
          </cell>
          <cell r="J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 t="e">
            <v>#VALUE!</v>
          </cell>
          <cell r="F427" t="e">
            <v>#VALUE!</v>
          </cell>
          <cell r="G427">
            <v>0</v>
          </cell>
          <cell r="H427">
            <v>0</v>
          </cell>
          <cell r="I427" t="e">
            <v>#VALUE!</v>
          </cell>
          <cell r="J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 t="e">
            <v>#VALUE!</v>
          </cell>
          <cell r="F428" t="e">
            <v>#VALUE!</v>
          </cell>
          <cell r="G428">
            <v>0</v>
          </cell>
          <cell r="H428">
            <v>0</v>
          </cell>
          <cell r="I428" t="e">
            <v>#VALUE!</v>
          </cell>
          <cell r="J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 t="e">
            <v>#VALUE!</v>
          </cell>
          <cell r="F429" t="e">
            <v>#VALUE!</v>
          </cell>
          <cell r="G429">
            <v>0</v>
          </cell>
          <cell r="H429">
            <v>0</v>
          </cell>
          <cell r="I429" t="e">
            <v>#VALUE!</v>
          </cell>
          <cell r="J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 t="e">
            <v>#VALUE!</v>
          </cell>
          <cell r="F430" t="e">
            <v>#VALUE!</v>
          </cell>
          <cell r="G430">
            <v>0</v>
          </cell>
          <cell r="H430">
            <v>0</v>
          </cell>
          <cell r="I430" t="e">
            <v>#VALUE!</v>
          </cell>
          <cell r="J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 t="e">
            <v>#VALUE!</v>
          </cell>
          <cell r="F431" t="e">
            <v>#VALUE!</v>
          </cell>
          <cell r="G431">
            <v>0</v>
          </cell>
          <cell r="H431">
            <v>0</v>
          </cell>
          <cell r="I431" t="e">
            <v>#VALUE!</v>
          </cell>
          <cell r="J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 t="e">
            <v>#VALUE!</v>
          </cell>
          <cell r="F432" t="e">
            <v>#VALUE!</v>
          </cell>
          <cell r="G432">
            <v>0</v>
          </cell>
          <cell r="H432">
            <v>0</v>
          </cell>
          <cell r="I432" t="e">
            <v>#VALUE!</v>
          </cell>
          <cell r="J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 t="e">
            <v>#VALUE!</v>
          </cell>
          <cell r="F433" t="e">
            <v>#VALUE!</v>
          </cell>
          <cell r="G433">
            <v>0</v>
          </cell>
          <cell r="H433">
            <v>0</v>
          </cell>
          <cell r="I433" t="e">
            <v>#VALUE!</v>
          </cell>
          <cell r="J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 t="e">
            <v>#VALUE!</v>
          </cell>
          <cell r="F434" t="e">
            <v>#VALUE!</v>
          </cell>
          <cell r="G434">
            <v>0</v>
          </cell>
          <cell r="H434">
            <v>0</v>
          </cell>
          <cell r="I434" t="e">
            <v>#VALUE!</v>
          </cell>
          <cell r="J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 t="e">
            <v>#VALUE!</v>
          </cell>
          <cell r="F435" t="e">
            <v>#VALUE!</v>
          </cell>
          <cell r="G435">
            <v>0</v>
          </cell>
          <cell r="H435">
            <v>0</v>
          </cell>
          <cell r="I435" t="e">
            <v>#VALUE!</v>
          </cell>
          <cell r="J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 t="e">
            <v>#VALUE!</v>
          </cell>
          <cell r="F436" t="e">
            <v>#VALUE!</v>
          </cell>
          <cell r="G436">
            <v>0</v>
          </cell>
          <cell r="H436">
            <v>0</v>
          </cell>
          <cell r="I436" t="e">
            <v>#VALUE!</v>
          </cell>
          <cell r="J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 t="e">
            <v>#VALUE!</v>
          </cell>
          <cell r="F437" t="e">
            <v>#VALUE!</v>
          </cell>
          <cell r="G437">
            <v>0</v>
          </cell>
          <cell r="H437">
            <v>0</v>
          </cell>
          <cell r="I437" t="e">
            <v>#VALUE!</v>
          </cell>
          <cell r="J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 t="e">
            <v>#VALUE!</v>
          </cell>
          <cell r="F438" t="e">
            <v>#VALUE!</v>
          </cell>
          <cell r="G438">
            <v>0</v>
          </cell>
          <cell r="H438">
            <v>0</v>
          </cell>
          <cell r="I438" t="e">
            <v>#VALUE!</v>
          </cell>
          <cell r="J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 t="e">
            <v>#VALUE!</v>
          </cell>
          <cell r="F439" t="e">
            <v>#VALUE!</v>
          </cell>
          <cell r="G439">
            <v>0</v>
          </cell>
          <cell r="H439">
            <v>0</v>
          </cell>
          <cell r="I439" t="e">
            <v>#VALUE!</v>
          </cell>
          <cell r="J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 t="e">
            <v>#VALUE!</v>
          </cell>
          <cell r="F440" t="e">
            <v>#VALUE!</v>
          </cell>
          <cell r="G440">
            <v>0</v>
          </cell>
          <cell r="H440">
            <v>0</v>
          </cell>
          <cell r="I440" t="e">
            <v>#VALUE!</v>
          </cell>
          <cell r="J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 t="e">
            <v>#VALUE!</v>
          </cell>
          <cell r="F441" t="e">
            <v>#VALUE!</v>
          </cell>
          <cell r="G441">
            <v>0</v>
          </cell>
          <cell r="H441">
            <v>0</v>
          </cell>
          <cell r="I441" t="e">
            <v>#VALUE!</v>
          </cell>
          <cell r="J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 t="e">
            <v>#VALUE!</v>
          </cell>
          <cell r="F442" t="e">
            <v>#VALUE!</v>
          </cell>
          <cell r="G442">
            <v>0</v>
          </cell>
          <cell r="H442">
            <v>0</v>
          </cell>
          <cell r="I442" t="e">
            <v>#VALUE!</v>
          </cell>
          <cell r="J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 t="e">
            <v>#VALUE!</v>
          </cell>
          <cell r="F443" t="e">
            <v>#VALUE!</v>
          </cell>
          <cell r="G443">
            <v>0</v>
          </cell>
          <cell r="H443">
            <v>0</v>
          </cell>
          <cell r="I443" t="e">
            <v>#VALUE!</v>
          </cell>
          <cell r="J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 t="e">
            <v>#VALUE!</v>
          </cell>
          <cell r="F444" t="e">
            <v>#VALUE!</v>
          </cell>
          <cell r="G444">
            <v>0</v>
          </cell>
          <cell r="H444">
            <v>0</v>
          </cell>
          <cell r="I444" t="e">
            <v>#VALUE!</v>
          </cell>
          <cell r="J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 t="e">
            <v>#VALUE!</v>
          </cell>
          <cell r="F445" t="e">
            <v>#VALUE!</v>
          </cell>
          <cell r="G445">
            <v>0</v>
          </cell>
          <cell r="H445">
            <v>0</v>
          </cell>
          <cell r="I445" t="e">
            <v>#VALUE!</v>
          </cell>
          <cell r="J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 t="e">
            <v>#VALUE!</v>
          </cell>
          <cell r="F446" t="e">
            <v>#VALUE!</v>
          </cell>
          <cell r="G446">
            <v>0</v>
          </cell>
          <cell r="H446">
            <v>0</v>
          </cell>
          <cell r="I446" t="e">
            <v>#VALUE!</v>
          </cell>
          <cell r="J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 t="e">
            <v>#VALUE!</v>
          </cell>
          <cell r="F447" t="e">
            <v>#VALUE!</v>
          </cell>
          <cell r="G447">
            <v>0</v>
          </cell>
          <cell r="H447">
            <v>0</v>
          </cell>
          <cell r="I447" t="e">
            <v>#VALUE!</v>
          </cell>
          <cell r="J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 t="e">
            <v>#VALUE!</v>
          </cell>
          <cell r="F448" t="e">
            <v>#VALUE!</v>
          </cell>
          <cell r="G448">
            <v>0</v>
          </cell>
          <cell r="H448">
            <v>0</v>
          </cell>
          <cell r="I448" t="e">
            <v>#VALUE!</v>
          </cell>
          <cell r="J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 t="e">
            <v>#VALUE!</v>
          </cell>
          <cell r="F449" t="e">
            <v>#VALUE!</v>
          </cell>
          <cell r="G449">
            <v>0</v>
          </cell>
          <cell r="H449">
            <v>0</v>
          </cell>
          <cell r="I449" t="e">
            <v>#VALUE!</v>
          </cell>
          <cell r="J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 t="e">
            <v>#VALUE!</v>
          </cell>
          <cell r="F450" t="e">
            <v>#VALUE!</v>
          </cell>
          <cell r="G450">
            <v>0</v>
          </cell>
          <cell r="H450">
            <v>0</v>
          </cell>
          <cell r="I450" t="e">
            <v>#VALUE!</v>
          </cell>
          <cell r="J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 t="e">
            <v>#VALUE!</v>
          </cell>
          <cell r="F451" t="e">
            <v>#VALUE!</v>
          </cell>
          <cell r="G451">
            <v>0</v>
          </cell>
          <cell r="H451">
            <v>0</v>
          </cell>
          <cell r="I451" t="e">
            <v>#VALUE!</v>
          </cell>
          <cell r="J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 t="e">
            <v>#VALUE!</v>
          </cell>
          <cell r="F452" t="e">
            <v>#VALUE!</v>
          </cell>
          <cell r="G452">
            <v>0</v>
          </cell>
          <cell r="H452">
            <v>0</v>
          </cell>
          <cell r="I452" t="e">
            <v>#VALUE!</v>
          </cell>
          <cell r="J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 t="e">
            <v>#VALUE!</v>
          </cell>
          <cell r="F453" t="e">
            <v>#VALUE!</v>
          </cell>
          <cell r="G453">
            <v>0</v>
          </cell>
          <cell r="H453">
            <v>0</v>
          </cell>
          <cell r="I453" t="e">
            <v>#VALUE!</v>
          </cell>
          <cell r="J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 t="e">
            <v>#VALUE!</v>
          </cell>
          <cell r="F454" t="e">
            <v>#VALUE!</v>
          </cell>
          <cell r="G454">
            <v>0</v>
          </cell>
          <cell r="H454">
            <v>0</v>
          </cell>
          <cell r="I454" t="e">
            <v>#VALUE!</v>
          </cell>
          <cell r="J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 t="e">
            <v>#VALUE!</v>
          </cell>
          <cell r="F455" t="e">
            <v>#VALUE!</v>
          </cell>
          <cell r="G455">
            <v>0</v>
          </cell>
          <cell r="H455">
            <v>0</v>
          </cell>
          <cell r="I455" t="e">
            <v>#VALUE!</v>
          </cell>
          <cell r="J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 t="e">
            <v>#VALUE!</v>
          </cell>
          <cell r="F456" t="e">
            <v>#VALUE!</v>
          </cell>
          <cell r="G456">
            <v>0</v>
          </cell>
          <cell r="H456">
            <v>0</v>
          </cell>
          <cell r="I456" t="e">
            <v>#VALUE!</v>
          </cell>
          <cell r="J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 t="e">
            <v>#VALUE!</v>
          </cell>
          <cell r="F457" t="e">
            <v>#VALUE!</v>
          </cell>
          <cell r="G457">
            <v>0</v>
          </cell>
          <cell r="H457">
            <v>0</v>
          </cell>
          <cell r="I457" t="e">
            <v>#VALUE!</v>
          </cell>
          <cell r="J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 t="e">
            <v>#VALUE!</v>
          </cell>
          <cell r="F458" t="e">
            <v>#VALUE!</v>
          </cell>
          <cell r="G458">
            <v>0</v>
          </cell>
          <cell r="H458">
            <v>0</v>
          </cell>
          <cell r="I458" t="e">
            <v>#VALUE!</v>
          </cell>
          <cell r="J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 t="e">
            <v>#VALUE!</v>
          </cell>
          <cell r="F459" t="e">
            <v>#VALUE!</v>
          </cell>
          <cell r="G459">
            <v>0</v>
          </cell>
          <cell r="H459">
            <v>0</v>
          </cell>
          <cell r="I459" t="e">
            <v>#VALUE!</v>
          </cell>
          <cell r="J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 t="e">
            <v>#VALUE!</v>
          </cell>
          <cell r="F460" t="e">
            <v>#VALUE!</v>
          </cell>
          <cell r="G460">
            <v>0</v>
          </cell>
          <cell r="H460">
            <v>0</v>
          </cell>
          <cell r="I460" t="e">
            <v>#VALUE!</v>
          </cell>
          <cell r="J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 t="e">
            <v>#VALUE!</v>
          </cell>
          <cell r="F461" t="e">
            <v>#VALUE!</v>
          </cell>
          <cell r="G461">
            <v>0</v>
          </cell>
          <cell r="H461">
            <v>0</v>
          </cell>
          <cell r="I461" t="e">
            <v>#VALUE!</v>
          </cell>
          <cell r="J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 t="e">
            <v>#VALUE!</v>
          </cell>
          <cell r="F462" t="e">
            <v>#VALUE!</v>
          </cell>
          <cell r="G462">
            <v>0</v>
          </cell>
          <cell r="H462">
            <v>0</v>
          </cell>
          <cell r="I462" t="e">
            <v>#VALUE!</v>
          </cell>
          <cell r="J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 t="e">
            <v>#VALUE!</v>
          </cell>
          <cell r="F463" t="e">
            <v>#VALUE!</v>
          </cell>
          <cell r="G463">
            <v>0</v>
          </cell>
          <cell r="H463">
            <v>0</v>
          </cell>
          <cell r="I463" t="e">
            <v>#VALUE!</v>
          </cell>
          <cell r="J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 t="e">
            <v>#VALUE!</v>
          </cell>
          <cell r="F464" t="e">
            <v>#VALUE!</v>
          </cell>
          <cell r="G464">
            <v>0</v>
          </cell>
          <cell r="H464">
            <v>0</v>
          </cell>
          <cell r="I464" t="e">
            <v>#VALUE!</v>
          </cell>
          <cell r="J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 t="e">
            <v>#VALUE!</v>
          </cell>
          <cell r="F465" t="e">
            <v>#VALUE!</v>
          </cell>
          <cell r="G465">
            <v>0</v>
          </cell>
          <cell r="H465">
            <v>0</v>
          </cell>
          <cell r="I465" t="e">
            <v>#VALUE!</v>
          </cell>
          <cell r="J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 t="e">
            <v>#VALUE!</v>
          </cell>
          <cell r="F466" t="e">
            <v>#VALUE!</v>
          </cell>
          <cell r="G466">
            <v>0</v>
          </cell>
          <cell r="H466">
            <v>0</v>
          </cell>
          <cell r="I466" t="e">
            <v>#VALUE!</v>
          </cell>
          <cell r="J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 t="e">
            <v>#VALUE!</v>
          </cell>
          <cell r="F467" t="e">
            <v>#VALUE!</v>
          </cell>
          <cell r="G467">
            <v>0</v>
          </cell>
          <cell r="H467">
            <v>0</v>
          </cell>
          <cell r="I467" t="e">
            <v>#VALUE!</v>
          </cell>
          <cell r="J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 t="e">
            <v>#VALUE!</v>
          </cell>
          <cell r="F468" t="e">
            <v>#VALUE!</v>
          </cell>
          <cell r="G468">
            <v>0</v>
          </cell>
          <cell r="H468">
            <v>0</v>
          </cell>
          <cell r="I468" t="e">
            <v>#VALUE!</v>
          </cell>
          <cell r="J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 t="e">
            <v>#VALUE!</v>
          </cell>
          <cell r="F469" t="e">
            <v>#VALUE!</v>
          </cell>
          <cell r="G469">
            <v>0</v>
          </cell>
          <cell r="H469">
            <v>0</v>
          </cell>
          <cell r="I469" t="e">
            <v>#VALUE!</v>
          </cell>
          <cell r="J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 t="e">
            <v>#VALUE!</v>
          </cell>
          <cell r="F470" t="e">
            <v>#VALUE!</v>
          </cell>
          <cell r="G470">
            <v>0</v>
          </cell>
          <cell r="H470">
            <v>0</v>
          </cell>
          <cell r="I470" t="e">
            <v>#VALUE!</v>
          </cell>
          <cell r="J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 t="e">
            <v>#VALUE!</v>
          </cell>
          <cell r="F471" t="e">
            <v>#VALUE!</v>
          </cell>
          <cell r="G471">
            <v>0</v>
          </cell>
          <cell r="H471">
            <v>0</v>
          </cell>
          <cell r="I471" t="e">
            <v>#VALUE!</v>
          </cell>
          <cell r="J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 t="e">
            <v>#VALUE!</v>
          </cell>
          <cell r="F472" t="e">
            <v>#VALUE!</v>
          </cell>
          <cell r="G472">
            <v>0</v>
          </cell>
          <cell r="H472">
            <v>0</v>
          </cell>
          <cell r="I472" t="e">
            <v>#VALUE!</v>
          </cell>
          <cell r="J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 t="e">
            <v>#VALUE!</v>
          </cell>
          <cell r="F473" t="e">
            <v>#VALUE!</v>
          </cell>
          <cell r="G473">
            <v>0</v>
          </cell>
          <cell r="H473">
            <v>0</v>
          </cell>
          <cell r="I473" t="e">
            <v>#VALUE!</v>
          </cell>
          <cell r="J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 t="e">
            <v>#VALUE!</v>
          </cell>
          <cell r="F474" t="e">
            <v>#VALUE!</v>
          </cell>
          <cell r="G474">
            <v>0</v>
          </cell>
          <cell r="H474">
            <v>0</v>
          </cell>
          <cell r="I474" t="e">
            <v>#VALUE!</v>
          </cell>
          <cell r="J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 t="e">
            <v>#VALUE!</v>
          </cell>
          <cell r="F475" t="e">
            <v>#VALUE!</v>
          </cell>
          <cell r="G475">
            <v>0</v>
          </cell>
          <cell r="H475">
            <v>0</v>
          </cell>
          <cell r="I475" t="e">
            <v>#VALUE!</v>
          </cell>
          <cell r="J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 t="e">
            <v>#VALUE!</v>
          </cell>
          <cell r="F476" t="e">
            <v>#VALUE!</v>
          </cell>
          <cell r="G476">
            <v>0</v>
          </cell>
          <cell r="H476">
            <v>0</v>
          </cell>
          <cell r="I476" t="e">
            <v>#VALUE!</v>
          </cell>
          <cell r="J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 t="e">
            <v>#VALUE!</v>
          </cell>
          <cell r="F477" t="e">
            <v>#VALUE!</v>
          </cell>
          <cell r="G477">
            <v>0</v>
          </cell>
          <cell r="H477">
            <v>0</v>
          </cell>
          <cell r="I477" t="e">
            <v>#VALUE!</v>
          </cell>
          <cell r="J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 t="e">
            <v>#VALUE!</v>
          </cell>
          <cell r="F478" t="e">
            <v>#VALUE!</v>
          </cell>
          <cell r="G478">
            <v>0</v>
          </cell>
          <cell r="H478">
            <v>0</v>
          </cell>
          <cell r="I478" t="e">
            <v>#VALUE!</v>
          </cell>
          <cell r="J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 t="e">
            <v>#VALUE!</v>
          </cell>
          <cell r="F479" t="e">
            <v>#VALUE!</v>
          </cell>
          <cell r="G479">
            <v>0</v>
          </cell>
          <cell r="H479">
            <v>0</v>
          </cell>
          <cell r="I479" t="e">
            <v>#VALUE!</v>
          </cell>
          <cell r="J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 t="e">
            <v>#VALUE!</v>
          </cell>
          <cell r="F480" t="e">
            <v>#VALUE!</v>
          </cell>
          <cell r="G480">
            <v>0</v>
          </cell>
          <cell r="H480">
            <v>0</v>
          </cell>
          <cell r="I480" t="e">
            <v>#VALUE!</v>
          </cell>
          <cell r="J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 t="e">
            <v>#VALUE!</v>
          </cell>
          <cell r="F481" t="e">
            <v>#VALUE!</v>
          </cell>
          <cell r="G481">
            <v>0</v>
          </cell>
          <cell r="H481">
            <v>0</v>
          </cell>
          <cell r="I481" t="e">
            <v>#VALUE!</v>
          </cell>
          <cell r="J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 t="e">
            <v>#VALUE!</v>
          </cell>
          <cell r="F482" t="e">
            <v>#VALUE!</v>
          </cell>
          <cell r="G482">
            <v>0</v>
          </cell>
          <cell r="H482">
            <v>0</v>
          </cell>
          <cell r="I482" t="e">
            <v>#VALUE!</v>
          </cell>
          <cell r="J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 t="e">
            <v>#VALUE!</v>
          </cell>
          <cell r="F483" t="e">
            <v>#VALUE!</v>
          </cell>
          <cell r="G483">
            <v>0</v>
          </cell>
          <cell r="H483">
            <v>0</v>
          </cell>
          <cell r="I483" t="e">
            <v>#VALUE!</v>
          </cell>
          <cell r="J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 t="e">
            <v>#VALUE!</v>
          </cell>
          <cell r="F484" t="e">
            <v>#VALUE!</v>
          </cell>
          <cell r="G484">
            <v>0</v>
          </cell>
          <cell r="H484">
            <v>0</v>
          </cell>
          <cell r="I484" t="e">
            <v>#VALUE!</v>
          </cell>
          <cell r="J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 t="e">
            <v>#VALUE!</v>
          </cell>
          <cell r="F485" t="e">
            <v>#VALUE!</v>
          </cell>
          <cell r="G485">
            <v>0</v>
          </cell>
          <cell r="H485">
            <v>0</v>
          </cell>
          <cell r="I485" t="e">
            <v>#VALUE!</v>
          </cell>
          <cell r="J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 t="e">
            <v>#VALUE!</v>
          </cell>
          <cell r="F486" t="e">
            <v>#VALUE!</v>
          </cell>
          <cell r="G486">
            <v>0</v>
          </cell>
          <cell r="H486">
            <v>0</v>
          </cell>
          <cell r="I486" t="e">
            <v>#VALUE!</v>
          </cell>
          <cell r="J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 t="e">
            <v>#VALUE!</v>
          </cell>
          <cell r="F487" t="e">
            <v>#VALUE!</v>
          </cell>
          <cell r="G487">
            <v>0</v>
          </cell>
          <cell r="H487">
            <v>0</v>
          </cell>
          <cell r="I487" t="e">
            <v>#VALUE!</v>
          </cell>
          <cell r="J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 t="e">
            <v>#VALUE!</v>
          </cell>
          <cell r="F488" t="e">
            <v>#VALUE!</v>
          </cell>
          <cell r="G488">
            <v>0</v>
          </cell>
          <cell r="H488">
            <v>0</v>
          </cell>
          <cell r="I488" t="e">
            <v>#VALUE!</v>
          </cell>
          <cell r="J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 t="e">
            <v>#VALUE!</v>
          </cell>
          <cell r="F489" t="e">
            <v>#VALUE!</v>
          </cell>
          <cell r="G489">
            <v>0</v>
          </cell>
          <cell r="H489">
            <v>0</v>
          </cell>
          <cell r="I489" t="e">
            <v>#VALUE!</v>
          </cell>
          <cell r="J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 t="e">
            <v>#VALUE!</v>
          </cell>
          <cell r="F490" t="e">
            <v>#VALUE!</v>
          </cell>
          <cell r="G490">
            <v>0</v>
          </cell>
          <cell r="H490">
            <v>0</v>
          </cell>
          <cell r="I490" t="e">
            <v>#VALUE!</v>
          </cell>
          <cell r="J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 t="e">
            <v>#VALUE!</v>
          </cell>
          <cell r="F491" t="e">
            <v>#VALUE!</v>
          </cell>
          <cell r="G491">
            <v>0</v>
          </cell>
          <cell r="H491">
            <v>0</v>
          </cell>
          <cell r="I491" t="e">
            <v>#VALUE!</v>
          </cell>
          <cell r="J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 t="e">
            <v>#VALUE!</v>
          </cell>
          <cell r="F492" t="e">
            <v>#VALUE!</v>
          </cell>
          <cell r="G492">
            <v>0</v>
          </cell>
          <cell r="H492">
            <v>0</v>
          </cell>
          <cell r="I492" t="e">
            <v>#VALUE!</v>
          </cell>
          <cell r="J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 t="e">
            <v>#VALUE!</v>
          </cell>
          <cell r="F493" t="e">
            <v>#VALUE!</v>
          </cell>
          <cell r="G493">
            <v>0</v>
          </cell>
          <cell r="H493">
            <v>0</v>
          </cell>
          <cell r="I493" t="e">
            <v>#VALUE!</v>
          </cell>
          <cell r="J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 t="e">
            <v>#VALUE!</v>
          </cell>
          <cell r="F494" t="e">
            <v>#VALUE!</v>
          </cell>
          <cell r="G494">
            <v>0</v>
          </cell>
          <cell r="H494">
            <v>0</v>
          </cell>
          <cell r="I494" t="e">
            <v>#VALUE!</v>
          </cell>
          <cell r="J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 t="e">
            <v>#VALUE!</v>
          </cell>
          <cell r="F495" t="e">
            <v>#VALUE!</v>
          </cell>
          <cell r="G495">
            <v>0</v>
          </cell>
          <cell r="H495">
            <v>0</v>
          </cell>
          <cell r="I495" t="e">
            <v>#VALUE!</v>
          </cell>
          <cell r="J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 t="e">
            <v>#VALUE!</v>
          </cell>
          <cell r="F496" t="e">
            <v>#VALUE!</v>
          </cell>
          <cell r="G496">
            <v>0</v>
          </cell>
          <cell r="H496">
            <v>0</v>
          </cell>
          <cell r="I496" t="e">
            <v>#VALUE!</v>
          </cell>
          <cell r="J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 t="e">
            <v>#VALUE!</v>
          </cell>
          <cell r="F497" t="e">
            <v>#VALUE!</v>
          </cell>
          <cell r="G497">
            <v>0</v>
          </cell>
          <cell r="H497">
            <v>0</v>
          </cell>
          <cell r="I497" t="e">
            <v>#VALUE!</v>
          </cell>
          <cell r="J497">
            <v>0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IBL HPSM-Eqpt"/>
      <sheetName val="SJIBL HPSM-Transp"/>
      <sheetName val="SJIBL Term Loan"/>
      <sheetName val="SJIBL Sumamry"/>
      <sheetName val="SJIBL 31-01-2021"/>
      <sheetName val="Sheet1"/>
      <sheetName val="City 31-12-2020"/>
      <sheetName val="Check"/>
      <sheetName val="SJIBL"/>
      <sheetName val="LPG Limit"/>
      <sheetName val="LPG 31-12-2020 Rev"/>
      <sheetName val="Sheet2"/>
      <sheetName val="LPG 31-12-2020"/>
      <sheetName val="SJIBL Term"/>
      <sheetName val="Navana LPG Ltd Liability  po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>
            <v>944.28300000000002</v>
          </cell>
        </row>
      </sheetData>
      <sheetData sheetId="12"/>
      <sheetData sheetId="13">
        <row r="1">
          <cell r="B1" t="str">
            <v>Simple Loan Calculator</v>
          </cell>
        </row>
        <row r="3">
          <cell r="B3" t="str">
            <v>Loan Values</v>
          </cell>
        </row>
        <row r="4">
          <cell r="B4" t="str">
            <v>Loan amount</v>
          </cell>
          <cell r="D4">
            <v>770332775</v>
          </cell>
        </row>
        <row r="5">
          <cell r="B5" t="str">
            <v>Annual interest rate</v>
          </cell>
          <cell r="D5">
            <v>0.09</v>
          </cell>
          <cell r="H5">
            <v>120</v>
          </cell>
        </row>
        <row r="6">
          <cell r="B6" t="str">
            <v>Loan period in years</v>
          </cell>
          <cell r="D6">
            <v>10</v>
          </cell>
        </row>
        <row r="7">
          <cell r="B7" t="str">
            <v>Start date of loan</v>
          </cell>
          <cell r="D7">
            <v>44592</v>
          </cell>
          <cell r="H7">
            <v>1170990003.819622</v>
          </cell>
        </row>
        <row r="9">
          <cell r="B9" t="str">
            <v>Pmt No.</v>
          </cell>
          <cell r="C9" t="str">
            <v>Payment Date</v>
          </cell>
          <cell r="D9" t="str">
            <v>Beginning Balance</v>
          </cell>
          <cell r="E9" t="str">
            <v>Payment</v>
          </cell>
          <cell r="F9" t="str">
            <v>Principal</v>
          </cell>
          <cell r="G9" t="str">
            <v>Interest</v>
          </cell>
          <cell r="H9" t="str">
            <v>Ending Balance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>
            <v>61</v>
          </cell>
        </row>
        <row r="71">
          <cell r="B71">
            <v>62</v>
          </cell>
        </row>
        <row r="72">
          <cell r="B72">
            <v>63</v>
          </cell>
        </row>
        <row r="73">
          <cell r="B73">
            <v>64</v>
          </cell>
        </row>
        <row r="74">
          <cell r="B74">
            <v>65</v>
          </cell>
        </row>
        <row r="75">
          <cell r="B75">
            <v>66</v>
          </cell>
        </row>
        <row r="76">
          <cell r="B76">
            <v>67</v>
          </cell>
        </row>
        <row r="77">
          <cell r="B77">
            <v>68</v>
          </cell>
        </row>
        <row r="78">
          <cell r="B78">
            <v>69</v>
          </cell>
        </row>
        <row r="79">
          <cell r="B79">
            <v>70</v>
          </cell>
        </row>
        <row r="80">
          <cell r="B80">
            <v>71</v>
          </cell>
        </row>
        <row r="81">
          <cell r="B81">
            <v>72</v>
          </cell>
        </row>
        <row r="82">
          <cell r="B82">
            <v>73</v>
          </cell>
        </row>
        <row r="83">
          <cell r="B83">
            <v>74</v>
          </cell>
        </row>
        <row r="84">
          <cell r="B84">
            <v>75</v>
          </cell>
        </row>
        <row r="85">
          <cell r="B85">
            <v>76</v>
          </cell>
        </row>
        <row r="86">
          <cell r="B86">
            <v>77</v>
          </cell>
        </row>
        <row r="87">
          <cell r="B87">
            <v>78</v>
          </cell>
        </row>
        <row r="88">
          <cell r="B88">
            <v>79</v>
          </cell>
        </row>
        <row r="89">
          <cell r="B89">
            <v>80</v>
          </cell>
        </row>
        <row r="90">
          <cell r="B90">
            <v>81</v>
          </cell>
        </row>
        <row r="91">
          <cell r="B91">
            <v>82</v>
          </cell>
        </row>
        <row r="92">
          <cell r="B92">
            <v>83</v>
          </cell>
        </row>
        <row r="93">
          <cell r="B93">
            <v>84</v>
          </cell>
        </row>
        <row r="94">
          <cell r="B94">
            <v>85</v>
          </cell>
        </row>
        <row r="95">
          <cell r="B95">
            <v>86</v>
          </cell>
        </row>
        <row r="96">
          <cell r="B96">
            <v>87</v>
          </cell>
        </row>
        <row r="97">
          <cell r="B97">
            <v>88</v>
          </cell>
        </row>
        <row r="98">
          <cell r="B98">
            <v>89</v>
          </cell>
        </row>
        <row r="99">
          <cell r="B99">
            <v>90</v>
          </cell>
        </row>
        <row r="100">
          <cell r="B100">
            <v>91</v>
          </cell>
        </row>
        <row r="101">
          <cell r="B101">
            <v>92</v>
          </cell>
        </row>
        <row r="102">
          <cell r="B102">
            <v>93</v>
          </cell>
        </row>
        <row r="103">
          <cell r="B103">
            <v>94</v>
          </cell>
        </row>
        <row r="104">
          <cell r="B104">
            <v>95</v>
          </cell>
        </row>
        <row r="105">
          <cell r="B105">
            <v>96</v>
          </cell>
        </row>
        <row r="106">
          <cell r="B106">
            <v>97</v>
          </cell>
        </row>
        <row r="107">
          <cell r="B107">
            <v>98</v>
          </cell>
        </row>
        <row r="108">
          <cell r="B108">
            <v>99</v>
          </cell>
        </row>
        <row r="109">
          <cell r="B109">
            <v>100</v>
          </cell>
        </row>
        <row r="110">
          <cell r="B110">
            <v>101</v>
          </cell>
        </row>
        <row r="111">
          <cell r="B111">
            <v>102</v>
          </cell>
        </row>
        <row r="112">
          <cell r="B112">
            <v>103</v>
          </cell>
        </row>
        <row r="113">
          <cell r="B113">
            <v>104</v>
          </cell>
        </row>
        <row r="114">
          <cell r="B114">
            <v>105</v>
          </cell>
        </row>
        <row r="115">
          <cell r="B115">
            <v>106</v>
          </cell>
        </row>
        <row r="116">
          <cell r="B116">
            <v>107</v>
          </cell>
        </row>
        <row r="117">
          <cell r="B117">
            <v>108</v>
          </cell>
        </row>
        <row r="118">
          <cell r="B118">
            <v>109</v>
          </cell>
        </row>
        <row r="119">
          <cell r="B119">
            <v>110</v>
          </cell>
        </row>
        <row r="120">
          <cell r="B120">
            <v>111</v>
          </cell>
        </row>
        <row r="121">
          <cell r="B121">
            <v>112</v>
          </cell>
        </row>
        <row r="122">
          <cell r="B122">
            <v>113</v>
          </cell>
        </row>
        <row r="123">
          <cell r="B123">
            <v>114</v>
          </cell>
        </row>
        <row r="124">
          <cell r="B124">
            <v>115</v>
          </cell>
        </row>
        <row r="125">
          <cell r="B125">
            <v>116</v>
          </cell>
        </row>
        <row r="126">
          <cell r="B126">
            <v>117</v>
          </cell>
        </row>
        <row r="127">
          <cell r="B127">
            <v>118</v>
          </cell>
        </row>
        <row r="128">
          <cell r="B128">
            <v>119</v>
          </cell>
        </row>
        <row r="129">
          <cell r="B129">
            <v>120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</sheetData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(2)"/>
      <sheetName val="Budget"/>
      <sheetName val="Budget Crore"/>
      <sheetName val="Common Exp."/>
      <sheetName val="Cash flow"/>
      <sheetName val="Salary Calculation"/>
      <sheetName val="Indent Comm. Calculation Sheet"/>
      <sheetName val="Marketing Budget 2016"/>
      <sheetName val="Budget 2015 Vs 2016"/>
      <sheetName val="Collection"/>
    </sheetNames>
    <sheetDataSet>
      <sheetData sheetId="0"/>
      <sheetData sheetId="1"/>
      <sheetData sheetId="2"/>
      <sheetData sheetId="3">
        <row r="1">
          <cell r="V1">
            <v>10000000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"/>
      <sheetName val="List"/>
      <sheetName val="No recipe"/>
      <sheetName val="DATA"/>
      <sheetName val="PPR (4)"/>
      <sheetName val="PPR"/>
      <sheetName val="New Pipe Price"/>
      <sheetName val="PVC Recipe"/>
      <sheetName val="Sheet2"/>
      <sheetName val="Hot (3)"/>
      <sheetName val="PPR Recipe"/>
      <sheetName val="HDPE Coil Price"/>
      <sheetName val="HDPE Coil"/>
      <sheetName val="Price-RAW"/>
      <sheetName val="75mm"/>
      <sheetName val="Cal"/>
      <sheetName val="Fittings"/>
      <sheetName val="6inch Fitt"/>
      <sheetName val="Name"/>
      <sheetName val="PVC Recipe (2)"/>
      <sheetName val="6inch Fitt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9">
          <cell r="D59">
            <v>0.05</v>
          </cell>
        </row>
        <row r="63">
          <cell r="D63">
            <v>0.04</v>
          </cell>
        </row>
        <row r="64">
          <cell r="D64">
            <v>0.04</v>
          </cell>
        </row>
        <row r="65">
          <cell r="D65">
            <v>0.03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Actual'17 Vs Budget'17"/>
      <sheetName val="Actual'17 Vs Budget'17 (2)"/>
      <sheetName val="Actul'17 Vs Budget'18"/>
      <sheetName val="Actul'17 Vs Budget'18 (2)"/>
      <sheetName val="Budgeted Income St 2018"/>
      <sheetName val="Master"/>
      <sheetName val="Solver"/>
      <sheetName val="Rate"/>
      <sheetName val="Common Exp."/>
      <sheetName val="OPEX 2017"/>
      <sheetName val="Cash flow"/>
      <sheetName val="Sale,COGS,VAT, Deliv &amp; Collect"/>
      <sheetName val="2018 Marketing Calender"/>
      <sheetName val="CD VAT &amp; Port Due"/>
      <sheetName val="LC Margin &amp; Insurance"/>
      <sheetName val="Incentive"/>
      <sheetName val="Indent Sale"/>
      <sheetName val="Model Variance"/>
      <sheetName val="LTR Creation"/>
      <sheetName val="Sale Nov &amp; Dec"/>
      <sheetName val="Depreciation"/>
      <sheetName val="Dumarrage"/>
      <sheetName val="Indent Income 2016"/>
      <sheetName val="Ren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>
            <v>0.78</v>
          </cell>
        </row>
        <row r="3">
          <cell r="C3">
            <v>0.115</v>
          </cell>
        </row>
      </sheetData>
      <sheetData sheetId="9">
        <row r="40">
          <cell r="D40">
            <v>2955637.4999999995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Actual'17 Vs Budget'17"/>
      <sheetName val="Actual'17 Vs Budget'17 (2)"/>
      <sheetName val="Actul'17 Vs Budget'18"/>
      <sheetName val="Actul'17 Vs Budget'18 (2)"/>
      <sheetName val="Budgeted Income St 2018"/>
      <sheetName val="Master"/>
      <sheetName val="Solver"/>
      <sheetName val="Rate"/>
      <sheetName val="Common Exp."/>
      <sheetName val="OPEX 2017"/>
      <sheetName val="Cash flow"/>
      <sheetName val="Sale,COGS,VAT, Deliv &amp; Collect"/>
      <sheetName val="2018 Marketing Calender"/>
      <sheetName val="CD VAT &amp; Port Due"/>
      <sheetName val="LC Margin &amp; Insurance"/>
      <sheetName val="Incentive"/>
      <sheetName val="Indent Sale"/>
      <sheetName val="Model Variance"/>
      <sheetName val="LTR Creation"/>
      <sheetName val="Sale Nov &amp; Dec"/>
      <sheetName val="Depreciation"/>
      <sheetName val="Dumarrage"/>
      <sheetName val="Indent Income 2016"/>
      <sheetName val="Ren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410869.5652173913</v>
          </cell>
        </row>
      </sheetData>
      <sheetData sheetId="7"/>
      <sheetData sheetId="8">
        <row r="1">
          <cell r="C1">
            <v>0.79</v>
          </cell>
        </row>
        <row r="6">
          <cell r="C6">
            <v>0.08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ote"/>
      <sheetName val="Cnote1"/>
      <sheetName val="Balance Sheet"/>
      <sheetName val="NOTE"/>
      <sheetName val="sofp"/>
      <sheetName val="soci"/>
      <sheetName val="soce"/>
      <sheetName val="socf"/>
      <sheetName val="details"/>
      <sheetName val="cng"/>
      <sheetName val="Note-2"/>
      <sheetName val="CEE"/>
      <sheetName val="ENG.Note"/>
      <sheetName val="CE"/>
      <sheetName val="WED.Note"/>
      <sheetName val="Tax Provition"/>
      <sheetName val="Backup-I.S"/>
      <sheetName val="Backup B.S"/>
      <sheetName val="Sheet1"/>
      <sheetName val="CF"/>
      <sheetName val="Notes"/>
      <sheetName val="September'2018"/>
      <sheetName val="Annexure-20-21 (Dec'21)"/>
      <sheetName val="BS June 2021"/>
      <sheetName val="IS -2021"/>
      <sheetName val="LPG Purchase"/>
      <sheetName val="Notes (IS &amp; BS)"/>
      <sheetName val="Annexure-20-21"/>
      <sheetName val="FG Stock"/>
      <sheetName val="FG Stock 31 Dec'21"/>
      <sheetName val="Annexure-20-21 (July to Dec'21)"/>
      <sheetName val="RM Purchase"/>
      <sheetName val="IRM Purchase"/>
      <sheetName val="CMP Cylinder "/>
      <sheetName val="F OH"/>
      <sheetName val="Factory Overhead"/>
      <sheetName val="VAT Pay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O8">
            <v>447957623.73999995</v>
          </cell>
        </row>
        <row r="24">
          <cell r="D24">
            <v>-438520582.2572729</v>
          </cell>
          <cell r="H24">
            <v>-1143314298.2760017</v>
          </cell>
          <cell r="N24" t="e">
            <v>#N/A</v>
          </cell>
          <cell r="O24">
            <v>-1655201703.7153215</v>
          </cell>
          <cell r="P24">
            <v>-257136807.06075224</v>
          </cell>
          <cell r="Q24">
            <v>-300392479.18000019</v>
          </cell>
        </row>
      </sheetData>
      <sheetData sheetId="25">
        <row r="24">
          <cell r="D24">
            <v>1198996472.1819949</v>
          </cell>
        </row>
      </sheetData>
      <sheetData sheetId="26"/>
      <sheetData sheetId="27">
        <row r="7">
          <cell r="E7">
            <v>22558214</v>
          </cell>
          <cell r="J7">
            <v>0</v>
          </cell>
        </row>
        <row r="8">
          <cell r="E8">
            <v>595680733</v>
          </cell>
          <cell r="J8">
            <v>156127626.40399522</v>
          </cell>
        </row>
        <row r="9">
          <cell r="E9">
            <v>100523575</v>
          </cell>
          <cell r="J9">
            <v>34663001.710325897</v>
          </cell>
        </row>
        <row r="10">
          <cell r="E10">
            <v>1189392754.8900001</v>
          </cell>
          <cell r="J10">
            <v>432393203.42113358</v>
          </cell>
        </row>
        <row r="11">
          <cell r="E11">
            <v>292050438.31999999</v>
          </cell>
          <cell r="J11">
            <v>107506924.2926397</v>
          </cell>
        </row>
        <row r="12">
          <cell r="E12">
            <v>584162607.61000001</v>
          </cell>
          <cell r="J12">
            <v>155013877.17489076</v>
          </cell>
        </row>
        <row r="13">
          <cell r="E13">
            <v>77140859.560000002</v>
          </cell>
          <cell r="J13">
            <v>20858511.583705414</v>
          </cell>
        </row>
        <row r="14">
          <cell r="E14">
            <v>1803925818.0699999</v>
          </cell>
          <cell r="J14">
            <v>440180756.86229545</v>
          </cell>
        </row>
        <row r="15">
          <cell r="E15">
            <v>624657898</v>
          </cell>
          <cell r="J15">
            <v>149304088.7522676</v>
          </cell>
        </row>
        <row r="16">
          <cell r="E16">
            <v>8622900</v>
          </cell>
          <cell r="J16">
            <v>1827082.5747760595</v>
          </cell>
        </row>
        <row r="17">
          <cell r="E17">
            <v>18262603.079999998</v>
          </cell>
          <cell r="J17">
            <v>9658898.3285994083</v>
          </cell>
        </row>
        <row r="18">
          <cell r="E18">
            <v>1300258</v>
          </cell>
          <cell r="J18">
            <v>628581.81025795836</v>
          </cell>
        </row>
        <row r="19">
          <cell r="E19">
            <v>6319342</v>
          </cell>
          <cell r="J19">
            <v>2607939.3894794607</v>
          </cell>
        </row>
        <row r="20">
          <cell r="E20">
            <v>2596943</v>
          </cell>
          <cell r="J20">
            <v>1045235.1721678444</v>
          </cell>
        </row>
        <row r="21">
          <cell r="E21">
            <v>123410919.08</v>
          </cell>
          <cell r="J21">
            <v>32062009.436465066</v>
          </cell>
        </row>
        <row r="22">
          <cell r="E22">
            <v>21091602</v>
          </cell>
          <cell r="J22">
            <v>5643994.9392894767</v>
          </cell>
        </row>
      </sheetData>
      <sheetData sheetId="28">
        <row r="16">
          <cell r="D16">
            <v>89133799.19402127</v>
          </cell>
        </row>
        <row r="18">
          <cell r="L18">
            <v>9890137.4600000009</v>
          </cell>
        </row>
        <row r="28">
          <cell r="L28">
            <v>5.82</v>
          </cell>
        </row>
      </sheetData>
      <sheetData sheetId="29">
        <row r="8">
          <cell r="L8">
            <v>52655100.348000005</v>
          </cell>
        </row>
        <row r="12">
          <cell r="L12">
            <v>1150738.5199999998</v>
          </cell>
        </row>
        <row r="20">
          <cell r="L20">
            <v>9795195.4499999974</v>
          </cell>
        </row>
      </sheetData>
      <sheetData sheetId="30">
        <row r="26">
          <cell r="H26">
            <v>64814762.255355932</v>
          </cell>
        </row>
        <row r="28">
          <cell r="H28">
            <v>94652755.867320091</v>
          </cell>
        </row>
      </sheetData>
      <sheetData sheetId="31">
        <row r="54">
          <cell r="G54">
            <v>1060811858.0845001</v>
          </cell>
        </row>
      </sheetData>
      <sheetData sheetId="32">
        <row r="8">
          <cell r="G8">
            <v>382450</v>
          </cell>
        </row>
      </sheetData>
      <sheetData sheetId="33">
        <row r="6">
          <cell r="N6">
            <v>282952480.0799349</v>
          </cell>
        </row>
      </sheetData>
      <sheetData sheetId="34">
        <row r="38">
          <cell r="B38">
            <v>25432496.5</v>
          </cell>
          <cell r="D38">
            <v>11182674</v>
          </cell>
        </row>
      </sheetData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FP"/>
      <sheetName val="SPL"/>
      <sheetName val="Notes SEP"/>
      <sheetName val="Notes SPL"/>
      <sheetName val="AR Schedule "/>
      <sheetName val="SPL Summary 2019"/>
      <sheetName val="Sheet1"/>
      <sheetName val="Notes 1-3"/>
      <sheetName val="Assets Schedule"/>
      <sheetName val="Sheet3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2">
          <cell r="C122" t="str">
            <v>12 KG Qty.Slab Commission</v>
          </cell>
          <cell r="E122">
            <v>19434885</v>
          </cell>
        </row>
        <row r="123">
          <cell r="C123" t="str">
            <v>33 KG Qty.Slab Commission</v>
          </cell>
          <cell r="E123">
            <v>20833940</v>
          </cell>
        </row>
        <row r="124">
          <cell r="C124" t="str">
            <v>45 KG Qty.Slab Commission</v>
          </cell>
          <cell r="E124">
            <v>813650</v>
          </cell>
        </row>
        <row r="125">
          <cell r="C125" t="str">
            <v>Customer Support Expense</v>
          </cell>
          <cell r="E125">
            <v>39142</v>
          </cell>
        </row>
        <row r="126">
          <cell r="C126" t="str">
            <v>Super CP Commission</v>
          </cell>
          <cell r="E126">
            <v>695165</v>
          </cell>
        </row>
        <row r="127">
          <cell r="C127" t="str">
            <v>RDC Rent For Stock</v>
          </cell>
          <cell r="E127">
            <v>967585</v>
          </cell>
        </row>
        <row r="128">
          <cell r="C128" t="str">
            <v>Slab Commission for Distributor</v>
          </cell>
        </row>
        <row r="129">
          <cell r="C129" t="str">
            <v>Exclusive Commission-12 KG</v>
          </cell>
          <cell r="E129">
            <v>6726580</v>
          </cell>
        </row>
        <row r="130">
          <cell r="C130" t="str">
            <v>Target Commissions/Key Target Commission'</v>
          </cell>
          <cell r="E130">
            <v>3812130</v>
          </cell>
        </row>
        <row r="131">
          <cell r="C131" t="str">
            <v>RDC Handling Fee</v>
          </cell>
          <cell r="E131">
            <v>15885160</v>
          </cell>
        </row>
        <row r="132">
          <cell r="C132" t="str">
            <v>Price Adjustment For CP</v>
          </cell>
          <cell r="E132">
            <v>6298140</v>
          </cell>
        </row>
        <row r="133">
          <cell r="C133" t="str">
            <v>Salary &amp; Allowance-Sales And MKT</v>
          </cell>
          <cell r="E133">
            <v>7335330</v>
          </cell>
        </row>
        <row r="134">
          <cell r="C134" t="str">
            <v>Special Commission for Investor</v>
          </cell>
          <cell r="E134">
            <v>9282748</v>
          </cell>
        </row>
        <row r="135">
          <cell r="C135" t="str">
            <v>Sales Incentive</v>
          </cell>
          <cell r="E135">
            <v>1748461</v>
          </cell>
        </row>
        <row r="136">
          <cell r="C136" t="str">
            <v>TA/DA for field team</v>
          </cell>
          <cell r="E136">
            <v>1354511</v>
          </cell>
        </row>
        <row r="137">
          <cell r="C137" t="str">
            <v>Sales Meeting Expense</v>
          </cell>
          <cell r="E137">
            <v>30955</v>
          </cell>
        </row>
        <row r="148">
          <cell r="C148" t="str">
            <v>Distribution Expenses-Out Source</v>
          </cell>
          <cell r="E148">
            <v>234900</v>
          </cell>
        </row>
        <row r="149">
          <cell r="C149" t="str">
            <v>Distribution Expenses-Own Source</v>
          </cell>
          <cell r="E149">
            <v>12803594.25</v>
          </cell>
        </row>
        <row r="150">
          <cell r="C150" t="str">
            <v>Loading &amp; Unloading Expense (Distribution)-Factory</v>
          </cell>
          <cell r="E150">
            <v>1688424</v>
          </cell>
        </row>
        <row r="151">
          <cell r="C151" t="str">
            <v>Salary &amp; Allowance-Distribution</v>
          </cell>
          <cell r="E151">
            <v>3230933</v>
          </cell>
        </row>
        <row r="152">
          <cell r="C152" t="str">
            <v>Transport Subsidy</v>
          </cell>
          <cell r="E152">
            <v>57622033</v>
          </cell>
        </row>
        <row r="153">
          <cell r="C153" t="str">
            <v>Warehouse Maintenance Fee</v>
          </cell>
          <cell r="E153">
            <v>720000</v>
          </cell>
        </row>
        <row r="154">
          <cell r="C154" t="str">
            <v>Vehicle Insurance</v>
          </cell>
          <cell r="E154">
            <v>29332</v>
          </cell>
        </row>
        <row r="155">
          <cell r="C155" t="str">
            <v>Depreciation-Trucks,Prime Movers &amp; Bullet tanks</v>
          </cell>
          <cell r="E155">
            <v>2690213</v>
          </cell>
        </row>
        <row r="158">
          <cell r="C158" t="str">
            <v>The City Bank Ltd</v>
          </cell>
        </row>
        <row r="159">
          <cell r="C159" t="str">
            <v>Interest on LATR</v>
          </cell>
          <cell r="E159">
            <v>7566141.9109236114</v>
          </cell>
        </row>
        <row r="160">
          <cell r="C160" t="str">
            <v>Interest on Overdraft</v>
          </cell>
          <cell r="E160">
            <v>92148.577763888898</v>
          </cell>
        </row>
        <row r="161">
          <cell r="C161" t="str">
            <v>Interest on Term Loan</v>
          </cell>
          <cell r="E161">
            <v>92649903.137819439</v>
          </cell>
        </row>
        <row r="162">
          <cell r="C162" t="str">
            <v>Interest on Demand Loan</v>
          </cell>
          <cell r="E162">
            <v>800412.70089583332</v>
          </cell>
        </row>
        <row r="163">
          <cell r="C163" t="str">
            <v>Sub- Total</v>
          </cell>
          <cell r="E163">
            <v>101108606.32740277</v>
          </cell>
        </row>
        <row r="164">
          <cell r="C164" t="str">
            <v>Shahjalal Islam Bank Ltd</v>
          </cell>
        </row>
        <row r="165">
          <cell r="C165" t="str">
            <v>Interest on LATR</v>
          </cell>
          <cell r="E165">
            <v>5668614.0599999949</v>
          </cell>
        </row>
        <row r="166">
          <cell r="C166" t="str">
            <v>Interest on Overdraft</v>
          </cell>
          <cell r="E166">
            <v>6640222.7199999951</v>
          </cell>
        </row>
        <row r="167">
          <cell r="C167" t="str">
            <v>Interest on Term Loan</v>
          </cell>
          <cell r="E167">
            <v>26098351.16</v>
          </cell>
        </row>
        <row r="168">
          <cell r="C168" t="str">
            <v>Interest on Demand Loan</v>
          </cell>
          <cell r="E168">
            <v>1178153.8899999999</v>
          </cell>
        </row>
        <row r="169">
          <cell r="C169" t="str">
            <v>Sub- Total</v>
          </cell>
          <cell r="E169">
            <v>39585341.829999991</v>
          </cell>
        </row>
        <row r="171">
          <cell r="C171" t="str">
            <v>Bank Charge</v>
          </cell>
          <cell r="E171">
            <v>101454.16500000001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J37"/>
  <sheetViews>
    <sheetView workbookViewId="0">
      <pane xSplit="1" ySplit="5" topLeftCell="T6" activePane="bottomRight" state="frozen"/>
      <selection pane="topRight" activeCell="B1" sqref="B1"/>
      <selection pane="bottomLeft" activeCell="A6" sqref="A6"/>
      <selection pane="bottomRight" activeCell="AI15" sqref="AI15"/>
    </sheetView>
  </sheetViews>
  <sheetFormatPr defaultRowHeight="14.4" outlineLevelRow="1" x14ac:dyDescent="0.25"/>
  <cols>
    <col min="1" max="1" width="23.21875" style="164" customWidth="1"/>
    <col min="2" max="2" width="6.109375" style="184" hidden="1" customWidth="1"/>
    <col min="3" max="4" width="5.33203125" style="184" hidden="1" customWidth="1"/>
    <col min="5" max="5" width="4.5546875" style="573" hidden="1" customWidth="1"/>
    <col min="6" max="7" width="5.33203125" style="184" hidden="1" customWidth="1"/>
    <col min="8" max="8" width="6.109375" style="184" hidden="1" customWidth="1"/>
    <col min="9" max="11" width="5.33203125" style="184" hidden="1" customWidth="1"/>
    <col min="12" max="12" width="4.21875" style="573" hidden="1" customWidth="1"/>
    <col min="13" max="14" width="5.33203125" style="184" hidden="1" customWidth="1"/>
    <col min="15" max="15" width="5.5546875" style="184" hidden="1" customWidth="1"/>
    <col min="16" max="16" width="6.109375" style="184" hidden="1" customWidth="1"/>
    <col min="17" max="17" width="5.33203125" style="184" hidden="1" customWidth="1"/>
    <col min="18" max="18" width="6.109375" style="184" hidden="1" customWidth="1"/>
    <col min="19" max="19" width="4.21875" style="573" hidden="1" customWidth="1"/>
    <col min="20" max="21" width="6.109375" style="184" bestFit="1" customWidth="1"/>
    <col min="22" max="22" width="5" style="573" bestFit="1" customWidth="1"/>
    <col min="23" max="25" width="6.109375" style="184" bestFit="1" customWidth="1"/>
    <col min="26" max="26" width="5.44140625" style="573" bestFit="1" customWidth="1"/>
    <col min="27" max="29" width="6.109375" style="184" bestFit="1" customWidth="1"/>
    <col min="30" max="30" width="4.5546875" style="184" bestFit="1" customWidth="1"/>
    <col min="31" max="31" width="7.109375" style="164" bestFit="1" customWidth="1"/>
    <col min="32" max="32" width="3.6640625" style="164" customWidth="1"/>
    <col min="33" max="33" width="14.5546875" style="164" customWidth="1"/>
    <col min="34" max="34" width="13.44140625" style="164" bestFit="1" customWidth="1"/>
    <col min="35" max="35" width="11.6640625" style="164" bestFit="1" customWidth="1"/>
    <col min="36" max="36" width="17.44140625" style="164" bestFit="1" customWidth="1"/>
  </cols>
  <sheetData>
    <row r="1" spans="1:36" ht="20.399999999999999" x14ac:dyDescent="0.35">
      <c r="A1" s="161" t="s">
        <v>30</v>
      </c>
      <c r="B1" s="183"/>
      <c r="C1" s="183"/>
      <c r="D1" s="183"/>
      <c r="E1" s="163"/>
      <c r="F1" s="183"/>
      <c r="G1" s="183"/>
      <c r="H1" s="191"/>
      <c r="I1" s="183"/>
      <c r="J1" s="183"/>
      <c r="K1" s="183"/>
      <c r="L1" s="163"/>
      <c r="M1" s="183"/>
      <c r="N1" s="183"/>
      <c r="O1" s="183"/>
      <c r="P1" s="183"/>
      <c r="Q1" s="183"/>
      <c r="R1" s="183"/>
      <c r="S1" s="163"/>
      <c r="T1" s="183"/>
      <c r="U1" s="183"/>
      <c r="V1" s="163"/>
      <c r="W1" s="183"/>
      <c r="X1" s="183"/>
      <c r="Y1" s="183"/>
      <c r="Z1" s="163"/>
      <c r="AA1" s="183"/>
      <c r="AB1" s="183"/>
      <c r="AC1" s="183"/>
      <c r="AD1" s="183"/>
      <c r="AE1" s="162"/>
      <c r="AF1" s="162"/>
      <c r="AG1" s="162"/>
      <c r="AH1" s="162"/>
      <c r="AI1" s="162"/>
      <c r="AJ1" s="162"/>
    </row>
    <row r="2" spans="1:36" x14ac:dyDescent="0.3">
      <c r="A2" s="164" t="s">
        <v>452</v>
      </c>
      <c r="AJ2" s="635">
        <v>6869423.8499999996</v>
      </c>
    </row>
    <row r="3" spans="1:36" ht="15" thickBot="1" x14ac:dyDescent="0.3">
      <c r="A3" s="167" t="s">
        <v>198</v>
      </c>
      <c r="G3" s="511"/>
      <c r="H3" s="192"/>
      <c r="AG3" s="564" t="s">
        <v>481</v>
      </c>
      <c r="AH3" s="615" t="s">
        <v>482</v>
      </c>
      <c r="AI3" s="208"/>
    </row>
    <row r="4" spans="1:36" x14ac:dyDescent="0.25">
      <c r="A4" s="1816" t="s">
        <v>199</v>
      </c>
      <c r="B4" s="513">
        <v>1</v>
      </c>
      <c r="C4" s="514">
        <v>2</v>
      </c>
      <c r="D4" s="514">
        <v>3</v>
      </c>
      <c r="E4" s="515">
        <v>4</v>
      </c>
      <c r="F4" s="514">
        <v>5</v>
      </c>
      <c r="G4" s="514">
        <v>6</v>
      </c>
      <c r="H4" s="514">
        <v>7</v>
      </c>
      <c r="I4" s="514">
        <v>8</v>
      </c>
      <c r="J4" s="514">
        <v>9</v>
      </c>
      <c r="K4" s="514">
        <v>10</v>
      </c>
      <c r="L4" s="515">
        <v>11</v>
      </c>
      <c r="M4" s="514">
        <v>12</v>
      </c>
      <c r="N4" s="514">
        <v>13</v>
      </c>
      <c r="O4" s="514">
        <v>14</v>
      </c>
      <c r="P4" s="514">
        <v>15</v>
      </c>
      <c r="Q4" s="514">
        <v>16</v>
      </c>
      <c r="R4" s="514">
        <v>17</v>
      </c>
      <c r="S4" s="515">
        <v>18</v>
      </c>
      <c r="T4" s="185">
        <v>19</v>
      </c>
      <c r="U4" s="185">
        <v>20</v>
      </c>
      <c r="V4" s="166">
        <v>21</v>
      </c>
      <c r="W4" s="535">
        <v>22</v>
      </c>
      <c r="X4" s="185">
        <v>23</v>
      </c>
      <c r="Y4" s="185">
        <v>24</v>
      </c>
      <c r="Z4" s="166">
        <v>25</v>
      </c>
      <c r="AA4" s="185">
        <v>26</v>
      </c>
      <c r="AB4" s="185">
        <v>27</v>
      </c>
      <c r="AC4" s="185">
        <v>28</v>
      </c>
      <c r="AD4" s="592"/>
      <c r="AE4" s="1818" t="s">
        <v>0</v>
      </c>
      <c r="AF4" s="167"/>
      <c r="AG4" s="564" t="s">
        <v>483</v>
      </c>
      <c r="AH4" s="564" t="s">
        <v>484</v>
      </c>
      <c r="AI4" s="167"/>
      <c r="AJ4" s="542"/>
    </row>
    <row r="5" spans="1:36" ht="15" thickBot="1" x14ac:dyDescent="0.3">
      <c r="A5" s="1817"/>
      <c r="B5" s="516" t="s">
        <v>206</v>
      </c>
      <c r="C5" s="517" t="s">
        <v>200</v>
      </c>
      <c r="D5" s="517" t="s">
        <v>201</v>
      </c>
      <c r="E5" s="518" t="s">
        <v>202</v>
      </c>
      <c r="F5" s="517" t="s">
        <v>203</v>
      </c>
      <c r="G5" s="517" t="s">
        <v>204</v>
      </c>
      <c r="H5" s="517" t="s">
        <v>205</v>
      </c>
      <c r="I5" s="517" t="s">
        <v>206</v>
      </c>
      <c r="J5" s="517" t="s">
        <v>200</v>
      </c>
      <c r="K5" s="517" t="s">
        <v>201</v>
      </c>
      <c r="L5" s="518" t="s">
        <v>202</v>
      </c>
      <c r="M5" s="517" t="s">
        <v>203</v>
      </c>
      <c r="N5" s="517" t="s">
        <v>204</v>
      </c>
      <c r="O5" s="517" t="s">
        <v>205</v>
      </c>
      <c r="P5" s="517" t="s">
        <v>206</v>
      </c>
      <c r="Q5" s="517" t="s">
        <v>200</v>
      </c>
      <c r="R5" s="517" t="s">
        <v>201</v>
      </c>
      <c r="S5" s="518" t="s">
        <v>202</v>
      </c>
      <c r="T5" s="198" t="s">
        <v>203</v>
      </c>
      <c r="U5" s="198" t="s">
        <v>204</v>
      </c>
      <c r="V5" s="197" t="s">
        <v>205</v>
      </c>
      <c r="W5" s="198" t="s">
        <v>206</v>
      </c>
      <c r="X5" s="198" t="s">
        <v>200</v>
      </c>
      <c r="Y5" s="198" t="s">
        <v>201</v>
      </c>
      <c r="Z5" s="197" t="s">
        <v>202</v>
      </c>
      <c r="AA5" s="198" t="s">
        <v>203</v>
      </c>
      <c r="AB5" s="198" t="s">
        <v>204</v>
      </c>
      <c r="AC5" s="198" t="s">
        <v>205</v>
      </c>
      <c r="AD5" s="593"/>
      <c r="AE5" s="1819"/>
      <c r="AF5" s="167"/>
      <c r="AG5" s="167"/>
      <c r="AH5" s="167"/>
      <c r="AI5" s="169"/>
      <c r="AJ5" s="543"/>
    </row>
    <row r="6" spans="1:36" outlineLevel="1" x14ac:dyDescent="0.25">
      <c r="A6" s="490" t="s">
        <v>207</v>
      </c>
      <c r="B6" s="502"/>
      <c r="C6" s="503"/>
      <c r="D6" s="503"/>
      <c r="E6" s="504"/>
      <c r="F6" s="503"/>
      <c r="G6" s="503"/>
      <c r="H6" s="503"/>
      <c r="I6" s="503"/>
      <c r="J6" s="503"/>
      <c r="K6" s="503"/>
      <c r="L6" s="504"/>
      <c r="M6" s="503"/>
      <c r="N6" s="503"/>
      <c r="O6" s="503"/>
      <c r="P6" s="503"/>
      <c r="Q6" s="503"/>
      <c r="R6" s="503"/>
      <c r="S6" s="504"/>
      <c r="T6" s="186"/>
      <c r="U6" s="186"/>
      <c r="V6" s="170"/>
      <c r="W6" s="186"/>
      <c r="X6" s="186"/>
      <c r="Y6" s="186"/>
      <c r="Z6" s="170"/>
      <c r="AA6" s="186"/>
      <c r="AB6" s="186"/>
      <c r="AC6" s="186"/>
      <c r="AD6" s="594"/>
      <c r="AE6" s="171"/>
      <c r="AF6" s="167"/>
      <c r="AG6" s="636" t="s">
        <v>470</v>
      </c>
      <c r="AH6" s="637" t="s">
        <v>473</v>
      </c>
      <c r="AI6" s="637" t="s">
        <v>471</v>
      </c>
      <c r="AJ6" s="637" t="s">
        <v>472</v>
      </c>
    </row>
    <row r="7" spans="1:36" outlineLevel="1" x14ac:dyDescent="0.25">
      <c r="A7" s="178" t="s">
        <v>208</v>
      </c>
      <c r="B7" s="548"/>
      <c r="C7" s="507"/>
      <c r="D7" s="507"/>
      <c r="E7" s="510"/>
      <c r="F7" s="506">
        <v>2961</v>
      </c>
      <c r="G7" s="506">
        <v>3060</v>
      </c>
      <c r="H7" s="506">
        <v>10287</v>
      </c>
      <c r="I7" s="506">
        <v>934</v>
      </c>
      <c r="J7" s="506">
        <v>3268</v>
      </c>
      <c r="K7" s="506"/>
      <c r="L7" s="510"/>
      <c r="M7" s="506">
        <v>1266</v>
      </c>
      <c r="N7" s="506">
        <v>6589</v>
      </c>
      <c r="O7" s="506">
        <v>9937</v>
      </c>
      <c r="P7" s="506">
        <v>10714</v>
      </c>
      <c r="Q7" s="506">
        <v>8673</v>
      </c>
      <c r="R7" s="506">
        <v>10882</v>
      </c>
      <c r="S7" s="510"/>
      <c r="T7" s="187">
        <v>12445.59375</v>
      </c>
      <c r="U7" s="187">
        <v>12445.59375</v>
      </c>
      <c r="V7" s="174"/>
      <c r="W7" s="187">
        <v>12445.59375</v>
      </c>
      <c r="X7" s="187">
        <v>12445.59375</v>
      </c>
      <c r="Y7" s="187">
        <v>12445.59375</v>
      </c>
      <c r="Z7" s="174"/>
      <c r="AA7" s="187">
        <v>12445.59375</v>
      </c>
      <c r="AB7" s="187">
        <v>12445.59375</v>
      </c>
      <c r="AC7" s="187">
        <v>12445.59375</v>
      </c>
      <c r="AD7" s="595"/>
      <c r="AE7" s="172">
        <f t="shared" ref="AE7:AE13" si="0">SUM(B7:AC7)</f>
        <v>168135.75</v>
      </c>
      <c r="AF7" s="173"/>
      <c r="AG7" s="543">
        <f>SUM(F7:S7)</f>
        <v>68571</v>
      </c>
      <c r="AH7" s="543">
        <f>180500*0.9315</f>
        <v>168135.75</v>
      </c>
      <c r="AI7" s="200">
        <f>AH7-AG7</f>
        <v>99564.75</v>
      </c>
      <c r="AJ7" s="543">
        <f>AI7/8</f>
        <v>12445.59375</v>
      </c>
    </row>
    <row r="8" spans="1:36" outlineLevel="1" x14ac:dyDescent="0.25">
      <c r="A8" s="178" t="s">
        <v>209</v>
      </c>
      <c r="B8" s="548"/>
      <c r="C8" s="507"/>
      <c r="D8" s="507"/>
      <c r="E8" s="510"/>
      <c r="F8" s="506">
        <v>45</v>
      </c>
      <c r="G8" s="506">
        <v>405</v>
      </c>
      <c r="H8" s="506">
        <v>383</v>
      </c>
      <c r="I8" s="506">
        <v>56</v>
      </c>
      <c r="J8" s="506">
        <v>130</v>
      </c>
      <c r="K8" s="506"/>
      <c r="L8" s="510"/>
      <c r="M8" s="506">
        <v>10</v>
      </c>
      <c r="N8" s="506">
        <v>168</v>
      </c>
      <c r="O8" s="506">
        <v>294</v>
      </c>
      <c r="P8" s="506">
        <v>315</v>
      </c>
      <c r="Q8" s="506">
        <v>663</v>
      </c>
      <c r="R8" s="506">
        <v>797</v>
      </c>
      <c r="S8" s="510"/>
      <c r="T8" s="187">
        <v>1047.21875</v>
      </c>
      <c r="U8" s="187">
        <v>1047.21875</v>
      </c>
      <c r="V8" s="174"/>
      <c r="W8" s="187">
        <v>1047.21875</v>
      </c>
      <c r="X8" s="187">
        <v>1047.21875</v>
      </c>
      <c r="Y8" s="187">
        <v>1047.21875</v>
      </c>
      <c r="Z8" s="174"/>
      <c r="AA8" s="187">
        <v>1047.21875</v>
      </c>
      <c r="AB8" s="187">
        <v>1047.21875</v>
      </c>
      <c r="AC8" s="187">
        <v>1047.21875</v>
      </c>
      <c r="AD8" s="595"/>
      <c r="AE8" s="172">
        <f t="shared" si="0"/>
        <v>11643.75</v>
      </c>
      <c r="AF8" s="173"/>
      <c r="AG8" s="543">
        <f>SUM(F8:S8)</f>
        <v>3266</v>
      </c>
      <c r="AH8" s="543">
        <f>12500*0.9315</f>
        <v>11643.75</v>
      </c>
      <c r="AI8" s="200">
        <f t="shared" ref="AI8:AI11" si="1">AH8-AG8</f>
        <v>8377.75</v>
      </c>
      <c r="AJ8" s="543">
        <f t="shared" ref="AJ8:AJ11" si="2">AI8/8</f>
        <v>1047.21875</v>
      </c>
    </row>
    <row r="9" spans="1:36" outlineLevel="1" x14ac:dyDescent="0.25">
      <c r="A9" s="178" t="s">
        <v>210</v>
      </c>
      <c r="B9" s="548"/>
      <c r="C9" s="507"/>
      <c r="D9" s="507"/>
      <c r="E9" s="510"/>
      <c r="F9" s="506">
        <v>0</v>
      </c>
      <c r="G9" s="506">
        <v>7</v>
      </c>
      <c r="H9" s="506">
        <v>11</v>
      </c>
      <c r="I9" s="506">
        <v>0</v>
      </c>
      <c r="J9" s="506"/>
      <c r="K9" s="506"/>
      <c r="L9" s="510"/>
      <c r="M9" s="506"/>
      <c r="N9" s="506">
        <v>13</v>
      </c>
      <c r="O9" s="506">
        <v>2</v>
      </c>
      <c r="P9" s="506">
        <v>6</v>
      </c>
      <c r="Q9" s="506">
        <v>28</v>
      </c>
      <c r="R9" s="506">
        <v>4</v>
      </c>
      <c r="S9" s="510"/>
      <c r="T9" s="187">
        <v>20.234375</v>
      </c>
      <c r="U9" s="187">
        <v>20.234375</v>
      </c>
      <c r="V9" s="174"/>
      <c r="W9" s="187">
        <v>20.234375</v>
      </c>
      <c r="X9" s="187">
        <v>20.234375</v>
      </c>
      <c r="Y9" s="187">
        <v>20.234375</v>
      </c>
      <c r="Z9" s="174"/>
      <c r="AA9" s="187">
        <v>20.234375</v>
      </c>
      <c r="AB9" s="187">
        <v>20.234375</v>
      </c>
      <c r="AC9" s="187">
        <v>20.234375</v>
      </c>
      <c r="AD9" s="595"/>
      <c r="AE9" s="172">
        <f t="shared" si="0"/>
        <v>232.875</v>
      </c>
      <c r="AF9" s="173"/>
      <c r="AG9" s="543">
        <f>SUM(F9:S9)</f>
        <v>71</v>
      </c>
      <c r="AH9" s="543">
        <f>250*0.9315</f>
        <v>232.875</v>
      </c>
      <c r="AI9" s="200">
        <f t="shared" si="1"/>
        <v>161.875</v>
      </c>
      <c r="AJ9" s="543">
        <f t="shared" si="2"/>
        <v>20.234375</v>
      </c>
    </row>
    <row r="10" spans="1:36" outlineLevel="1" x14ac:dyDescent="0.25">
      <c r="A10" s="178" t="s">
        <v>144</v>
      </c>
      <c r="B10" s="548"/>
      <c r="C10" s="507"/>
      <c r="D10" s="507"/>
      <c r="E10" s="510"/>
      <c r="F10" s="506"/>
      <c r="G10" s="506"/>
      <c r="H10" s="506"/>
      <c r="I10" s="506">
        <v>10</v>
      </c>
      <c r="J10" s="506"/>
      <c r="K10" s="506"/>
      <c r="L10" s="510"/>
      <c r="M10" s="506"/>
      <c r="N10" s="506"/>
      <c r="O10" s="506"/>
      <c r="P10" s="506">
        <v>8.15</v>
      </c>
      <c r="Q10" s="506"/>
      <c r="R10" s="506"/>
      <c r="S10" s="510"/>
      <c r="T10" s="187"/>
      <c r="U10" s="187"/>
      <c r="V10" s="174"/>
      <c r="W10" s="187">
        <v>15</v>
      </c>
      <c r="X10" s="187"/>
      <c r="Y10" s="187"/>
      <c r="Z10" s="174"/>
      <c r="AA10" s="187"/>
      <c r="AB10" s="187">
        <v>13.43</v>
      </c>
      <c r="AC10" s="187"/>
      <c r="AD10" s="595"/>
      <c r="AE10" s="172">
        <f t="shared" si="0"/>
        <v>46.58</v>
      </c>
      <c r="AF10" s="173"/>
      <c r="AG10" s="543">
        <f>SUM(F10:S10)</f>
        <v>18.149999999999999</v>
      </c>
      <c r="AH10" s="543">
        <f>50*0.9315</f>
        <v>46.575000000000003</v>
      </c>
      <c r="AI10" s="200">
        <f t="shared" si="1"/>
        <v>28.425000000000004</v>
      </c>
      <c r="AJ10" s="543">
        <f t="shared" si="2"/>
        <v>3.5531250000000005</v>
      </c>
    </row>
    <row r="11" spans="1:36" outlineLevel="1" x14ac:dyDescent="0.25">
      <c r="A11" s="178" t="s">
        <v>172</v>
      </c>
      <c r="B11" s="505"/>
      <c r="C11" s="506"/>
      <c r="D11" s="506"/>
      <c r="E11" s="510"/>
      <c r="F11" s="506"/>
      <c r="G11" s="506"/>
      <c r="H11" s="506"/>
      <c r="I11" s="506"/>
      <c r="J11" s="506"/>
      <c r="K11" s="506"/>
      <c r="L11" s="510"/>
      <c r="M11" s="506"/>
      <c r="N11" s="506"/>
      <c r="O11" s="506"/>
      <c r="P11" s="506"/>
      <c r="Q11" s="506"/>
      <c r="R11" s="506"/>
      <c r="S11" s="510"/>
      <c r="T11" s="187"/>
      <c r="U11" s="187">
        <v>15</v>
      </c>
      <c r="V11" s="174"/>
      <c r="W11" s="187"/>
      <c r="X11" s="187"/>
      <c r="Y11" s="187">
        <v>12.95</v>
      </c>
      <c r="Z11" s="174"/>
      <c r="AA11" s="187"/>
      <c r="AB11" s="187"/>
      <c r="AC11" s="187"/>
      <c r="AD11" s="595"/>
      <c r="AE11" s="172">
        <f t="shared" si="0"/>
        <v>27.95</v>
      </c>
      <c r="AF11" s="173"/>
      <c r="AG11" s="543">
        <f>SUM(F11:S11)</f>
        <v>0</v>
      </c>
      <c r="AH11" s="543">
        <f>30*0.9315</f>
        <v>27.945</v>
      </c>
      <c r="AI11" s="200">
        <f t="shared" si="1"/>
        <v>27.945</v>
      </c>
      <c r="AJ11" s="543">
        <f t="shared" si="2"/>
        <v>3.493125</v>
      </c>
    </row>
    <row r="12" spans="1:36" outlineLevel="1" x14ac:dyDescent="0.25">
      <c r="A12" s="491" t="s">
        <v>211</v>
      </c>
      <c r="B12" s="508"/>
      <c r="C12" s="509"/>
      <c r="D12" s="509"/>
      <c r="E12" s="510">
        <f t="shared" ref="E12:AC12" si="3">(E7*12+E8*33+E9*45+E10*1000+E11*1000)/1000</f>
        <v>0</v>
      </c>
      <c r="F12" s="509">
        <f t="shared" si="3"/>
        <v>37.017000000000003</v>
      </c>
      <c r="G12" s="509">
        <f t="shared" si="3"/>
        <v>50.4</v>
      </c>
      <c r="H12" s="509">
        <f t="shared" si="3"/>
        <v>136.578</v>
      </c>
      <c r="I12" s="509">
        <f t="shared" si="3"/>
        <v>23.056000000000001</v>
      </c>
      <c r="J12" s="509">
        <f t="shared" si="3"/>
        <v>43.506</v>
      </c>
      <c r="K12" s="509">
        <f t="shared" si="3"/>
        <v>0</v>
      </c>
      <c r="L12" s="510">
        <f t="shared" si="3"/>
        <v>0</v>
      </c>
      <c r="M12" s="509">
        <f t="shared" si="3"/>
        <v>15.522</v>
      </c>
      <c r="N12" s="509">
        <f t="shared" si="3"/>
        <v>85.197000000000003</v>
      </c>
      <c r="O12" s="509">
        <f t="shared" si="3"/>
        <v>129.036</v>
      </c>
      <c r="P12" s="509">
        <f t="shared" si="3"/>
        <v>147.38300000000001</v>
      </c>
      <c r="Q12" s="509">
        <f t="shared" si="3"/>
        <v>127.215</v>
      </c>
      <c r="R12" s="509">
        <f t="shared" si="3"/>
        <v>157.065</v>
      </c>
      <c r="S12" s="547">
        <f t="shared" si="3"/>
        <v>0</v>
      </c>
      <c r="T12" s="188">
        <f t="shared" si="3"/>
        <v>184.81589062500001</v>
      </c>
      <c r="U12" s="188">
        <f t="shared" si="3"/>
        <v>199.81589062500001</v>
      </c>
      <c r="V12" s="174">
        <f t="shared" si="3"/>
        <v>0</v>
      </c>
      <c r="W12" s="188">
        <f t="shared" si="3"/>
        <v>199.81589062500001</v>
      </c>
      <c r="X12" s="188">
        <f t="shared" si="3"/>
        <v>184.81589062500001</v>
      </c>
      <c r="Y12" s="188">
        <f t="shared" si="3"/>
        <v>197.765890625</v>
      </c>
      <c r="Z12" s="174">
        <f t="shared" si="3"/>
        <v>0</v>
      </c>
      <c r="AA12" s="188">
        <f t="shared" si="3"/>
        <v>184.81589062500001</v>
      </c>
      <c r="AB12" s="188">
        <f t="shared" si="3"/>
        <v>198.24589062499999</v>
      </c>
      <c r="AC12" s="188">
        <f t="shared" si="3"/>
        <v>184.81589062500001</v>
      </c>
      <c r="AD12" s="596"/>
      <c r="AE12" s="563">
        <f t="shared" si="0"/>
        <v>2486.8821250000005</v>
      </c>
      <c r="AF12" s="549" t="s">
        <v>469</v>
      </c>
      <c r="AG12" s="552">
        <f>(AG7*12+AG8*33+AG9*45)/1000+AG10+AG11</f>
        <v>951.97500000000002</v>
      </c>
      <c r="AH12" s="552">
        <f>(AH7*12+AH8*33+AH9*45)/1000+AH10+AH11</f>
        <v>2486.8721249999999</v>
      </c>
      <c r="AI12" s="552">
        <f>(AI7*12+AI8*33+AI9*45)/1000+AI10+AI11</f>
        <v>1534.897125</v>
      </c>
      <c r="AJ12" s="552">
        <f>(AJ7*12+AJ8*33+AJ9*45)/1000+AJ10+AJ11</f>
        <v>191.86214062499999</v>
      </c>
    </row>
    <row r="13" spans="1:36" ht="15" outlineLevel="1" thickBot="1" x14ac:dyDescent="0.3">
      <c r="A13" s="180" t="s">
        <v>480</v>
      </c>
      <c r="B13" s="525">
        <f>B7*'NLPG Price1005'!$C$23+Cash_Feb22V1!B8*'NLPG Price1005'!$F$23+Cash_Feb22V1!B9*'NLPG Price1005'!$I$23+Cash_Feb22V1!B10*'NLPG Price1005'!$L$23+Cash_Feb22V1!B11*'NLPG Price1005'!$O$23</f>
        <v>0</v>
      </c>
      <c r="C13" s="525">
        <f>C7*'NLPG Price1005'!$C$23+Cash_Feb22V1!C8*'NLPG Price1005'!$F$23+Cash_Feb22V1!C9*'NLPG Price1005'!$I$23+Cash_Feb22V1!C10*'NLPG Price1005'!$L$23+Cash_Feb22V1!C11*'NLPG Price1005'!$O$23</f>
        <v>0</v>
      </c>
      <c r="D13" s="525">
        <f>D7*'NLPG Price1005'!$C$23+Cash_Feb22V1!D8*'NLPG Price1005'!$F$23+Cash_Feb22V1!D9*'NLPG Price1005'!$I$23+Cash_Feb22V1!D10*'NLPG Price1005'!$L$23+Cash_Feb22V1!D11*'NLPG Price1005'!$O$23</f>
        <v>0</v>
      </c>
      <c r="E13" s="526">
        <f>E7*'NLPG Price1005'!$C$23+Cash_Feb22V1!E8*'NLPG Price1005'!$F$23+Cash_Feb22V1!E9*'NLPG Price1005'!$I$23+Cash_Feb22V1!E10*'NLPG Price1005'!$L$23+Cash_Feb22V1!E11*'NLPG Price1005'!$O$23</f>
        <v>0</v>
      </c>
      <c r="F13" s="525">
        <f>F7*'NLPG Price1005'!$C$23+Cash_Feb22V1!F8*'NLPG Price1005'!$F$23+Cash_Feb22V1!F9*'NLPG Price1005'!$I$23+Cash_Feb22V1!F10*'NLPG Price1005'!$L$23+Cash_Feb22V1!F11*'NLPG Price1005'!$O$23</f>
        <v>3649558.0747690843</v>
      </c>
      <c r="G13" s="525">
        <f>G7*'NLPG Price1005'!$C$23+Cash_Feb22V1!G8*'NLPG Price1005'!$F$23+Cash_Feb22V1!G9*'NLPG Price1005'!$I$23+Cash_Feb22V1!G10*'NLPG Price1005'!$L$23+Cash_Feb22V1!G11*'NLPG Price1005'!$O$23</f>
        <v>4964860.3660227619</v>
      </c>
      <c r="H13" s="525">
        <f>H7*'NLPG Price1005'!$C$23+Cash_Feb22V1!H8*'NLPG Price1005'!$F$23+Cash_Feb22V1!H9*'NLPG Price1005'!$I$23+Cash_Feb22V1!H10*'NLPG Price1005'!$L$23+Cash_Feb22V1!H11*'NLPG Price1005'!$O$23</f>
        <v>13462694.377541225</v>
      </c>
      <c r="I13" s="525">
        <f>I7*'NLPG Price1005'!$C$23+Cash_Feb22V1!I8*'NLPG Price1005'!$F$23+Cash_Feb22V1!I9*'NLPG Price1005'!$I$23+Cash_Feb22V1!I10*'NLPG Price1005'!$L$23+Cash_Feb22V1!I11*'NLPG Price1005'!$O$23</f>
        <v>2274038.3993023727</v>
      </c>
      <c r="J13" s="525">
        <f>J7*'NLPG Price1005'!$C$23+Cash_Feb22V1!J8*'NLPG Price1005'!$F$23+Cash_Feb22V1!J9*'NLPG Price1005'!$I$23+Cash_Feb22V1!J10*'NLPG Price1005'!$L$23+Cash_Feb22V1!J11*'NLPG Price1005'!$O$23</f>
        <v>4288412.6294648321</v>
      </c>
      <c r="K13" s="525">
        <f>K7*'NLPG Price1005'!$C$23+Cash_Feb22V1!K8*'NLPG Price1005'!$F$23+Cash_Feb22V1!K9*'NLPG Price1005'!$I$23+Cash_Feb22V1!K10*'NLPG Price1005'!$L$23+Cash_Feb22V1!K11*'NLPG Price1005'!$O$23</f>
        <v>0</v>
      </c>
      <c r="L13" s="526">
        <f>L7*'NLPG Price1005'!$C$23+Cash_Feb22V1!L8*'NLPG Price1005'!$F$23+Cash_Feb22V1!L9*'NLPG Price1005'!$I$23+Cash_Feb22V1!L10*'NLPG Price1005'!$L$23+Cash_Feb22V1!L11*'NLPG Price1005'!$O$23</f>
        <v>0</v>
      </c>
      <c r="M13" s="525">
        <f>M7*'NLPG Price1005'!$C$23+Cash_Feb22V1!M8*'NLPG Price1005'!$F$23+Cash_Feb22V1!M9*'NLPG Price1005'!$I$23+Cash_Feb22V1!M10*'NLPG Price1005'!$L$23+Cash_Feb22V1!M11*'NLPG Price1005'!$O$23</f>
        <v>1530439.9063349073</v>
      </c>
      <c r="N13" s="525">
        <f>N7*'NLPG Price1005'!$C$23+Cash_Feb22V1!N8*'NLPG Price1005'!$F$23+Cash_Feb22V1!N9*'NLPG Price1005'!$I$23+Cash_Feb22V1!N10*'NLPG Price1005'!$L$23+Cash_Feb22V1!N11*'NLPG Price1005'!$O$23</f>
        <v>8398727.7178836539</v>
      </c>
      <c r="O13" s="525">
        <f>O7*'NLPG Price1005'!$C$23+Cash_Feb22V1!O8*'NLPG Price1005'!$F$23+Cash_Feb22V1!O9*'NLPG Price1005'!$I$23+Cash_Feb22V1!O10*'NLPG Price1005'!$L$23+Cash_Feb22V1!O11*'NLPG Price1005'!$O$23</f>
        <v>12720199.044826204</v>
      </c>
      <c r="P13" s="525">
        <f>P7*'NLPG Price1005'!$C$23+Cash_Feb22V1!P8*'NLPG Price1005'!$F$23+Cash_Feb22V1!P9*'NLPG Price1005'!$I$23+Cash_Feb22V1!P10*'NLPG Price1005'!$L$23+Cash_Feb22V1!P11*'NLPG Price1005'!$O$23</f>
        <v>14530020.103453552</v>
      </c>
      <c r="Q13" s="525">
        <f>Q7*'NLPG Price1005'!$C$23+Cash_Feb22V1!Q8*'NLPG Price1005'!$F$23+Cash_Feb22V1!Q9*'NLPG Price1005'!$I$23+Cash_Feb22V1!Q10*'NLPG Price1005'!$L$23+Cash_Feb22V1!Q11*'NLPG Price1005'!$O$23</f>
        <v>12535890.92467824</v>
      </c>
      <c r="R13" s="525">
        <f>R7*'NLPG Price1005'!$C$23+Cash_Feb22V1!R8*'NLPG Price1005'!$F$23+Cash_Feb22V1!R9*'NLPG Price1005'!$I$23+Cash_Feb22V1!R10*'NLPG Price1005'!$L$23+Cash_Feb22V1!R11*'NLPG Price1005'!$O$23</f>
        <v>15478081.643156763</v>
      </c>
      <c r="S13" s="526">
        <f>S7*'NLPG Price1005'!$C$23+Cash_Feb22V1!S8*'NLPG Price1005'!$F$23+Cash_Feb22V1!S9*'NLPG Price1005'!$I$23+Cash_Feb22V1!S10*'NLPG Price1005'!$L$23+Cash_Feb22V1!S11*'NLPG Price1005'!$O$23</f>
        <v>0</v>
      </c>
      <c r="T13" s="587">
        <f>T7*'NLPG Price1005'!$C$23+Cash_Feb22V1!T8*'NLPG Price1005'!$F$23+Cash_Feb22V1!T9*'NLPG Price1005'!$I$23+Cash_Feb22V1!T10*'NLPG Price1005'!$L$23+Cash_Feb22V1!T11*'NLPG Price1005'!$O$23</f>
        <v>18211280.211339451</v>
      </c>
      <c r="U13" s="587">
        <f>U7*'NLPG Price1005'!$C$23+Cash_Feb22V1!U8*'NLPG Price1005'!$F$23+Cash_Feb22V1!U9*'NLPG Price1005'!$I$23+Cash_Feb22V1!U10*'NLPG Price1005'!$L$23+Cash_Feb22V1!U11*'NLPG Price1005'!$O$23</f>
        <v>19739480.211339451</v>
      </c>
      <c r="V13" s="588">
        <f>V7*'NLPG Price1005'!$C$23+Cash_Feb22V1!V8*'NLPG Price1005'!$F$23+Cash_Feb22V1!V9*'NLPG Price1005'!$I$23+Cash_Feb22V1!V10*'NLPG Price1005'!$L$23+Cash_Feb22V1!V11*'NLPG Price1005'!$O$23</f>
        <v>0</v>
      </c>
      <c r="W13" s="587">
        <f>W7*'NLPG Price1005'!$C$23+Cash_Feb22V1!W8*'NLPG Price1005'!$F$23+Cash_Feb22V1!W9*'NLPG Price1005'!$I$23+Cash_Feb22V1!W10*'NLPG Price1005'!$L$23+Cash_Feb22V1!W11*'NLPG Price1005'!$O$23</f>
        <v>19692230.211339451</v>
      </c>
      <c r="X13" s="587">
        <f>X7*'NLPG Price1005'!$C$23+Cash_Feb22V1!X8*'NLPG Price1005'!$F$23+Cash_Feb22V1!X9*'NLPG Price1005'!$I$23+Cash_Feb22V1!X10*'NLPG Price1005'!$L$23+Cash_Feb22V1!X11*'NLPG Price1005'!$O$23</f>
        <v>18211280.211339451</v>
      </c>
      <c r="Y13" s="587">
        <f>Y7*'NLPG Price1005'!$C$23+Cash_Feb22V1!Y8*'NLPG Price1005'!$F$23+Cash_Feb22V1!Y9*'NLPG Price1005'!$I$23+Cash_Feb22V1!Y10*'NLPG Price1005'!$L$23+Cash_Feb22V1!Y11*'NLPG Price1005'!$O$23</f>
        <v>19530626.211339451</v>
      </c>
      <c r="Z13" s="588">
        <f>Z7*'NLPG Price1005'!$C$23+Cash_Feb22V1!Z8*'NLPG Price1005'!$F$23+Cash_Feb22V1!Z9*'NLPG Price1005'!$I$23+Cash_Feb22V1!Z10*'NLPG Price1005'!$L$23+Cash_Feb22V1!Z11*'NLPG Price1005'!$O$23</f>
        <v>0</v>
      </c>
      <c r="AA13" s="587">
        <f>AA7*'NLPG Price1005'!$C$23+Cash_Feb22V1!AA8*'NLPG Price1005'!$F$23+Cash_Feb22V1!AA9*'NLPG Price1005'!$I$23+Cash_Feb22V1!AA10*'NLPG Price1005'!$L$23+Cash_Feb22V1!AA11*'NLPG Price1005'!$O$23</f>
        <v>18211280.211339451</v>
      </c>
      <c r="AB13" s="587">
        <f>AB7*'NLPG Price1005'!$C$23+Cash_Feb22V1!AB8*'NLPG Price1005'!$F$23+Cash_Feb22V1!AB9*'NLPG Price1005'!$I$23+Cash_Feb22V1!AB10*'NLPG Price1005'!$L$23+Cash_Feb22V1!AB11*'NLPG Price1005'!$O$23</f>
        <v>19537224.11133945</v>
      </c>
      <c r="AC13" s="587">
        <f>AC7*'NLPG Price1005'!$C$23+Cash_Feb22V1!AC8*'NLPG Price1005'!$F$23+Cash_Feb22V1!AC9*'NLPG Price1005'!$I$23+Cash_Feb22V1!AC10*'NLPG Price1005'!$L$23+Cash_Feb22V1!AC11*'NLPG Price1005'!$O$23</f>
        <v>18211280.211339451</v>
      </c>
      <c r="AD13" s="597"/>
      <c r="AE13" s="562">
        <f t="shared" si="0"/>
        <v>245177604.77814916</v>
      </c>
      <c r="AF13" s="175"/>
      <c r="AG13" s="614">
        <f>AG7*'NLPG Price1005'!$C$23+Cash_Feb22V1!AG8*'NLPG Price1005'!$F$23+Cash_Feb22V1!AG9*'NLPG Price1005'!$I$23+Cash_Feb22V1!AG10*'NLPG Price1005'!$L$23+Cash_Feb22V1!AG11*'NLPG Price1005'!$O$23</f>
        <v>93832923.1874336</v>
      </c>
      <c r="AH13" s="614">
        <f>AH7*'NLPG Price1005'!$C$23+Cash_Feb22V1!AH8*'NLPG Price1005'!$F$23+Cash_Feb22V1!AH9*'NLPG Price1005'!$I$23+Cash_Feb22V1!AH10*'NLPG Price1005'!$L$23+Cash_Feb22V1!AH11*'NLPG Price1005'!$O$23</f>
        <v>245176601.72814921</v>
      </c>
      <c r="AI13" s="614">
        <f>AI7*'NLPG Price1005'!$C$23+Cash_Feb22V1!AI8*'NLPG Price1005'!$F$23+Cash_Feb22V1!AI9*'NLPG Price1005'!$I$23+Cash_Feb22V1!AI10*'NLPG Price1005'!$L$23+Cash_Feb22V1!AI11*'NLPG Price1005'!$O$23</f>
        <v>151343678.54071561</v>
      </c>
      <c r="AJ13" s="614">
        <f>AJ7*'NLPG Price1005'!$C$23+Cash_Feb22V1!AJ8*'NLPG Price1005'!$F$23+Cash_Feb22V1!AJ9*'NLPG Price1005'!$I$23+Cash_Feb22V1!AJ10*'NLPG Price1005'!$L$23+Cash_Feb22V1!AJ11*'NLPG Price1005'!$O$23</f>
        <v>18917959.817589451</v>
      </c>
    </row>
    <row r="14" spans="1:36" ht="15" outlineLevel="1" thickBot="1" x14ac:dyDescent="0.3">
      <c r="A14" s="209"/>
      <c r="B14" s="522"/>
      <c r="C14" s="522"/>
      <c r="D14" s="523"/>
      <c r="E14" s="211"/>
      <c r="F14" s="522"/>
      <c r="G14" s="522"/>
      <c r="H14" s="522"/>
      <c r="I14" s="522"/>
      <c r="J14" s="522"/>
      <c r="K14" s="523"/>
      <c r="L14" s="211"/>
      <c r="M14" s="522"/>
      <c r="N14" s="522"/>
      <c r="O14" s="522"/>
      <c r="P14" s="522"/>
      <c r="Q14" s="523"/>
      <c r="R14" s="523"/>
      <c r="S14" s="211"/>
      <c r="T14" s="522"/>
      <c r="U14" s="522"/>
      <c r="V14" s="211"/>
      <c r="W14" s="522"/>
      <c r="X14" s="522"/>
      <c r="Y14" s="523"/>
      <c r="Z14" s="524"/>
      <c r="AA14" s="522"/>
      <c r="AB14" s="522"/>
      <c r="AC14" s="522"/>
      <c r="AD14" s="522"/>
      <c r="AE14" s="210"/>
      <c r="AF14" s="212"/>
    </row>
    <row r="15" spans="1:36" x14ac:dyDescent="0.25">
      <c r="A15" s="176" t="s">
        <v>212</v>
      </c>
      <c r="B15" s="492">
        <v>39127136.309999995</v>
      </c>
      <c r="C15" s="493">
        <f t="shared" ref="C15:AD15" si="4">B18-B28</f>
        <v>24501353.809999995</v>
      </c>
      <c r="D15" s="493">
        <f t="shared" si="4"/>
        <v>11838127.809999995</v>
      </c>
      <c r="E15" s="579">
        <f t="shared" si="4"/>
        <v>16841849.809999995</v>
      </c>
      <c r="F15" s="493">
        <f t="shared" si="4"/>
        <v>16841849.809999995</v>
      </c>
      <c r="G15" s="493">
        <f t="shared" si="4"/>
        <v>16841849.809999995</v>
      </c>
      <c r="H15" s="493">
        <f t="shared" si="4"/>
        <v>17870904.809999995</v>
      </c>
      <c r="I15" s="493">
        <f t="shared" si="4"/>
        <v>10464254.809999995</v>
      </c>
      <c r="J15" s="493">
        <f t="shared" si="4"/>
        <v>11440604.809999995</v>
      </c>
      <c r="K15" s="493">
        <f t="shared" si="4"/>
        <v>17330473.809999995</v>
      </c>
      <c r="L15" s="579">
        <f t="shared" si="4"/>
        <v>5436563.8099999949</v>
      </c>
      <c r="M15" s="493">
        <f t="shared" si="4"/>
        <v>5436563.8099999949</v>
      </c>
      <c r="N15" s="493">
        <f t="shared" si="4"/>
        <v>5436563.8099999949</v>
      </c>
      <c r="O15" s="493">
        <f t="shared" si="4"/>
        <v>9196979.8099999949</v>
      </c>
      <c r="P15" s="493">
        <f t="shared" si="4"/>
        <v>6382369.8099999949</v>
      </c>
      <c r="Q15" s="493">
        <f t="shared" si="4"/>
        <v>6540917.8099999949</v>
      </c>
      <c r="R15" s="493">
        <f t="shared" si="4"/>
        <v>5508257.8099999949</v>
      </c>
      <c r="S15" s="579">
        <f t="shared" si="4"/>
        <v>5329555.8099999949</v>
      </c>
      <c r="T15" s="189">
        <f t="shared" si="4"/>
        <v>5329555.8099999949</v>
      </c>
      <c r="U15" s="189">
        <f t="shared" si="4"/>
        <v>23540836.021339446</v>
      </c>
      <c r="V15" s="574">
        <f t="shared" si="4"/>
        <v>18030226.56601223</v>
      </c>
      <c r="W15" s="189">
        <f t="shared" si="4"/>
        <v>18030226.56601223</v>
      </c>
      <c r="X15" s="189">
        <f t="shared" si="4"/>
        <v>13638956.777351677</v>
      </c>
      <c r="Y15" s="189">
        <f t="shared" si="4"/>
        <v>14291897.322024461</v>
      </c>
      <c r="Z15" s="574">
        <f t="shared" si="4"/>
        <v>10597273.533363909</v>
      </c>
      <c r="AA15" s="189">
        <f t="shared" si="4"/>
        <v>10597273.533363909</v>
      </c>
      <c r="AB15" s="189">
        <f t="shared" si="4"/>
        <v>28808553.74470336</v>
      </c>
      <c r="AC15" s="189">
        <f t="shared" si="4"/>
        <v>30837438.189376142</v>
      </c>
      <c r="AD15" s="604">
        <f t="shared" si="4"/>
        <v>33565218.40071559</v>
      </c>
      <c r="AE15" s="177">
        <f>B15</f>
        <v>39127136.309999995</v>
      </c>
      <c r="AG15" s="556" t="s">
        <v>474</v>
      </c>
      <c r="AH15" s="556"/>
      <c r="AI15" s="558">
        <f>77+0+262+29.455</f>
        <v>368.45499999999998</v>
      </c>
      <c r="AJ15" s="543"/>
    </row>
    <row r="16" spans="1:36" x14ac:dyDescent="0.25">
      <c r="A16" s="199" t="s">
        <v>222</v>
      </c>
      <c r="B16" s="494"/>
      <c r="C16" s="494"/>
      <c r="D16" s="494"/>
      <c r="E16" s="580"/>
      <c r="F16" s="494"/>
      <c r="G16" s="494"/>
      <c r="H16" s="494"/>
      <c r="I16" s="494"/>
      <c r="J16" s="494"/>
      <c r="K16" s="494"/>
      <c r="L16" s="580"/>
      <c r="M16" s="494"/>
      <c r="N16" s="494"/>
      <c r="O16" s="494"/>
      <c r="P16" s="494"/>
      <c r="Q16" s="494"/>
      <c r="R16" s="494"/>
      <c r="S16" s="580"/>
      <c r="T16" s="201"/>
      <c r="U16" s="201"/>
      <c r="V16" s="578"/>
      <c r="W16" s="539"/>
      <c r="X16" s="539"/>
      <c r="Y16" s="539"/>
      <c r="Z16" s="575"/>
      <c r="AA16" s="539"/>
      <c r="AB16" s="539"/>
      <c r="AC16" s="539"/>
      <c r="AD16" s="598"/>
      <c r="AE16" s="179">
        <f>SUM(B16:AC16)</f>
        <v>0</v>
      </c>
      <c r="AG16" s="556" t="s">
        <v>488</v>
      </c>
      <c r="AH16" s="556"/>
      <c r="AI16" s="553">
        <v>90000</v>
      </c>
    </row>
    <row r="17" spans="1:36" x14ac:dyDescent="0.25">
      <c r="A17" s="178" t="s">
        <v>164</v>
      </c>
      <c r="B17" s="495">
        <v>2063170</v>
      </c>
      <c r="C17" s="495">
        <v>1244704</v>
      </c>
      <c r="D17" s="495">
        <v>5287130</v>
      </c>
      <c r="E17" s="581">
        <v>0</v>
      </c>
      <c r="F17" s="495">
        <v>0</v>
      </c>
      <c r="G17" s="495">
        <v>8406335</v>
      </c>
      <c r="H17" s="495">
        <v>7263510</v>
      </c>
      <c r="I17" s="495">
        <v>8251630</v>
      </c>
      <c r="J17" s="495">
        <v>5907869</v>
      </c>
      <c r="K17" s="495">
        <v>2656650</v>
      </c>
      <c r="L17" s="581">
        <v>0</v>
      </c>
      <c r="M17" s="495">
        <v>0</v>
      </c>
      <c r="N17" s="495">
        <v>14133020</v>
      </c>
      <c r="O17" s="495">
        <v>6218660</v>
      </c>
      <c r="P17" s="495">
        <v>8028906</v>
      </c>
      <c r="Q17" s="495">
        <v>6709090</v>
      </c>
      <c r="R17" s="495">
        <v>9569047</v>
      </c>
      <c r="S17" s="581">
        <v>0</v>
      </c>
      <c r="T17" s="546">
        <f>T13</f>
        <v>18211280.211339451</v>
      </c>
      <c r="U17" s="546">
        <f>U13</f>
        <v>19739480.211339451</v>
      </c>
      <c r="V17" s="536">
        <f t="shared" ref="V17:AC17" si="5">V13</f>
        <v>0</v>
      </c>
      <c r="W17" s="546">
        <f t="shared" si="5"/>
        <v>19692230.211339451</v>
      </c>
      <c r="X17" s="546">
        <f t="shared" si="5"/>
        <v>18211280.211339451</v>
      </c>
      <c r="Y17" s="546">
        <f t="shared" si="5"/>
        <v>19530626.211339451</v>
      </c>
      <c r="Z17" s="536">
        <f t="shared" si="5"/>
        <v>0</v>
      </c>
      <c r="AA17" s="546">
        <f t="shared" si="5"/>
        <v>18211280.211339451</v>
      </c>
      <c r="AB17" s="546">
        <f t="shared" si="5"/>
        <v>19537224.11133945</v>
      </c>
      <c r="AC17" s="546">
        <f t="shared" si="5"/>
        <v>18211280.211339451</v>
      </c>
      <c r="AD17" s="599"/>
      <c r="AE17" s="179">
        <f>SUM(B17:AC17)</f>
        <v>237084402.59071556</v>
      </c>
      <c r="AG17" s="556" t="s">
        <v>489</v>
      </c>
      <c r="AH17" s="556"/>
      <c r="AI17" s="543"/>
      <c r="AJ17" s="543">
        <f>AI15*AI16</f>
        <v>33160950</v>
      </c>
    </row>
    <row r="18" spans="1:36" ht="15" thickBot="1" x14ac:dyDescent="0.3">
      <c r="A18" s="180" t="s">
        <v>213</v>
      </c>
      <c r="B18" s="525">
        <f>B15+B16+B17</f>
        <v>41190306.309999995</v>
      </c>
      <c r="C18" s="525">
        <f t="shared" ref="C18:AC18" si="6">C15+C16+C17</f>
        <v>25746057.809999995</v>
      </c>
      <c r="D18" s="525">
        <f t="shared" si="6"/>
        <v>17125257.809999995</v>
      </c>
      <c r="E18" s="526">
        <f t="shared" si="6"/>
        <v>16841849.809999995</v>
      </c>
      <c r="F18" s="525">
        <f t="shared" si="6"/>
        <v>16841849.809999995</v>
      </c>
      <c r="G18" s="525">
        <f t="shared" si="6"/>
        <v>25248184.809999995</v>
      </c>
      <c r="H18" s="525">
        <f t="shared" si="6"/>
        <v>25134414.809999995</v>
      </c>
      <c r="I18" s="525">
        <f t="shared" si="6"/>
        <v>18715884.809999995</v>
      </c>
      <c r="J18" s="525">
        <f t="shared" si="6"/>
        <v>17348473.809999995</v>
      </c>
      <c r="K18" s="525">
        <f t="shared" si="6"/>
        <v>19987123.809999995</v>
      </c>
      <c r="L18" s="526">
        <f t="shared" si="6"/>
        <v>5436563.8099999949</v>
      </c>
      <c r="M18" s="525">
        <f t="shared" si="6"/>
        <v>5436563.8099999949</v>
      </c>
      <c r="N18" s="525">
        <f t="shared" si="6"/>
        <v>19569583.809999995</v>
      </c>
      <c r="O18" s="525">
        <f t="shared" si="6"/>
        <v>15415639.809999995</v>
      </c>
      <c r="P18" s="525">
        <f t="shared" si="6"/>
        <v>14411275.809999995</v>
      </c>
      <c r="Q18" s="525">
        <f t="shared" si="6"/>
        <v>13250007.809999995</v>
      </c>
      <c r="R18" s="525">
        <f t="shared" si="6"/>
        <v>15077304.809999995</v>
      </c>
      <c r="S18" s="526">
        <f t="shared" si="6"/>
        <v>5329555.8099999949</v>
      </c>
      <c r="T18" s="527">
        <f t="shared" si="6"/>
        <v>23540836.021339446</v>
      </c>
      <c r="U18" s="527">
        <f t="shared" si="6"/>
        <v>43280316.232678898</v>
      </c>
      <c r="V18" s="528">
        <f t="shared" si="6"/>
        <v>18030226.56601223</v>
      </c>
      <c r="W18" s="540">
        <f t="shared" si="6"/>
        <v>37722456.777351677</v>
      </c>
      <c r="X18" s="540">
        <f t="shared" si="6"/>
        <v>31850236.988691129</v>
      </c>
      <c r="Y18" s="540">
        <f t="shared" si="6"/>
        <v>33822523.533363909</v>
      </c>
      <c r="Z18" s="541">
        <f t="shared" si="6"/>
        <v>10597273.533363909</v>
      </c>
      <c r="AA18" s="540">
        <f t="shared" si="6"/>
        <v>28808553.74470336</v>
      </c>
      <c r="AB18" s="540">
        <f t="shared" si="6"/>
        <v>48345777.85604281</v>
      </c>
      <c r="AC18" s="606">
        <f t="shared" si="6"/>
        <v>49048718.40071559</v>
      </c>
      <c r="AD18" s="605"/>
      <c r="AE18" s="529">
        <f>AE15+AE17+AE16</f>
        <v>276211538.90071553</v>
      </c>
      <c r="AF18" s="168"/>
      <c r="AG18" s="556" t="s">
        <v>490</v>
      </c>
      <c r="AH18" s="556"/>
      <c r="AJ18" s="616">
        <f>T15</f>
        <v>5329555.8099999949</v>
      </c>
    </row>
    <row r="19" spans="1:36" x14ac:dyDescent="0.25">
      <c r="A19" s="181" t="s">
        <v>214</v>
      </c>
      <c r="B19" s="496"/>
      <c r="C19" s="497"/>
      <c r="D19" s="497"/>
      <c r="E19" s="586"/>
      <c r="F19" s="497"/>
      <c r="G19" s="497"/>
      <c r="H19" s="519"/>
      <c r="I19" s="519"/>
      <c r="J19" s="519"/>
      <c r="K19" s="519"/>
      <c r="L19" s="582"/>
      <c r="M19" s="519"/>
      <c r="N19" s="519"/>
      <c r="O19" s="519"/>
      <c r="P19" s="519"/>
      <c r="Q19" s="519"/>
      <c r="R19" s="519"/>
      <c r="S19" s="582"/>
      <c r="T19" s="194"/>
      <c r="U19" s="194"/>
      <c r="V19" s="576"/>
      <c r="W19" s="194"/>
      <c r="X19" s="194"/>
      <c r="Y19" s="194"/>
      <c r="Z19" s="576"/>
      <c r="AA19" s="194"/>
      <c r="AB19" s="194"/>
      <c r="AC19" s="194"/>
      <c r="AD19" s="600"/>
      <c r="AE19" s="182"/>
      <c r="AG19" s="557" t="s">
        <v>491</v>
      </c>
      <c r="AH19" s="557"/>
      <c r="AI19" s="168"/>
      <c r="AJ19" s="195">
        <f>AJ17+AJ18</f>
        <v>38490505.809999995</v>
      </c>
    </row>
    <row r="20" spans="1:36" ht="15" thickBot="1" x14ac:dyDescent="0.3">
      <c r="A20" s="178" t="s">
        <v>221</v>
      </c>
      <c r="B20" s="519">
        <f>7275280*2</f>
        <v>14550560</v>
      </c>
      <c r="C20" s="497"/>
      <c r="D20" s="497"/>
      <c r="E20" s="586"/>
      <c r="F20" s="497"/>
      <c r="G20" s="519">
        <f>7275280*1</f>
        <v>7275280</v>
      </c>
      <c r="H20" s="519">
        <f>7275280*2</f>
        <v>14550560</v>
      </c>
      <c r="I20" s="519">
        <f>7275280*1</f>
        <v>7275280</v>
      </c>
      <c r="J20" s="498"/>
      <c r="K20" s="498">
        <f>7275280*2</f>
        <v>14550560</v>
      </c>
      <c r="L20" s="582"/>
      <c r="M20" s="519"/>
      <c r="N20" s="519"/>
      <c r="O20" s="519"/>
      <c r="P20" s="519"/>
      <c r="Q20" s="519"/>
      <c r="R20" s="519"/>
      <c r="S20" s="582"/>
      <c r="T20" s="194"/>
      <c r="U20" s="538"/>
      <c r="V20" s="559"/>
      <c r="W20" s="538"/>
      <c r="X20" s="538"/>
      <c r="Y20" s="538"/>
      <c r="Z20" s="559"/>
      <c r="AA20" s="538"/>
      <c r="AB20" s="538"/>
      <c r="AC20" s="538"/>
      <c r="AD20" s="600"/>
      <c r="AE20" s="179">
        <f t="shared" ref="AE20:AE27" si="7">SUM(B20:AC20)</f>
        <v>58202240</v>
      </c>
      <c r="AG20" s="556" t="s">
        <v>486</v>
      </c>
      <c r="AH20" s="556"/>
      <c r="AJ20" s="553">
        <f>SUM(U21:W21)</f>
        <v>38708750</v>
      </c>
    </row>
    <row r="21" spans="1:36" ht="15" thickBot="1" x14ac:dyDescent="0.3">
      <c r="A21" s="178" t="s">
        <v>182</v>
      </c>
      <c r="B21" s="498"/>
      <c r="C21" s="498"/>
      <c r="D21" s="498"/>
      <c r="E21" s="583"/>
      <c r="F21" s="498"/>
      <c r="G21" s="498"/>
      <c r="H21" s="498"/>
      <c r="I21" s="498"/>
      <c r="J21" s="498"/>
      <c r="K21" s="498"/>
      <c r="L21" s="583"/>
      <c r="M21" s="498"/>
      <c r="N21" s="498">
        <f>7741750*1</f>
        <v>7741750</v>
      </c>
      <c r="O21" s="498">
        <f>7741750*1</f>
        <v>7741750</v>
      </c>
      <c r="P21" s="498">
        <f>7741750*1</f>
        <v>7741750</v>
      </c>
      <c r="Q21" s="498">
        <f>7741750*1</f>
        <v>7741750</v>
      </c>
      <c r="R21" s="498">
        <f>7741750*1</f>
        <v>7741750</v>
      </c>
      <c r="S21" s="583"/>
      <c r="T21" s="537"/>
      <c r="U21" s="608">
        <f>7741750*3</f>
        <v>23225250</v>
      </c>
      <c r="V21" s="609"/>
      <c r="W21" s="610">
        <f>7741750*2</f>
        <v>15483500</v>
      </c>
      <c r="X21" s="611">
        <f>7741750*2</f>
        <v>15483500</v>
      </c>
      <c r="Y21" s="612">
        <f>7741750*3</f>
        <v>23225250</v>
      </c>
      <c r="Z21" s="612"/>
      <c r="AA21" s="612"/>
      <c r="AB21" s="612">
        <f>7741750*2</f>
        <v>15483500</v>
      </c>
      <c r="AC21" s="613">
        <f>7741750*2</f>
        <v>15483500</v>
      </c>
      <c r="AD21" s="601"/>
      <c r="AE21" s="179">
        <f t="shared" si="7"/>
        <v>147093250</v>
      </c>
      <c r="AG21" s="557" t="s">
        <v>478</v>
      </c>
      <c r="AH21" s="557"/>
      <c r="AI21" s="168"/>
      <c r="AJ21" s="554">
        <f>AJ19-AJ20</f>
        <v>-218244.19000000507</v>
      </c>
    </row>
    <row r="22" spans="1:36" x14ac:dyDescent="0.25">
      <c r="A22" s="178" t="s">
        <v>468</v>
      </c>
      <c r="B22" s="499"/>
      <c r="C22" s="500"/>
      <c r="D22" s="498"/>
      <c r="E22" s="583"/>
      <c r="F22" s="498"/>
      <c r="G22" s="512"/>
      <c r="H22" s="520"/>
      <c r="I22" s="520"/>
      <c r="J22" s="520"/>
      <c r="K22" s="520"/>
      <c r="L22" s="584"/>
      <c r="M22" s="520"/>
      <c r="N22" s="520"/>
      <c r="O22" s="520"/>
      <c r="P22" s="520"/>
      <c r="Q22" s="520"/>
      <c r="R22" s="520"/>
      <c r="S22" s="584"/>
      <c r="T22" s="193"/>
      <c r="U22" s="194"/>
      <c r="V22" s="576"/>
      <c r="W22" s="194"/>
      <c r="X22" s="607"/>
      <c r="Y22" s="194"/>
      <c r="Z22" s="576"/>
      <c r="AA22" s="194"/>
      <c r="AB22" s="194"/>
      <c r="AC22" s="194"/>
      <c r="AD22" s="537"/>
      <c r="AE22" s="179">
        <f t="shared" si="7"/>
        <v>0</v>
      </c>
      <c r="AG22" s="132"/>
      <c r="AH22" s="132"/>
      <c r="AI22" s="168"/>
      <c r="AJ22" s="168"/>
    </row>
    <row r="23" spans="1:36" x14ac:dyDescent="0.25">
      <c r="A23" s="178" t="s">
        <v>215</v>
      </c>
      <c r="B23" s="497">
        <v>2138392.5</v>
      </c>
      <c r="C23" s="498">
        <v>1633995</v>
      </c>
      <c r="D23" s="498">
        <v>50490</v>
      </c>
      <c r="E23" s="583"/>
      <c r="F23" s="498"/>
      <c r="G23" s="498">
        <v>102000</v>
      </c>
      <c r="H23" s="520">
        <v>119600</v>
      </c>
      <c r="I23" s="520"/>
      <c r="J23" s="545">
        <v>18000</v>
      </c>
      <c r="K23" s="520"/>
      <c r="L23" s="584"/>
      <c r="M23" s="520"/>
      <c r="N23" s="520">
        <v>205101</v>
      </c>
      <c r="O23" s="520">
        <v>1000000</v>
      </c>
      <c r="P23" s="520">
        <v>128608</v>
      </c>
      <c r="Q23" s="520"/>
      <c r="R23" s="520"/>
      <c r="S23" s="584"/>
      <c r="T23" s="193"/>
      <c r="U23" s="193">
        <v>250000</v>
      </c>
      <c r="V23" s="577"/>
      <c r="W23" s="193"/>
      <c r="X23" s="193">
        <v>300000</v>
      </c>
      <c r="Y23" s="193"/>
      <c r="Z23" s="577"/>
      <c r="AA23" s="193"/>
      <c r="AB23" s="193">
        <v>250000</v>
      </c>
      <c r="AC23" s="193"/>
      <c r="AD23" s="537"/>
      <c r="AE23" s="179">
        <f t="shared" si="7"/>
        <v>6196186.5</v>
      </c>
      <c r="AG23" s="556" t="s">
        <v>475</v>
      </c>
      <c r="AH23" s="556"/>
      <c r="AJ23" s="543">
        <f>AH12</f>
        <v>2486.8721249999999</v>
      </c>
    </row>
    <row r="24" spans="1:36" x14ac:dyDescent="0.25">
      <c r="A24" s="560" t="s">
        <v>216</v>
      </c>
      <c r="B24" s="499"/>
      <c r="C24" s="500"/>
      <c r="D24" s="498">
        <v>232918</v>
      </c>
      <c r="E24" s="583"/>
      <c r="F24" s="500"/>
      <c r="G24" s="498"/>
      <c r="H24" s="520"/>
      <c r="I24" s="520"/>
      <c r="J24" s="520"/>
      <c r="K24" s="520"/>
      <c r="L24" s="584"/>
      <c r="M24" s="520"/>
      <c r="N24" s="520">
        <v>2425753</v>
      </c>
      <c r="O24" s="520">
        <v>291520</v>
      </c>
      <c r="P24" s="520"/>
      <c r="Q24" s="520"/>
      <c r="R24" s="520">
        <v>2005999</v>
      </c>
      <c r="S24" s="584"/>
      <c r="T24" s="193"/>
      <c r="U24" s="193"/>
      <c r="V24" s="577"/>
      <c r="W24" s="193"/>
      <c r="X24" s="193"/>
      <c r="Y24" s="193"/>
      <c r="Z24" s="577"/>
      <c r="AA24" s="193"/>
      <c r="AB24" s="193"/>
      <c r="AC24" s="193"/>
      <c r="AD24" s="537"/>
      <c r="AE24" s="561">
        <f t="shared" si="7"/>
        <v>4956190</v>
      </c>
      <c r="AF24" s="534"/>
      <c r="AG24" s="555" t="s">
        <v>492</v>
      </c>
      <c r="AH24" s="555"/>
      <c r="AI24" s="543"/>
      <c r="AJ24" s="553">
        <f>AG12</f>
        <v>951.97500000000002</v>
      </c>
    </row>
    <row r="25" spans="1:36" x14ac:dyDescent="0.25">
      <c r="A25" s="178" t="s">
        <v>217</v>
      </c>
      <c r="B25" s="499"/>
      <c r="C25" s="500"/>
      <c r="D25" s="498"/>
      <c r="E25" s="583"/>
      <c r="F25" s="500"/>
      <c r="G25" s="498"/>
      <c r="H25" s="520"/>
      <c r="I25" s="520"/>
      <c r="J25" s="520"/>
      <c r="K25" s="520"/>
      <c r="L25" s="584"/>
      <c r="M25" s="520"/>
      <c r="N25" s="520"/>
      <c r="O25" s="520"/>
      <c r="P25" s="520"/>
      <c r="Q25" s="520"/>
      <c r="R25" s="520"/>
      <c r="S25" s="584"/>
      <c r="T25" s="193"/>
      <c r="U25" s="193"/>
      <c r="V25" s="577"/>
      <c r="W25" s="193"/>
      <c r="X25" s="193"/>
      <c r="Y25" s="193"/>
      <c r="Z25" s="577"/>
      <c r="AA25" s="193"/>
      <c r="AB25" s="193"/>
      <c r="AC25" s="193"/>
      <c r="AD25" s="537"/>
      <c r="AE25" s="179">
        <f t="shared" si="7"/>
        <v>0</v>
      </c>
      <c r="AG25" s="556" t="s">
        <v>476</v>
      </c>
      <c r="AH25" s="556"/>
      <c r="AJ25" s="543">
        <f>AJ23-AJ24</f>
        <v>1534.897125</v>
      </c>
    </row>
    <row r="26" spans="1:36" x14ac:dyDescent="0.25">
      <c r="A26" s="565" t="s">
        <v>148</v>
      </c>
      <c r="B26" s="566"/>
      <c r="C26" s="567"/>
      <c r="D26" s="568"/>
      <c r="E26" s="583"/>
      <c r="F26" s="567"/>
      <c r="G26" s="568"/>
      <c r="H26" s="569"/>
      <c r="I26" s="569"/>
      <c r="J26" s="569"/>
      <c r="K26" s="569"/>
      <c r="L26" s="584"/>
      <c r="M26" s="569"/>
      <c r="N26" s="569"/>
      <c r="O26" s="569"/>
      <c r="P26" s="569"/>
      <c r="Q26" s="569"/>
      <c r="R26" s="569"/>
      <c r="S26" s="584"/>
      <c r="T26" s="570"/>
      <c r="U26" s="571">
        <v>1774839.6666666667</v>
      </c>
      <c r="V26" s="577"/>
      <c r="W26" s="570"/>
      <c r="X26" s="570">
        <v>1774839.6666666667</v>
      </c>
      <c r="Y26" s="570"/>
      <c r="Z26" s="577"/>
      <c r="AA26" s="571"/>
      <c r="AB26" s="571">
        <v>1774839.6666666667</v>
      </c>
      <c r="AC26" s="571"/>
      <c r="AD26" s="602"/>
      <c r="AE26" s="572">
        <f t="shared" si="7"/>
        <v>5324519</v>
      </c>
      <c r="AG26" s="556" t="s">
        <v>479</v>
      </c>
      <c r="AH26" s="556"/>
      <c r="AI26" s="543"/>
      <c r="AJ26" s="553">
        <f>AI15</f>
        <v>368.45499999999998</v>
      </c>
    </row>
    <row r="27" spans="1:36" x14ac:dyDescent="0.25">
      <c r="A27" s="178" t="s">
        <v>466</v>
      </c>
      <c r="B27" s="499"/>
      <c r="C27" s="501">
        <v>12273935</v>
      </c>
      <c r="D27" s="498"/>
      <c r="E27" s="583"/>
      <c r="F27" s="498"/>
      <c r="G27" s="498"/>
      <c r="H27" s="501"/>
      <c r="I27" s="501"/>
      <c r="J27" s="520"/>
      <c r="K27" s="520"/>
      <c r="L27" s="584"/>
      <c r="M27" s="520"/>
      <c r="N27" s="520"/>
      <c r="O27" s="520"/>
      <c r="P27" s="520"/>
      <c r="Q27" s="520"/>
      <c r="R27" s="520"/>
      <c r="S27" s="584"/>
      <c r="T27" s="193"/>
      <c r="U27" s="193"/>
      <c r="V27" s="577"/>
      <c r="W27" s="193">
        <v>8600000</v>
      </c>
      <c r="X27" s="193"/>
      <c r="Y27" s="193"/>
      <c r="Z27" s="577"/>
      <c r="AA27" s="193"/>
      <c r="AB27" s="193"/>
      <c r="AC27" s="193"/>
      <c r="AD27" s="537"/>
      <c r="AE27" s="179">
        <f t="shared" si="7"/>
        <v>20873935</v>
      </c>
      <c r="AG27" s="164" t="s">
        <v>494</v>
      </c>
      <c r="AJ27" s="200">
        <f>AJ25-AJ26</f>
        <v>1166.442125</v>
      </c>
    </row>
    <row r="28" spans="1:36" ht="15" thickBot="1" x14ac:dyDescent="0.3">
      <c r="A28" s="180" t="s">
        <v>218</v>
      </c>
      <c r="B28" s="530">
        <f>SUM(B20:B27)</f>
        <v>16688952.5</v>
      </c>
      <c r="C28" s="530">
        <f>SUM(C20:C27)</f>
        <v>13907930</v>
      </c>
      <c r="D28" s="530">
        <f t="shared" ref="D28:AC28" si="8">SUM(D20:D27)</f>
        <v>283408</v>
      </c>
      <c r="E28" s="531">
        <f t="shared" si="8"/>
        <v>0</v>
      </c>
      <c r="F28" s="530">
        <f t="shared" si="8"/>
        <v>0</v>
      </c>
      <c r="G28" s="530">
        <f t="shared" si="8"/>
        <v>7377280</v>
      </c>
      <c r="H28" s="530">
        <f t="shared" si="8"/>
        <v>14670160</v>
      </c>
      <c r="I28" s="530">
        <f t="shared" si="8"/>
        <v>7275280</v>
      </c>
      <c r="J28" s="530">
        <f t="shared" si="8"/>
        <v>18000</v>
      </c>
      <c r="K28" s="530">
        <f t="shared" si="8"/>
        <v>14550560</v>
      </c>
      <c r="L28" s="531">
        <f t="shared" si="8"/>
        <v>0</v>
      </c>
      <c r="M28" s="530">
        <f t="shared" si="8"/>
        <v>0</v>
      </c>
      <c r="N28" s="530">
        <f t="shared" si="8"/>
        <v>10372604</v>
      </c>
      <c r="O28" s="530">
        <f t="shared" si="8"/>
        <v>9033270</v>
      </c>
      <c r="P28" s="530">
        <f t="shared" si="8"/>
        <v>7870358</v>
      </c>
      <c r="Q28" s="530">
        <f t="shared" si="8"/>
        <v>7741750</v>
      </c>
      <c r="R28" s="530">
        <f t="shared" si="8"/>
        <v>9747749</v>
      </c>
      <c r="S28" s="531">
        <f t="shared" si="8"/>
        <v>0</v>
      </c>
      <c r="T28" s="532">
        <f t="shared" si="8"/>
        <v>0</v>
      </c>
      <c r="U28" s="532">
        <f t="shared" si="8"/>
        <v>25250089.666666668</v>
      </c>
      <c r="V28" s="533">
        <f t="shared" si="8"/>
        <v>0</v>
      </c>
      <c r="W28" s="532">
        <f t="shared" si="8"/>
        <v>24083500</v>
      </c>
      <c r="X28" s="532">
        <f t="shared" si="8"/>
        <v>17558339.666666668</v>
      </c>
      <c r="Y28" s="532">
        <f t="shared" si="8"/>
        <v>23225250</v>
      </c>
      <c r="Z28" s="533">
        <f t="shared" si="8"/>
        <v>0</v>
      </c>
      <c r="AA28" s="532">
        <f t="shared" si="8"/>
        <v>0</v>
      </c>
      <c r="AB28" s="532">
        <f t="shared" si="8"/>
        <v>17508339.666666668</v>
      </c>
      <c r="AC28" s="532">
        <f t="shared" si="8"/>
        <v>15483500</v>
      </c>
      <c r="AD28" s="603"/>
      <c r="AE28" s="529">
        <f>SUM(AE20:AE27)</f>
        <v>242646320.5</v>
      </c>
      <c r="AF28" s="168"/>
      <c r="AG28" s="556" t="s">
        <v>477</v>
      </c>
      <c r="AH28" s="556"/>
      <c r="AJ28" s="553">
        <v>133.55787499999997</v>
      </c>
    </row>
    <row r="29" spans="1:36" ht="15" thickBot="1" x14ac:dyDescent="0.3">
      <c r="AG29" s="8" t="s">
        <v>498</v>
      </c>
      <c r="AH29" s="8"/>
      <c r="AI29" s="589"/>
      <c r="AJ29" s="590">
        <f>AJ27+AJ28</f>
        <v>1300</v>
      </c>
    </row>
    <row r="30" spans="1:36" ht="15" thickTop="1" x14ac:dyDescent="0.25">
      <c r="AG30" s="164" t="s">
        <v>499</v>
      </c>
      <c r="AJ30" s="543">
        <f>7741750*AJ29/100</f>
        <v>100642750</v>
      </c>
    </row>
    <row r="31" spans="1:36" x14ac:dyDescent="0.3">
      <c r="A31" s="196"/>
      <c r="AG31" s="164" t="s">
        <v>487</v>
      </c>
      <c r="AJ31" s="543">
        <f>SUM(X21:AC21)</f>
        <v>69675750</v>
      </c>
    </row>
    <row r="32" spans="1:36" ht="15" thickBot="1" x14ac:dyDescent="0.3">
      <c r="A32" s="200"/>
      <c r="B32" s="544"/>
      <c r="C32" s="544"/>
      <c r="D32" s="544"/>
      <c r="E32" s="585"/>
      <c r="F32" s="544"/>
      <c r="G32" s="544"/>
      <c r="H32" s="544"/>
      <c r="I32" s="544"/>
      <c r="J32" s="544"/>
      <c r="K32" s="544"/>
      <c r="L32" s="585"/>
      <c r="M32" s="544"/>
      <c r="N32" s="544"/>
      <c r="O32" s="544"/>
      <c r="P32" s="544"/>
      <c r="Q32" s="544"/>
      <c r="R32" s="544"/>
      <c r="AG32" s="168" t="s">
        <v>493</v>
      </c>
      <c r="AH32" s="552"/>
      <c r="AI32" s="552"/>
      <c r="AJ32" s="591">
        <f>AJ30-AJ31</f>
        <v>30967000</v>
      </c>
    </row>
    <row r="33" spans="1:36" ht="15" thickTop="1" x14ac:dyDescent="0.3">
      <c r="A33" s="196"/>
      <c r="AG33" s="168"/>
      <c r="AH33" s="543"/>
      <c r="AI33" s="543"/>
      <c r="AJ33" s="543"/>
    </row>
    <row r="34" spans="1:36" x14ac:dyDescent="0.3">
      <c r="A34" s="196"/>
    </row>
    <row r="35" spans="1:36" x14ac:dyDescent="0.25">
      <c r="A35" s="200"/>
    </row>
    <row r="37" spans="1:36" x14ac:dyDescent="0.25">
      <c r="A37" s="190"/>
    </row>
  </sheetData>
  <mergeCells count="2">
    <mergeCell ref="A4:A5"/>
    <mergeCell ref="AE4:AE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U28"/>
  <sheetViews>
    <sheetView workbookViewId="0">
      <pane ySplit="2" topLeftCell="A3" activePane="bottomLeft" state="frozen"/>
      <selection pane="bottomLeft" sqref="A1:R1048576"/>
    </sheetView>
  </sheetViews>
  <sheetFormatPr defaultRowHeight="14.4" x14ac:dyDescent="0.3"/>
  <cols>
    <col min="1" max="1" width="18.44140625" style="6" customWidth="1"/>
    <col min="2" max="2" width="6.109375" style="6" customWidth="1"/>
    <col min="3" max="3" width="7.5546875" style="6" bestFit="1" customWidth="1"/>
    <col min="4" max="4" width="7.77734375" style="6" bestFit="1" customWidth="1"/>
    <col min="5" max="5" width="7.44140625" style="6" bestFit="1" customWidth="1"/>
    <col min="6" max="6" width="9.77734375" style="6" customWidth="1"/>
    <col min="7" max="9" width="7.44140625" style="6" bestFit="1" customWidth="1"/>
    <col min="10" max="10" width="7.21875" style="6" bestFit="1" customWidth="1"/>
    <col min="11" max="11" width="8.33203125" style="6" bestFit="1" customWidth="1"/>
    <col min="12" max="12" width="6.88671875" style="6" bestFit="1" customWidth="1"/>
    <col min="13" max="13" width="9" style="6" bestFit="1" customWidth="1"/>
    <col min="14" max="14" width="7.44140625" style="6" bestFit="1" customWidth="1"/>
    <col min="15" max="15" width="10.109375" style="6" bestFit="1" customWidth="1"/>
    <col min="16" max="16" width="10.33203125" style="6" bestFit="1" customWidth="1"/>
    <col min="17" max="17" width="10" style="6" customWidth="1"/>
    <col min="18" max="21" width="8.88671875" style="6"/>
  </cols>
  <sheetData>
    <row r="1" spans="1:19" ht="17.399999999999999" x14ac:dyDescent="0.3">
      <c r="A1" s="876" t="s">
        <v>691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19" ht="41.4" x14ac:dyDescent="0.3">
      <c r="A2" s="809" t="s">
        <v>177</v>
      </c>
      <c r="B2" s="811" t="s">
        <v>558</v>
      </c>
      <c r="C2" s="825" t="s">
        <v>10</v>
      </c>
      <c r="D2" s="818" t="s">
        <v>559</v>
      </c>
      <c r="E2" s="810" t="s">
        <v>560</v>
      </c>
      <c r="F2" s="810" t="s">
        <v>561</v>
      </c>
      <c r="G2" s="810" t="s">
        <v>562</v>
      </c>
      <c r="H2" s="810" t="s">
        <v>563</v>
      </c>
      <c r="I2" s="810" t="s">
        <v>564</v>
      </c>
      <c r="J2" s="810" t="s">
        <v>565</v>
      </c>
      <c r="K2" s="810" t="s">
        <v>566</v>
      </c>
      <c r="L2" s="810" t="s">
        <v>567</v>
      </c>
      <c r="M2" s="810" t="s">
        <v>568</v>
      </c>
      <c r="N2" s="832" t="s">
        <v>569</v>
      </c>
      <c r="O2" s="825" t="s">
        <v>9</v>
      </c>
      <c r="P2" s="839" t="s">
        <v>195</v>
      </c>
      <c r="Q2" s="825" t="s">
        <v>13</v>
      </c>
      <c r="R2" s="4"/>
      <c r="S2" s="4"/>
    </row>
    <row r="3" spans="1:19" x14ac:dyDescent="0.25">
      <c r="A3" s="797" t="s">
        <v>178</v>
      </c>
      <c r="B3" s="812" t="s">
        <v>179</v>
      </c>
      <c r="C3" s="1279">
        <v>1260</v>
      </c>
      <c r="D3" s="1084">
        <v>15</v>
      </c>
      <c r="E3" s="1065"/>
      <c r="F3" s="1065"/>
      <c r="G3" s="1065"/>
      <c r="H3" s="1065">
        <v>12</v>
      </c>
      <c r="I3" s="1065">
        <v>10</v>
      </c>
      <c r="J3" s="1065">
        <v>25</v>
      </c>
      <c r="K3" s="1065"/>
      <c r="L3" s="1065">
        <v>31</v>
      </c>
      <c r="M3" s="1065"/>
      <c r="N3" s="1085">
        <f>SUM(D3:M3)</f>
        <v>93</v>
      </c>
      <c r="O3" s="1083">
        <f>C3-N3</f>
        <v>1167</v>
      </c>
      <c r="P3" s="840">
        <f>C3/12</f>
        <v>105</v>
      </c>
      <c r="Q3" s="841">
        <f>O3/12</f>
        <v>97.25</v>
      </c>
    </row>
    <row r="4" spans="1:19" x14ac:dyDescent="0.25">
      <c r="A4" s="799" t="s">
        <v>182</v>
      </c>
      <c r="B4" s="813" t="s">
        <v>179</v>
      </c>
      <c r="C4" s="1280">
        <v>1250</v>
      </c>
      <c r="D4" s="1086">
        <v>10</v>
      </c>
      <c r="E4" s="1066">
        <v>20</v>
      </c>
      <c r="F4" s="1066"/>
      <c r="G4" s="1066"/>
      <c r="H4" s="1066">
        <v>14</v>
      </c>
      <c r="I4" s="1066"/>
      <c r="J4" s="1066">
        <v>22</v>
      </c>
      <c r="K4" s="1066"/>
      <c r="L4" s="1066"/>
      <c r="M4" s="1066">
        <v>15</v>
      </c>
      <c r="N4" s="1087">
        <f t="shared" ref="N4:N26" si="0">SUM(D4:M4)</f>
        <v>81</v>
      </c>
      <c r="O4" s="1080">
        <f t="shared" ref="O4:O26" si="1">C4-N4</f>
        <v>1169</v>
      </c>
      <c r="P4" s="842">
        <f t="shared" ref="P4:P15" si="2">C4/12</f>
        <v>104.16666666666667</v>
      </c>
      <c r="Q4" s="843">
        <f t="shared" ref="Q4:Q14" si="3">O4/12</f>
        <v>97.416666666666671</v>
      </c>
    </row>
    <row r="5" spans="1:19" x14ac:dyDescent="0.25">
      <c r="A5" s="799" t="s">
        <v>2</v>
      </c>
      <c r="B5" s="813" t="s">
        <v>179</v>
      </c>
      <c r="C5" s="1280">
        <v>1270</v>
      </c>
      <c r="D5" s="1086">
        <v>35</v>
      </c>
      <c r="E5" s="1066">
        <v>15</v>
      </c>
      <c r="F5" s="1066"/>
      <c r="G5" s="1066"/>
      <c r="H5" s="1066"/>
      <c r="I5" s="1066">
        <v>20</v>
      </c>
      <c r="J5" s="1066">
        <v>35</v>
      </c>
      <c r="K5" s="1066"/>
      <c r="L5" s="1066"/>
      <c r="M5" s="1066">
        <v>10</v>
      </c>
      <c r="N5" s="1087">
        <f t="shared" si="0"/>
        <v>115</v>
      </c>
      <c r="O5" s="1080">
        <f t="shared" si="1"/>
        <v>1155</v>
      </c>
      <c r="P5" s="842">
        <f t="shared" si="2"/>
        <v>105.83333333333333</v>
      </c>
      <c r="Q5" s="843">
        <f t="shared" si="3"/>
        <v>96.25</v>
      </c>
    </row>
    <row r="6" spans="1:19" x14ac:dyDescent="0.25">
      <c r="A6" s="799" t="s">
        <v>194</v>
      </c>
      <c r="B6" s="813" t="s">
        <v>179</v>
      </c>
      <c r="C6" s="1280">
        <v>1250</v>
      </c>
      <c r="D6" s="1086">
        <v>35</v>
      </c>
      <c r="E6" s="1066">
        <v>25</v>
      </c>
      <c r="F6" s="1066"/>
      <c r="G6" s="1066"/>
      <c r="H6" s="1066"/>
      <c r="I6" s="1066">
        <v>15</v>
      </c>
      <c r="J6" s="1066"/>
      <c r="K6" s="1066">
        <v>25</v>
      </c>
      <c r="L6" s="1066"/>
      <c r="M6" s="1066">
        <v>10</v>
      </c>
      <c r="N6" s="1087">
        <f t="shared" si="0"/>
        <v>110</v>
      </c>
      <c r="O6" s="1080">
        <f t="shared" si="1"/>
        <v>1140</v>
      </c>
      <c r="P6" s="842">
        <f t="shared" si="2"/>
        <v>104.16666666666667</v>
      </c>
      <c r="Q6" s="843">
        <f t="shared" si="3"/>
        <v>95</v>
      </c>
    </row>
    <row r="7" spans="1:19" x14ac:dyDescent="0.25">
      <c r="A7" s="799" t="s">
        <v>1</v>
      </c>
      <c r="B7" s="813" t="s">
        <v>184</v>
      </c>
      <c r="C7" s="1280">
        <v>1265</v>
      </c>
      <c r="D7" s="1086">
        <v>10</v>
      </c>
      <c r="E7" s="1066">
        <v>25</v>
      </c>
      <c r="F7" s="1066"/>
      <c r="G7" s="1066"/>
      <c r="H7" s="1066">
        <v>12</v>
      </c>
      <c r="I7" s="1066">
        <v>10</v>
      </c>
      <c r="J7" s="1066">
        <v>22</v>
      </c>
      <c r="K7" s="1066"/>
      <c r="L7" s="1066"/>
      <c r="M7" s="1066">
        <v>15</v>
      </c>
      <c r="N7" s="1087">
        <f t="shared" si="0"/>
        <v>94</v>
      </c>
      <c r="O7" s="1080">
        <f t="shared" si="1"/>
        <v>1171</v>
      </c>
      <c r="P7" s="842">
        <f t="shared" si="2"/>
        <v>105.41666666666667</v>
      </c>
      <c r="Q7" s="843">
        <f t="shared" si="3"/>
        <v>97.583333333333329</v>
      </c>
    </row>
    <row r="8" spans="1:19" x14ac:dyDescent="0.25">
      <c r="A8" s="799" t="s">
        <v>553</v>
      </c>
      <c r="B8" s="813" t="s">
        <v>184</v>
      </c>
      <c r="C8" s="1280">
        <v>1265</v>
      </c>
      <c r="D8" s="1086">
        <v>10</v>
      </c>
      <c r="E8" s="1066">
        <v>20</v>
      </c>
      <c r="F8" s="1066"/>
      <c r="G8" s="1066"/>
      <c r="H8" s="1066"/>
      <c r="I8" s="1066">
        <v>20</v>
      </c>
      <c r="J8" s="1066">
        <v>25</v>
      </c>
      <c r="K8" s="1066"/>
      <c r="L8" s="1066"/>
      <c r="M8" s="1066">
        <v>20</v>
      </c>
      <c r="N8" s="1087">
        <f t="shared" si="0"/>
        <v>95</v>
      </c>
      <c r="O8" s="1080">
        <f t="shared" si="1"/>
        <v>1170</v>
      </c>
      <c r="P8" s="842">
        <f t="shared" si="2"/>
        <v>105.41666666666667</v>
      </c>
      <c r="Q8" s="843">
        <f t="shared" si="3"/>
        <v>97.5</v>
      </c>
    </row>
    <row r="9" spans="1:19" x14ac:dyDescent="0.25">
      <c r="A9" s="799" t="s">
        <v>185</v>
      </c>
      <c r="B9" s="813" t="s">
        <v>184</v>
      </c>
      <c r="C9" s="1280">
        <v>1242</v>
      </c>
      <c r="D9" s="1086">
        <v>40</v>
      </c>
      <c r="E9" s="1066">
        <v>15</v>
      </c>
      <c r="F9" s="1066"/>
      <c r="G9" s="1066"/>
      <c r="H9" s="1066"/>
      <c r="I9" s="1066"/>
      <c r="J9" s="1066">
        <v>30</v>
      </c>
      <c r="K9" s="1066"/>
      <c r="L9" s="1066"/>
      <c r="M9" s="1066"/>
      <c r="N9" s="1087">
        <f t="shared" si="0"/>
        <v>85</v>
      </c>
      <c r="O9" s="1080">
        <f t="shared" si="1"/>
        <v>1157</v>
      </c>
      <c r="P9" s="842">
        <f t="shared" si="2"/>
        <v>103.5</v>
      </c>
      <c r="Q9" s="843">
        <f t="shared" si="3"/>
        <v>96.416666666666671</v>
      </c>
    </row>
    <row r="10" spans="1:19" x14ac:dyDescent="0.25">
      <c r="A10" s="799" t="s">
        <v>555</v>
      </c>
      <c r="B10" s="813" t="s">
        <v>184</v>
      </c>
      <c r="C10" s="1280">
        <v>1300</v>
      </c>
      <c r="D10" s="1086">
        <v>20</v>
      </c>
      <c r="E10" s="1066">
        <v>20</v>
      </c>
      <c r="F10" s="1066"/>
      <c r="G10" s="1066">
        <v>10</v>
      </c>
      <c r="H10" s="1066"/>
      <c r="I10" s="1066">
        <v>32</v>
      </c>
      <c r="J10" s="1066"/>
      <c r="K10" s="1066">
        <v>20</v>
      </c>
      <c r="L10" s="1066"/>
      <c r="M10" s="1066">
        <v>5</v>
      </c>
      <c r="N10" s="1087">
        <f t="shared" si="0"/>
        <v>107</v>
      </c>
      <c r="O10" s="1080">
        <f t="shared" si="1"/>
        <v>1193</v>
      </c>
      <c r="P10" s="842">
        <f t="shared" si="2"/>
        <v>108.33333333333333</v>
      </c>
      <c r="Q10" s="843">
        <f t="shared" si="3"/>
        <v>99.416666666666671</v>
      </c>
    </row>
    <row r="11" spans="1:19" x14ac:dyDescent="0.25">
      <c r="A11" s="799" t="s">
        <v>187</v>
      </c>
      <c r="B11" s="813" t="s">
        <v>184</v>
      </c>
      <c r="C11" s="1280">
        <v>1260</v>
      </c>
      <c r="D11" s="1086">
        <v>20</v>
      </c>
      <c r="E11" s="1066"/>
      <c r="F11" s="1066"/>
      <c r="G11" s="1066"/>
      <c r="H11" s="1066">
        <v>15</v>
      </c>
      <c r="I11" s="1066">
        <v>46</v>
      </c>
      <c r="J11" s="1066"/>
      <c r="K11" s="1066">
        <v>16</v>
      </c>
      <c r="L11" s="1066">
        <v>9</v>
      </c>
      <c r="M11" s="1066"/>
      <c r="N11" s="1087">
        <f t="shared" si="0"/>
        <v>106</v>
      </c>
      <c r="O11" s="1080">
        <f t="shared" si="1"/>
        <v>1154</v>
      </c>
      <c r="P11" s="842">
        <f t="shared" si="2"/>
        <v>105</v>
      </c>
      <c r="Q11" s="843">
        <f t="shared" si="3"/>
        <v>96.166666666666671</v>
      </c>
    </row>
    <row r="12" spans="1:19" x14ac:dyDescent="0.25">
      <c r="A12" s="799" t="s">
        <v>11</v>
      </c>
      <c r="B12" s="813" t="s">
        <v>184</v>
      </c>
      <c r="C12" s="1280">
        <v>1280</v>
      </c>
      <c r="D12" s="1086">
        <v>50</v>
      </c>
      <c r="E12" s="1066">
        <v>10</v>
      </c>
      <c r="F12" s="1066"/>
      <c r="G12" s="1066"/>
      <c r="H12" s="1066">
        <v>15</v>
      </c>
      <c r="I12" s="1066"/>
      <c r="J12" s="1066"/>
      <c r="K12" s="1066">
        <v>20</v>
      </c>
      <c r="L12" s="1066"/>
      <c r="M12" s="1066"/>
      <c r="N12" s="1087">
        <f t="shared" si="0"/>
        <v>95</v>
      </c>
      <c r="O12" s="1080">
        <f t="shared" si="1"/>
        <v>1185</v>
      </c>
      <c r="P12" s="842">
        <f t="shared" si="2"/>
        <v>106.66666666666667</v>
      </c>
      <c r="Q12" s="843">
        <f t="shared" si="3"/>
        <v>98.75</v>
      </c>
    </row>
    <row r="13" spans="1:19" x14ac:dyDescent="0.25">
      <c r="A13" s="799" t="s">
        <v>188</v>
      </c>
      <c r="B13" s="813" t="s">
        <v>184</v>
      </c>
      <c r="C13" s="1280">
        <v>1264</v>
      </c>
      <c r="D13" s="1086">
        <v>35</v>
      </c>
      <c r="E13" s="1066">
        <v>30</v>
      </c>
      <c r="F13" s="1066"/>
      <c r="G13" s="1066"/>
      <c r="H13" s="1066">
        <v>25</v>
      </c>
      <c r="I13" s="1066"/>
      <c r="J13" s="1066"/>
      <c r="K13" s="1066">
        <v>16</v>
      </c>
      <c r="L13" s="1066"/>
      <c r="M13" s="1066"/>
      <c r="N13" s="1087">
        <f t="shared" si="0"/>
        <v>106</v>
      </c>
      <c r="O13" s="1080">
        <f t="shared" si="1"/>
        <v>1158</v>
      </c>
      <c r="P13" s="842">
        <f t="shared" si="2"/>
        <v>105.33333333333333</v>
      </c>
      <c r="Q13" s="843">
        <f t="shared" si="3"/>
        <v>96.5</v>
      </c>
    </row>
    <row r="14" spans="1:19" x14ac:dyDescent="0.25">
      <c r="A14" s="799" t="s">
        <v>189</v>
      </c>
      <c r="B14" s="813" t="s">
        <v>184</v>
      </c>
      <c r="C14" s="1280">
        <v>1265</v>
      </c>
      <c r="D14" s="1086">
        <v>20</v>
      </c>
      <c r="E14" s="1066">
        <v>10</v>
      </c>
      <c r="F14" s="1066"/>
      <c r="G14" s="1066"/>
      <c r="H14" s="1066"/>
      <c r="I14" s="1066">
        <v>20</v>
      </c>
      <c r="J14" s="1066"/>
      <c r="K14" s="1066">
        <v>25</v>
      </c>
      <c r="L14" s="1066">
        <v>24</v>
      </c>
      <c r="M14" s="1066"/>
      <c r="N14" s="1087">
        <f t="shared" si="0"/>
        <v>99</v>
      </c>
      <c r="O14" s="1080">
        <f t="shared" si="1"/>
        <v>1166</v>
      </c>
      <c r="P14" s="842">
        <f t="shared" si="2"/>
        <v>105.41666666666667</v>
      </c>
      <c r="Q14" s="843">
        <f t="shared" si="3"/>
        <v>97.166666666666671</v>
      </c>
    </row>
    <row r="15" spans="1:19" x14ac:dyDescent="0.25">
      <c r="A15" s="1633" t="s">
        <v>193</v>
      </c>
      <c r="B15" s="1634" t="s">
        <v>179</v>
      </c>
      <c r="C15" s="1635"/>
      <c r="D15" s="1636"/>
      <c r="E15" s="1637"/>
      <c r="F15" s="1637"/>
      <c r="G15" s="1637"/>
      <c r="H15" s="1637"/>
      <c r="I15" s="1637"/>
      <c r="J15" s="1637"/>
      <c r="K15" s="1637"/>
      <c r="L15" s="1637"/>
      <c r="M15" s="1637"/>
      <c r="N15" s="1638"/>
      <c r="O15" s="1635">
        <v>1183.2680934714908</v>
      </c>
      <c r="P15" s="1639">
        <f t="shared" si="2"/>
        <v>0</v>
      </c>
      <c r="Q15" s="1640">
        <f>O15/12</f>
        <v>98.605674455957569</v>
      </c>
      <c r="R15" s="4"/>
      <c r="S15" s="4"/>
    </row>
    <row r="16" spans="1:19" x14ac:dyDescent="0.25">
      <c r="A16" s="801" t="s">
        <v>178</v>
      </c>
      <c r="B16" s="814" t="s">
        <v>655</v>
      </c>
      <c r="C16" s="1088">
        <v>3335</v>
      </c>
      <c r="D16" s="1089">
        <v>18</v>
      </c>
      <c r="E16" s="1090"/>
      <c r="F16" s="1090"/>
      <c r="G16" s="1090"/>
      <c r="H16" s="1090">
        <v>30</v>
      </c>
      <c r="I16" s="1090"/>
      <c r="J16" s="1090">
        <v>30</v>
      </c>
      <c r="K16" s="1090"/>
      <c r="L16" s="1090">
        <v>30</v>
      </c>
      <c r="M16" s="1090"/>
      <c r="N16" s="1094">
        <f t="shared" si="0"/>
        <v>108</v>
      </c>
      <c r="O16" s="1091">
        <f t="shared" si="1"/>
        <v>3227</v>
      </c>
      <c r="P16" s="1631">
        <f>C16/33</f>
        <v>101.06060606060606</v>
      </c>
      <c r="Q16" s="845">
        <f>O16/33</f>
        <v>97.787878787878782</v>
      </c>
    </row>
    <row r="17" spans="1:21" x14ac:dyDescent="0.25">
      <c r="A17" s="803" t="s">
        <v>185</v>
      </c>
      <c r="B17" s="815" t="s">
        <v>186</v>
      </c>
      <c r="C17" s="1091">
        <v>3359</v>
      </c>
      <c r="D17" s="1092"/>
      <c r="E17" s="1093"/>
      <c r="F17" s="1093"/>
      <c r="G17" s="1093"/>
      <c r="H17" s="1093"/>
      <c r="I17" s="1093">
        <v>100</v>
      </c>
      <c r="J17" s="1093"/>
      <c r="K17" s="1093"/>
      <c r="L17" s="1093"/>
      <c r="M17" s="1093"/>
      <c r="N17" s="1094">
        <f t="shared" si="0"/>
        <v>100</v>
      </c>
      <c r="O17" s="1091">
        <f t="shared" si="1"/>
        <v>3259</v>
      </c>
      <c r="P17" s="1632">
        <f>C17/33</f>
        <v>101.78787878787878</v>
      </c>
      <c r="Q17" s="847">
        <f>O17/33</f>
        <v>98.757575757575751</v>
      </c>
    </row>
    <row r="18" spans="1:21" x14ac:dyDescent="0.25">
      <c r="A18" s="803" t="s">
        <v>2</v>
      </c>
      <c r="B18" s="815" t="s">
        <v>186</v>
      </c>
      <c r="C18" s="1091">
        <v>3425</v>
      </c>
      <c r="D18" s="1092">
        <v>70</v>
      </c>
      <c r="E18" s="1093"/>
      <c r="F18" s="1093"/>
      <c r="G18" s="1093"/>
      <c r="H18" s="1093"/>
      <c r="I18" s="1093">
        <v>100</v>
      </c>
      <c r="J18" s="1093"/>
      <c r="K18" s="1093"/>
      <c r="L18" s="1093"/>
      <c r="M18" s="1093"/>
      <c r="N18" s="1094">
        <f t="shared" si="0"/>
        <v>170</v>
      </c>
      <c r="O18" s="1091">
        <f t="shared" si="1"/>
        <v>3255</v>
      </c>
      <c r="P18" s="1632">
        <f t="shared" ref="P18:P19" si="4">C18/33</f>
        <v>103.78787878787878</v>
      </c>
      <c r="Q18" s="847">
        <f t="shared" ref="Q18:Q19" si="5">O18/33</f>
        <v>98.63636363636364</v>
      </c>
    </row>
    <row r="19" spans="1:21" s="1" customFormat="1" x14ac:dyDescent="0.25">
      <c r="A19" s="1633" t="s">
        <v>193</v>
      </c>
      <c r="B19" s="1634" t="s">
        <v>186</v>
      </c>
      <c r="C19" s="1635"/>
      <c r="D19" s="1636"/>
      <c r="E19" s="1637"/>
      <c r="F19" s="1637"/>
      <c r="G19" s="1637"/>
      <c r="H19" s="1637"/>
      <c r="I19" s="1637"/>
      <c r="J19" s="1637"/>
      <c r="K19" s="1637"/>
      <c r="L19" s="1637"/>
      <c r="M19" s="1637"/>
      <c r="N19" s="1638"/>
      <c r="O19" s="1635">
        <v>3242.25</v>
      </c>
      <c r="P19" s="1641">
        <f t="shared" si="4"/>
        <v>0</v>
      </c>
      <c r="Q19" s="1640">
        <f t="shared" si="5"/>
        <v>98.25</v>
      </c>
      <c r="R19" s="4"/>
      <c r="S19" s="4"/>
      <c r="T19" s="4"/>
      <c r="U19" s="4"/>
    </row>
    <row r="20" spans="1:21" x14ac:dyDescent="0.25">
      <c r="A20" s="805" t="s">
        <v>178</v>
      </c>
      <c r="B20" s="816" t="s">
        <v>181</v>
      </c>
      <c r="C20" s="1095">
        <v>4405</v>
      </c>
      <c r="D20" s="1096">
        <v>20</v>
      </c>
      <c r="E20" s="1097"/>
      <c r="F20" s="1097"/>
      <c r="G20" s="1097"/>
      <c r="H20" s="1097">
        <v>45</v>
      </c>
      <c r="I20" s="1097"/>
      <c r="J20" s="1097">
        <v>50</v>
      </c>
      <c r="K20" s="1097"/>
      <c r="L20" s="1097"/>
      <c r="M20" s="1097"/>
      <c r="N20" s="1098">
        <f t="shared" si="0"/>
        <v>115</v>
      </c>
      <c r="O20" s="1095">
        <f t="shared" si="1"/>
        <v>4290</v>
      </c>
      <c r="P20" s="1642">
        <f>C20/45</f>
        <v>97.888888888888886</v>
      </c>
      <c r="Q20" s="1643">
        <f>O20/45</f>
        <v>95.333333333333329</v>
      </c>
    </row>
    <row r="21" spans="1:21" x14ac:dyDescent="0.25">
      <c r="A21" s="807" t="s">
        <v>182</v>
      </c>
      <c r="B21" s="817" t="s">
        <v>181</v>
      </c>
      <c r="C21" s="1099">
        <v>4335</v>
      </c>
      <c r="D21" s="1100"/>
      <c r="E21" s="1101">
        <v>40</v>
      </c>
      <c r="F21" s="1101"/>
      <c r="G21" s="1101"/>
      <c r="H21" s="1101"/>
      <c r="I21" s="1101"/>
      <c r="J21" s="1101"/>
      <c r="K21" s="1101"/>
      <c r="L21" s="1101">
        <v>40</v>
      </c>
      <c r="M21" s="1101">
        <v>30</v>
      </c>
      <c r="N21" s="1102">
        <f t="shared" si="0"/>
        <v>110</v>
      </c>
      <c r="O21" s="1099">
        <f t="shared" si="1"/>
        <v>4225</v>
      </c>
      <c r="P21" s="1644">
        <f t="shared" ref="P21:P26" si="6">C21/45</f>
        <v>96.333333333333329</v>
      </c>
      <c r="Q21" s="851">
        <f t="shared" ref="Q21:Q26" si="7">O21/45</f>
        <v>93.888888888888886</v>
      </c>
    </row>
    <row r="22" spans="1:21" x14ac:dyDescent="0.25">
      <c r="A22" s="807" t="s">
        <v>1</v>
      </c>
      <c r="B22" s="817" t="s">
        <v>181</v>
      </c>
      <c r="C22" s="1099">
        <v>4290</v>
      </c>
      <c r="D22" s="1100"/>
      <c r="E22" s="1101"/>
      <c r="F22" s="1101"/>
      <c r="G22" s="1101"/>
      <c r="H22" s="1101"/>
      <c r="I22" s="1101"/>
      <c r="J22" s="1101"/>
      <c r="K22" s="1101"/>
      <c r="L22" s="1101">
        <v>75</v>
      </c>
      <c r="M22" s="1101">
        <v>70</v>
      </c>
      <c r="N22" s="1102">
        <f t="shared" si="0"/>
        <v>145</v>
      </c>
      <c r="O22" s="1099">
        <f t="shared" si="1"/>
        <v>4145</v>
      </c>
      <c r="P22" s="1644">
        <f t="shared" si="6"/>
        <v>95.333333333333329</v>
      </c>
      <c r="Q22" s="851">
        <f t="shared" si="7"/>
        <v>92.111111111111114</v>
      </c>
    </row>
    <row r="23" spans="1:21" x14ac:dyDescent="0.25">
      <c r="A23" s="807" t="s">
        <v>553</v>
      </c>
      <c r="B23" s="817" t="s">
        <v>181</v>
      </c>
      <c r="C23" s="1099">
        <v>4450</v>
      </c>
      <c r="D23" s="1100">
        <v>150</v>
      </c>
      <c r="E23" s="1101"/>
      <c r="F23" s="1101"/>
      <c r="G23" s="1101"/>
      <c r="H23" s="1101"/>
      <c r="I23" s="1101"/>
      <c r="J23" s="1101"/>
      <c r="K23" s="1101"/>
      <c r="L23" s="1101">
        <v>50</v>
      </c>
      <c r="M23" s="1101"/>
      <c r="N23" s="1102">
        <f t="shared" si="0"/>
        <v>200</v>
      </c>
      <c r="O23" s="1099">
        <f t="shared" si="1"/>
        <v>4250</v>
      </c>
      <c r="P23" s="1644">
        <f t="shared" si="6"/>
        <v>98.888888888888886</v>
      </c>
      <c r="Q23" s="851">
        <f t="shared" si="7"/>
        <v>94.444444444444443</v>
      </c>
    </row>
    <row r="24" spans="1:21" x14ac:dyDescent="0.25">
      <c r="A24" s="807" t="s">
        <v>2</v>
      </c>
      <c r="B24" s="817" t="s">
        <v>181</v>
      </c>
      <c r="C24" s="1099">
        <v>4650</v>
      </c>
      <c r="D24" s="1100">
        <v>70</v>
      </c>
      <c r="E24" s="1101"/>
      <c r="F24" s="1101"/>
      <c r="G24" s="1101"/>
      <c r="H24" s="1101"/>
      <c r="I24" s="1101">
        <v>150</v>
      </c>
      <c r="J24" s="1101"/>
      <c r="K24" s="1101"/>
      <c r="L24" s="1101"/>
      <c r="M24" s="1101">
        <v>5</v>
      </c>
      <c r="N24" s="1102">
        <f t="shared" si="0"/>
        <v>225</v>
      </c>
      <c r="O24" s="1099">
        <f t="shared" si="1"/>
        <v>4425</v>
      </c>
      <c r="P24" s="1644">
        <f t="shared" si="6"/>
        <v>103.33333333333333</v>
      </c>
      <c r="Q24" s="851">
        <f t="shared" si="7"/>
        <v>98.333333333333329</v>
      </c>
    </row>
    <row r="25" spans="1:21" x14ac:dyDescent="0.25">
      <c r="A25" s="807" t="s">
        <v>187</v>
      </c>
      <c r="B25" s="817" t="s">
        <v>181</v>
      </c>
      <c r="C25" s="1099">
        <v>4435</v>
      </c>
      <c r="D25" s="1100">
        <v>120</v>
      </c>
      <c r="E25" s="1101"/>
      <c r="F25" s="1101"/>
      <c r="G25" s="1101"/>
      <c r="H25" s="1101">
        <v>25</v>
      </c>
      <c r="I25" s="1101">
        <v>150</v>
      </c>
      <c r="J25" s="1101">
        <v>25</v>
      </c>
      <c r="K25" s="1101">
        <v>25</v>
      </c>
      <c r="L25" s="1101"/>
      <c r="M25" s="1101"/>
      <c r="N25" s="1102">
        <f t="shared" si="0"/>
        <v>345</v>
      </c>
      <c r="O25" s="1099">
        <f t="shared" si="1"/>
        <v>4090</v>
      </c>
      <c r="P25" s="1644">
        <f t="shared" si="6"/>
        <v>98.555555555555557</v>
      </c>
      <c r="Q25" s="851">
        <f t="shared" si="7"/>
        <v>90.888888888888886</v>
      </c>
    </row>
    <row r="26" spans="1:21" x14ac:dyDescent="0.25">
      <c r="A26" s="807" t="s">
        <v>11</v>
      </c>
      <c r="B26" s="817" t="s">
        <v>181</v>
      </c>
      <c r="C26" s="1099">
        <v>4600</v>
      </c>
      <c r="D26" s="1100">
        <v>100</v>
      </c>
      <c r="E26" s="1101"/>
      <c r="F26" s="1101"/>
      <c r="G26" s="1101"/>
      <c r="H26" s="1101">
        <v>15</v>
      </c>
      <c r="I26" s="1101"/>
      <c r="J26" s="1101">
        <v>30</v>
      </c>
      <c r="K26" s="1101">
        <v>70</v>
      </c>
      <c r="L26" s="1101"/>
      <c r="M26" s="1101"/>
      <c r="N26" s="1102">
        <f t="shared" si="0"/>
        <v>215</v>
      </c>
      <c r="O26" s="1099">
        <f t="shared" si="1"/>
        <v>4385</v>
      </c>
      <c r="P26" s="1644">
        <f t="shared" si="6"/>
        <v>102.22222222222223</v>
      </c>
      <c r="Q26" s="851">
        <f t="shared" si="7"/>
        <v>97.444444444444443</v>
      </c>
    </row>
    <row r="27" spans="1:21" x14ac:dyDescent="0.25">
      <c r="A27" s="807" t="s">
        <v>194</v>
      </c>
      <c r="B27" s="817" t="s">
        <v>181</v>
      </c>
      <c r="C27" s="1281">
        <v>4365</v>
      </c>
      <c r="D27" s="1100"/>
      <c r="E27" s="1101"/>
      <c r="F27" s="1101"/>
      <c r="G27" s="1101"/>
      <c r="H27" s="1101"/>
      <c r="I27" s="1101"/>
      <c r="J27" s="1101"/>
      <c r="K27" s="1101">
        <v>150</v>
      </c>
      <c r="L27" s="1101"/>
      <c r="M27" s="1101"/>
      <c r="N27" s="1102">
        <f>SUM(D27:M27)</f>
        <v>150</v>
      </c>
      <c r="O27" s="1099">
        <f>C27-N27</f>
        <v>4215</v>
      </c>
      <c r="P27" s="1644">
        <f>C27/45</f>
        <v>97</v>
      </c>
      <c r="Q27" s="851">
        <f>O27/45</f>
        <v>93.666666666666671</v>
      </c>
    </row>
    <row r="28" spans="1:21" s="1" customFormat="1" x14ac:dyDescent="0.25">
      <c r="A28" s="1633" t="s">
        <v>193</v>
      </c>
      <c r="B28" s="1634" t="s">
        <v>181</v>
      </c>
      <c r="C28" s="1635"/>
      <c r="D28" s="1636"/>
      <c r="E28" s="1637"/>
      <c r="F28" s="1637"/>
      <c r="G28" s="1637"/>
      <c r="H28" s="1637"/>
      <c r="I28" s="1637"/>
      <c r="J28" s="1637"/>
      <c r="K28" s="1637"/>
      <c r="L28" s="1637"/>
      <c r="M28" s="1637"/>
      <c r="N28" s="1638"/>
      <c r="O28" s="1635">
        <v>4421.25</v>
      </c>
      <c r="P28" s="1641">
        <f>C28/45</f>
        <v>0</v>
      </c>
      <c r="Q28" s="1640">
        <f>O28/45</f>
        <v>98.25</v>
      </c>
      <c r="R28" s="4"/>
      <c r="S28" s="4"/>
      <c r="T28" s="4"/>
      <c r="U2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6"/>
  <sheetViews>
    <sheetView workbookViewId="0">
      <pane ySplit="2" topLeftCell="A3" activePane="bottomLeft" state="frozen"/>
      <selection pane="bottomLeft" activeCell="M19" sqref="M19"/>
    </sheetView>
  </sheetViews>
  <sheetFormatPr defaultRowHeight="14.4" x14ac:dyDescent="0.3"/>
  <cols>
    <col min="1" max="1" width="2.33203125" style="1039" bestFit="1" customWidth="1"/>
    <col min="2" max="2" width="12.77734375" bestFit="1" customWidth="1"/>
    <col min="3" max="3" width="20.109375" bestFit="1" customWidth="1"/>
    <col min="4" max="4" width="8.88671875" bestFit="1" customWidth="1"/>
    <col min="5" max="5" width="6.88671875" bestFit="1" customWidth="1"/>
    <col min="6" max="6" width="5.77734375" bestFit="1" customWidth="1"/>
    <col min="7" max="7" width="6.88671875" bestFit="1" customWidth="1"/>
    <col min="8" max="8" width="7.88671875" bestFit="1" customWidth="1"/>
    <col min="9" max="9" width="6.88671875" bestFit="1" customWidth="1"/>
    <col min="10" max="10" width="5.77734375" bestFit="1" customWidth="1"/>
    <col min="11" max="11" width="5.33203125" bestFit="1" customWidth="1"/>
    <col min="12" max="12" width="8.88671875" customWidth="1"/>
  </cols>
  <sheetData>
    <row r="1" spans="1:16" ht="17.399999999999999" x14ac:dyDescent="0.3">
      <c r="A1" s="1235" t="s">
        <v>30</v>
      </c>
    </row>
    <row r="2" spans="1:16" s="1" customFormat="1" x14ac:dyDescent="0.3">
      <c r="A2" s="1234" t="s">
        <v>662</v>
      </c>
    </row>
    <row r="3" spans="1:16" s="1" customFormat="1" ht="15" thickBot="1" x14ac:dyDescent="0.35">
      <c r="A3" s="1234"/>
    </row>
    <row r="4" spans="1:16" s="1" customFormat="1" x14ac:dyDescent="0.3">
      <c r="A4" s="2108" t="s">
        <v>16</v>
      </c>
      <c r="B4" s="2120" t="s">
        <v>660</v>
      </c>
      <c r="C4" s="2118" t="s">
        <v>661</v>
      </c>
      <c r="D4" s="2110" t="s">
        <v>899</v>
      </c>
      <c r="E4" s="2111"/>
      <c r="F4" s="2111"/>
      <c r="G4" s="2112"/>
      <c r="H4" s="2113" t="s">
        <v>898</v>
      </c>
      <c r="I4" s="2114"/>
      <c r="J4" s="2114"/>
      <c r="K4" s="2115"/>
      <c r="L4" s="2116" t="s">
        <v>901</v>
      </c>
    </row>
    <row r="5" spans="1:16" s="1" customFormat="1" ht="15" thickBot="1" x14ac:dyDescent="0.35">
      <c r="A5" s="2109"/>
      <c r="B5" s="2121"/>
      <c r="C5" s="2119"/>
      <c r="D5" s="1428" t="s">
        <v>535</v>
      </c>
      <c r="E5" s="1429" t="s">
        <v>655</v>
      </c>
      <c r="F5" s="1429" t="s">
        <v>537</v>
      </c>
      <c r="G5" s="1430" t="s">
        <v>469</v>
      </c>
      <c r="H5" s="1431" t="s">
        <v>535</v>
      </c>
      <c r="I5" s="1432" t="s">
        <v>655</v>
      </c>
      <c r="J5" s="1432" t="s">
        <v>537</v>
      </c>
      <c r="K5" s="1433" t="s">
        <v>469</v>
      </c>
      <c r="L5" s="2117"/>
    </row>
    <row r="6" spans="1:16" x14ac:dyDescent="0.3">
      <c r="A6" s="1401">
        <v>1</v>
      </c>
      <c r="B6" s="1240" t="s">
        <v>549</v>
      </c>
      <c r="C6" s="1241" t="s">
        <v>775</v>
      </c>
      <c r="D6" s="1406">
        <v>7800</v>
      </c>
      <c r="E6" s="1236">
        <v>4150</v>
      </c>
      <c r="F6" s="1236">
        <v>225</v>
      </c>
      <c r="G6" s="1407">
        <f>SUM(D6*12+E6*33+F6*45)/1000</f>
        <v>240.67500000000001</v>
      </c>
      <c r="H6" s="1404">
        <v>2094</v>
      </c>
      <c r="I6" s="1238">
        <v>20</v>
      </c>
      <c r="J6" s="1238">
        <v>0</v>
      </c>
      <c r="K6" s="1413">
        <v>25.787999999999997</v>
      </c>
      <c r="L6" s="1415">
        <f>K6/G6</f>
        <v>0.10714864443751945</v>
      </c>
    </row>
    <row r="7" spans="1:16" x14ac:dyDescent="0.3">
      <c r="A7" s="1402">
        <v>2</v>
      </c>
      <c r="B7" s="1242" t="s">
        <v>545</v>
      </c>
      <c r="C7" s="1243" t="s">
        <v>881</v>
      </c>
      <c r="D7" s="1408">
        <v>40000</v>
      </c>
      <c r="E7" s="800">
        <v>500</v>
      </c>
      <c r="F7" s="800">
        <v>0</v>
      </c>
      <c r="G7" s="1409">
        <f t="shared" ref="G7:G11" si="0">SUM(D7*12+E7*33+F7*45)/1000</f>
        <v>496.5</v>
      </c>
      <c r="H7" s="822">
        <v>11457</v>
      </c>
      <c r="I7" s="804">
        <v>74</v>
      </c>
      <c r="J7" s="804">
        <v>0</v>
      </c>
      <c r="K7" s="836">
        <v>139.92600000000002</v>
      </c>
      <c r="L7" s="1416">
        <f t="shared" ref="L7:L14" si="1">K7/G7</f>
        <v>0.28182477341389733</v>
      </c>
    </row>
    <row r="8" spans="1:16" x14ac:dyDescent="0.3">
      <c r="A8" s="1402">
        <v>3</v>
      </c>
      <c r="B8" s="1242" t="s">
        <v>546</v>
      </c>
      <c r="C8" s="1243" t="s">
        <v>874</v>
      </c>
      <c r="D8" s="1408">
        <v>12000</v>
      </c>
      <c r="E8" s="800">
        <v>350</v>
      </c>
      <c r="F8" s="800">
        <v>20</v>
      </c>
      <c r="G8" s="1409">
        <f t="shared" si="0"/>
        <v>156.44999999999999</v>
      </c>
      <c r="H8" s="822">
        <v>3919</v>
      </c>
      <c r="I8" s="804">
        <v>60</v>
      </c>
      <c r="J8" s="804">
        <v>0</v>
      </c>
      <c r="K8" s="836">
        <v>49.007999999999996</v>
      </c>
      <c r="L8" s="1416">
        <f t="shared" si="1"/>
        <v>0.31325023969319271</v>
      </c>
    </row>
    <row r="9" spans="1:16" s="1232" customFormat="1" x14ac:dyDescent="0.3">
      <c r="A9" s="1402">
        <v>4</v>
      </c>
      <c r="B9" s="1244" t="s">
        <v>657</v>
      </c>
      <c r="C9" s="1243" t="s">
        <v>780</v>
      </c>
      <c r="D9" s="1408">
        <v>46500</v>
      </c>
      <c r="E9" s="800">
        <v>1000</v>
      </c>
      <c r="F9" s="800">
        <v>0</v>
      </c>
      <c r="G9" s="1409">
        <f t="shared" si="0"/>
        <v>591</v>
      </c>
      <c r="H9" s="822">
        <v>9779</v>
      </c>
      <c r="I9" s="804">
        <v>193</v>
      </c>
      <c r="J9" s="804">
        <v>0</v>
      </c>
      <c r="K9" s="836">
        <v>123.71700000000001</v>
      </c>
      <c r="L9" s="1416">
        <f t="shared" si="1"/>
        <v>0.20933502538071069</v>
      </c>
    </row>
    <row r="10" spans="1:16" s="1232" customFormat="1" x14ac:dyDescent="0.3">
      <c r="A10" s="1402">
        <v>5</v>
      </c>
      <c r="B10" s="1242" t="s">
        <v>659</v>
      </c>
      <c r="C10" s="1243" t="s">
        <v>830</v>
      </c>
      <c r="D10" s="1408">
        <v>24000</v>
      </c>
      <c r="E10" s="800">
        <v>1500</v>
      </c>
      <c r="F10" s="800">
        <v>50</v>
      </c>
      <c r="G10" s="1409">
        <f t="shared" si="0"/>
        <v>339.75</v>
      </c>
      <c r="H10" s="822">
        <v>5548</v>
      </c>
      <c r="I10" s="804">
        <v>554</v>
      </c>
      <c r="J10" s="804">
        <v>15</v>
      </c>
      <c r="K10" s="836">
        <v>85.533000000000015</v>
      </c>
      <c r="L10" s="1416">
        <f t="shared" si="1"/>
        <v>0.25175275938189851</v>
      </c>
      <c r="M10" s="1233"/>
      <c r="N10" s="1233"/>
      <c r="O10" s="1233"/>
      <c r="P10" s="1233"/>
    </row>
    <row r="11" spans="1:16" s="1232" customFormat="1" x14ac:dyDescent="0.3">
      <c r="A11" s="1402">
        <v>6</v>
      </c>
      <c r="B11" s="1242" t="s">
        <v>658</v>
      </c>
      <c r="C11" s="1243" t="s">
        <v>798</v>
      </c>
      <c r="D11" s="1408">
        <v>47000</v>
      </c>
      <c r="E11" s="800">
        <v>2000</v>
      </c>
      <c r="F11" s="800">
        <v>100</v>
      </c>
      <c r="G11" s="1409">
        <f t="shared" si="0"/>
        <v>634.5</v>
      </c>
      <c r="H11" s="822">
        <v>24404</v>
      </c>
      <c r="I11" s="804">
        <v>1188</v>
      </c>
      <c r="J11" s="804">
        <v>37</v>
      </c>
      <c r="K11" s="836">
        <v>333.71700000000004</v>
      </c>
      <c r="L11" s="1416">
        <f t="shared" si="1"/>
        <v>0.52595271867612303</v>
      </c>
    </row>
    <row r="12" spans="1:16" x14ac:dyDescent="0.3">
      <c r="A12" s="1402">
        <v>7</v>
      </c>
      <c r="B12" s="1242" t="s">
        <v>656</v>
      </c>
      <c r="C12" s="1243" t="s">
        <v>871</v>
      </c>
      <c r="D12" s="1408"/>
      <c r="E12" s="800"/>
      <c r="F12" s="800"/>
      <c r="G12" s="1410">
        <v>24</v>
      </c>
      <c r="H12" s="822"/>
      <c r="I12" s="804"/>
      <c r="J12" s="804"/>
      <c r="K12" s="836"/>
      <c r="L12" s="1416">
        <f t="shared" si="1"/>
        <v>0</v>
      </c>
    </row>
    <row r="13" spans="1:16" ht="15" thickBot="1" x14ac:dyDescent="0.35">
      <c r="A13" s="1403">
        <v>8</v>
      </c>
      <c r="B13" s="1245" t="s">
        <v>900</v>
      </c>
      <c r="C13" s="1246"/>
      <c r="D13" s="1411"/>
      <c r="E13" s="1237"/>
      <c r="F13" s="1237"/>
      <c r="G13" s="1412">
        <v>20</v>
      </c>
      <c r="H13" s="1405"/>
      <c r="I13" s="1239"/>
      <c r="J13" s="1239"/>
      <c r="K13" s="1414">
        <v>8.3789999999999996</v>
      </c>
      <c r="L13" s="1417">
        <f t="shared" si="1"/>
        <v>0.41894999999999999</v>
      </c>
      <c r="O13" s="133"/>
    </row>
    <row r="14" spans="1:16" s="1" customFormat="1" ht="15" thickBot="1" x14ac:dyDescent="0.35">
      <c r="A14" s="1418"/>
      <c r="B14" s="1419" t="s">
        <v>0</v>
      </c>
      <c r="C14" s="1420"/>
      <c r="D14" s="1421">
        <f>SUM(D6:D13)</f>
        <v>177300</v>
      </c>
      <c r="E14" s="1422">
        <f t="shared" ref="E14:G14" si="2">SUM(E6:E13)</f>
        <v>9500</v>
      </c>
      <c r="F14" s="1422">
        <f t="shared" si="2"/>
        <v>395</v>
      </c>
      <c r="G14" s="1423">
        <f t="shared" si="2"/>
        <v>2502.875</v>
      </c>
      <c r="H14" s="1424">
        <f t="shared" ref="H14" si="3">SUM(H6:H13)</f>
        <v>57201</v>
      </c>
      <c r="I14" s="1425">
        <f t="shared" ref="I14" si="4">SUM(I6:I13)</f>
        <v>2089</v>
      </c>
      <c r="J14" s="1425">
        <f t="shared" ref="J14" si="5">SUM(J6:J13)</f>
        <v>52</v>
      </c>
      <c r="K14" s="1426">
        <f t="shared" ref="K14" si="6">SUM(K6:K13)</f>
        <v>766.0680000000001</v>
      </c>
      <c r="L14" s="1427">
        <f t="shared" si="1"/>
        <v>0.30607521350446992</v>
      </c>
    </row>
    <row r="16" spans="1:16" x14ac:dyDescent="0.3">
      <c r="G16" s="133"/>
    </row>
  </sheetData>
  <mergeCells count="6">
    <mergeCell ref="A4:A5"/>
    <mergeCell ref="D4:G4"/>
    <mergeCell ref="H4:K4"/>
    <mergeCell ref="L4:L5"/>
    <mergeCell ref="C4:C5"/>
    <mergeCell ref="B4:B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68"/>
  <sheetViews>
    <sheetView workbookViewId="0">
      <pane ySplit="3" topLeftCell="A4" activePane="bottomLeft" state="frozen"/>
      <selection pane="bottomLeft" activeCell="O22" sqref="O22"/>
    </sheetView>
  </sheetViews>
  <sheetFormatPr defaultRowHeight="14.4" x14ac:dyDescent="0.3"/>
  <cols>
    <col min="1" max="1" width="3.6640625" style="132" customWidth="1"/>
    <col min="2" max="2" width="13.33203125" style="132" bestFit="1" customWidth="1"/>
    <col min="3" max="3" width="14.88671875" style="132" bestFit="1" customWidth="1"/>
    <col min="4" max="4" width="8.6640625" style="1199" bestFit="1" customWidth="1"/>
    <col min="5" max="5" width="48" style="132" bestFit="1" customWidth="1"/>
    <col min="6" max="6" width="7.88671875" style="132" bestFit="1" customWidth="1"/>
    <col min="7" max="7" width="6.88671875" style="132" bestFit="1" customWidth="1"/>
    <col min="8" max="8" width="6.6640625" style="132" bestFit="1" customWidth="1"/>
    <col min="9" max="10" width="6.88671875" style="132" bestFit="1" customWidth="1"/>
    <col min="11" max="11" width="21.33203125" style="1200" bestFit="1" customWidth="1"/>
    <col min="12" max="12" width="28.33203125" style="1200" bestFit="1" customWidth="1"/>
    <col min="13" max="14" width="8.88671875" style="132"/>
    <col min="15" max="15" width="8.88671875" style="57"/>
  </cols>
  <sheetData>
    <row r="1" spans="1:12" ht="14.4" customHeight="1" x14ac:dyDescent="0.3">
      <c r="A1" s="1202" t="s">
        <v>765</v>
      </c>
      <c r="D1" s="132"/>
    </row>
    <row r="2" spans="1:12" ht="14.4" customHeight="1" x14ac:dyDescent="0.3">
      <c r="A2" s="1202" t="s">
        <v>766</v>
      </c>
      <c r="D2" s="132"/>
    </row>
    <row r="3" spans="1:12" x14ac:dyDescent="0.3">
      <c r="A3" s="1218" t="s">
        <v>767</v>
      </c>
      <c r="B3" s="1219" t="s">
        <v>660</v>
      </c>
      <c r="C3" s="1219" t="s">
        <v>768</v>
      </c>
      <c r="D3" s="1220" t="s">
        <v>897</v>
      </c>
      <c r="E3" s="1219" t="s">
        <v>769</v>
      </c>
      <c r="F3" s="1220" t="s">
        <v>535</v>
      </c>
      <c r="G3" s="1220" t="s">
        <v>655</v>
      </c>
      <c r="H3" s="1220" t="s">
        <v>537</v>
      </c>
      <c r="I3" s="1220" t="s">
        <v>144</v>
      </c>
      <c r="J3" s="1220" t="s">
        <v>469</v>
      </c>
      <c r="K3" s="1221" t="s">
        <v>770</v>
      </c>
      <c r="L3" s="1222" t="s">
        <v>771</v>
      </c>
    </row>
    <row r="4" spans="1:12" x14ac:dyDescent="0.3">
      <c r="A4" s="1213">
        <v>1</v>
      </c>
      <c r="B4" s="1214" t="s">
        <v>772</v>
      </c>
      <c r="C4" s="1214" t="s">
        <v>773</v>
      </c>
      <c r="D4" s="1215">
        <v>1266</v>
      </c>
      <c r="E4" s="1214" t="s">
        <v>774</v>
      </c>
      <c r="F4" s="1226">
        <v>294</v>
      </c>
      <c r="G4" s="1226">
        <v>20</v>
      </c>
      <c r="H4" s="1226">
        <v>0</v>
      </c>
      <c r="I4" s="1226"/>
      <c r="J4" s="1227">
        <f>SUM((F4*12+G4*33+H4*45+I4)/1000)</f>
        <v>4.1879999999999997</v>
      </c>
      <c r="K4" s="1216" t="s">
        <v>775</v>
      </c>
      <c r="L4" s="1217" t="s">
        <v>776</v>
      </c>
    </row>
    <row r="5" spans="1:12" x14ac:dyDescent="0.3">
      <c r="A5" s="1209">
        <v>2</v>
      </c>
      <c r="B5" s="1203" t="s">
        <v>777</v>
      </c>
      <c r="C5" s="1203" t="s">
        <v>778</v>
      </c>
      <c r="D5" s="1204">
        <v>1078</v>
      </c>
      <c r="E5" s="1203" t="s">
        <v>779</v>
      </c>
      <c r="F5" s="1228">
        <v>552</v>
      </c>
      <c r="G5" s="1228">
        <v>0</v>
      </c>
      <c r="H5" s="1228">
        <v>0</v>
      </c>
      <c r="I5" s="1228"/>
      <c r="J5" s="1229">
        <f t="shared" ref="J5:J67" si="0">SUM((F5*12+G5*33+H5*45+I5)/1000)</f>
        <v>6.6239999999999997</v>
      </c>
      <c r="K5" s="1205" t="s">
        <v>780</v>
      </c>
      <c r="L5" s="1206" t="s">
        <v>781</v>
      </c>
    </row>
    <row r="6" spans="1:12" x14ac:dyDescent="0.3">
      <c r="A6" s="1209">
        <v>3</v>
      </c>
      <c r="B6" s="1203" t="s">
        <v>777</v>
      </c>
      <c r="C6" s="1203" t="s">
        <v>778</v>
      </c>
      <c r="D6" s="1204">
        <v>2595</v>
      </c>
      <c r="E6" s="1203" t="s">
        <v>782</v>
      </c>
      <c r="F6" s="1228">
        <v>1060</v>
      </c>
      <c r="G6" s="1228">
        <v>22</v>
      </c>
      <c r="H6" s="1228">
        <v>0</v>
      </c>
      <c r="I6" s="1228"/>
      <c r="J6" s="1229">
        <f t="shared" si="0"/>
        <v>13.446</v>
      </c>
      <c r="K6" s="1205" t="s">
        <v>780</v>
      </c>
      <c r="L6" s="1206" t="s">
        <v>781</v>
      </c>
    </row>
    <row r="7" spans="1:12" ht="13.8" customHeight="1" x14ac:dyDescent="0.3">
      <c r="A7" s="1209">
        <v>4</v>
      </c>
      <c r="B7" s="1203" t="s">
        <v>777</v>
      </c>
      <c r="C7" s="1203" t="s">
        <v>777</v>
      </c>
      <c r="D7" s="1204">
        <v>2521</v>
      </c>
      <c r="E7" s="1203" t="s">
        <v>783</v>
      </c>
      <c r="F7" s="1228">
        <v>300</v>
      </c>
      <c r="G7" s="1228">
        <v>0</v>
      </c>
      <c r="H7" s="1228">
        <v>0</v>
      </c>
      <c r="I7" s="1228"/>
      <c r="J7" s="1229">
        <f t="shared" si="0"/>
        <v>3.6</v>
      </c>
      <c r="K7" s="1205" t="s">
        <v>780</v>
      </c>
      <c r="L7" s="1206" t="s">
        <v>784</v>
      </c>
    </row>
    <row r="8" spans="1:12" x14ac:dyDescent="0.3">
      <c r="A8" s="1209">
        <v>5</v>
      </c>
      <c r="B8" s="1203" t="s">
        <v>777</v>
      </c>
      <c r="C8" s="1203" t="s">
        <v>777</v>
      </c>
      <c r="D8" s="1204">
        <v>2597</v>
      </c>
      <c r="E8" s="1203" t="s">
        <v>785</v>
      </c>
      <c r="F8" s="1228">
        <v>300</v>
      </c>
      <c r="G8" s="1228">
        <v>0</v>
      </c>
      <c r="H8" s="1228">
        <v>0</v>
      </c>
      <c r="I8" s="1228"/>
      <c r="J8" s="1229">
        <f t="shared" si="0"/>
        <v>3.6</v>
      </c>
      <c r="K8" s="1205" t="s">
        <v>780</v>
      </c>
      <c r="L8" s="1206" t="s">
        <v>786</v>
      </c>
    </row>
    <row r="9" spans="1:12" x14ac:dyDescent="0.3">
      <c r="A9" s="1209">
        <v>6</v>
      </c>
      <c r="B9" s="1203" t="s">
        <v>777</v>
      </c>
      <c r="C9" s="1203" t="s">
        <v>777</v>
      </c>
      <c r="D9" s="1204">
        <v>2582</v>
      </c>
      <c r="E9" s="1203" t="s">
        <v>787</v>
      </c>
      <c r="F9" s="1228">
        <v>222</v>
      </c>
      <c r="G9" s="1228">
        <v>0</v>
      </c>
      <c r="H9" s="1228">
        <v>0</v>
      </c>
      <c r="I9" s="1228"/>
      <c r="J9" s="1229">
        <f t="shared" si="0"/>
        <v>2.6640000000000001</v>
      </c>
      <c r="K9" s="1205" t="s">
        <v>780</v>
      </c>
      <c r="L9" s="1206" t="s">
        <v>784</v>
      </c>
    </row>
    <row r="10" spans="1:12" x14ac:dyDescent="0.3">
      <c r="A10" s="1209">
        <v>7</v>
      </c>
      <c r="B10" s="1203" t="s">
        <v>777</v>
      </c>
      <c r="C10" s="1203" t="s">
        <v>788</v>
      </c>
      <c r="D10" s="1204">
        <v>1151</v>
      </c>
      <c r="E10" s="1203" t="s">
        <v>789</v>
      </c>
      <c r="F10" s="1228">
        <v>790</v>
      </c>
      <c r="G10" s="1228">
        <v>36</v>
      </c>
      <c r="H10" s="1228">
        <v>0</v>
      </c>
      <c r="I10" s="1228"/>
      <c r="J10" s="1229">
        <f t="shared" si="0"/>
        <v>10.667999999999999</v>
      </c>
      <c r="K10" s="1205" t="s">
        <v>780</v>
      </c>
      <c r="L10" s="1206" t="s">
        <v>790</v>
      </c>
    </row>
    <row r="11" spans="1:12" x14ac:dyDescent="0.3">
      <c r="A11" s="1209">
        <v>8</v>
      </c>
      <c r="B11" s="1203" t="s">
        <v>777</v>
      </c>
      <c r="C11" s="1203" t="s">
        <v>788</v>
      </c>
      <c r="D11" s="1204">
        <v>1152</v>
      </c>
      <c r="E11" s="1203" t="s">
        <v>791</v>
      </c>
      <c r="F11" s="1228">
        <v>200</v>
      </c>
      <c r="G11" s="1228">
        <v>0</v>
      </c>
      <c r="H11" s="1228">
        <v>0</v>
      </c>
      <c r="I11" s="1228"/>
      <c r="J11" s="1229">
        <f t="shared" si="0"/>
        <v>2.4</v>
      </c>
      <c r="K11" s="1205" t="s">
        <v>780</v>
      </c>
      <c r="L11" s="1206" t="s">
        <v>790</v>
      </c>
    </row>
    <row r="12" spans="1:12" x14ac:dyDescent="0.3">
      <c r="A12" s="1209">
        <v>9</v>
      </c>
      <c r="B12" s="1203" t="s">
        <v>685</v>
      </c>
      <c r="C12" s="1203" t="s">
        <v>792</v>
      </c>
      <c r="D12" s="1204">
        <v>2544</v>
      </c>
      <c r="E12" s="1203" t="s">
        <v>793</v>
      </c>
      <c r="F12" s="1228">
        <v>100</v>
      </c>
      <c r="G12" s="1228">
        <v>0</v>
      </c>
      <c r="H12" s="1228">
        <v>0</v>
      </c>
      <c r="I12" s="1228"/>
      <c r="J12" s="1229">
        <f t="shared" si="0"/>
        <v>1.2</v>
      </c>
      <c r="K12" s="1205" t="s">
        <v>775</v>
      </c>
      <c r="L12" s="1206" t="s">
        <v>775</v>
      </c>
    </row>
    <row r="13" spans="1:12" x14ac:dyDescent="0.3">
      <c r="A13" s="1209">
        <v>10</v>
      </c>
      <c r="B13" s="1203" t="s">
        <v>685</v>
      </c>
      <c r="C13" s="1203" t="s">
        <v>794</v>
      </c>
      <c r="D13" s="1204">
        <v>1336</v>
      </c>
      <c r="E13" s="1203" t="s">
        <v>795</v>
      </c>
      <c r="F13" s="1228">
        <v>1700</v>
      </c>
      <c r="G13" s="1228">
        <v>0</v>
      </c>
      <c r="H13" s="1228">
        <v>0</v>
      </c>
      <c r="I13" s="1228"/>
      <c r="J13" s="1229">
        <f t="shared" si="0"/>
        <v>20.399999999999999</v>
      </c>
      <c r="K13" s="1205" t="s">
        <v>775</v>
      </c>
      <c r="L13" s="1206" t="s">
        <v>775</v>
      </c>
    </row>
    <row r="14" spans="1:12" x14ac:dyDescent="0.3">
      <c r="A14" s="1209">
        <v>11</v>
      </c>
      <c r="B14" s="1203" t="s">
        <v>550</v>
      </c>
      <c r="C14" s="1203" t="s">
        <v>796</v>
      </c>
      <c r="D14" s="1204">
        <v>1290</v>
      </c>
      <c r="E14" s="1203" t="s">
        <v>797</v>
      </c>
      <c r="F14" s="1228">
        <v>177</v>
      </c>
      <c r="G14" s="1228">
        <v>173</v>
      </c>
      <c r="H14" s="1228">
        <v>0</v>
      </c>
      <c r="I14" s="1228"/>
      <c r="J14" s="1229">
        <f t="shared" si="0"/>
        <v>7.8330000000000002</v>
      </c>
      <c r="K14" s="1205" t="s">
        <v>798</v>
      </c>
      <c r="L14" s="1206" t="s">
        <v>799</v>
      </c>
    </row>
    <row r="15" spans="1:12" x14ac:dyDescent="0.3">
      <c r="A15" s="1209">
        <v>12</v>
      </c>
      <c r="B15" s="1203" t="s">
        <v>550</v>
      </c>
      <c r="C15" s="1203" t="s">
        <v>796</v>
      </c>
      <c r="D15" s="1204">
        <v>2573</v>
      </c>
      <c r="E15" s="1203" t="s">
        <v>800</v>
      </c>
      <c r="F15" s="1228">
        <v>68</v>
      </c>
      <c r="G15" s="1228">
        <v>0</v>
      </c>
      <c r="H15" s="1228">
        <v>0</v>
      </c>
      <c r="I15" s="1228"/>
      <c r="J15" s="1229">
        <f t="shared" si="0"/>
        <v>0.81599999999999995</v>
      </c>
      <c r="K15" s="1205" t="s">
        <v>798</v>
      </c>
      <c r="L15" s="1206" t="s">
        <v>799</v>
      </c>
    </row>
    <row r="16" spans="1:12" x14ac:dyDescent="0.3">
      <c r="A16" s="1209">
        <v>13</v>
      </c>
      <c r="B16" s="1203" t="s">
        <v>550</v>
      </c>
      <c r="C16" s="1203" t="s">
        <v>796</v>
      </c>
      <c r="D16" s="1204">
        <v>2508</v>
      </c>
      <c r="E16" s="1203" t="s">
        <v>801</v>
      </c>
      <c r="F16" s="1228">
        <v>2428</v>
      </c>
      <c r="G16" s="1228">
        <v>514</v>
      </c>
      <c r="H16" s="1228">
        <v>0</v>
      </c>
      <c r="I16" s="1228"/>
      <c r="J16" s="1229">
        <f t="shared" si="0"/>
        <v>46.097999999999999</v>
      </c>
      <c r="K16" s="1205" t="s">
        <v>798</v>
      </c>
      <c r="L16" s="1206" t="s">
        <v>799</v>
      </c>
    </row>
    <row r="17" spans="1:12" x14ac:dyDescent="0.3">
      <c r="A17" s="1209">
        <v>14</v>
      </c>
      <c r="B17" s="1203" t="s">
        <v>550</v>
      </c>
      <c r="C17" s="1203" t="s">
        <v>796</v>
      </c>
      <c r="D17" s="1204">
        <v>2535</v>
      </c>
      <c r="E17" s="1203" t="s">
        <v>802</v>
      </c>
      <c r="F17" s="1228">
        <v>94</v>
      </c>
      <c r="G17" s="1228">
        <v>25</v>
      </c>
      <c r="H17" s="1228">
        <v>9</v>
      </c>
      <c r="I17" s="1228"/>
      <c r="J17" s="1229">
        <f t="shared" si="0"/>
        <v>2.3580000000000001</v>
      </c>
      <c r="K17" s="1205" t="s">
        <v>798</v>
      </c>
      <c r="L17" s="1206" t="s">
        <v>799</v>
      </c>
    </row>
    <row r="18" spans="1:12" x14ac:dyDescent="0.3">
      <c r="A18" s="1209">
        <v>15</v>
      </c>
      <c r="B18" s="1203" t="s">
        <v>550</v>
      </c>
      <c r="C18" s="1203" t="s">
        <v>796</v>
      </c>
      <c r="D18" s="1204">
        <v>1243</v>
      </c>
      <c r="E18" s="1203" t="s">
        <v>803</v>
      </c>
      <c r="F18" s="1228">
        <v>234</v>
      </c>
      <c r="G18" s="1228">
        <v>0</v>
      </c>
      <c r="H18" s="1228">
        <v>8</v>
      </c>
      <c r="I18" s="1228"/>
      <c r="J18" s="1229">
        <f t="shared" si="0"/>
        <v>3.1680000000000001</v>
      </c>
      <c r="K18" s="1205" t="s">
        <v>798</v>
      </c>
      <c r="L18" s="1206" t="s">
        <v>799</v>
      </c>
    </row>
    <row r="19" spans="1:12" x14ac:dyDescent="0.3">
      <c r="A19" s="1209">
        <v>16</v>
      </c>
      <c r="B19" s="1203" t="s">
        <v>550</v>
      </c>
      <c r="C19" s="1203" t="s">
        <v>796</v>
      </c>
      <c r="D19" s="1204">
        <v>2626</v>
      </c>
      <c r="E19" s="1203" t="s">
        <v>804</v>
      </c>
      <c r="F19" s="1228">
        <v>536</v>
      </c>
      <c r="G19" s="1228">
        <v>20</v>
      </c>
      <c r="H19" s="1228">
        <v>0</v>
      </c>
      <c r="I19" s="1228"/>
      <c r="J19" s="1229">
        <f t="shared" si="0"/>
        <v>7.0919999999999996</v>
      </c>
      <c r="K19" s="1205" t="s">
        <v>798</v>
      </c>
      <c r="L19" s="1206" t="s">
        <v>799</v>
      </c>
    </row>
    <row r="20" spans="1:12" x14ac:dyDescent="0.3">
      <c r="A20" s="1209">
        <v>17</v>
      </c>
      <c r="B20" s="1203" t="s">
        <v>550</v>
      </c>
      <c r="C20" s="1203" t="s">
        <v>796</v>
      </c>
      <c r="D20" s="1204">
        <v>2514</v>
      </c>
      <c r="E20" s="1203" t="s">
        <v>805</v>
      </c>
      <c r="F20" s="1228">
        <v>166</v>
      </c>
      <c r="G20" s="1228">
        <v>8</v>
      </c>
      <c r="H20" s="1228">
        <v>0</v>
      </c>
      <c r="I20" s="1228"/>
      <c r="J20" s="1229">
        <f t="shared" si="0"/>
        <v>2.2559999999999998</v>
      </c>
      <c r="K20" s="1205" t="s">
        <v>798</v>
      </c>
      <c r="L20" s="1206" t="s">
        <v>799</v>
      </c>
    </row>
    <row r="21" spans="1:12" x14ac:dyDescent="0.3">
      <c r="A21" s="1209">
        <v>18</v>
      </c>
      <c r="B21" s="1203" t="s">
        <v>550</v>
      </c>
      <c r="C21" s="1203" t="s">
        <v>796</v>
      </c>
      <c r="D21" s="1204">
        <v>1402</v>
      </c>
      <c r="E21" s="1203" t="s">
        <v>806</v>
      </c>
      <c r="F21" s="1228">
        <v>70</v>
      </c>
      <c r="G21" s="1228">
        <v>54</v>
      </c>
      <c r="H21" s="1228">
        <v>1</v>
      </c>
      <c r="I21" s="1228"/>
      <c r="J21" s="1229">
        <f t="shared" si="0"/>
        <v>2.6669999999999998</v>
      </c>
      <c r="K21" s="1205" t="s">
        <v>798</v>
      </c>
      <c r="L21" s="1206" t="s">
        <v>799</v>
      </c>
    </row>
    <row r="22" spans="1:12" x14ac:dyDescent="0.3">
      <c r="A22" s="1209">
        <v>19</v>
      </c>
      <c r="B22" s="1203" t="s">
        <v>550</v>
      </c>
      <c r="C22" s="1203" t="s">
        <v>796</v>
      </c>
      <c r="D22" s="1204">
        <v>1251</v>
      </c>
      <c r="E22" s="1203" t="s">
        <v>807</v>
      </c>
      <c r="F22" s="1228">
        <v>8</v>
      </c>
      <c r="G22" s="1228">
        <v>18</v>
      </c>
      <c r="H22" s="1228">
        <v>0</v>
      </c>
      <c r="I22" s="1228"/>
      <c r="J22" s="1229">
        <f t="shared" si="0"/>
        <v>0.69</v>
      </c>
      <c r="K22" s="1205" t="s">
        <v>798</v>
      </c>
      <c r="L22" s="1206" t="s">
        <v>799</v>
      </c>
    </row>
    <row r="23" spans="1:12" x14ac:dyDescent="0.3">
      <c r="A23" s="1209">
        <v>20</v>
      </c>
      <c r="B23" s="1203" t="s">
        <v>550</v>
      </c>
      <c r="C23" s="1203" t="s">
        <v>796</v>
      </c>
      <c r="D23" s="1204">
        <v>2575</v>
      </c>
      <c r="E23" s="1203" t="s">
        <v>808</v>
      </c>
      <c r="F23" s="1228">
        <v>416</v>
      </c>
      <c r="G23" s="1228">
        <v>102</v>
      </c>
      <c r="H23" s="1228">
        <v>8</v>
      </c>
      <c r="I23" s="1228"/>
      <c r="J23" s="1229">
        <f t="shared" si="0"/>
        <v>8.718</v>
      </c>
      <c r="K23" s="1205" t="s">
        <v>798</v>
      </c>
      <c r="L23" s="1206" t="s">
        <v>799</v>
      </c>
    </row>
    <row r="24" spans="1:12" x14ac:dyDescent="0.3">
      <c r="A24" s="1209">
        <v>21</v>
      </c>
      <c r="B24" s="1203" t="s">
        <v>550</v>
      </c>
      <c r="C24" s="1203" t="s">
        <v>796</v>
      </c>
      <c r="D24" s="1204">
        <v>2523</v>
      </c>
      <c r="E24" s="1203" t="s">
        <v>809</v>
      </c>
      <c r="F24" s="1228">
        <v>327</v>
      </c>
      <c r="G24" s="1228">
        <v>77</v>
      </c>
      <c r="H24" s="1228">
        <v>2</v>
      </c>
      <c r="I24" s="1228"/>
      <c r="J24" s="1229">
        <f t="shared" si="0"/>
        <v>6.5549999999999997</v>
      </c>
      <c r="K24" s="1205" t="s">
        <v>798</v>
      </c>
      <c r="L24" s="1206" t="s">
        <v>799</v>
      </c>
    </row>
    <row r="25" spans="1:12" x14ac:dyDescent="0.3">
      <c r="A25" s="1209">
        <v>22</v>
      </c>
      <c r="B25" s="1203" t="s">
        <v>550</v>
      </c>
      <c r="C25" s="1203" t="s">
        <v>810</v>
      </c>
      <c r="D25" s="1204">
        <v>1434</v>
      </c>
      <c r="E25" s="1203" t="s">
        <v>811</v>
      </c>
      <c r="F25" s="1228">
        <v>169</v>
      </c>
      <c r="G25" s="1228">
        <v>0</v>
      </c>
      <c r="H25" s="1228">
        <v>0</v>
      </c>
      <c r="I25" s="1228"/>
      <c r="J25" s="1229">
        <f t="shared" si="0"/>
        <v>2.028</v>
      </c>
      <c r="K25" s="1205" t="s">
        <v>798</v>
      </c>
      <c r="L25" s="1206" t="s">
        <v>812</v>
      </c>
    </row>
    <row r="26" spans="1:12" x14ac:dyDescent="0.3">
      <c r="A26" s="1209">
        <v>23</v>
      </c>
      <c r="B26" s="1203" t="s">
        <v>550</v>
      </c>
      <c r="C26" s="1203" t="s">
        <v>810</v>
      </c>
      <c r="D26" s="1204">
        <v>2491</v>
      </c>
      <c r="E26" s="1203" t="s">
        <v>813</v>
      </c>
      <c r="F26" s="1228">
        <v>9894</v>
      </c>
      <c r="G26" s="1228">
        <v>151</v>
      </c>
      <c r="H26" s="1228">
        <v>9</v>
      </c>
      <c r="I26" s="1228"/>
      <c r="J26" s="1229">
        <f t="shared" si="0"/>
        <v>124.116</v>
      </c>
      <c r="K26" s="1205" t="s">
        <v>798</v>
      </c>
      <c r="L26" s="1206" t="s">
        <v>812</v>
      </c>
    </row>
    <row r="27" spans="1:12" x14ac:dyDescent="0.3">
      <c r="A27" s="1209">
        <v>24</v>
      </c>
      <c r="B27" s="1203" t="s">
        <v>550</v>
      </c>
      <c r="C27" s="1203" t="s">
        <v>814</v>
      </c>
      <c r="D27" s="1204">
        <v>2659</v>
      </c>
      <c r="E27" s="1203" t="s">
        <v>815</v>
      </c>
      <c r="F27" s="1228">
        <v>220</v>
      </c>
      <c r="G27" s="1228">
        <v>0</v>
      </c>
      <c r="H27" s="1228">
        <v>0</v>
      </c>
      <c r="I27" s="1228"/>
      <c r="J27" s="1229">
        <f t="shared" si="0"/>
        <v>2.64</v>
      </c>
      <c r="K27" s="1205" t="s">
        <v>798</v>
      </c>
      <c r="L27" s="1206" t="s">
        <v>816</v>
      </c>
    </row>
    <row r="28" spans="1:12" x14ac:dyDescent="0.3">
      <c r="A28" s="1209">
        <v>25</v>
      </c>
      <c r="B28" s="1203" t="s">
        <v>550</v>
      </c>
      <c r="C28" s="1203" t="s">
        <v>817</v>
      </c>
      <c r="D28" s="1204">
        <v>2578</v>
      </c>
      <c r="E28" s="1203" t="s">
        <v>818</v>
      </c>
      <c r="F28" s="1228">
        <v>1760</v>
      </c>
      <c r="G28" s="1228">
        <v>14</v>
      </c>
      <c r="H28" s="1228">
        <v>0</v>
      </c>
      <c r="I28" s="1228"/>
      <c r="J28" s="1229">
        <f t="shared" si="0"/>
        <v>21.582000000000001</v>
      </c>
      <c r="K28" s="1205" t="s">
        <v>798</v>
      </c>
      <c r="L28" s="1206" t="s">
        <v>819</v>
      </c>
    </row>
    <row r="29" spans="1:12" x14ac:dyDescent="0.3">
      <c r="A29" s="1209">
        <v>26</v>
      </c>
      <c r="B29" s="1203" t="s">
        <v>550</v>
      </c>
      <c r="C29" s="1203" t="s">
        <v>817</v>
      </c>
      <c r="D29" s="1204">
        <v>2615</v>
      </c>
      <c r="E29" s="1203" t="s">
        <v>820</v>
      </c>
      <c r="F29" s="1228">
        <v>933</v>
      </c>
      <c r="G29" s="1228">
        <v>10</v>
      </c>
      <c r="H29" s="1228">
        <v>0</v>
      </c>
      <c r="I29" s="1228"/>
      <c r="J29" s="1229">
        <f t="shared" si="0"/>
        <v>11.526</v>
      </c>
      <c r="K29" s="1205" t="s">
        <v>798</v>
      </c>
      <c r="L29" s="1206" t="s">
        <v>819</v>
      </c>
    </row>
    <row r="30" spans="1:12" x14ac:dyDescent="0.3">
      <c r="A30" s="1209">
        <v>27</v>
      </c>
      <c r="B30" s="1203" t="s">
        <v>550</v>
      </c>
      <c r="C30" s="1203" t="s">
        <v>817</v>
      </c>
      <c r="D30" s="1204">
        <v>2554</v>
      </c>
      <c r="E30" s="1203" t="s">
        <v>821</v>
      </c>
      <c r="F30" s="1228">
        <v>576</v>
      </c>
      <c r="G30" s="1228">
        <v>0</v>
      </c>
      <c r="H30" s="1228">
        <v>0</v>
      </c>
      <c r="I30" s="1228"/>
      <c r="J30" s="1229">
        <f t="shared" si="0"/>
        <v>6.9119999999999999</v>
      </c>
      <c r="K30" s="1205" t="s">
        <v>798</v>
      </c>
      <c r="L30" s="1206" t="s">
        <v>819</v>
      </c>
    </row>
    <row r="31" spans="1:12" x14ac:dyDescent="0.3">
      <c r="A31" s="1209">
        <v>28</v>
      </c>
      <c r="B31" s="1203" t="s">
        <v>550</v>
      </c>
      <c r="C31" s="1203" t="s">
        <v>822</v>
      </c>
      <c r="D31" s="1204">
        <v>2502</v>
      </c>
      <c r="E31" s="1203" t="s">
        <v>823</v>
      </c>
      <c r="F31" s="1228">
        <v>5111</v>
      </c>
      <c r="G31" s="1228">
        <v>20</v>
      </c>
      <c r="H31" s="1228">
        <v>0</v>
      </c>
      <c r="I31" s="1228"/>
      <c r="J31" s="1229">
        <f t="shared" si="0"/>
        <v>61.991999999999997</v>
      </c>
      <c r="K31" s="1205" t="s">
        <v>798</v>
      </c>
      <c r="L31" s="1206" t="s">
        <v>824</v>
      </c>
    </row>
    <row r="32" spans="1:12" x14ac:dyDescent="0.3">
      <c r="A32" s="1209">
        <v>29</v>
      </c>
      <c r="B32" s="1203" t="s">
        <v>550</v>
      </c>
      <c r="C32" s="1203" t="s">
        <v>825</v>
      </c>
      <c r="D32" s="1204">
        <v>2466</v>
      </c>
      <c r="E32" s="1203" t="s">
        <v>826</v>
      </c>
      <c r="F32" s="1228">
        <v>207</v>
      </c>
      <c r="G32" s="1228">
        <v>2</v>
      </c>
      <c r="H32" s="1228">
        <v>0</v>
      </c>
      <c r="I32" s="1228"/>
      <c r="J32" s="1229">
        <f t="shared" si="0"/>
        <v>2.5499999999999998</v>
      </c>
      <c r="K32" s="1205" t="s">
        <v>798</v>
      </c>
      <c r="L32" s="1206" t="s">
        <v>816</v>
      </c>
    </row>
    <row r="33" spans="1:12" x14ac:dyDescent="0.3">
      <c r="A33" s="1209">
        <v>30</v>
      </c>
      <c r="B33" s="1203" t="s">
        <v>550</v>
      </c>
      <c r="C33" s="1203" t="s">
        <v>825</v>
      </c>
      <c r="D33" s="1204">
        <v>1036</v>
      </c>
      <c r="E33" s="1203" t="s">
        <v>827</v>
      </c>
      <c r="F33" s="1228">
        <v>1010</v>
      </c>
      <c r="G33" s="1228">
        <v>0</v>
      </c>
      <c r="H33" s="1228">
        <v>0</v>
      </c>
      <c r="I33" s="1228"/>
      <c r="J33" s="1229">
        <f t="shared" si="0"/>
        <v>12.12</v>
      </c>
      <c r="K33" s="1205" t="s">
        <v>798</v>
      </c>
      <c r="L33" s="1206" t="s">
        <v>816</v>
      </c>
    </row>
    <row r="34" spans="1:12" x14ac:dyDescent="0.3">
      <c r="A34" s="1209">
        <v>31</v>
      </c>
      <c r="B34" s="1203" t="s">
        <v>547</v>
      </c>
      <c r="C34" s="1203" t="s">
        <v>828</v>
      </c>
      <c r="D34" s="1204">
        <v>1062</v>
      </c>
      <c r="E34" s="1203" t="s">
        <v>829</v>
      </c>
      <c r="F34" s="1228">
        <v>190</v>
      </c>
      <c r="G34" s="1228">
        <v>244</v>
      </c>
      <c r="H34" s="1228">
        <v>0</v>
      </c>
      <c r="I34" s="1228"/>
      <c r="J34" s="1229">
        <f t="shared" si="0"/>
        <v>10.332000000000001</v>
      </c>
      <c r="K34" s="1205" t="s">
        <v>830</v>
      </c>
      <c r="L34" s="1206" t="s">
        <v>831</v>
      </c>
    </row>
    <row r="35" spans="1:12" x14ac:dyDescent="0.3">
      <c r="A35" s="1209">
        <v>32</v>
      </c>
      <c r="B35" s="1203" t="s">
        <v>547</v>
      </c>
      <c r="C35" s="1203" t="s">
        <v>828</v>
      </c>
      <c r="D35" s="1204">
        <v>2649</v>
      </c>
      <c r="E35" s="1203" t="s">
        <v>832</v>
      </c>
      <c r="F35" s="1228">
        <v>257</v>
      </c>
      <c r="G35" s="1228">
        <v>44</v>
      </c>
      <c r="H35" s="1228">
        <v>0</v>
      </c>
      <c r="I35" s="1228"/>
      <c r="J35" s="1229">
        <f t="shared" si="0"/>
        <v>4.5359999999999996</v>
      </c>
      <c r="K35" s="1205" t="s">
        <v>830</v>
      </c>
      <c r="L35" s="1206" t="s">
        <v>831</v>
      </c>
    </row>
    <row r="36" spans="1:12" x14ac:dyDescent="0.3">
      <c r="A36" s="1209">
        <v>33</v>
      </c>
      <c r="B36" s="1203" t="s">
        <v>547</v>
      </c>
      <c r="C36" s="1203" t="s">
        <v>833</v>
      </c>
      <c r="D36" s="1204">
        <v>2656</v>
      </c>
      <c r="E36" s="1203" t="s">
        <v>834</v>
      </c>
      <c r="F36" s="1228">
        <v>238</v>
      </c>
      <c r="G36" s="1228">
        <v>94</v>
      </c>
      <c r="H36" s="1228">
        <v>15</v>
      </c>
      <c r="I36" s="1228"/>
      <c r="J36" s="1229">
        <f t="shared" si="0"/>
        <v>6.633</v>
      </c>
      <c r="K36" s="1205" t="s">
        <v>830</v>
      </c>
      <c r="L36" s="1206" t="s">
        <v>831</v>
      </c>
    </row>
    <row r="37" spans="1:12" x14ac:dyDescent="0.3">
      <c r="A37" s="1209">
        <v>34</v>
      </c>
      <c r="B37" s="1203" t="s">
        <v>547</v>
      </c>
      <c r="C37" s="1203" t="s">
        <v>835</v>
      </c>
      <c r="D37" s="1204">
        <v>2627</v>
      </c>
      <c r="E37" s="1203" t="s">
        <v>836</v>
      </c>
      <c r="F37" s="1228">
        <v>522</v>
      </c>
      <c r="G37" s="1228">
        <v>20</v>
      </c>
      <c r="H37" s="1228">
        <v>0</v>
      </c>
      <c r="I37" s="1228"/>
      <c r="J37" s="1229">
        <f t="shared" si="0"/>
        <v>6.9240000000000004</v>
      </c>
      <c r="K37" s="1205" t="s">
        <v>830</v>
      </c>
      <c r="L37" s="1206" t="s">
        <v>837</v>
      </c>
    </row>
    <row r="38" spans="1:12" x14ac:dyDescent="0.3">
      <c r="A38" s="1209">
        <v>35</v>
      </c>
      <c r="B38" s="1203" t="s">
        <v>547</v>
      </c>
      <c r="C38" s="1203" t="s">
        <v>838</v>
      </c>
      <c r="D38" s="1204">
        <v>1248</v>
      </c>
      <c r="E38" s="1203" t="s">
        <v>839</v>
      </c>
      <c r="F38" s="1228">
        <v>372</v>
      </c>
      <c r="G38" s="1228">
        <v>0</v>
      </c>
      <c r="H38" s="1228">
        <v>0</v>
      </c>
      <c r="I38" s="1228"/>
      <c r="J38" s="1229">
        <f t="shared" si="0"/>
        <v>4.4640000000000004</v>
      </c>
      <c r="K38" s="1205" t="s">
        <v>830</v>
      </c>
      <c r="L38" s="1206" t="s">
        <v>830</v>
      </c>
    </row>
    <row r="39" spans="1:12" x14ac:dyDescent="0.3">
      <c r="A39" s="1209">
        <v>36</v>
      </c>
      <c r="B39" s="1203" t="s">
        <v>547</v>
      </c>
      <c r="C39" s="1203" t="s">
        <v>838</v>
      </c>
      <c r="D39" s="1204">
        <v>2650</v>
      </c>
      <c r="E39" s="1203" t="s">
        <v>840</v>
      </c>
      <c r="F39" s="1228">
        <v>978</v>
      </c>
      <c r="G39" s="1228">
        <v>20</v>
      </c>
      <c r="H39" s="1228">
        <v>0</v>
      </c>
      <c r="I39" s="1228"/>
      <c r="J39" s="1229">
        <f t="shared" si="0"/>
        <v>12.396000000000001</v>
      </c>
      <c r="K39" s="1205" t="s">
        <v>830</v>
      </c>
      <c r="L39" s="1206" t="s">
        <v>830</v>
      </c>
    </row>
    <row r="40" spans="1:12" x14ac:dyDescent="0.3">
      <c r="A40" s="1209">
        <v>37</v>
      </c>
      <c r="B40" s="1203" t="s">
        <v>547</v>
      </c>
      <c r="C40" s="1203" t="s">
        <v>838</v>
      </c>
      <c r="D40" s="1204">
        <v>1333</v>
      </c>
      <c r="E40" s="1203" t="s">
        <v>841</v>
      </c>
      <c r="F40" s="1228">
        <v>336</v>
      </c>
      <c r="G40" s="1228">
        <v>0</v>
      </c>
      <c r="H40" s="1228">
        <v>0</v>
      </c>
      <c r="I40" s="1228"/>
      <c r="J40" s="1229">
        <f t="shared" si="0"/>
        <v>4.032</v>
      </c>
      <c r="K40" s="1205" t="s">
        <v>830</v>
      </c>
      <c r="L40" s="1206" t="s">
        <v>830</v>
      </c>
    </row>
    <row r="41" spans="1:12" x14ac:dyDescent="0.3">
      <c r="A41" s="1209">
        <v>38</v>
      </c>
      <c r="B41" s="1203" t="s">
        <v>547</v>
      </c>
      <c r="C41" s="1203" t="s">
        <v>838</v>
      </c>
      <c r="D41" s="1204">
        <v>1023</v>
      </c>
      <c r="E41" s="1203" t="s">
        <v>842</v>
      </c>
      <c r="F41" s="1228">
        <v>2084</v>
      </c>
      <c r="G41" s="1228">
        <v>132</v>
      </c>
      <c r="H41" s="1228">
        <v>0</v>
      </c>
      <c r="I41" s="1228"/>
      <c r="J41" s="1229">
        <f t="shared" si="0"/>
        <v>29.364000000000001</v>
      </c>
      <c r="K41" s="1205" t="s">
        <v>830</v>
      </c>
      <c r="L41" s="1206" t="s">
        <v>830</v>
      </c>
    </row>
    <row r="42" spans="1:12" x14ac:dyDescent="0.3">
      <c r="A42" s="1209">
        <v>39</v>
      </c>
      <c r="B42" s="1203" t="s">
        <v>547</v>
      </c>
      <c r="C42" s="1203" t="s">
        <v>843</v>
      </c>
      <c r="D42" s="1204">
        <v>1053</v>
      </c>
      <c r="E42" s="1203" t="s">
        <v>844</v>
      </c>
      <c r="F42" s="1228">
        <v>571</v>
      </c>
      <c r="G42" s="1228">
        <v>0</v>
      </c>
      <c r="H42" s="1228">
        <v>0</v>
      </c>
      <c r="I42" s="1228"/>
      <c r="J42" s="1229">
        <f t="shared" si="0"/>
        <v>6.8520000000000003</v>
      </c>
      <c r="K42" s="1205" t="s">
        <v>830</v>
      </c>
      <c r="L42" s="1206" t="s">
        <v>837</v>
      </c>
    </row>
    <row r="43" spans="1:12" x14ac:dyDescent="0.3">
      <c r="A43" s="1209">
        <v>40</v>
      </c>
      <c r="B43" s="1203" t="s">
        <v>896</v>
      </c>
      <c r="C43" s="1203" t="s">
        <v>845</v>
      </c>
      <c r="D43" s="1204">
        <v>1074</v>
      </c>
      <c r="E43" s="1203" t="s">
        <v>846</v>
      </c>
      <c r="F43" s="1228">
        <v>5</v>
      </c>
      <c r="G43" s="1228">
        <v>0</v>
      </c>
      <c r="H43" s="1228">
        <v>0</v>
      </c>
      <c r="I43" s="1228"/>
      <c r="J43" s="1229">
        <f t="shared" si="0"/>
        <v>0.06</v>
      </c>
      <c r="K43" s="1205" t="s">
        <v>780</v>
      </c>
      <c r="L43" s="1206" t="s">
        <v>780</v>
      </c>
    </row>
    <row r="44" spans="1:12" x14ac:dyDescent="0.3">
      <c r="A44" s="1209">
        <v>41</v>
      </c>
      <c r="B44" s="1203" t="s">
        <v>686</v>
      </c>
      <c r="C44" s="1203" t="s">
        <v>847</v>
      </c>
      <c r="D44" s="1204">
        <v>2445</v>
      </c>
      <c r="E44" s="1203" t="s">
        <v>848</v>
      </c>
      <c r="F44" s="1228">
        <v>250</v>
      </c>
      <c r="G44" s="1228">
        <v>8</v>
      </c>
      <c r="H44" s="1228">
        <v>0</v>
      </c>
      <c r="I44" s="1228"/>
      <c r="J44" s="1229">
        <f t="shared" si="0"/>
        <v>3.2639999999999998</v>
      </c>
      <c r="K44" s="1205" t="s">
        <v>780</v>
      </c>
      <c r="L44" s="1206" t="s">
        <v>849</v>
      </c>
    </row>
    <row r="45" spans="1:12" x14ac:dyDescent="0.3">
      <c r="A45" s="1209">
        <v>42</v>
      </c>
      <c r="B45" s="1203" t="s">
        <v>686</v>
      </c>
      <c r="C45" s="1203" t="s">
        <v>847</v>
      </c>
      <c r="D45" s="1204">
        <v>2493</v>
      </c>
      <c r="E45" s="1203" t="s">
        <v>850</v>
      </c>
      <c r="F45" s="1228">
        <v>314</v>
      </c>
      <c r="G45" s="1228">
        <v>40</v>
      </c>
      <c r="H45" s="1228">
        <v>0</v>
      </c>
      <c r="I45" s="1228"/>
      <c r="J45" s="1229">
        <f t="shared" si="0"/>
        <v>5.0880000000000001</v>
      </c>
      <c r="K45" s="1205" t="s">
        <v>780</v>
      </c>
      <c r="L45" s="1206" t="s">
        <v>849</v>
      </c>
    </row>
    <row r="46" spans="1:12" x14ac:dyDescent="0.3">
      <c r="A46" s="1209">
        <v>43</v>
      </c>
      <c r="B46" s="1203" t="s">
        <v>686</v>
      </c>
      <c r="C46" s="1203" t="s">
        <v>847</v>
      </c>
      <c r="D46" s="1204">
        <v>2540</v>
      </c>
      <c r="E46" s="1203" t="s">
        <v>851</v>
      </c>
      <c r="F46" s="1228">
        <v>94</v>
      </c>
      <c r="G46" s="1228">
        <v>47</v>
      </c>
      <c r="H46" s="1228">
        <v>0</v>
      </c>
      <c r="I46" s="1228"/>
      <c r="J46" s="1229">
        <f t="shared" si="0"/>
        <v>2.6789999999999998</v>
      </c>
      <c r="K46" s="1205" t="s">
        <v>780</v>
      </c>
      <c r="L46" s="1206" t="s">
        <v>849</v>
      </c>
    </row>
    <row r="47" spans="1:12" x14ac:dyDescent="0.3">
      <c r="A47" s="1209">
        <v>44</v>
      </c>
      <c r="B47" s="1203" t="s">
        <v>686</v>
      </c>
      <c r="C47" s="1203" t="s">
        <v>852</v>
      </c>
      <c r="D47" s="1204">
        <v>1085</v>
      </c>
      <c r="E47" s="1203" t="s">
        <v>853</v>
      </c>
      <c r="F47" s="1228">
        <v>500</v>
      </c>
      <c r="G47" s="1228">
        <v>15</v>
      </c>
      <c r="H47" s="1228">
        <v>0</v>
      </c>
      <c r="I47" s="1228"/>
      <c r="J47" s="1229">
        <f t="shared" si="0"/>
        <v>6.4950000000000001</v>
      </c>
      <c r="K47" s="1205" t="s">
        <v>780</v>
      </c>
      <c r="L47" s="1206" t="s">
        <v>854</v>
      </c>
    </row>
    <row r="48" spans="1:12" x14ac:dyDescent="0.3">
      <c r="A48" s="1209">
        <v>45</v>
      </c>
      <c r="B48" s="1203" t="s">
        <v>686</v>
      </c>
      <c r="C48" s="1203" t="s">
        <v>855</v>
      </c>
      <c r="D48" s="1204">
        <v>1030</v>
      </c>
      <c r="E48" s="1203" t="s">
        <v>856</v>
      </c>
      <c r="F48" s="1228">
        <v>355</v>
      </c>
      <c r="G48" s="1228">
        <v>0</v>
      </c>
      <c r="H48" s="1228">
        <v>0</v>
      </c>
      <c r="I48" s="1228"/>
      <c r="J48" s="1229">
        <f t="shared" si="0"/>
        <v>4.26</v>
      </c>
      <c r="K48" s="1205" t="s">
        <v>780</v>
      </c>
      <c r="L48" s="1206" t="s">
        <v>857</v>
      </c>
    </row>
    <row r="49" spans="1:12" x14ac:dyDescent="0.3">
      <c r="A49" s="1209">
        <v>46</v>
      </c>
      <c r="B49" s="1203" t="s">
        <v>686</v>
      </c>
      <c r="C49" s="1203" t="s">
        <v>686</v>
      </c>
      <c r="D49" s="1204">
        <v>1007</v>
      </c>
      <c r="E49" s="1203" t="s">
        <v>858</v>
      </c>
      <c r="F49" s="1228">
        <v>103</v>
      </c>
      <c r="G49" s="1228">
        <v>0</v>
      </c>
      <c r="H49" s="1228">
        <v>0</v>
      </c>
      <c r="I49" s="1228"/>
      <c r="J49" s="1229">
        <f t="shared" si="0"/>
        <v>1.236</v>
      </c>
      <c r="K49" s="1205" t="s">
        <v>780</v>
      </c>
      <c r="L49" s="1206" t="s">
        <v>849</v>
      </c>
    </row>
    <row r="50" spans="1:12" x14ac:dyDescent="0.3">
      <c r="A50" s="1209">
        <v>47</v>
      </c>
      <c r="B50" s="1203" t="s">
        <v>686</v>
      </c>
      <c r="C50" s="1203" t="s">
        <v>859</v>
      </c>
      <c r="D50" s="1204">
        <v>1043</v>
      </c>
      <c r="E50" s="1203" t="s">
        <v>860</v>
      </c>
      <c r="F50" s="1228">
        <v>2351</v>
      </c>
      <c r="G50" s="1228">
        <v>0</v>
      </c>
      <c r="H50" s="1228">
        <v>0</v>
      </c>
      <c r="I50" s="1228"/>
      <c r="J50" s="1229">
        <f t="shared" si="0"/>
        <v>28.212</v>
      </c>
      <c r="K50" s="1205" t="s">
        <v>780</v>
      </c>
      <c r="L50" s="1206" t="s">
        <v>861</v>
      </c>
    </row>
    <row r="51" spans="1:12" x14ac:dyDescent="0.3">
      <c r="A51" s="1209">
        <v>48</v>
      </c>
      <c r="B51" s="1203" t="s">
        <v>686</v>
      </c>
      <c r="C51" s="1203" t="s">
        <v>862</v>
      </c>
      <c r="D51" s="1204">
        <v>1066</v>
      </c>
      <c r="E51" s="1203" t="s">
        <v>863</v>
      </c>
      <c r="F51" s="1228">
        <v>145</v>
      </c>
      <c r="G51" s="1228">
        <v>0</v>
      </c>
      <c r="H51" s="1228">
        <v>0</v>
      </c>
      <c r="I51" s="1228"/>
      <c r="J51" s="1229">
        <f t="shared" si="0"/>
        <v>1.74</v>
      </c>
      <c r="K51" s="1205" t="s">
        <v>780</v>
      </c>
      <c r="L51" s="1206" t="s">
        <v>857</v>
      </c>
    </row>
    <row r="52" spans="1:12" x14ac:dyDescent="0.3">
      <c r="A52" s="1209">
        <v>49</v>
      </c>
      <c r="B52" s="1203" t="s">
        <v>686</v>
      </c>
      <c r="C52" s="1203" t="s">
        <v>864</v>
      </c>
      <c r="D52" s="1204">
        <v>1013</v>
      </c>
      <c r="E52" s="1203" t="s">
        <v>865</v>
      </c>
      <c r="F52" s="1228">
        <v>300</v>
      </c>
      <c r="G52" s="1228">
        <v>10</v>
      </c>
      <c r="H52" s="1228">
        <v>0</v>
      </c>
      <c r="I52" s="1228"/>
      <c r="J52" s="1229">
        <f t="shared" si="0"/>
        <v>3.93</v>
      </c>
      <c r="K52" s="1205" t="s">
        <v>780</v>
      </c>
      <c r="L52" s="1206" t="s">
        <v>861</v>
      </c>
    </row>
    <row r="53" spans="1:12" x14ac:dyDescent="0.3">
      <c r="A53" s="1209">
        <v>50</v>
      </c>
      <c r="B53" s="1203" t="s">
        <v>686</v>
      </c>
      <c r="C53" s="1203" t="s">
        <v>866</v>
      </c>
      <c r="D53" s="1204">
        <v>2634</v>
      </c>
      <c r="E53" s="1203" t="s">
        <v>867</v>
      </c>
      <c r="F53" s="1228">
        <v>1062</v>
      </c>
      <c r="G53" s="1228">
        <v>4</v>
      </c>
      <c r="H53" s="1228">
        <v>0</v>
      </c>
      <c r="I53" s="1228"/>
      <c r="J53" s="1229">
        <f t="shared" si="0"/>
        <v>12.875999999999999</v>
      </c>
      <c r="K53" s="1205" t="s">
        <v>780</v>
      </c>
      <c r="L53" s="1206" t="s">
        <v>849</v>
      </c>
    </row>
    <row r="54" spans="1:12" x14ac:dyDescent="0.3">
      <c r="A54" s="1209">
        <v>51</v>
      </c>
      <c r="B54" s="1203" t="s">
        <v>686</v>
      </c>
      <c r="C54" s="1203" t="s">
        <v>868</v>
      </c>
      <c r="D54" s="1204">
        <v>2492</v>
      </c>
      <c r="E54" s="1203" t="s">
        <v>869</v>
      </c>
      <c r="F54" s="1228">
        <v>617</v>
      </c>
      <c r="G54" s="1228">
        <v>8</v>
      </c>
      <c r="H54" s="1228">
        <v>0</v>
      </c>
      <c r="I54" s="1228"/>
      <c r="J54" s="1229">
        <f t="shared" si="0"/>
        <v>7.6680000000000001</v>
      </c>
      <c r="K54" s="1205" t="s">
        <v>780</v>
      </c>
      <c r="L54" s="1206" t="s">
        <v>854</v>
      </c>
    </row>
    <row r="55" spans="1:12" x14ac:dyDescent="0.3">
      <c r="A55" s="1209">
        <v>52</v>
      </c>
      <c r="B55" s="1203" t="s">
        <v>686</v>
      </c>
      <c r="C55" s="1203" t="s">
        <v>868</v>
      </c>
      <c r="D55" s="1204">
        <v>1183</v>
      </c>
      <c r="E55" s="1203" t="s">
        <v>870</v>
      </c>
      <c r="F55" s="1228">
        <v>259</v>
      </c>
      <c r="G55" s="1228">
        <v>3</v>
      </c>
      <c r="H55" s="1228">
        <v>0</v>
      </c>
      <c r="I55" s="1228"/>
      <c r="J55" s="1229">
        <f t="shared" si="0"/>
        <v>3.2069999999999999</v>
      </c>
      <c r="K55" s="1205" t="s">
        <v>780</v>
      </c>
      <c r="L55" s="1206" t="s">
        <v>854</v>
      </c>
    </row>
    <row r="56" spans="1:12" x14ac:dyDescent="0.3">
      <c r="A56" s="1209">
        <v>53</v>
      </c>
      <c r="B56" s="1203" t="s">
        <v>656</v>
      </c>
      <c r="C56" s="1203"/>
      <c r="D56" s="1204">
        <v>2668</v>
      </c>
      <c r="E56" s="1203" t="s">
        <v>664</v>
      </c>
      <c r="F56" s="1228">
        <v>0</v>
      </c>
      <c r="G56" s="1228">
        <v>0</v>
      </c>
      <c r="H56" s="1228">
        <v>0</v>
      </c>
      <c r="I56" s="1228">
        <v>8379</v>
      </c>
      <c r="J56" s="1229">
        <f t="shared" si="0"/>
        <v>8.3789999999999996</v>
      </c>
      <c r="K56" s="1205" t="s">
        <v>871</v>
      </c>
      <c r="L56" s="1206" t="s">
        <v>871</v>
      </c>
    </row>
    <row r="57" spans="1:12" x14ac:dyDescent="0.3">
      <c r="A57" s="1209">
        <v>54</v>
      </c>
      <c r="B57" s="1203" t="s">
        <v>546</v>
      </c>
      <c r="C57" s="1203" t="s">
        <v>872</v>
      </c>
      <c r="D57" s="1204">
        <v>2680</v>
      </c>
      <c r="E57" s="1203" t="s">
        <v>873</v>
      </c>
      <c r="F57" s="1228">
        <v>200</v>
      </c>
      <c r="G57" s="1228">
        <v>0</v>
      </c>
      <c r="H57" s="1228">
        <v>0</v>
      </c>
      <c r="I57" s="1228"/>
      <c r="J57" s="1229">
        <f t="shared" si="0"/>
        <v>2.4</v>
      </c>
      <c r="K57" s="1205" t="s">
        <v>874</v>
      </c>
      <c r="L57" s="1206" t="s">
        <v>874</v>
      </c>
    </row>
    <row r="58" spans="1:12" x14ac:dyDescent="0.3">
      <c r="A58" s="1209">
        <v>55</v>
      </c>
      <c r="B58" s="1203" t="s">
        <v>546</v>
      </c>
      <c r="C58" s="1203" t="s">
        <v>875</v>
      </c>
      <c r="D58" s="1204">
        <v>2476</v>
      </c>
      <c r="E58" s="1203" t="s">
        <v>876</v>
      </c>
      <c r="F58" s="1228">
        <v>500</v>
      </c>
      <c r="G58" s="1228">
        <v>0</v>
      </c>
      <c r="H58" s="1228">
        <v>0</v>
      </c>
      <c r="I58" s="1228"/>
      <c r="J58" s="1229">
        <f t="shared" si="0"/>
        <v>6</v>
      </c>
      <c r="K58" s="1205" t="s">
        <v>874</v>
      </c>
      <c r="L58" s="1206" t="s">
        <v>874</v>
      </c>
    </row>
    <row r="59" spans="1:12" x14ac:dyDescent="0.3">
      <c r="A59" s="1209">
        <v>56</v>
      </c>
      <c r="B59" s="1203" t="s">
        <v>546</v>
      </c>
      <c r="C59" s="1203" t="s">
        <v>875</v>
      </c>
      <c r="D59" s="1204">
        <v>1038</v>
      </c>
      <c r="E59" s="1203" t="s">
        <v>877</v>
      </c>
      <c r="F59" s="1228">
        <v>993</v>
      </c>
      <c r="G59" s="1228">
        <v>36</v>
      </c>
      <c r="H59" s="1228">
        <v>0</v>
      </c>
      <c r="I59" s="1228"/>
      <c r="J59" s="1229">
        <f t="shared" si="0"/>
        <v>13.103999999999999</v>
      </c>
      <c r="K59" s="1205" t="s">
        <v>874</v>
      </c>
      <c r="L59" s="1206" t="s">
        <v>874</v>
      </c>
    </row>
    <row r="60" spans="1:12" x14ac:dyDescent="0.3">
      <c r="A60" s="1209">
        <v>57</v>
      </c>
      <c r="B60" s="1203" t="s">
        <v>546</v>
      </c>
      <c r="C60" s="1203" t="s">
        <v>875</v>
      </c>
      <c r="D60" s="1204">
        <v>1422</v>
      </c>
      <c r="E60" s="1203" t="s">
        <v>878</v>
      </c>
      <c r="F60" s="1228">
        <v>2226</v>
      </c>
      <c r="G60" s="1228">
        <v>24</v>
      </c>
      <c r="H60" s="1228">
        <v>0</v>
      </c>
      <c r="I60" s="1228"/>
      <c r="J60" s="1229">
        <f t="shared" si="0"/>
        <v>27.504000000000001</v>
      </c>
      <c r="K60" s="1205" t="s">
        <v>874</v>
      </c>
      <c r="L60" s="1206" t="s">
        <v>874</v>
      </c>
    </row>
    <row r="61" spans="1:12" x14ac:dyDescent="0.3">
      <c r="A61" s="1209">
        <v>58</v>
      </c>
      <c r="B61" s="1203" t="s">
        <v>545</v>
      </c>
      <c r="C61" s="1203" t="s">
        <v>879</v>
      </c>
      <c r="D61" s="1204">
        <v>2552</v>
      </c>
      <c r="E61" s="1203" t="s">
        <v>880</v>
      </c>
      <c r="F61" s="1228">
        <v>876</v>
      </c>
      <c r="G61" s="1228">
        <v>0</v>
      </c>
      <c r="H61" s="1228">
        <v>0</v>
      </c>
      <c r="I61" s="1228"/>
      <c r="J61" s="1229">
        <f t="shared" si="0"/>
        <v>10.512</v>
      </c>
      <c r="K61" s="1205" t="s">
        <v>881</v>
      </c>
      <c r="L61" s="1206" t="s">
        <v>882</v>
      </c>
    </row>
    <row r="62" spans="1:12" x14ac:dyDescent="0.3">
      <c r="A62" s="1209">
        <v>59</v>
      </c>
      <c r="B62" s="1203" t="s">
        <v>545</v>
      </c>
      <c r="C62" s="1203" t="s">
        <v>883</v>
      </c>
      <c r="D62" s="1204">
        <v>1035</v>
      </c>
      <c r="E62" s="1203" t="s">
        <v>884</v>
      </c>
      <c r="F62" s="1228">
        <v>1188</v>
      </c>
      <c r="G62" s="1228">
        <v>0</v>
      </c>
      <c r="H62" s="1228">
        <v>0</v>
      </c>
      <c r="I62" s="1228"/>
      <c r="J62" s="1229">
        <f t="shared" si="0"/>
        <v>14.256</v>
      </c>
      <c r="K62" s="1205" t="s">
        <v>881</v>
      </c>
      <c r="L62" s="1206" t="s">
        <v>885</v>
      </c>
    </row>
    <row r="63" spans="1:12" x14ac:dyDescent="0.3">
      <c r="A63" s="1209">
        <v>60</v>
      </c>
      <c r="B63" s="1203" t="s">
        <v>545</v>
      </c>
      <c r="C63" s="1203" t="s">
        <v>886</v>
      </c>
      <c r="D63" s="1204">
        <v>2579</v>
      </c>
      <c r="E63" s="1203" t="s">
        <v>887</v>
      </c>
      <c r="F63" s="1228">
        <v>2520</v>
      </c>
      <c r="G63" s="1228">
        <v>0</v>
      </c>
      <c r="H63" s="1228">
        <v>0</v>
      </c>
      <c r="I63" s="1228"/>
      <c r="J63" s="1229">
        <f t="shared" si="0"/>
        <v>30.24</v>
      </c>
      <c r="K63" s="1205" t="s">
        <v>881</v>
      </c>
      <c r="L63" s="1206" t="s">
        <v>882</v>
      </c>
    </row>
    <row r="64" spans="1:12" x14ac:dyDescent="0.3">
      <c r="A64" s="1209">
        <v>61</v>
      </c>
      <c r="B64" s="1203" t="s">
        <v>545</v>
      </c>
      <c r="C64" s="1203" t="s">
        <v>888</v>
      </c>
      <c r="D64" s="1204">
        <v>1054</v>
      </c>
      <c r="E64" s="1203" t="s">
        <v>889</v>
      </c>
      <c r="F64" s="1228">
        <v>1232</v>
      </c>
      <c r="G64" s="1228">
        <v>0</v>
      </c>
      <c r="H64" s="1228">
        <v>0</v>
      </c>
      <c r="I64" s="1228"/>
      <c r="J64" s="1229">
        <f t="shared" si="0"/>
        <v>14.784000000000001</v>
      </c>
      <c r="K64" s="1205" t="s">
        <v>881</v>
      </c>
      <c r="L64" s="1206" t="s">
        <v>885</v>
      </c>
    </row>
    <row r="65" spans="1:15" x14ac:dyDescent="0.3">
      <c r="A65" s="1209">
        <v>62</v>
      </c>
      <c r="B65" s="1203" t="s">
        <v>545</v>
      </c>
      <c r="C65" s="1203" t="s">
        <v>890</v>
      </c>
      <c r="D65" s="1204">
        <v>1435</v>
      </c>
      <c r="E65" s="1203" t="s">
        <v>891</v>
      </c>
      <c r="F65" s="1228">
        <v>2873</v>
      </c>
      <c r="G65" s="1228">
        <v>74</v>
      </c>
      <c r="H65" s="1228">
        <v>0</v>
      </c>
      <c r="I65" s="1228"/>
      <c r="J65" s="1229">
        <f t="shared" si="0"/>
        <v>36.917999999999999</v>
      </c>
      <c r="K65" s="1205" t="s">
        <v>881</v>
      </c>
      <c r="L65" s="1206" t="s">
        <v>892</v>
      </c>
    </row>
    <row r="66" spans="1:15" x14ac:dyDescent="0.3">
      <c r="A66" s="1209">
        <v>63</v>
      </c>
      <c r="B66" s="1203" t="s">
        <v>545</v>
      </c>
      <c r="C66" s="1203" t="s">
        <v>683</v>
      </c>
      <c r="D66" s="1204">
        <v>1026</v>
      </c>
      <c r="E66" s="1203" t="s">
        <v>893</v>
      </c>
      <c r="F66" s="1228">
        <v>630</v>
      </c>
      <c r="G66" s="1228">
        <v>0</v>
      </c>
      <c r="H66" s="1228">
        <v>0</v>
      </c>
      <c r="I66" s="1228"/>
      <c r="J66" s="1229">
        <f t="shared" si="0"/>
        <v>7.56</v>
      </c>
      <c r="K66" s="1205" t="s">
        <v>881</v>
      </c>
      <c r="L66" s="1206" t="s">
        <v>885</v>
      </c>
    </row>
    <row r="67" spans="1:15" x14ac:dyDescent="0.3">
      <c r="A67" s="1210">
        <v>64</v>
      </c>
      <c r="B67" s="1211" t="s">
        <v>545</v>
      </c>
      <c r="C67" s="1211" t="s">
        <v>681</v>
      </c>
      <c r="D67" s="1212">
        <v>1011</v>
      </c>
      <c r="E67" s="1211" t="s">
        <v>894</v>
      </c>
      <c r="F67" s="1230">
        <v>2138</v>
      </c>
      <c r="G67" s="1230">
        <v>0</v>
      </c>
      <c r="H67" s="1230">
        <v>0</v>
      </c>
      <c r="I67" s="1230"/>
      <c r="J67" s="1231">
        <f t="shared" si="0"/>
        <v>25.655999999999999</v>
      </c>
      <c r="K67" s="1207" t="s">
        <v>881</v>
      </c>
      <c r="L67" s="1208" t="s">
        <v>895</v>
      </c>
    </row>
    <row r="68" spans="1:15" s="1" customFormat="1" x14ac:dyDescent="0.3">
      <c r="A68" s="1201" t="s">
        <v>0</v>
      </c>
      <c r="B68" s="1201"/>
      <c r="C68" s="1201"/>
      <c r="D68" s="1223"/>
      <c r="E68" s="1201"/>
      <c r="F68" s="552">
        <v>57201</v>
      </c>
      <c r="G68" s="552">
        <v>2089</v>
      </c>
      <c r="H68" s="552">
        <v>52</v>
      </c>
      <c r="I68" s="552">
        <v>8379</v>
      </c>
      <c r="J68" s="1225">
        <f>SUM(J4:J67)</f>
        <v>766.06799999999987</v>
      </c>
      <c r="K68" s="1224"/>
      <c r="L68" s="1224"/>
      <c r="M68" s="1201"/>
      <c r="N68" s="1201"/>
      <c r="O68" s="15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144"/>
  <sheetViews>
    <sheetView workbookViewId="0">
      <selection activeCell="N22" sqref="N22"/>
    </sheetView>
  </sheetViews>
  <sheetFormatPr defaultRowHeight="14.4" outlineLevelRow="1" x14ac:dyDescent="0.3"/>
  <cols>
    <col min="1" max="1" width="3" style="134" bestFit="1" customWidth="1"/>
    <col min="2" max="2" width="38.33203125" style="5" bestFit="1" customWidth="1"/>
    <col min="3" max="3" width="11.44140625" style="5" bestFit="1" customWidth="1"/>
    <col min="4" max="4" width="10.44140625" style="5" bestFit="1" customWidth="1"/>
    <col min="5" max="5" width="8.44140625" style="5" customWidth="1"/>
    <col min="6" max="7" width="8.88671875" style="5" bestFit="1" customWidth="1"/>
    <col min="8" max="8" width="11.5546875" style="5" bestFit="1" customWidth="1"/>
    <col min="9" max="9" width="9.5546875" bestFit="1" customWidth="1"/>
  </cols>
  <sheetData>
    <row r="1" spans="1:9" ht="21" thickBot="1" x14ac:dyDescent="0.35">
      <c r="A1" s="1284" t="s">
        <v>30</v>
      </c>
      <c r="B1" s="144"/>
      <c r="C1" s="2093">
        <v>44652</v>
      </c>
      <c r="D1" s="2125"/>
      <c r="E1" s="2125"/>
      <c r="F1" s="2125"/>
      <c r="G1" s="2125"/>
      <c r="H1" s="2125"/>
    </row>
    <row r="2" spans="1:9" ht="15.6" x14ac:dyDescent="0.3">
      <c r="A2" s="1285" t="s">
        <v>924</v>
      </c>
      <c r="B2" s="144"/>
      <c r="C2" s="2126" t="s">
        <v>157</v>
      </c>
      <c r="D2" s="2127"/>
      <c r="E2" s="2128" t="s">
        <v>154</v>
      </c>
      <c r="F2" s="2129"/>
      <c r="G2" s="2128" t="s">
        <v>153</v>
      </c>
      <c r="H2" s="2130"/>
    </row>
    <row r="3" spans="1:9" x14ac:dyDescent="0.3">
      <c r="A3" s="145"/>
      <c r="B3" s="144"/>
      <c r="C3" s="2131" t="s">
        <v>162</v>
      </c>
      <c r="D3" s="2132"/>
      <c r="E3" s="2133">
        <v>0.3</v>
      </c>
      <c r="F3" s="2134"/>
      <c r="G3" s="130">
        <v>940</v>
      </c>
      <c r="H3" s="957">
        <f>E3*G3</f>
        <v>282</v>
      </c>
    </row>
    <row r="4" spans="1:9" x14ac:dyDescent="0.3">
      <c r="A4" s="145"/>
      <c r="B4" s="144"/>
      <c r="C4" s="2131" t="s">
        <v>163</v>
      </c>
      <c r="D4" s="2132"/>
      <c r="E4" s="2135">
        <v>0.7</v>
      </c>
      <c r="F4" s="2136"/>
      <c r="G4" s="130">
        <v>960</v>
      </c>
      <c r="H4" s="957">
        <f>E4*G4</f>
        <v>672</v>
      </c>
    </row>
    <row r="5" spans="1:9" ht="15" thickBot="1" x14ac:dyDescent="0.3">
      <c r="A5" s="145"/>
      <c r="B5" s="144"/>
      <c r="C5" s="2137" t="s">
        <v>152</v>
      </c>
      <c r="D5" s="2138"/>
      <c r="E5" s="2139"/>
      <c r="F5" s="2140"/>
      <c r="G5" s="131"/>
      <c r="H5" s="958">
        <v>120</v>
      </c>
      <c r="I5" s="1395"/>
    </row>
    <row r="6" spans="1:9" ht="15" thickBot="1" x14ac:dyDescent="0.35">
      <c r="A6" s="145"/>
      <c r="B6" s="159"/>
      <c r="C6" s="2141" t="s">
        <v>161</v>
      </c>
      <c r="D6" s="2142"/>
      <c r="E6" s="2142"/>
      <c r="F6" s="2143"/>
      <c r="G6" s="1286">
        <v>88</v>
      </c>
      <c r="H6" s="141">
        <f>SUM(H3:H5)*G6</f>
        <v>94512</v>
      </c>
    </row>
    <row r="7" spans="1:9" ht="15" thickBot="1" x14ac:dyDescent="0.35">
      <c r="A7" s="135" t="s">
        <v>16</v>
      </c>
      <c r="B7" s="138" t="s">
        <v>173</v>
      </c>
      <c r="C7" s="1287" t="s">
        <v>914</v>
      </c>
      <c r="D7" s="1109" t="s">
        <v>914</v>
      </c>
      <c r="E7" s="1288" t="s">
        <v>914</v>
      </c>
      <c r="F7" s="1109" t="s">
        <v>144</v>
      </c>
      <c r="G7" s="1288" t="s">
        <v>172</v>
      </c>
      <c r="H7" s="142" t="s">
        <v>0</v>
      </c>
    </row>
    <row r="8" spans="1:9" x14ac:dyDescent="0.25">
      <c r="A8" s="1289" t="s">
        <v>31</v>
      </c>
      <c r="B8" s="1290" t="s">
        <v>174</v>
      </c>
      <c r="C8" s="1291">
        <v>12</v>
      </c>
      <c r="D8" s="1292">
        <v>33</v>
      </c>
      <c r="E8" s="1293">
        <v>45</v>
      </c>
      <c r="F8" s="1292">
        <v>1000</v>
      </c>
      <c r="G8" s="1293">
        <v>1000</v>
      </c>
      <c r="H8" s="2122"/>
    </row>
    <row r="9" spans="1:9" x14ac:dyDescent="0.25">
      <c r="A9" s="1294" t="s">
        <v>38</v>
      </c>
      <c r="B9" s="143" t="s">
        <v>925</v>
      </c>
      <c r="C9" s="1295">
        <v>177300</v>
      </c>
      <c r="D9" s="1296">
        <v>9500</v>
      </c>
      <c r="E9" s="1297">
        <v>395</v>
      </c>
      <c r="F9" s="1298">
        <v>24</v>
      </c>
      <c r="G9" s="1297">
        <v>20</v>
      </c>
      <c r="H9" s="2123"/>
    </row>
    <row r="10" spans="1:9" x14ac:dyDescent="0.25">
      <c r="A10" s="137" t="s">
        <v>40</v>
      </c>
      <c r="B10" s="139" t="s">
        <v>175</v>
      </c>
      <c r="C10" s="1299"/>
      <c r="D10" s="1300"/>
      <c r="E10" s="1301"/>
      <c r="F10" s="1302"/>
      <c r="G10" s="1303"/>
      <c r="H10" s="2123"/>
    </row>
    <row r="11" spans="1:9" x14ac:dyDescent="0.25">
      <c r="A11" s="1294" t="s">
        <v>32</v>
      </c>
      <c r="B11" s="143" t="s">
        <v>926</v>
      </c>
      <c r="C11" s="1304">
        <v>1320</v>
      </c>
      <c r="D11" s="1298">
        <f>C11/12*33</f>
        <v>3630</v>
      </c>
      <c r="E11" s="1305">
        <f>C11/12*45</f>
        <v>4950</v>
      </c>
      <c r="F11" s="1298">
        <v>112000</v>
      </c>
      <c r="G11" s="1306">
        <v>116000</v>
      </c>
      <c r="H11" s="2123"/>
    </row>
    <row r="12" spans="1:9" x14ac:dyDescent="0.25">
      <c r="A12" s="1307" t="s">
        <v>33</v>
      </c>
      <c r="B12" s="139" t="s">
        <v>169</v>
      </c>
      <c r="C12" s="1308"/>
      <c r="D12" s="1309"/>
      <c r="E12" s="1310"/>
      <c r="F12" s="1309"/>
      <c r="G12" s="1310"/>
      <c r="H12" s="2123"/>
    </row>
    <row r="13" spans="1:9" x14ac:dyDescent="0.25">
      <c r="A13" s="137">
        <v>1</v>
      </c>
      <c r="B13" s="139" t="s">
        <v>143</v>
      </c>
      <c r="C13" s="1308">
        <f>C11*(7/107)</f>
        <v>86.355140186915875</v>
      </c>
      <c r="D13" s="1309">
        <f>D11*(7/107)</f>
        <v>237.47663551401868</v>
      </c>
      <c r="E13" s="1310">
        <f>E11*(7/107)</f>
        <v>323.83177570093454</v>
      </c>
      <c r="F13" s="1309">
        <f>F11*7/107</f>
        <v>7327.1028037383176</v>
      </c>
      <c r="G13" s="1310">
        <f>G11*(7/107)</f>
        <v>7588.7850467289709</v>
      </c>
      <c r="H13" s="2123"/>
    </row>
    <row r="14" spans="1:9" x14ac:dyDescent="0.25">
      <c r="A14" s="137">
        <v>2</v>
      </c>
      <c r="B14" s="139" t="s">
        <v>147</v>
      </c>
      <c r="C14" s="1308">
        <f>H6/1000*12</f>
        <v>1134.144</v>
      </c>
      <c r="D14" s="1309">
        <f>H6/1000*33</f>
        <v>3118.8960000000002</v>
      </c>
      <c r="E14" s="1310">
        <f>H6/1000*45</f>
        <v>4253.04</v>
      </c>
      <c r="F14" s="1309">
        <f>H6</f>
        <v>94512</v>
      </c>
      <c r="G14" s="1310">
        <f>SUM(H3:H5)*G6</f>
        <v>94512</v>
      </c>
      <c r="H14" s="2123"/>
    </row>
    <row r="15" spans="1:9" x14ac:dyDescent="0.25">
      <c r="A15" s="137">
        <v>3</v>
      </c>
      <c r="B15" s="139" t="s">
        <v>197</v>
      </c>
      <c r="C15" s="1311">
        <f>(310/1000)*0.5*12</f>
        <v>1.8599999999999999</v>
      </c>
      <c r="D15" s="1312">
        <f>(310/1000)*0.5*33</f>
        <v>5.1150000000000002</v>
      </c>
      <c r="E15" s="1313">
        <f>(310/1000)*0.5*45</f>
        <v>6.9749999999999996</v>
      </c>
      <c r="F15" s="1312">
        <v>0</v>
      </c>
      <c r="G15" s="1310">
        <v>0</v>
      </c>
      <c r="H15" s="2123"/>
    </row>
    <row r="16" spans="1:9" x14ac:dyDescent="0.25">
      <c r="A16" s="137">
        <v>4</v>
      </c>
      <c r="B16" s="139" t="s">
        <v>158</v>
      </c>
      <c r="C16" s="1311">
        <v>0.98</v>
      </c>
      <c r="D16" s="1312">
        <v>0.98</v>
      </c>
      <c r="E16" s="1313">
        <v>0.98</v>
      </c>
      <c r="F16" s="1312">
        <v>0</v>
      </c>
      <c r="G16" s="1310">
        <v>0</v>
      </c>
      <c r="H16" s="2123"/>
    </row>
    <row r="17" spans="1:8" x14ac:dyDescent="0.25">
      <c r="A17" s="137">
        <v>5</v>
      </c>
      <c r="B17" s="139" t="s">
        <v>170</v>
      </c>
      <c r="C17" s="1308">
        <v>0</v>
      </c>
      <c r="D17" s="1309">
        <v>0</v>
      </c>
      <c r="E17" s="1310">
        <v>0</v>
      </c>
      <c r="F17" s="1314">
        <f>4500/17</f>
        <v>264.70588235294116</v>
      </c>
      <c r="G17" s="1315">
        <v>3700</v>
      </c>
      <c r="H17" s="2123"/>
    </row>
    <row r="18" spans="1:8" x14ac:dyDescent="0.25">
      <c r="A18" s="137">
        <v>6</v>
      </c>
      <c r="B18" s="139" t="s">
        <v>155</v>
      </c>
      <c r="C18" s="1316">
        <v>0</v>
      </c>
      <c r="D18" s="1317">
        <v>0</v>
      </c>
      <c r="E18" s="1318">
        <v>0</v>
      </c>
      <c r="F18" s="1317">
        <v>0</v>
      </c>
      <c r="G18" s="1318">
        <v>0</v>
      </c>
      <c r="H18" s="2123"/>
    </row>
    <row r="19" spans="1:8" x14ac:dyDescent="0.3">
      <c r="A19" s="137"/>
      <c r="B19" s="139" t="s">
        <v>39</v>
      </c>
      <c r="C19" s="1319">
        <f>SUM(C13:C18)</f>
        <v>1223.3391401869158</v>
      </c>
      <c r="D19" s="1320">
        <f t="shared" ref="D19:F19" si="0">SUM(D13:D18)</f>
        <v>3362.4676355140186</v>
      </c>
      <c r="E19" s="1321">
        <f t="shared" si="0"/>
        <v>4584.8267757009344</v>
      </c>
      <c r="F19" s="1320">
        <f t="shared" si="0"/>
        <v>102103.80868609126</v>
      </c>
      <c r="G19" s="1321">
        <f>SUM(G13:G18)</f>
        <v>105800.78504672897</v>
      </c>
      <c r="H19" s="2123"/>
    </row>
    <row r="20" spans="1:8" x14ac:dyDescent="0.25">
      <c r="A20" s="140" t="s">
        <v>41</v>
      </c>
      <c r="B20" s="1322" t="s">
        <v>159</v>
      </c>
      <c r="C20" s="1323">
        <f>C11-C19</f>
        <v>96.660859813084244</v>
      </c>
      <c r="D20" s="1324">
        <f>D11-D19</f>
        <v>267.53236448598136</v>
      </c>
      <c r="E20" s="1325">
        <f>E11-E19</f>
        <v>365.17322429906562</v>
      </c>
      <c r="F20" s="1324">
        <f>F11-F19</f>
        <v>9896.191313908741</v>
      </c>
      <c r="G20" s="1325">
        <f>G11-G19</f>
        <v>10199.214953271032</v>
      </c>
      <c r="H20" s="2124"/>
    </row>
    <row r="21" spans="1:8" x14ac:dyDescent="0.25">
      <c r="A21" s="1326" t="s">
        <v>62</v>
      </c>
      <c r="B21" s="1327" t="s">
        <v>156</v>
      </c>
      <c r="C21" s="1328">
        <f>(C9*12)/1000</f>
        <v>2127.6</v>
      </c>
      <c r="D21" s="1329">
        <f>(D9*33)/1000</f>
        <v>313.5</v>
      </c>
      <c r="E21" s="1330">
        <f>(E9*45)/1000</f>
        <v>17.774999999999999</v>
      </c>
      <c r="F21" s="1329">
        <f>F9</f>
        <v>24</v>
      </c>
      <c r="G21" s="1330">
        <f>G9</f>
        <v>20</v>
      </c>
      <c r="H21" s="1331">
        <f>SUM(C21:G21)</f>
        <v>2502.875</v>
      </c>
    </row>
    <row r="22" spans="1:8" x14ac:dyDescent="0.25">
      <c r="A22" s="1332" t="s">
        <v>63</v>
      </c>
      <c r="B22" s="139" t="s">
        <v>171</v>
      </c>
      <c r="C22" s="1333">
        <f>C9*C11</f>
        <v>234036000</v>
      </c>
      <c r="D22" s="1334">
        <f t="shared" ref="D22:G22" si="1">D9*D11</f>
        <v>34485000</v>
      </c>
      <c r="E22" s="1335">
        <f t="shared" si="1"/>
        <v>1955250</v>
      </c>
      <c r="F22" s="1334">
        <f t="shared" si="1"/>
        <v>2688000</v>
      </c>
      <c r="G22" s="1335">
        <f t="shared" si="1"/>
        <v>2320000</v>
      </c>
      <c r="H22" s="1336">
        <f>SUM(C22:G22)</f>
        <v>275484250</v>
      </c>
    </row>
    <row r="23" spans="1:8" x14ac:dyDescent="0.25">
      <c r="A23" s="1337" t="s">
        <v>64</v>
      </c>
      <c r="B23" s="1338" t="s">
        <v>160</v>
      </c>
      <c r="C23" s="1339">
        <f>C9*C20</f>
        <v>17137970.444859836</v>
      </c>
      <c r="D23" s="1340">
        <f t="shared" ref="D23:G23" si="2">D9*D20</f>
        <v>2541557.4626168231</v>
      </c>
      <c r="E23" s="1341">
        <f t="shared" si="2"/>
        <v>144243.42359813093</v>
      </c>
      <c r="F23" s="1340">
        <f t="shared" si="2"/>
        <v>237508.59153380978</v>
      </c>
      <c r="G23" s="1341">
        <f t="shared" si="2"/>
        <v>203984.29906542064</v>
      </c>
      <c r="H23" s="1342">
        <f>SUM(C23:G23)</f>
        <v>20265264.221674021</v>
      </c>
    </row>
    <row r="24" spans="1:8" x14ac:dyDescent="0.25">
      <c r="A24" s="1343" t="s">
        <v>83</v>
      </c>
      <c r="B24" s="1344" t="s">
        <v>165</v>
      </c>
      <c r="C24" s="1345"/>
      <c r="D24" s="1346"/>
      <c r="E24" s="1347"/>
      <c r="F24" s="1346"/>
      <c r="G24" s="1348"/>
      <c r="H24" s="1349"/>
    </row>
    <row r="25" spans="1:8" x14ac:dyDescent="0.25">
      <c r="A25" s="475" t="s">
        <v>32</v>
      </c>
      <c r="B25" s="479" t="s">
        <v>455</v>
      </c>
      <c r="C25" s="1350"/>
      <c r="D25" s="1351"/>
      <c r="E25" s="1352"/>
      <c r="F25" s="1351"/>
      <c r="G25" s="1353"/>
      <c r="H25" s="481"/>
    </row>
    <row r="26" spans="1:8" hidden="1" outlineLevel="1" x14ac:dyDescent="0.25">
      <c r="A26" s="137">
        <v>1</v>
      </c>
      <c r="B26" s="480" t="s">
        <v>385</v>
      </c>
      <c r="C26" s="1354">
        <f>((H26/($C$9*$C$11+$D$9*$D$11+$E$9*$E$11)*($C$9*$C$11))/$C$9)</f>
        <v>0.37260047786081041</v>
      </c>
      <c r="D26" s="1355">
        <f>(H26/($C$9*$C$11+$D$9*$D$11+$E$9*$E$11)*($D$9*$D$11))/$D$9</f>
        <v>1.0246513141172284</v>
      </c>
      <c r="E26" s="1356">
        <f>(H26/($C$9*$C$11+$D$9*$D$11+$E$9*$E$11)*($E$9*$E$11))/$E$9</f>
        <v>1.3972517919780389</v>
      </c>
      <c r="F26" s="1357"/>
      <c r="G26" s="1358"/>
      <c r="H26" s="734">
        <v>76348.166666666672</v>
      </c>
    </row>
    <row r="27" spans="1:8" hidden="1" outlineLevel="1" x14ac:dyDescent="0.25">
      <c r="A27" s="137">
        <v>2</v>
      </c>
      <c r="B27" s="480" t="s">
        <v>58</v>
      </c>
      <c r="C27" s="1354">
        <f t="shared" ref="C27:C62" si="3">(H27/($C$9*$C$11+$D$9*$D$11+$E$9*$E$11)*$C$9*$C$11)/$C$9</f>
        <v>0.44859539423516853</v>
      </c>
      <c r="D27" s="1355">
        <f t="shared" ref="D27:D62" si="4">(H27/($C$9*$C$11+$D$9*$D$11+$E$9*$E$11)*($D$9*$D$11))/$D$9</f>
        <v>1.2336373341467135</v>
      </c>
      <c r="E27" s="1356">
        <f t="shared" ref="E27:E62" si="5">(H27/($C$9*$C$11+$D$9*$D$11+$E$9*$E$11)*($E$9*$E$11))/$E$9</f>
        <v>1.6822327283818819</v>
      </c>
      <c r="F27" s="1357"/>
      <c r="G27" s="1358"/>
      <c r="H27" s="734">
        <v>91920</v>
      </c>
    </row>
    <row r="28" spans="1:8" hidden="1" outlineLevel="1" x14ac:dyDescent="0.25">
      <c r="A28" s="137">
        <v>3</v>
      </c>
      <c r="B28" s="480" t="s">
        <v>52</v>
      </c>
      <c r="C28" s="1354">
        <f t="shared" si="3"/>
        <v>1.2478877535458286E-2</v>
      </c>
      <c r="D28" s="1355">
        <f t="shared" si="4"/>
        <v>3.4316913222510292E-2</v>
      </c>
      <c r="E28" s="1356">
        <f t="shared" si="5"/>
        <v>4.6795790757968581E-2</v>
      </c>
      <c r="F28" s="1357"/>
      <c r="G28" s="1358"/>
      <c r="H28" s="734">
        <v>2557</v>
      </c>
    </row>
    <row r="29" spans="1:8" hidden="1" outlineLevel="1" x14ac:dyDescent="0.25">
      <c r="A29" s="137">
        <v>4</v>
      </c>
      <c r="B29" s="480" t="s">
        <v>386</v>
      </c>
      <c r="C29" s="1354">
        <f t="shared" si="3"/>
        <v>1.8678460678155658E-2</v>
      </c>
      <c r="D29" s="1355">
        <f t="shared" si="4"/>
        <v>5.1365766864928067E-2</v>
      </c>
      <c r="E29" s="1356">
        <f t="shared" si="5"/>
        <v>7.0044227543083731E-2</v>
      </c>
      <c r="F29" s="1357"/>
      <c r="G29" s="1358"/>
      <c r="H29" s="734">
        <v>3827.3333333333335</v>
      </c>
    </row>
    <row r="30" spans="1:8" hidden="1" outlineLevel="1" x14ac:dyDescent="0.25">
      <c r="A30" s="137">
        <v>5</v>
      </c>
      <c r="B30" s="480" t="s">
        <v>387</v>
      </c>
      <c r="C30" s="1354">
        <f t="shared" si="3"/>
        <v>0.52298876518733151</v>
      </c>
      <c r="D30" s="1355">
        <f t="shared" si="4"/>
        <v>1.438219104265162</v>
      </c>
      <c r="E30" s="1356">
        <f t="shared" si="5"/>
        <v>1.9612078694524935</v>
      </c>
      <c r="F30" s="1357"/>
      <c r="G30" s="1358"/>
      <c r="H30" s="734">
        <v>107163.66666666667</v>
      </c>
    </row>
    <row r="31" spans="1:8" hidden="1" outlineLevel="1" x14ac:dyDescent="0.25">
      <c r="A31" s="137">
        <v>6</v>
      </c>
      <c r="B31" s="480" t="s">
        <v>54</v>
      </c>
      <c r="C31" s="1354">
        <f t="shared" si="3"/>
        <v>0.23113822378120075</v>
      </c>
      <c r="D31" s="1355">
        <f t="shared" si="4"/>
        <v>0.63563011539830205</v>
      </c>
      <c r="E31" s="1356">
        <f t="shared" si="5"/>
        <v>0.8667683391795028</v>
      </c>
      <c r="F31" s="1357"/>
      <c r="G31" s="1358"/>
      <c r="H31" s="734">
        <v>47361.666666666664</v>
      </c>
    </row>
    <row r="32" spans="1:8" hidden="1" outlineLevel="1" x14ac:dyDescent="0.25">
      <c r="A32" s="137">
        <v>7</v>
      </c>
      <c r="B32" s="480" t="s">
        <v>61</v>
      </c>
      <c r="C32" s="1354">
        <f t="shared" si="3"/>
        <v>3.4178231915001781E-3</v>
      </c>
      <c r="D32" s="1355">
        <f t="shared" si="4"/>
        <v>9.3990137766254891E-3</v>
      </c>
      <c r="E32" s="1356">
        <f t="shared" si="5"/>
        <v>1.2816836968125666E-2</v>
      </c>
      <c r="F32" s="1357"/>
      <c r="G32" s="1358"/>
      <c r="H32" s="734">
        <v>700.33333333333337</v>
      </c>
    </row>
    <row r="33" spans="1:8" hidden="1" outlineLevel="1" x14ac:dyDescent="0.25">
      <c r="A33" s="137">
        <v>8</v>
      </c>
      <c r="B33" s="480" t="s">
        <v>84</v>
      </c>
      <c r="C33" s="1354">
        <f t="shared" si="3"/>
        <v>2.9200345686543642E-3</v>
      </c>
      <c r="D33" s="1355">
        <f t="shared" si="4"/>
        <v>8.0300950637995031E-3</v>
      </c>
      <c r="E33" s="1356">
        <f t="shared" si="5"/>
        <v>1.0950129632453868E-2</v>
      </c>
      <c r="F33" s="1357"/>
      <c r="G33" s="1358"/>
      <c r="H33" s="734">
        <v>598.33333333333337</v>
      </c>
    </row>
    <row r="34" spans="1:8" hidden="1" outlineLevel="1" x14ac:dyDescent="0.25">
      <c r="A34" s="137">
        <v>9</v>
      </c>
      <c r="B34" s="480" t="s">
        <v>388</v>
      </c>
      <c r="C34" s="1354">
        <f t="shared" si="3"/>
        <v>0.11712673478725028</v>
      </c>
      <c r="D34" s="1355">
        <f t="shared" si="4"/>
        <v>0.32209852066493821</v>
      </c>
      <c r="E34" s="1356">
        <f t="shared" si="5"/>
        <v>0.43922525545218849</v>
      </c>
      <c r="F34" s="1357"/>
      <c r="G34" s="1358"/>
      <c r="H34" s="734">
        <v>24000</v>
      </c>
    </row>
    <row r="35" spans="1:8" hidden="1" outlineLevel="1" x14ac:dyDescent="0.25">
      <c r="A35" s="137">
        <v>10</v>
      </c>
      <c r="B35" s="480" t="s">
        <v>389</v>
      </c>
      <c r="C35" s="1354">
        <f t="shared" si="3"/>
        <v>0.25518987341772148</v>
      </c>
      <c r="D35" s="1355">
        <f t="shared" si="4"/>
        <v>0.70177215189873421</v>
      </c>
      <c r="E35" s="1356">
        <f t="shared" si="5"/>
        <v>0.95696202531645569</v>
      </c>
      <c r="F35" s="1357"/>
      <c r="G35" s="1358"/>
      <c r="H35" s="734">
        <v>52290</v>
      </c>
    </row>
    <row r="36" spans="1:8" hidden="1" outlineLevel="1" x14ac:dyDescent="0.25">
      <c r="A36" s="137">
        <v>11</v>
      </c>
      <c r="B36" s="480" t="s">
        <v>390</v>
      </c>
      <c r="C36" s="1354">
        <f t="shared" si="3"/>
        <v>0.2933374002338468</v>
      </c>
      <c r="D36" s="1355">
        <f t="shared" si="4"/>
        <v>0.80667785064307862</v>
      </c>
      <c r="E36" s="1356">
        <f t="shared" si="5"/>
        <v>1.1000152508769254</v>
      </c>
      <c r="F36" s="1357"/>
      <c r="G36" s="1358"/>
      <c r="H36" s="734">
        <v>60106.666666666664</v>
      </c>
    </row>
    <row r="37" spans="1:8" hidden="1" outlineLevel="1" x14ac:dyDescent="0.25">
      <c r="A37" s="137">
        <v>12</v>
      </c>
      <c r="B37" s="480" t="s">
        <v>49</v>
      </c>
      <c r="C37" s="1354">
        <f t="shared" si="3"/>
        <v>0.14326063748665549</v>
      </c>
      <c r="D37" s="1355">
        <f t="shared" si="4"/>
        <v>0.39396675308830259</v>
      </c>
      <c r="E37" s="1356">
        <f t="shared" si="5"/>
        <v>0.53722739057495805</v>
      </c>
      <c r="F37" s="1357"/>
      <c r="G37" s="1358"/>
      <c r="H37" s="734">
        <v>29355</v>
      </c>
    </row>
    <row r="38" spans="1:8" hidden="1" outlineLevel="1" x14ac:dyDescent="0.25">
      <c r="A38" s="137">
        <v>13</v>
      </c>
      <c r="B38" s="480" t="s">
        <v>391</v>
      </c>
      <c r="C38" s="1354">
        <f t="shared" si="3"/>
        <v>0.77308362564180766</v>
      </c>
      <c r="D38" s="1355">
        <f t="shared" si="4"/>
        <v>2.1259799705149711</v>
      </c>
      <c r="E38" s="1356">
        <f t="shared" si="5"/>
        <v>2.899063596156779</v>
      </c>
      <c r="F38" s="1357"/>
      <c r="G38" s="1358"/>
      <c r="H38" s="734">
        <v>158409.66666666666</v>
      </c>
    </row>
    <row r="39" spans="1:8" hidden="1" outlineLevel="1" x14ac:dyDescent="0.25">
      <c r="A39" s="137">
        <v>14</v>
      </c>
      <c r="B39" s="480" t="s">
        <v>70</v>
      </c>
      <c r="C39" s="1354">
        <f t="shared" si="3"/>
        <v>6.464094352091912E-2</v>
      </c>
      <c r="D39" s="1355">
        <f t="shared" si="4"/>
        <v>0.17776259468252759</v>
      </c>
      <c r="E39" s="1356">
        <f t="shared" si="5"/>
        <v>0.24240353820344671</v>
      </c>
      <c r="F39" s="1357"/>
      <c r="G39" s="1358"/>
      <c r="H39" s="734">
        <v>13245.333333333334</v>
      </c>
    </row>
    <row r="40" spans="1:8" hidden="1" outlineLevel="1" x14ac:dyDescent="0.25">
      <c r="A40" s="137">
        <v>15</v>
      </c>
      <c r="B40" s="480" t="s">
        <v>392</v>
      </c>
      <c r="C40" s="1354">
        <f t="shared" si="3"/>
        <v>2.8468303594123331E-3</v>
      </c>
      <c r="D40" s="1355">
        <f t="shared" si="4"/>
        <v>7.8287834883839173E-3</v>
      </c>
      <c r="E40" s="1356">
        <f t="shared" si="5"/>
        <v>1.0675613847796249E-2</v>
      </c>
      <c r="F40" s="1357"/>
      <c r="G40" s="1358"/>
      <c r="H40" s="734">
        <v>583.33333333333337</v>
      </c>
    </row>
    <row r="41" spans="1:8" hidden="1" outlineLevel="1" x14ac:dyDescent="0.25">
      <c r="A41" s="137">
        <v>16</v>
      </c>
      <c r="B41" s="480" t="s">
        <v>59</v>
      </c>
      <c r="C41" s="1354">
        <f t="shared" si="3"/>
        <v>4.0669005134461896E-4</v>
      </c>
      <c r="D41" s="1355">
        <f t="shared" si="4"/>
        <v>1.1183976411977023E-3</v>
      </c>
      <c r="E41" s="1356">
        <f t="shared" si="5"/>
        <v>1.5250876925423213E-3</v>
      </c>
      <c r="F41" s="1357"/>
      <c r="G41" s="1358"/>
      <c r="H41" s="734">
        <v>83.333333333333329</v>
      </c>
    </row>
    <row r="42" spans="1:8" hidden="1" outlineLevel="1" x14ac:dyDescent="0.25">
      <c r="A42" s="137">
        <v>17</v>
      </c>
      <c r="B42" s="480" t="s">
        <v>393</v>
      </c>
      <c r="C42" s="1354">
        <f t="shared" si="3"/>
        <v>1.6104926033246911E-2</v>
      </c>
      <c r="D42" s="1355">
        <f t="shared" si="4"/>
        <v>4.4288546591429008E-2</v>
      </c>
      <c r="E42" s="1356">
        <f t="shared" si="5"/>
        <v>6.0393472624675912E-2</v>
      </c>
      <c r="F42" s="1357"/>
      <c r="G42" s="1358"/>
      <c r="H42" s="734">
        <v>3300</v>
      </c>
    </row>
    <row r="43" spans="1:8" hidden="1" outlineLevel="1" x14ac:dyDescent="0.25">
      <c r="A43" s="137">
        <v>18</v>
      </c>
      <c r="B43" s="480" t="s">
        <v>57</v>
      </c>
      <c r="C43" s="1354">
        <f t="shared" si="3"/>
        <v>0.16628905495399315</v>
      </c>
      <c r="D43" s="1355">
        <f t="shared" si="4"/>
        <v>0.4572949011234812</v>
      </c>
      <c r="E43" s="1356">
        <f t="shared" si="5"/>
        <v>0.62358395607747441</v>
      </c>
      <c r="F43" s="1357"/>
      <c r="G43" s="1358"/>
      <c r="H43" s="734">
        <v>34073.666666666664</v>
      </c>
    </row>
    <row r="44" spans="1:8" hidden="1" outlineLevel="1" x14ac:dyDescent="0.25">
      <c r="A44" s="137">
        <v>19</v>
      </c>
      <c r="B44" s="480" t="s">
        <v>394</v>
      </c>
      <c r="C44" s="1354">
        <f t="shared" si="3"/>
        <v>1.9648993950485485</v>
      </c>
      <c r="D44" s="1355">
        <f t="shared" si="4"/>
        <v>5.4034733363835086</v>
      </c>
      <c r="E44" s="1356">
        <f t="shared" si="5"/>
        <v>7.3683727314320571</v>
      </c>
      <c r="F44" s="1357"/>
      <c r="G44" s="1358"/>
      <c r="H44" s="734">
        <v>402620.16666666669</v>
      </c>
    </row>
    <row r="45" spans="1:8" hidden="1" outlineLevel="1" x14ac:dyDescent="0.25">
      <c r="A45" s="137">
        <v>20</v>
      </c>
      <c r="B45" s="480" t="s">
        <v>395</v>
      </c>
      <c r="C45" s="1354">
        <f t="shared" si="3"/>
        <v>0.31232738549133243</v>
      </c>
      <c r="D45" s="1355">
        <f t="shared" si="4"/>
        <v>0.85890031010116419</v>
      </c>
      <c r="E45" s="1356">
        <f t="shared" si="5"/>
        <v>1.1712276955924967</v>
      </c>
      <c r="F45" s="1357"/>
      <c r="G45" s="1358"/>
      <c r="H45" s="734">
        <v>63997.833333333336</v>
      </c>
    </row>
    <row r="46" spans="1:8" hidden="1" outlineLevel="1" x14ac:dyDescent="0.25">
      <c r="A46" s="137">
        <v>21</v>
      </c>
      <c r="B46" s="480" t="s">
        <v>396</v>
      </c>
      <c r="C46" s="1354">
        <f t="shared" si="3"/>
        <v>8.6502973921000446E-3</v>
      </c>
      <c r="D46" s="1355">
        <f t="shared" si="4"/>
        <v>2.3788317828275125E-2</v>
      </c>
      <c r="E46" s="1356">
        <f t="shared" si="5"/>
        <v>3.2438615220375173E-2</v>
      </c>
      <c r="F46" s="1357"/>
      <c r="G46" s="1358"/>
      <c r="H46" s="734">
        <v>1772.5</v>
      </c>
    </row>
    <row r="47" spans="1:8" hidden="1" outlineLevel="1" x14ac:dyDescent="0.25">
      <c r="A47" s="137">
        <v>22</v>
      </c>
      <c r="B47" s="480" t="s">
        <v>48</v>
      </c>
      <c r="C47" s="1354">
        <f t="shared" si="3"/>
        <v>0.21410929795129888</v>
      </c>
      <c r="D47" s="1355">
        <f t="shared" si="4"/>
        <v>0.58880056936607195</v>
      </c>
      <c r="E47" s="1356">
        <f t="shared" si="5"/>
        <v>0.8029098673173708</v>
      </c>
      <c r="F47" s="1357"/>
      <c r="G47" s="1358"/>
      <c r="H47" s="734">
        <v>43872.333333333336</v>
      </c>
    </row>
    <row r="48" spans="1:8" hidden="1" outlineLevel="1" x14ac:dyDescent="0.25">
      <c r="A48" s="137">
        <v>23</v>
      </c>
      <c r="B48" s="480" t="s">
        <v>397</v>
      </c>
      <c r="C48" s="1354">
        <f t="shared" si="3"/>
        <v>0.90233785776015452</v>
      </c>
      <c r="D48" s="1355">
        <f t="shared" si="4"/>
        <v>2.481429108840425</v>
      </c>
      <c r="E48" s="1356">
        <f t="shared" si="5"/>
        <v>3.3837669666005792</v>
      </c>
      <c r="F48" s="1357"/>
      <c r="G48" s="1358"/>
      <c r="H48" s="734">
        <v>184894.66666666666</v>
      </c>
    </row>
    <row r="49" spans="1:8" hidden="1" outlineLevel="1" x14ac:dyDescent="0.25">
      <c r="A49" s="137">
        <v>24</v>
      </c>
      <c r="B49" s="480" t="s">
        <v>398</v>
      </c>
      <c r="C49" s="1354">
        <f t="shared" si="3"/>
        <v>2.0312398962940366</v>
      </c>
      <c r="D49" s="1355">
        <f t="shared" si="4"/>
        <v>5.5859097148086008</v>
      </c>
      <c r="E49" s="1356">
        <f t="shared" si="5"/>
        <v>7.6171496111026382</v>
      </c>
      <c r="F49" s="1357"/>
      <c r="G49" s="1358"/>
      <c r="H49" s="734">
        <v>416213.75</v>
      </c>
    </row>
    <row r="50" spans="1:8" hidden="1" outlineLevel="1" x14ac:dyDescent="0.25">
      <c r="A50" s="137">
        <v>25</v>
      </c>
      <c r="B50" s="480" t="s">
        <v>56</v>
      </c>
      <c r="C50" s="1354">
        <f t="shared" si="3"/>
        <v>5.1913985054140611E-2</v>
      </c>
      <c r="D50" s="1355">
        <f t="shared" si="4"/>
        <v>0.1427634588988867</v>
      </c>
      <c r="E50" s="1356">
        <f t="shared" si="5"/>
        <v>0.1946774439530273</v>
      </c>
      <c r="F50" s="1357"/>
      <c r="G50" s="1358"/>
      <c r="H50" s="734">
        <v>10637.5</v>
      </c>
    </row>
    <row r="51" spans="1:8" hidden="1" outlineLevel="1" x14ac:dyDescent="0.25">
      <c r="A51" s="137">
        <v>26</v>
      </c>
      <c r="B51" s="480" t="s">
        <v>399</v>
      </c>
      <c r="C51" s="1354">
        <f t="shared" si="3"/>
        <v>2.2202885465914286</v>
      </c>
      <c r="D51" s="1355">
        <f t="shared" si="4"/>
        <v>6.1057935031264297</v>
      </c>
      <c r="E51" s="1356">
        <f t="shared" si="5"/>
        <v>8.3260820497178596</v>
      </c>
      <c r="F51" s="1357"/>
      <c r="G51" s="1358"/>
      <c r="H51" s="734">
        <v>454951</v>
      </c>
    </row>
    <row r="52" spans="1:8" hidden="1" outlineLevel="1" x14ac:dyDescent="0.25">
      <c r="A52" s="137">
        <v>27</v>
      </c>
      <c r="B52" s="480" t="s">
        <v>45</v>
      </c>
      <c r="C52" s="1354">
        <f t="shared" si="3"/>
        <v>0.29378801281073663</v>
      </c>
      <c r="D52" s="1355">
        <f t="shared" si="4"/>
        <v>0.80791703522952574</v>
      </c>
      <c r="E52" s="1356">
        <f t="shared" si="5"/>
        <v>1.1017050480402624</v>
      </c>
      <c r="F52" s="1357"/>
      <c r="G52" s="1358"/>
      <c r="H52" s="734">
        <v>60199</v>
      </c>
    </row>
    <row r="53" spans="1:8" hidden="1" outlineLevel="1" x14ac:dyDescent="0.25">
      <c r="A53" s="137">
        <v>28</v>
      </c>
      <c r="B53" s="480" t="s">
        <v>50</v>
      </c>
      <c r="C53" s="1354">
        <f t="shared" si="3"/>
        <v>9.9691932286106455E-2</v>
      </c>
      <c r="D53" s="1355">
        <f t="shared" si="4"/>
        <v>0.27415281378679274</v>
      </c>
      <c r="E53" s="1356">
        <f t="shared" si="5"/>
        <v>0.37384474607289919</v>
      </c>
      <c r="F53" s="1357"/>
      <c r="G53" s="1358"/>
      <c r="H53" s="734">
        <v>20427.5</v>
      </c>
    </row>
    <row r="54" spans="1:8" hidden="1" outlineLevel="1" x14ac:dyDescent="0.25">
      <c r="A54" s="137">
        <v>29</v>
      </c>
      <c r="B54" s="480" t="s">
        <v>400</v>
      </c>
      <c r="C54" s="1354">
        <f t="shared" si="3"/>
        <v>4.5467947740328399E-4</v>
      </c>
      <c r="D54" s="1355">
        <f t="shared" si="4"/>
        <v>1.2503685628590311E-3</v>
      </c>
      <c r="E54" s="1356">
        <f t="shared" si="5"/>
        <v>1.7050480402623152E-3</v>
      </c>
      <c r="F54" s="1357"/>
      <c r="G54" s="1358"/>
      <c r="H54" s="734">
        <v>93.166666666666671</v>
      </c>
    </row>
    <row r="55" spans="1:8" hidden="1" outlineLevel="1" x14ac:dyDescent="0.25">
      <c r="A55" s="137">
        <v>30</v>
      </c>
      <c r="B55" s="480" t="s">
        <v>43</v>
      </c>
      <c r="C55" s="1354">
        <f t="shared" si="3"/>
        <v>0.68193625133445168</v>
      </c>
      <c r="D55" s="1355">
        <f t="shared" si="4"/>
        <v>1.8753246911697421</v>
      </c>
      <c r="E55" s="1356">
        <f t="shared" si="5"/>
        <v>2.5572609425041937</v>
      </c>
      <c r="F55" s="1357"/>
      <c r="G55" s="1358"/>
      <c r="H55" s="734">
        <v>139733</v>
      </c>
    </row>
    <row r="56" spans="1:8" hidden="1" outlineLevel="1" x14ac:dyDescent="0.25">
      <c r="A56" s="137">
        <v>31</v>
      </c>
      <c r="B56" s="480" t="s">
        <v>401</v>
      </c>
      <c r="C56" s="1354">
        <f t="shared" si="3"/>
        <v>9.3645256468913622</v>
      </c>
      <c r="D56" s="1355">
        <f t="shared" si="4"/>
        <v>25.752445528951245</v>
      </c>
      <c r="E56" s="1356">
        <f t="shared" si="5"/>
        <v>35.116971175842608</v>
      </c>
      <c r="F56" s="1357"/>
      <c r="G56" s="1358"/>
      <c r="H56" s="734">
        <v>1918849.8333333333</v>
      </c>
    </row>
    <row r="57" spans="1:8" hidden="1" outlineLevel="1" x14ac:dyDescent="0.25">
      <c r="A57" s="137">
        <v>32</v>
      </c>
      <c r="B57" s="480" t="s">
        <v>46</v>
      </c>
      <c r="C57" s="1354">
        <f t="shared" si="3"/>
        <v>0.88448579126633109</v>
      </c>
      <c r="D57" s="1355">
        <f t="shared" si="4"/>
        <v>2.4323359259824109</v>
      </c>
      <c r="E57" s="1356">
        <f t="shared" si="5"/>
        <v>3.3168217172487418</v>
      </c>
      <c r="F57" s="1357"/>
      <c r="G57" s="1358"/>
      <c r="H57" s="734">
        <v>181236.66666666666</v>
      </c>
    </row>
    <row r="58" spans="1:8" hidden="1" outlineLevel="1" x14ac:dyDescent="0.25">
      <c r="A58" s="137">
        <v>33</v>
      </c>
      <c r="B58" s="480" t="s">
        <v>75</v>
      </c>
      <c r="C58" s="1354">
        <f t="shared" si="3"/>
        <v>0.1456991510345178</v>
      </c>
      <c r="D58" s="1355">
        <f t="shared" si="4"/>
        <v>0.40067266534492402</v>
      </c>
      <c r="E58" s="1356">
        <f t="shared" si="5"/>
        <v>0.54637181637944188</v>
      </c>
      <c r="F58" s="1357"/>
      <c r="G58" s="1358"/>
      <c r="H58" s="734">
        <v>29854.666666666668</v>
      </c>
    </row>
    <row r="59" spans="1:8" hidden="1" outlineLevel="1" x14ac:dyDescent="0.25">
      <c r="A59" s="137">
        <v>34</v>
      </c>
      <c r="B59" s="480" t="s">
        <v>402</v>
      </c>
      <c r="C59" s="1354">
        <f t="shared" si="3"/>
        <v>0.25933973870164206</v>
      </c>
      <c r="D59" s="1355">
        <f t="shared" si="4"/>
        <v>0.71318428142951562</v>
      </c>
      <c r="E59" s="1356">
        <f t="shared" si="5"/>
        <v>0.97252402013115757</v>
      </c>
      <c r="F59" s="1357"/>
      <c r="G59" s="1358"/>
      <c r="H59" s="734">
        <v>53140.333333333336</v>
      </c>
    </row>
    <row r="60" spans="1:8" hidden="1" outlineLevel="1" x14ac:dyDescent="0.25">
      <c r="A60" s="137">
        <v>35</v>
      </c>
      <c r="B60" s="480" t="s">
        <v>403</v>
      </c>
      <c r="C60" s="1354">
        <f t="shared" si="3"/>
        <v>3.0807934522901732</v>
      </c>
      <c r="D60" s="1355">
        <f t="shared" si="4"/>
        <v>8.4721819937979781</v>
      </c>
      <c r="E60" s="1356">
        <f t="shared" si="5"/>
        <v>11.55297544608815</v>
      </c>
      <c r="F60" s="1357"/>
      <c r="G60" s="1358"/>
      <c r="H60" s="734">
        <v>631273.83333333337</v>
      </c>
    </row>
    <row r="61" spans="1:8" hidden="1" outlineLevel="1" x14ac:dyDescent="0.25">
      <c r="A61" s="137">
        <v>36</v>
      </c>
      <c r="B61" s="480" t="s">
        <v>404</v>
      </c>
      <c r="C61" s="1354">
        <f t="shared" si="3"/>
        <v>6.3336281836205585E-2</v>
      </c>
      <c r="D61" s="1355">
        <f t="shared" si="4"/>
        <v>0.17417477504956536</v>
      </c>
      <c r="E61" s="1356">
        <f t="shared" si="5"/>
        <v>0.23751105688577095</v>
      </c>
      <c r="F61" s="1357"/>
      <c r="G61" s="1358"/>
      <c r="H61" s="734">
        <v>12978</v>
      </c>
    </row>
    <row r="62" spans="1:8" hidden="1" outlineLevel="1" x14ac:dyDescent="0.25">
      <c r="A62" s="137">
        <v>37</v>
      </c>
      <c r="B62" s="480" t="s">
        <v>405</v>
      </c>
      <c r="C62" s="1354">
        <f t="shared" si="3"/>
        <v>1.2200701540338568E-3</v>
      </c>
      <c r="D62" s="1355">
        <f t="shared" si="4"/>
        <v>3.3551929235931064E-3</v>
      </c>
      <c r="E62" s="1356">
        <f t="shared" si="5"/>
        <v>4.5752630776269634E-3</v>
      </c>
      <c r="F62" s="1357"/>
      <c r="G62" s="1358"/>
      <c r="H62" s="734">
        <v>250</v>
      </c>
    </row>
    <row r="63" spans="1:8" collapsed="1" x14ac:dyDescent="0.25">
      <c r="A63" s="137"/>
      <c r="B63" s="480" t="s">
        <v>456</v>
      </c>
      <c r="C63" s="1359">
        <f>SUM(C26:C62)</f>
        <v>26.02614244319048</v>
      </c>
      <c r="D63" s="1360">
        <f t="shared" ref="D63:G63" si="6">SUM(D26:D62)</f>
        <v>71.571891718773813</v>
      </c>
      <c r="E63" s="1361">
        <f t="shared" si="6"/>
        <v>97.598034161964321</v>
      </c>
      <c r="F63" s="1360">
        <f t="shared" si="6"/>
        <v>0</v>
      </c>
      <c r="G63" s="1361">
        <f t="shared" si="6"/>
        <v>0</v>
      </c>
      <c r="H63" s="482">
        <f>SUM(H26:H62)</f>
        <v>5332919.25</v>
      </c>
    </row>
    <row r="64" spans="1:8" hidden="1" outlineLevel="1" x14ac:dyDescent="0.25">
      <c r="A64" s="475" t="s">
        <v>33</v>
      </c>
      <c r="B64" s="478" t="s">
        <v>457</v>
      </c>
      <c r="C64" s="1362"/>
      <c r="D64" s="1363"/>
      <c r="E64" s="1364"/>
      <c r="F64" s="1363"/>
      <c r="G64" s="1364"/>
      <c r="H64" s="482"/>
    </row>
    <row r="65" spans="1:8" hidden="1" outlineLevel="1" x14ac:dyDescent="0.25">
      <c r="A65" s="137">
        <v>1</v>
      </c>
      <c r="B65" s="480" t="s">
        <v>82</v>
      </c>
      <c r="C65" s="1359">
        <f>((H65/(($C$9*$C$11)+($D$9*$D$11)+($E$9*$E$11)+($F$9*$F$11)+($G$9*$G$11)))*($C$9*$C$11))/$C$9</f>
        <v>4.5919140567927209E-2</v>
      </c>
      <c r="D65" s="1360">
        <f>((H65/(($C$9*$C$11)+($D$9*$D$11)+($E$9*$E$11)+($F$9*$F$11)+($G$9*$G$11)))*($D$9*$D$11))/$D$9</f>
        <v>0.12627763656179983</v>
      </c>
      <c r="E65" s="1361">
        <f>((H65/(($C$9*$C$11)+($D$9*$D$11)+($E$9*$E$11)+($F$9*$F$11)+($G$9*$G$11)))*($E$9*$E$11))/$E$9</f>
        <v>0.17219677712972703</v>
      </c>
      <c r="F65" s="1360">
        <f>((H65/(($C$9*$C$11)+($D$9*$D$11)+($E$9*$E$11)+($F$9*$F$11)+($G$9*$G$11)))*($F$9*$F$11))/$F$9</f>
        <v>3.8961695027332177</v>
      </c>
      <c r="G65" s="1361">
        <f>((H65/(($C$9*$C$11)+($D$9*$D$11)+($E$9*$E$11)+($F$9*$F$11)+($G$9*$G$11)))*($G$9*$G$11))/$G$9</f>
        <v>4.0353184135451183</v>
      </c>
      <c r="H65" s="482">
        <v>9583.3333333333339</v>
      </c>
    </row>
    <row r="66" spans="1:8" hidden="1" outlineLevel="1" x14ac:dyDescent="0.25">
      <c r="A66" s="137">
        <v>2</v>
      </c>
      <c r="B66" s="480" t="s">
        <v>406</v>
      </c>
      <c r="C66" s="1359">
        <f t="shared" ref="C66:C95" si="7">((H66/(($C$9*$C$11)+($D$9*$D$11)+($E$9*$E$11)+($F$9*$F$11)+($G$9*$G$11)))*($C$9*$C$11))/$C$9</f>
        <v>1.1978906235111445E-2</v>
      </c>
      <c r="D66" s="1360">
        <f t="shared" ref="D66:D95" si="8">((H66/(($C$9*$C$11)+($D$9*$D$11)+($E$9*$E$11)+($F$9*$F$11)+($G$9*$G$11)))*($D$9*$D$11))/$D$9</f>
        <v>3.2941992146556479E-2</v>
      </c>
      <c r="E66" s="1361">
        <f t="shared" ref="E66:E95" si="9">((H66/(($C$9*$C$11)+($D$9*$D$11)+($E$9*$E$11)+($F$9*$F$11)+($G$9*$G$11)))*($E$9*$E$11))/$E$9</f>
        <v>4.4920898381667913E-2</v>
      </c>
      <c r="F66" s="1360">
        <f t="shared" ref="F66:F95" si="10">((H66/(($C$9*$C$11)+($D$9*$D$11)+($E$9*$E$11)+($F$9*$F$11)+($G$9*$G$11)))*($F$9*$F$11))/$F$9</f>
        <v>1.0163920441912742</v>
      </c>
      <c r="G66" s="1361">
        <f t="shared" ref="G66:G95" si="11">((H66/(($C$9*$C$11)+($D$9*$D$11)+($E$9*$E$11)+($F$9*$F$11)+($G$9*$G$11)))*($G$9*$G$11))/$G$9</f>
        <v>1.0526917600552481</v>
      </c>
      <c r="H66" s="482">
        <v>2500</v>
      </c>
    </row>
    <row r="67" spans="1:8" hidden="1" outlineLevel="1" x14ac:dyDescent="0.25">
      <c r="A67" s="137">
        <v>3</v>
      </c>
      <c r="B67" s="480" t="s">
        <v>52</v>
      </c>
      <c r="C67" s="1359">
        <f t="shared" si="7"/>
        <v>0.11280935298478949</v>
      </c>
      <c r="D67" s="1360">
        <f t="shared" si="8"/>
        <v>0.31022572070817112</v>
      </c>
      <c r="E67" s="1361">
        <f t="shared" si="9"/>
        <v>0.42303507369296062</v>
      </c>
      <c r="F67" s="1360">
        <f t="shared" si="10"/>
        <v>9.5717026774972904</v>
      </c>
      <c r="G67" s="1361">
        <f t="shared" si="11"/>
        <v>9.9135492016936233</v>
      </c>
      <c r="H67" s="482">
        <v>23543.333333333332</v>
      </c>
    </row>
    <row r="68" spans="1:8" hidden="1" outlineLevel="1" x14ac:dyDescent="0.25">
      <c r="A68" s="137">
        <v>4</v>
      </c>
      <c r="B68" s="480" t="s">
        <v>78</v>
      </c>
      <c r="C68" s="1359">
        <f t="shared" si="7"/>
        <v>7.9859374900742954E-4</v>
      </c>
      <c r="D68" s="1360">
        <f t="shared" si="8"/>
        <v>2.1961328097704312E-3</v>
      </c>
      <c r="E68" s="1361">
        <f t="shared" si="9"/>
        <v>2.9947265587778613E-3</v>
      </c>
      <c r="F68" s="1360">
        <f t="shared" si="10"/>
        <v>6.7759469612751602E-2</v>
      </c>
      <c r="G68" s="1361">
        <f t="shared" si="11"/>
        <v>7.0179450670349877E-2</v>
      </c>
      <c r="H68" s="482">
        <v>166.66666666666666</v>
      </c>
    </row>
    <row r="69" spans="1:8" hidden="1" outlineLevel="1" x14ac:dyDescent="0.25">
      <c r="A69" s="137">
        <v>5</v>
      </c>
      <c r="B69" s="480" t="s">
        <v>79</v>
      </c>
      <c r="C69" s="1359">
        <f t="shared" si="7"/>
        <v>1.8419564820856365E-2</v>
      </c>
      <c r="D69" s="1360">
        <f t="shared" si="8"/>
        <v>5.0653803257354996E-2</v>
      </c>
      <c r="E69" s="1361">
        <f t="shared" si="9"/>
        <v>6.9073368078211364E-2</v>
      </c>
      <c r="F69" s="1360">
        <f t="shared" si="10"/>
        <v>1.5628721666181156</v>
      </c>
      <c r="G69" s="1361">
        <f t="shared" si="11"/>
        <v>1.6186890297116201</v>
      </c>
      <c r="H69" s="482">
        <v>3844.1666666666665</v>
      </c>
    </row>
    <row r="70" spans="1:8" hidden="1" outlineLevel="1" x14ac:dyDescent="0.25">
      <c r="A70" s="137">
        <v>6</v>
      </c>
      <c r="B70" s="480" t="s">
        <v>72</v>
      </c>
      <c r="C70" s="1359">
        <f t="shared" si="7"/>
        <v>4.1970893072834477E-2</v>
      </c>
      <c r="D70" s="1360">
        <f t="shared" si="8"/>
        <v>0.11541995595029482</v>
      </c>
      <c r="E70" s="1361">
        <f t="shared" si="9"/>
        <v>0.15739084902312928</v>
      </c>
      <c r="F70" s="1360">
        <f t="shared" si="10"/>
        <v>3.5611666849677737</v>
      </c>
      <c r="G70" s="1361">
        <f t="shared" si="11"/>
        <v>3.6883512094309081</v>
      </c>
      <c r="H70" s="482">
        <v>8759.3333333333339</v>
      </c>
    </row>
    <row r="71" spans="1:8" hidden="1" outlineLevel="1" x14ac:dyDescent="0.25">
      <c r="A71" s="137">
        <v>7</v>
      </c>
      <c r="B71" s="480" t="s">
        <v>60</v>
      </c>
      <c r="C71" s="1359">
        <f t="shared" si="7"/>
        <v>0.13196601983597972</v>
      </c>
      <c r="D71" s="1360">
        <f t="shared" si="8"/>
        <v>0.36290655454894422</v>
      </c>
      <c r="E71" s="1361">
        <f t="shared" si="9"/>
        <v>0.49487257438492399</v>
      </c>
      <c r="F71" s="1360">
        <f t="shared" si="10"/>
        <v>11.197116834567977</v>
      </c>
      <c r="G71" s="1361">
        <f t="shared" si="11"/>
        <v>11.597013864373976</v>
      </c>
      <c r="H71" s="482">
        <v>27541.333333333332</v>
      </c>
    </row>
    <row r="72" spans="1:8" hidden="1" outlineLevel="1" x14ac:dyDescent="0.25">
      <c r="A72" s="137">
        <v>8</v>
      </c>
      <c r="B72" s="480" t="s">
        <v>77</v>
      </c>
      <c r="C72" s="1359">
        <f t="shared" si="7"/>
        <v>9.406555910183613E-2</v>
      </c>
      <c r="D72" s="1360">
        <f t="shared" si="8"/>
        <v>0.25868028753004935</v>
      </c>
      <c r="E72" s="1361">
        <f t="shared" si="9"/>
        <v>0.35274584663188546</v>
      </c>
      <c r="F72" s="1360">
        <f t="shared" si="10"/>
        <v>7.9813201662163991</v>
      </c>
      <c r="G72" s="1361">
        <f t="shared" si="11"/>
        <v>8.2663673150098411</v>
      </c>
      <c r="H72" s="482">
        <v>19631.5</v>
      </c>
    </row>
    <row r="73" spans="1:8" hidden="1" outlineLevel="1" x14ac:dyDescent="0.25">
      <c r="A73" s="137">
        <v>9</v>
      </c>
      <c r="B73" s="480" t="s">
        <v>81</v>
      </c>
      <c r="C73" s="1359">
        <f t="shared" si="7"/>
        <v>4.5280265568721258E-3</v>
      </c>
      <c r="D73" s="1360">
        <f t="shared" si="8"/>
        <v>1.2452073031398345E-2</v>
      </c>
      <c r="E73" s="1361">
        <f t="shared" si="9"/>
        <v>1.6980099588270472E-2</v>
      </c>
      <c r="F73" s="1360">
        <f t="shared" si="10"/>
        <v>0.38419619270430161</v>
      </c>
      <c r="G73" s="1361">
        <f t="shared" si="11"/>
        <v>0.39791748530088378</v>
      </c>
      <c r="H73" s="482">
        <v>945</v>
      </c>
    </row>
    <row r="74" spans="1:8" hidden="1" outlineLevel="1" x14ac:dyDescent="0.25">
      <c r="A74" s="137">
        <v>10</v>
      </c>
      <c r="B74" s="480" t="s">
        <v>66</v>
      </c>
      <c r="C74" s="1359">
        <f t="shared" si="7"/>
        <v>0.39956839637837732</v>
      </c>
      <c r="D74" s="1360">
        <f t="shared" si="8"/>
        <v>1.0988130900405377</v>
      </c>
      <c r="E74" s="1361">
        <f t="shared" si="9"/>
        <v>1.4983814864189149</v>
      </c>
      <c r="F74" s="1360">
        <f t="shared" si="10"/>
        <v>33.902773026044137</v>
      </c>
      <c r="G74" s="1361">
        <f t="shared" si="11"/>
        <v>35.113586348402855</v>
      </c>
      <c r="H74" s="482">
        <v>83390</v>
      </c>
    </row>
    <row r="75" spans="1:8" hidden="1" outlineLevel="1" x14ac:dyDescent="0.25">
      <c r="A75" s="137">
        <v>11</v>
      </c>
      <c r="B75" s="480" t="s">
        <v>68</v>
      </c>
      <c r="C75" s="1359">
        <f t="shared" si="7"/>
        <v>0.24923871328397176</v>
      </c>
      <c r="D75" s="1360">
        <f t="shared" si="8"/>
        <v>0.68540646153092233</v>
      </c>
      <c r="E75" s="1361">
        <f t="shared" si="9"/>
        <v>0.93464517481489406</v>
      </c>
      <c r="F75" s="1360">
        <f t="shared" si="10"/>
        <v>21.147527187730937</v>
      </c>
      <c r="G75" s="1361">
        <f t="shared" si="11"/>
        <v>21.902796015864187</v>
      </c>
      <c r="H75" s="482">
        <v>52016.166666666664</v>
      </c>
    </row>
    <row r="76" spans="1:8" hidden="1" outlineLevel="1" x14ac:dyDescent="0.25">
      <c r="A76" s="137">
        <v>12</v>
      </c>
      <c r="B76" s="480" t="s">
        <v>67</v>
      </c>
      <c r="C76" s="1359">
        <f t="shared" si="7"/>
        <v>0.54400365901135905</v>
      </c>
      <c r="D76" s="1360">
        <f t="shared" si="8"/>
        <v>1.4960100622812373</v>
      </c>
      <c r="E76" s="1361">
        <f t="shared" si="9"/>
        <v>2.0400137212925968</v>
      </c>
      <c r="F76" s="1360">
        <f t="shared" si="10"/>
        <v>46.157886219145617</v>
      </c>
      <c r="G76" s="1361">
        <f t="shared" si="11"/>
        <v>47.80638215554368</v>
      </c>
      <c r="H76" s="482">
        <v>113533.66666666667</v>
      </c>
    </row>
    <row r="77" spans="1:8" hidden="1" outlineLevel="1" x14ac:dyDescent="0.25">
      <c r="A77" s="137">
        <v>13</v>
      </c>
      <c r="B77" s="480" t="s">
        <v>407</v>
      </c>
      <c r="C77" s="1359">
        <f t="shared" si="7"/>
        <v>0.37374187453547708</v>
      </c>
      <c r="D77" s="1360">
        <f t="shared" si="8"/>
        <v>1.0277901549725619</v>
      </c>
      <c r="E77" s="1361">
        <f t="shared" si="9"/>
        <v>1.4015320295080389</v>
      </c>
      <c r="F77" s="1360">
        <f t="shared" si="10"/>
        <v>31.71143177876775</v>
      </c>
      <c r="G77" s="1361">
        <f t="shared" si="11"/>
        <v>32.843982913723742</v>
      </c>
      <c r="H77" s="482">
        <v>78000</v>
      </c>
    </row>
    <row r="78" spans="1:8" hidden="1" outlineLevel="1" x14ac:dyDescent="0.25">
      <c r="A78" s="137">
        <v>14</v>
      </c>
      <c r="B78" s="480" t="s">
        <v>408</v>
      </c>
      <c r="C78" s="1359">
        <f t="shared" si="7"/>
        <v>0.24748739719239846</v>
      </c>
      <c r="D78" s="1360">
        <f t="shared" si="8"/>
        <v>0.68059034227909576</v>
      </c>
      <c r="E78" s="1361">
        <f t="shared" si="9"/>
        <v>0.9280777394714943</v>
      </c>
      <c r="F78" s="1360">
        <f t="shared" si="10"/>
        <v>20.998930670870173</v>
      </c>
      <c r="G78" s="1361">
        <f t="shared" si="11"/>
        <v>21.748892480544107</v>
      </c>
      <c r="H78" s="482">
        <v>51650.666666666664</v>
      </c>
    </row>
    <row r="79" spans="1:8" hidden="1" outlineLevel="1" x14ac:dyDescent="0.25">
      <c r="A79" s="137">
        <v>15</v>
      </c>
      <c r="B79" s="480" t="s">
        <v>44</v>
      </c>
      <c r="C79" s="1359">
        <f t="shared" si="7"/>
        <v>3.3365246833530413E-2</v>
      </c>
      <c r="D79" s="1360">
        <f t="shared" si="8"/>
        <v>9.1754428792208617E-2</v>
      </c>
      <c r="E79" s="1361">
        <f t="shared" si="9"/>
        <v>0.12511967562573903</v>
      </c>
      <c r="F79" s="1360">
        <f t="shared" si="10"/>
        <v>2.8309906404207621</v>
      </c>
      <c r="G79" s="1361">
        <f t="shared" si="11"/>
        <v>2.9320974490072178</v>
      </c>
      <c r="H79" s="482">
        <v>6963.333333333333</v>
      </c>
    </row>
    <row r="80" spans="1:8" hidden="1" outlineLevel="1" x14ac:dyDescent="0.25">
      <c r="A80" s="137">
        <v>16</v>
      </c>
      <c r="B80" s="480" t="s">
        <v>42</v>
      </c>
      <c r="C80" s="1359">
        <f t="shared" si="7"/>
        <v>9.9216488782934043E-2</v>
      </c>
      <c r="D80" s="1360">
        <f t="shared" si="8"/>
        <v>0.27284534415306866</v>
      </c>
      <c r="E80" s="1361">
        <f t="shared" si="9"/>
        <v>0.3720618329360027</v>
      </c>
      <c r="F80" s="1360">
        <f t="shared" si="10"/>
        <v>8.4183687452186469</v>
      </c>
      <c r="G80" s="1361">
        <f t="shared" si="11"/>
        <v>8.7190247718335989</v>
      </c>
      <c r="H80" s="482">
        <v>20706.5</v>
      </c>
    </row>
    <row r="81" spans="1:8" hidden="1" outlineLevel="1" x14ac:dyDescent="0.25">
      <c r="A81" s="137">
        <v>17</v>
      </c>
      <c r="B81" s="480" t="s">
        <v>409</v>
      </c>
      <c r="C81" s="1359">
        <f t="shared" si="7"/>
        <v>1.5971874980148591E-2</v>
      </c>
      <c r="D81" s="1360">
        <f t="shared" si="8"/>
        <v>4.3922656195408631E-2</v>
      </c>
      <c r="E81" s="1361">
        <f t="shared" si="9"/>
        <v>5.9894531175557229E-2</v>
      </c>
      <c r="F81" s="1360">
        <f t="shared" si="10"/>
        <v>1.3551893922550322</v>
      </c>
      <c r="G81" s="1361">
        <f t="shared" si="11"/>
        <v>1.4035890134069977</v>
      </c>
      <c r="H81" s="482">
        <v>3333.3333333333335</v>
      </c>
    </row>
    <row r="82" spans="1:8" hidden="1" outlineLevel="1" x14ac:dyDescent="0.25">
      <c r="A82" s="137">
        <v>18</v>
      </c>
      <c r="B82" s="480" t="s">
        <v>410</v>
      </c>
      <c r="C82" s="1359">
        <f t="shared" si="7"/>
        <v>9.7909989409557904E-2</v>
      </c>
      <c r="D82" s="1360">
        <f t="shared" si="8"/>
        <v>0.26925247087628423</v>
      </c>
      <c r="E82" s="1361">
        <f t="shared" si="9"/>
        <v>0.3671624602858421</v>
      </c>
      <c r="F82" s="1360">
        <f t="shared" si="10"/>
        <v>8.3075142529321848</v>
      </c>
      <c r="G82" s="1361">
        <f t="shared" si="11"/>
        <v>8.6042111905369065</v>
      </c>
      <c r="H82" s="482">
        <v>20433.833333333332</v>
      </c>
    </row>
    <row r="83" spans="1:8" hidden="1" outlineLevel="1" x14ac:dyDescent="0.25">
      <c r="A83" s="137">
        <v>19</v>
      </c>
      <c r="B83" s="480" t="s">
        <v>76</v>
      </c>
      <c r="C83" s="1359">
        <f t="shared" si="7"/>
        <v>4.1339205417369594E-2</v>
      </c>
      <c r="D83" s="1360">
        <f t="shared" si="8"/>
        <v>0.11368281489776638</v>
      </c>
      <c r="E83" s="1361">
        <f t="shared" si="9"/>
        <v>0.15502202031513598</v>
      </c>
      <c r="F83" s="1360">
        <f t="shared" si="10"/>
        <v>3.5075689445040865</v>
      </c>
      <c r="G83" s="1361">
        <f t="shared" si="11"/>
        <v>3.632839263950661</v>
      </c>
      <c r="H83" s="482">
        <v>8627.5</v>
      </c>
    </row>
    <row r="84" spans="1:8" hidden="1" outlineLevel="1" x14ac:dyDescent="0.25">
      <c r="A84" s="137">
        <v>20</v>
      </c>
      <c r="B84" s="480" t="s">
        <v>80</v>
      </c>
      <c r="C84" s="1359">
        <f t="shared" si="7"/>
        <v>2.2416526534638549E-3</v>
      </c>
      <c r="D84" s="1360">
        <f t="shared" si="8"/>
        <v>6.164544797025601E-3</v>
      </c>
      <c r="E84" s="1361">
        <f t="shared" si="9"/>
        <v>8.4061974504894554E-3</v>
      </c>
      <c r="F84" s="1360">
        <f t="shared" si="10"/>
        <v>0.19020083120299372</v>
      </c>
      <c r="G84" s="1361">
        <f t="shared" si="11"/>
        <v>0.19699371803167209</v>
      </c>
      <c r="H84" s="482">
        <v>467.83333333333331</v>
      </c>
    </row>
    <row r="85" spans="1:8" hidden="1" outlineLevel="1" x14ac:dyDescent="0.25">
      <c r="A85" s="137">
        <v>21</v>
      </c>
      <c r="B85" s="480" t="s">
        <v>71</v>
      </c>
      <c r="C85" s="1359">
        <f t="shared" si="7"/>
        <v>5.3474636027286498E-2</v>
      </c>
      <c r="D85" s="1360">
        <f t="shared" si="8"/>
        <v>0.14705524907503786</v>
      </c>
      <c r="E85" s="1361">
        <f t="shared" si="9"/>
        <v>0.20052988510232436</v>
      </c>
      <c r="F85" s="1360">
        <f t="shared" si="10"/>
        <v>4.5372418447394596</v>
      </c>
      <c r="G85" s="1361">
        <f t="shared" si="11"/>
        <v>4.6992861963372983</v>
      </c>
      <c r="H85" s="482">
        <v>11160.166666666666</v>
      </c>
    </row>
    <row r="86" spans="1:8" hidden="1" outlineLevel="1" x14ac:dyDescent="0.25">
      <c r="A86" s="137">
        <v>22</v>
      </c>
      <c r="B86" s="480" t="s">
        <v>69</v>
      </c>
      <c r="C86" s="1359">
        <f t="shared" si="7"/>
        <v>0.2668944231839025</v>
      </c>
      <c r="D86" s="1360">
        <f t="shared" si="8"/>
        <v>0.73395966375573196</v>
      </c>
      <c r="E86" s="1361">
        <f t="shared" si="9"/>
        <v>1.0008540869396345</v>
      </c>
      <c r="F86" s="1360">
        <f t="shared" si="10"/>
        <v>22.645587421664455</v>
      </c>
      <c r="G86" s="1361">
        <f t="shared" si="11"/>
        <v>23.454358401009614</v>
      </c>
      <c r="H86" s="482">
        <v>55700.916666666664</v>
      </c>
    </row>
    <row r="87" spans="1:8" hidden="1" outlineLevel="1" x14ac:dyDescent="0.25">
      <c r="A87" s="137">
        <v>23</v>
      </c>
      <c r="B87" s="480" t="s">
        <v>411</v>
      </c>
      <c r="C87" s="1359">
        <f t="shared" si="7"/>
        <v>0.93841393836489739</v>
      </c>
      <c r="D87" s="1360">
        <f t="shared" si="8"/>
        <v>2.5806383305034681</v>
      </c>
      <c r="E87" s="1361">
        <f t="shared" si="9"/>
        <v>3.5190522688683652</v>
      </c>
      <c r="F87" s="1360">
        <f t="shared" si="10"/>
        <v>79.623000830961004</v>
      </c>
      <c r="G87" s="1361">
        <f t="shared" si="11"/>
        <v>82.466679432066741</v>
      </c>
      <c r="H87" s="482">
        <v>195847.16666666666</v>
      </c>
    </row>
    <row r="88" spans="1:8" hidden="1" outlineLevel="1" x14ac:dyDescent="0.25">
      <c r="A88" s="137">
        <v>24</v>
      </c>
      <c r="B88" s="480" t="s">
        <v>412</v>
      </c>
      <c r="C88" s="1359">
        <f t="shared" si="7"/>
        <v>7.0292221787633963E-3</v>
      </c>
      <c r="D88" s="1360">
        <f t="shared" si="8"/>
        <v>1.9330360991599339E-2</v>
      </c>
      <c r="E88" s="1361">
        <f t="shared" si="9"/>
        <v>2.6359583170362733E-2</v>
      </c>
      <c r="F88" s="1360">
        <f t="shared" si="10"/>
        <v>0.5964188515314397</v>
      </c>
      <c r="G88" s="1361">
        <f t="shared" si="11"/>
        <v>0.61771952480041969</v>
      </c>
      <c r="H88" s="482">
        <v>1467</v>
      </c>
    </row>
    <row r="89" spans="1:8" hidden="1" outlineLevel="1" x14ac:dyDescent="0.25">
      <c r="A89" s="137">
        <v>25</v>
      </c>
      <c r="B89" s="480" t="s">
        <v>46</v>
      </c>
      <c r="C89" s="1359">
        <f t="shared" si="7"/>
        <v>0.23902310204666874</v>
      </c>
      <c r="D89" s="1360">
        <f t="shared" si="8"/>
        <v>0.65731353062833897</v>
      </c>
      <c r="E89" s="1361">
        <f t="shared" si="9"/>
        <v>0.89633663267500774</v>
      </c>
      <c r="F89" s="1360">
        <f t="shared" si="10"/>
        <v>20.280748052444618</v>
      </c>
      <c r="G89" s="1361">
        <f t="shared" si="11"/>
        <v>21.005060482889071</v>
      </c>
      <c r="H89" s="482">
        <v>49884.166666666664</v>
      </c>
    </row>
    <row r="90" spans="1:8" hidden="1" outlineLevel="1" x14ac:dyDescent="0.25">
      <c r="A90" s="137">
        <v>26</v>
      </c>
      <c r="B90" s="480" t="s">
        <v>74</v>
      </c>
      <c r="C90" s="1359">
        <f t="shared" si="7"/>
        <v>0.29629824572548158</v>
      </c>
      <c r="D90" s="1360">
        <f t="shared" si="8"/>
        <v>0.81482017574507426</v>
      </c>
      <c r="E90" s="1361">
        <f t="shared" si="9"/>
        <v>1.1111184214705558</v>
      </c>
      <c r="F90" s="1360">
        <f t="shared" si="10"/>
        <v>25.140457213071162</v>
      </c>
      <c r="G90" s="1361">
        <f t="shared" si="11"/>
        <v>26.038330684966564</v>
      </c>
      <c r="H90" s="482">
        <v>61837.5</v>
      </c>
    </row>
    <row r="91" spans="1:8" hidden="1" outlineLevel="1" x14ac:dyDescent="0.25">
      <c r="A91" s="137">
        <v>27</v>
      </c>
      <c r="B91" s="480" t="s">
        <v>75</v>
      </c>
      <c r="C91" s="1359">
        <f t="shared" si="7"/>
        <v>7.5967827561829751E-2</v>
      </c>
      <c r="D91" s="1360">
        <f t="shared" si="8"/>
        <v>0.20891152579503183</v>
      </c>
      <c r="E91" s="1361">
        <f t="shared" si="9"/>
        <v>0.2848793533568616</v>
      </c>
      <c r="F91" s="1360">
        <f t="shared" si="10"/>
        <v>6.4457550658522216</v>
      </c>
      <c r="G91" s="1361">
        <f t="shared" si="11"/>
        <v>6.6759606039183721</v>
      </c>
      <c r="H91" s="482">
        <v>15854.5</v>
      </c>
    </row>
    <row r="92" spans="1:8" hidden="1" outlineLevel="1" x14ac:dyDescent="0.25">
      <c r="A92" s="137">
        <v>28</v>
      </c>
      <c r="B92" s="480" t="s">
        <v>413</v>
      </c>
      <c r="C92" s="1359">
        <f t="shared" si="7"/>
        <v>2.9566112763252348</v>
      </c>
      <c r="D92" s="1360">
        <f t="shared" si="8"/>
        <v>8.1306810098943956</v>
      </c>
      <c r="E92" s="1361">
        <f t="shared" si="9"/>
        <v>11.087292286219631</v>
      </c>
      <c r="F92" s="1360">
        <f t="shared" si="10"/>
        <v>250.86398708214111</v>
      </c>
      <c r="G92" s="1361">
        <f t="shared" si="11"/>
        <v>259.82341519221757</v>
      </c>
      <c r="H92" s="482">
        <v>617045.33333333337</v>
      </c>
    </row>
    <row r="93" spans="1:8" hidden="1" outlineLevel="1" x14ac:dyDescent="0.25">
      <c r="A93" s="137">
        <v>29</v>
      </c>
      <c r="B93" s="480" t="s">
        <v>70</v>
      </c>
      <c r="C93" s="1359">
        <f t="shared" si="7"/>
        <v>0.2986477085350614</v>
      </c>
      <c r="D93" s="1360">
        <f t="shared" si="8"/>
        <v>0.82128119847141901</v>
      </c>
      <c r="E93" s="1361">
        <f t="shared" si="9"/>
        <v>1.1199289070064804</v>
      </c>
      <c r="F93" s="1360">
        <f t="shared" si="10"/>
        <v>25.339805572671878</v>
      </c>
      <c r="G93" s="1361">
        <f t="shared" si="11"/>
        <v>26.24479862883873</v>
      </c>
      <c r="H93" s="482">
        <v>62327.833333333336</v>
      </c>
    </row>
    <row r="94" spans="1:8" hidden="1" outlineLevel="1" x14ac:dyDescent="0.25">
      <c r="A94" s="137">
        <v>30</v>
      </c>
      <c r="B94" s="480" t="s">
        <v>73</v>
      </c>
      <c r="C94" s="1359">
        <f t="shared" si="7"/>
        <v>7.0915124911859764E-2</v>
      </c>
      <c r="D94" s="1360">
        <f t="shared" si="8"/>
        <v>0.19501659350761433</v>
      </c>
      <c r="E94" s="1361">
        <f t="shared" si="9"/>
        <v>0.26593171841947411</v>
      </c>
      <c r="F94" s="1360">
        <f t="shared" si="10"/>
        <v>6.0170409016123427</v>
      </c>
      <c r="G94" s="1361">
        <f t="shared" si="11"/>
        <v>6.2319352195270694</v>
      </c>
      <c r="H94" s="482">
        <v>14800</v>
      </c>
    </row>
    <row r="95" spans="1:8" hidden="1" outlineLevel="1" x14ac:dyDescent="0.25">
      <c r="A95" s="137">
        <v>31</v>
      </c>
      <c r="B95" s="480" t="s">
        <v>414</v>
      </c>
      <c r="C95" s="1359">
        <f t="shared" si="7"/>
        <v>9.5831249880891561E-2</v>
      </c>
      <c r="D95" s="1360">
        <f t="shared" si="8"/>
        <v>0.26353593717245183</v>
      </c>
      <c r="E95" s="1361">
        <f t="shared" si="9"/>
        <v>0.35936718705334331</v>
      </c>
      <c r="F95" s="1360">
        <f t="shared" si="10"/>
        <v>8.1311363535301933</v>
      </c>
      <c r="G95" s="1361">
        <f t="shared" si="11"/>
        <v>8.4215340804419849</v>
      </c>
      <c r="H95" s="482">
        <v>20000</v>
      </c>
    </row>
    <row r="96" spans="1:8" collapsed="1" x14ac:dyDescent="0.25">
      <c r="A96" s="137"/>
      <c r="B96" s="480" t="s">
        <v>458</v>
      </c>
      <c r="C96" s="1359">
        <f>SUM(C65:C95)</f>
        <v>7.8656473101456799</v>
      </c>
      <c r="D96" s="1360">
        <f t="shared" ref="D96:G96" si="12">SUM(D65:D95)</f>
        <v>21.630530102900622</v>
      </c>
      <c r="E96" s="1361">
        <f t="shared" si="12"/>
        <v>29.496177413046304</v>
      </c>
      <c r="F96" s="1360">
        <f t="shared" si="12"/>
        <v>667.38825661842122</v>
      </c>
      <c r="G96" s="1361">
        <f t="shared" si="12"/>
        <v>691.22355149765065</v>
      </c>
      <c r="H96" s="482">
        <f>SUM(H65:H95)</f>
        <v>1641562.0833333333</v>
      </c>
    </row>
    <row r="97" spans="1:8" hidden="1" outlineLevel="1" x14ac:dyDescent="0.25">
      <c r="A97" s="475" t="s">
        <v>35</v>
      </c>
      <c r="B97" s="478" t="s">
        <v>459</v>
      </c>
      <c r="C97" s="1362"/>
      <c r="D97" s="1363"/>
      <c r="E97" s="1364"/>
      <c r="F97" s="1363"/>
      <c r="G97" s="1364"/>
      <c r="H97" s="482"/>
    </row>
    <row r="98" spans="1:8" hidden="1" outlineLevel="1" x14ac:dyDescent="0.25">
      <c r="A98" s="137">
        <v>1</v>
      </c>
      <c r="B98" s="480" t="s">
        <v>417</v>
      </c>
      <c r="C98" s="1359">
        <f t="shared" ref="C98:C117" si="13">((H98/(($C$9*$C$11)+($D$9*$D$11)+($E$9*$E$11)+($F$9*$F$11)+($G$9*$G$11)))*($C$9*$C$11))/$C$9</f>
        <v>0.58257413990091989</v>
      </c>
      <c r="D98" s="1360">
        <f t="shared" ref="D98:D117" si="14">((H98/(($C$9*$C$11)+($D$9*$D$11)+($E$9*$E$11)+($F$9*$F$11)+($G$9*$G$11)))*($D$9*$D$11))/$D$9</f>
        <v>1.6020788847275298</v>
      </c>
      <c r="E98" s="1361">
        <f t="shared" ref="E98:E117" si="15">((H98/(($C$9*$C$11)+($D$9*$D$11)+($E$9*$E$11)+($F$9*$F$11)+($G$9*$G$11)))*($E$9*$E$11))/$E$9</f>
        <v>2.1846530246284495</v>
      </c>
      <c r="F98" s="1360">
        <f t="shared" ref="F98:F117" si="16">((H98/(($C$9*$C$11)+($D$9*$D$11)+($E$9*$E$11)+($F$9*$F$11)+($G$9*$G$11)))*($F$9*$F$11))/$F$9</f>
        <v>49.430533082502301</v>
      </c>
      <c r="G98" s="1361">
        <f t="shared" ref="G98:G133" si="17">((H98/(($C$9*$C$11)+($D$9*$D$11)+($E$9*$E$11)+($F$9*$F$11)+($G$9*$G$11)))*($G$9*$G$11))/$G$9</f>
        <v>51.19590926402023</v>
      </c>
      <c r="H98" s="482">
        <v>121583.33333333333</v>
      </c>
    </row>
    <row r="99" spans="1:8" hidden="1" outlineLevel="1" x14ac:dyDescent="0.25">
      <c r="A99" s="137">
        <v>2</v>
      </c>
      <c r="B99" s="480" t="s">
        <v>37</v>
      </c>
      <c r="C99" s="1359">
        <f t="shared" si="13"/>
        <v>0</v>
      </c>
      <c r="D99" s="1360">
        <f t="shared" si="14"/>
        <v>0</v>
      </c>
      <c r="E99" s="1361">
        <f t="shared" si="15"/>
        <v>0</v>
      </c>
      <c r="F99" s="1360">
        <f t="shared" si="16"/>
        <v>0</v>
      </c>
      <c r="G99" s="1361">
        <f t="shared" si="17"/>
        <v>0</v>
      </c>
      <c r="H99" s="482">
        <v>0</v>
      </c>
    </row>
    <row r="100" spans="1:8" hidden="1" outlineLevel="1" x14ac:dyDescent="0.25">
      <c r="A100" s="137">
        <v>3</v>
      </c>
      <c r="B100" s="480" t="s">
        <v>85</v>
      </c>
      <c r="C100" s="1359">
        <f t="shared" si="13"/>
        <v>8.9362640513931382E-4</v>
      </c>
      <c r="D100" s="1360">
        <f t="shared" si="14"/>
        <v>2.4574726141331129E-3</v>
      </c>
      <c r="E100" s="1361">
        <f t="shared" si="15"/>
        <v>3.3510990192724263E-3</v>
      </c>
      <c r="F100" s="1360">
        <f t="shared" si="16"/>
        <v>7.5822846496669052E-2</v>
      </c>
      <c r="G100" s="1361">
        <f t="shared" si="17"/>
        <v>7.8530805300121506E-2</v>
      </c>
      <c r="H100" s="482">
        <v>186.5</v>
      </c>
    </row>
    <row r="101" spans="1:8" hidden="1" outlineLevel="1" x14ac:dyDescent="0.25">
      <c r="A101" s="137">
        <v>4</v>
      </c>
      <c r="B101" s="480" t="s">
        <v>418</v>
      </c>
      <c r="C101" s="1359">
        <f t="shared" si="13"/>
        <v>0</v>
      </c>
      <c r="D101" s="1360">
        <f t="shared" si="14"/>
        <v>0</v>
      </c>
      <c r="E101" s="1361">
        <f t="shared" si="15"/>
        <v>0</v>
      </c>
      <c r="F101" s="1360">
        <f t="shared" si="16"/>
        <v>0</v>
      </c>
      <c r="G101" s="1361">
        <f t="shared" si="17"/>
        <v>0</v>
      </c>
      <c r="H101" s="482">
        <v>0</v>
      </c>
    </row>
    <row r="102" spans="1:8" hidden="1" outlineLevel="1" x14ac:dyDescent="0.25">
      <c r="A102" s="137">
        <v>5</v>
      </c>
      <c r="B102" s="480" t="s">
        <v>419</v>
      </c>
      <c r="C102" s="1359">
        <f t="shared" si="13"/>
        <v>0.47861320565513271</v>
      </c>
      <c r="D102" s="1360">
        <f t="shared" si="14"/>
        <v>1.3161863155516149</v>
      </c>
      <c r="E102" s="1361">
        <f t="shared" si="15"/>
        <v>1.7947995212067478</v>
      </c>
      <c r="F102" s="1360">
        <f t="shared" si="16"/>
        <v>40.609605328314295</v>
      </c>
      <c r="G102" s="1361">
        <f t="shared" si="17"/>
        <v>42.05994837575409</v>
      </c>
      <c r="H102" s="482">
        <v>99886.666666666672</v>
      </c>
    </row>
    <row r="103" spans="1:8" hidden="1" outlineLevel="1" x14ac:dyDescent="0.25">
      <c r="A103" s="137">
        <v>6</v>
      </c>
      <c r="B103" s="480" t="s">
        <v>420</v>
      </c>
      <c r="C103" s="1359">
        <f t="shared" si="13"/>
        <v>5.8927010890822249</v>
      </c>
      <c r="D103" s="1360">
        <f t="shared" si="14"/>
        <v>16.204927994976121</v>
      </c>
      <c r="E103" s="1361">
        <f t="shared" si="15"/>
        <v>22.097629084058344</v>
      </c>
      <c r="F103" s="1360">
        <f t="shared" si="16"/>
        <v>499.98675907364333</v>
      </c>
      <c r="G103" s="1361">
        <f t="shared" si="17"/>
        <v>517.84342904055916</v>
      </c>
      <c r="H103" s="482">
        <v>1229807.8333333333</v>
      </c>
    </row>
    <row r="104" spans="1:8" hidden="1" outlineLevel="1" x14ac:dyDescent="0.25">
      <c r="A104" s="137">
        <v>7</v>
      </c>
      <c r="B104" s="480" t="s">
        <v>421</v>
      </c>
      <c r="C104" s="1359">
        <f t="shared" si="13"/>
        <v>1.3731268484495938</v>
      </c>
      <c r="D104" s="1360">
        <f t="shared" si="14"/>
        <v>3.7760988332363832</v>
      </c>
      <c r="E104" s="1361">
        <f t="shared" si="15"/>
        <v>5.1492256816859765</v>
      </c>
      <c r="F104" s="1360">
        <f t="shared" si="16"/>
        <v>116.50773259572311</v>
      </c>
      <c r="G104" s="1361">
        <f t="shared" si="17"/>
        <v>120.66872304557037</v>
      </c>
      <c r="H104" s="482">
        <v>286571.83333333331</v>
      </c>
    </row>
    <row r="105" spans="1:8" hidden="1" outlineLevel="1" x14ac:dyDescent="0.25">
      <c r="A105" s="137">
        <v>8</v>
      </c>
      <c r="B105" s="480" t="s">
        <v>422</v>
      </c>
      <c r="C105" s="1359">
        <f t="shared" si="13"/>
        <v>0</v>
      </c>
      <c r="D105" s="1360">
        <f t="shared" si="14"/>
        <v>0</v>
      </c>
      <c r="E105" s="1361">
        <f t="shared" si="15"/>
        <v>0</v>
      </c>
      <c r="F105" s="1360">
        <f t="shared" si="16"/>
        <v>0</v>
      </c>
      <c r="G105" s="1361">
        <f t="shared" si="17"/>
        <v>0</v>
      </c>
      <c r="H105" s="482">
        <v>0</v>
      </c>
    </row>
    <row r="106" spans="1:8" hidden="1" outlineLevel="1" x14ac:dyDescent="0.25">
      <c r="A106" s="137">
        <v>9</v>
      </c>
      <c r="B106" s="480" t="s">
        <v>423</v>
      </c>
      <c r="C106" s="1359">
        <f t="shared" si="13"/>
        <v>2.3957812470222889E-5</v>
      </c>
      <c r="D106" s="1360">
        <f t="shared" si="14"/>
        <v>6.5883984293112937E-5</v>
      </c>
      <c r="E106" s="1361">
        <f t="shared" si="15"/>
        <v>8.9841796763335846E-5</v>
      </c>
      <c r="F106" s="1360">
        <f t="shared" si="16"/>
        <v>2.0327840883825484E-3</v>
      </c>
      <c r="G106" s="1361">
        <f t="shared" si="17"/>
        <v>2.1053835201104961E-3</v>
      </c>
      <c r="H106" s="482">
        <v>5</v>
      </c>
    </row>
    <row r="107" spans="1:8" hidden="1" outlineLevel="1" x14ac:dyDescent="0.25">
      <c r="A107" s="137">
        <v>10</v>
      </c>
      <c r="B107" s="480" t="s">
        <v>424</v>
      </c>
      <c r="C107" s="1359">
        <f t="shared" si="13"/>
        <v>0.42577584743955421</v>
      </c>
      <c r="D107" s="1360">
        <f t="shared" si="14"/>
        <v>1.1708835804587741</v>
      </c>
      <c r="E107" s="1361">
        <f t="shared" si="15"/>
        <v>1.5966594278983282</v>
      </c>
      <c r="F107" s="1360">
        <f t="shared" si="16"/>
        <v>36.126435540325808</v>
      </c>
      <c r="G107" s="1361">
        <f t="shared" si="17"/>
        <v>37.416665381051729</v>
      </c>
      <c r="H107" s="482">
        <v>88859.5</v>
      </c>
    </row>
    <row r="108" spans="1:8" hidden="1" outlineLevel="1" x14ac:dyDescent="0.25">
      <c r="A108" s="137">
        <v>11</v>
      </c>
      <c r="B108" s="480" t="s">
        <v>425</v>
      </c>
      <c r="C108" s="1359">
        <f t="shared" si="13"/>
        <v>0</v>
      </c>
      <c r="D108" s="1360">
        <f t="shared" si="14"/>
        <v>0</v>
      </c>
      <c r="E108" s="1361">
        <f t="shared" si="15"/>
        <v>0</v>
      </c>
      <c r="F108" s="1360">
        <f t="shared" si="16"/>
        <v>0</v>
      </c>
      <c r="G108" s="1361">
        <f t="shared" si="17"/>
        <v>0</v>
      </c>
      <c r="H108" s="482">
        <v>0</v>
      </c>
    </row>
    <row r="109" spans="1:8" hidden="1" outlineLevel="1" x14ac:dyDescent="0.25">
      <c r="A109" s="137">
        <v>12</v>
      </c>
      <c r="B109" s="480" t="s">
        <v>426</v>
      </c>
      <c r="C109" s="1359">
        <f t="shared" si="13"/>
        <v>5.5901562430520073E-2</v>
      </c>
      <c r="D109" s="1360">
        <f t="shared" si="14"/>
        <v>0.15372929668393018</v>
      </c>
      <c r="E109" s="1361">
        <f t="shared" si="15"/>
        <v>0.20963085911445026</v>
      </c>
      <c r="F109" s="1360">
        <f t="shared" si="16"/>
        <v>4.7431628728926123</v>
      </c>
      <c r="G109" s="1361">
        <f t="shared" si="17"/>
        <v>4.9125615469244908</v>
      </c>
      <c r="H109" s="482">
        <v>11666.666666666666</v>
      </c>
    </row>
    <row r="110" spans="1:8" hidden="1" outlineLevel="1" x14ac:dyDescent="0.25">
      <c r="A110" s="137">
        <v>13</v>
      </c>
      <c r="B110" s="480" t="s">
        <v>427</v>
      </c>
      <c r="C110" s="1359">
        <f t="shared" si="13"/>
        <v>2.4964040593972253E-2</v>
      </c>
      <c r="D110" s="1360">
        <f t="shared" si="14"/>
        <v>6.8651111633423689E-2</v>
      </c>
      <c r="E110" s="1361">
        <f t="shared" si="15"/>
        <v>9.3615152227395942E-2</v>
      </c>
      <c r="F110" s="1360">
        <f t="shared" si="16"/>
        <v>2.118161020094615</v>
      </c>
      <c r="G110" s="1361">
        <f t="shared" si="17"/>
        <v>2.1938096279551371</v>
      </c>
      <c r="H110" s="482">
        <v>5210</v>
      </c>
    </row>
    <row r="111" spans="1:8" hidden="1" outlineLevel="1" x14ac:dyDescent="0.25">
      <c r="A111" s="137">
        <v>14</v>
      </c>
      <c r="B111" s="480" t="s">
        <v>428</v>
      </c>
      <c r="C111" s="1359">
        <f t="shared" si="13"/>
        <v>5.3417935871106969E-3</v>
      </c>
      <c r="D111" s="1360">
        <f t="shared" si="14"/>
        <v>1.4689932364554417E-2</v>
      </c>
      <c r="E111" s="1361">
        <f t="shared" si="15"/>
        <v>2.0031725951665115E-2</v>
      </c>
      <c r="F111" s="1360">
        <f t="shared" si="16"/>
        <v>0.4532430922396955</v>
      </c>
      <c r="G111" s="1361">
        <f t="shared" si="17"/>
        <v>0.46943034553397034</v>
      </c>
      <c r="H111" s="482">
        <v>1114.8333333333333</v>
      </c>
    </row>
    <row r="112" spans="1:8" hidden="1" outlineLevel="1" x14ac:dyDescent="0.25">
      <c r="A112" s="137">
        <v>15</v>
      </c>
      <c r="B112" s="480" t="s">
        <v>55</v>
      </c>
      <c r="C112" s="1359">
        <f t="shared" si="13"/>
        <v>7.0651588974687306E-3</v>
      </c>
      <c r="D112" s="1360">
        <f t="shared" si="14"/>
        <v>1.9429186968039008E-2</v>
      </c>
      <c r="E112" s="1361">
        <f t="shared" si="15"/>
        <v>2.6494345865507737E-2</v>
      </c>
      <c r="F112" s="1360">
        <f t="shared" si="16"/>
        <v>0.59946802766401353</v>
      </c>
      <c r="G112" s="1361">
        <f t="shared" si="17"/>
        <v>0.62087760008058546</v>
      </c>
      <c r="H112" s="482">
        <v>1474.5</v>
      </c>
    </row>
    <row r="113" spans="1:8" hidden="1" outlineLevel="1" x14ac:dyDescent="0.25">
      <c r="A113" s="137">
        <v>16</v>
      </c>
      <c r="B113" s="480" t="s">
        <v>53</v>
      </c>
      <c r="C113" s="1359">
        <f t="shared" si="13"/>
        <v>5.9894531175557226E-3</v>
      </c>
      <c r="D113" s="1360">
        <f t="shared" si="14"/>
        <v>1.6470996073278239E-2</v>
      </c>
      <c r="E113" s="1361">
        <f t="shared" si="15"/>
        <v>2.2460449190833957E-2</v>
      </c>
      <c r="F113" s="1360">
        <f t="shared" si="16"/>
        <v>0.50819602209563708</v>
      </c>
      <c r="G113" s="1361">
        <f t="shared" si="17"/>
        <v>0.52634588002762406</v>
      </c>
      <c r="H113" s="482">
        <v>1250</v>
      </c>
    </row>
    <row r="114" spans="1:8" hidden="1" outlineLevel="1" x14ac:dyDescent="0.25">
      <c r="A114" s="137">
        <v>17</v>
      </c>
      <c r="B114" s="480" t="s">
        <v>485</v>
      </c>
      <c r="C114" s="1359">
        <f t="shared" si="13"/>
        <v>1.1585399165288033</v>
      </c>
      <c r="D114" s="1360">
        <f t="shared" si="14"/>
        <v>3.1859847704542092</v>
      </c>
      <c r="E114" s="1361">
        <f t="shared" si="15"/>
        <v>4.3445246869830134</v>
      </c>
      <c r="F114" s="1360">
        <f t="shared" si="16"/>
        <v>98.300356553959077</v>
      </c>
      <c r="G114" s="1361">
        <f t="shared" si="17"/>
        <v>101.81108357374333</v>
      </c>
      <c r="H114" s="482">
        <v>241787.5</v>
      </c>
    </row>
    <row r="115" spans="1:8" hidden="1" outlineLevel="1" x14ac:dyDescent="0.25">
      <c r="A115" s="137">
        <v>18</v>
      </c>
      <c r="B115" s="480" t="s">
        <v>57</v>
      </c>
      <c r="C115" s="1359">
        <f t="shared" si="13"/>
        <v>3.0149309806277492E-2</v>
      </c>
      <c r="D115" s="1360">
        <f t="shared" si="14"/>
        <v>8.2910601967263103E-2</v>
      </c>
      <c r="E115" s="1361">
        <f t="shared" si="15"/>
        <v>0.11305991177354059</v>
      </c>
      <c r="F115" s="1360">
        <f t="shared" si="16"/>
        <v>2.5581232562902114</v>
      </c>
      <c r="G115" s="1361">
        <f t="shared" si="17"/>
        <v>2.649484801157719</v>
      </c>
      <c r="H115" s="482">
        <v>6292.166666666667</v>
      </c>
    </row>
    <row r="116" spans="1:8" hidden="1" outlineLevel="1" x14ac:dyDescent="0.25">
      <c r="A116" s="137">
        <v>19</v>
      </c>
      <c r="B116" s="480" t="s">
        <v>431</v>
      </c>
      <c r="C116" s="1359">
        <f t="shared" si="13"/>
        <v>4.3293364321190783E-2</v>
      </c>
      <c r="D116" s="1360">
        <f t="shared" si="14"/>
        <v>0.11905675188327465</v>
      </c>
      <c r="E116" s="1361">
        <f t="shared" si="15"/>
        <v>0.16235011620446543</v>
      </c>
      <c r="F116" s="1360">
        <f t="shared" si="16"/>
        <v>3.6733763666464907</v>
      </c>
      <c r="G116" s="1361">
        <f t="shared" si="17"/>
        <v>3.8045683797410086</v>
      </c>
      <c r="H116" s="482">
        <v>9035.3333333333339</v>
      </c>
    </row>
    <row r="117" spans="1:8" hidden="1" outlineLevel="1" x14ac:dyDescent="0.25">
      <c r="A117" s="137">
        <v>20</v>
      </c>
      <c r="B117" s="480" t="s">
        <v>432</v>
      </c>
      <c r="C117" s="1359">
        <f t="shared" si="13"/>
        <v>0.30629104930681156</v>
      </c>
      <c r="D117" s="1360">
        <f t="shared" si="14"/>
        <v>0.84230038559373177</v>
      </c>
      <c r="E117" s="1361">
        <f t="shared" si="15"/>
        <v>1.1485914349005433</v>
      </c>
      <c r="F117" s="1360">
        <f t="shared" si="16"/>
        <v>25.988331456335526</v>
      </c>
      <c r="G117" s="1361">
        <f t="shared" si="17"/>
        <v>26.916486151204651</v>
      </c>
      <c r="H117" s="482">
        <v>63923</v>
      </c>
    </row>
    <row r="118" spans="1:8" collapsed="1" x14ac:dyDescent="0.25">
      <c r="A118" s="137"/>
      <c r="B118" s="480" t="s">
        <v>460</v>
      </c>
      <c r="C118" s="1359">
        <f>SUM(C98:C117)</f>
        <v>10.391244363334744</v>
      </c>
      <c r="D118" s="1360">
        <f t="shared" ref="D118:H118" si="18">SUM(D98:D117)</f>
        <v>28.575921999170554</v>
      </c>
      <c r="E118" s="1361">
        <f t="shared" si="18"/>
        <v>38.967166362505296</v>
      </c>
      <c r="F118" s="1360">
        <f t="shared" si="18"/>
        <v>881.68133991931177</v>
      </c>
      <c r="G118" s="1361">
        <f t="shared" si="18"/>
        <v>913.16995920214436</v>
      </c>
      <c r="H118" s="482">
        <f t="shared" si="18"/>
        <v>2168654.6666666665</v>
      </c>
    </row>
    <row r="119" spans="1:8" hidden="1" outlineLevel="1" x14ac:dyDescent="0.25">
      <c r="A119" s="475" t="s">
        <v>36</v>
      </c>
      <c r="B119" s="478" t="s">
        <v>167</v>
      </c>
      <c r="C119" s="1359"/>
      <c r="D119" s="1360"/>
      <c r="E119" s="1361"/>
      <c r="F119" s="1360"/>
      <c r="G119" s="1361"/>
      <c r="H119" s="482"/>
    </row>
    <row r="120" spans="1:8" hidden="1" outlineLevel="1" x14ac:dyDescent="0.25">
      <c r="A120" s="137">
        <v>1</v>
      </c>
      <c r="B120" s="480" t="s">
        <v>434</v>
      </c>
      <c r="C120" s="1359">
        <f t="shared" ref="C120:C133" si="19">((H120/(($C$9*$C$11)+($D$9*$D$11)+($E$9*$E$11)+($F$9*$F$11)+($G$9*$G$11)))*($C$9*$C$11))/$C$9</f>
        <v>0.34441910925942226</v>
      </c>
      <c r="D120" s="1360">
        <f t="shared" ref="D120:D133" si="20">((H120/(($C$9*$C$11)+($D$9*$D$11)+($E$9*$E$11)+($F$9*$F$11)+($G$9*$G$11)))*($D$9*$D$11))/$D$9</f>
        <v>0.94715255046341118</v>
      </c>
      <c r="E120" s="1361">
        <f t="shared" ref="E120:E133" si="21">((H120/(($C$9*$C$11)+($D$9*$D$11)+($E$9*$E$11)+($F$9*$F$11)+($G$9*$G$11)))*($E$9*$E$11))/$E$9</f>
        <v>1.2915716597228335</v>
      </c>
      <c r="F120" s="1360">
        <f t="shared" ref="F120:F133" si="22">((H120/(($C$9*$C$11)+($D$9*$D$11)+($E$9*$E$11)+($F$9*$F$11)+($G$9*$G$11)))*($F$9*$F$11))/$F$9</f>
        <v>29.223439573526736</v>
      </c>
      <c r="G120" s="1361">
        <f t="shared" si="17"/>
        <v>30.267133844009834</v>
      </c>
      <c r="H120" s="482">
        <v>71880.333333333328</v>
      </c>
    </row>
    <row r="121" spans="1:8" hidden="1" outlineLevel="1" x14ac:dyDescent="0.25">
      <c r="A121" s="137">
        <v>2</v>
      </c>
      <c r="B121" s="480" t="s">
        <v>397</v>
      </c>
      <c r="C121" s="1359">
        <f t="shared" si="19"/>
        <v>0.3681836620423854</v>
      </c>
      <c r="D121" s="1360">
        <f t="shared" si="20"/>
        <v>1.0125050706165597</v>
      </c>
      <c r="E121" s="1361">
        <f t="shared" si="21"/>
        <v>1.3806887326589452</v>
      </c>
      <c r="F121" s="1360">
        <f t="shared" si="22"/>
        <v>31.239825870263001</v>
      </c>
      <c r="G121" s="1361">
        <f t="shared" si="17"/>
        <v>32.355533937058105</v>
      </c>
      <c r="H121" s="482">
        <v>76840</v>
      </c>
    </row>
    <row r="122" spans="1:8" hidden="1" outlineLevel="1" x14ac:dyDescent="0.25">
      <c r="A122" s="137">
        <v>3</v>
      </c>
      <c r="B122" s="480" t="s">
        <v>435</v>
      </c>
      <c r="C122" s="1359">
        <f t="shared" si="19"/>
        <v>0.10805133142820322</v>
      </c>
      <c r="D122" s="1360">
        <f t="shared" si="20"/>
        <v>0.29714116142755892</v>
      </c>
      <c r="E122" s="1361">
        <f t="shared" si="21"/>
        <v>0.40519249285576214</v>
      </c>
      <c r="F122" s="1360">
        <f t="shared" si="22"/>
        <v>9.1679917575445167</v>
      </c>
      <c r="G122" s="1361">
        <f t="shared" si="17"/>
        <v>9.4954200345996789</v>
      </c>
      <c r="H122" s="482">
        <v>22550.333333333332</v>
      </c>
    </row>
    <row r="123" spans="1:8" hidden="1" outlineLevel="1" x14ac:dyDescent="0.25">
      <c r="A123" s="137">
        <v>4</v>
      </c>
      <c r="B123" s="480" t="s">
        <v>54</v>
      </c>
      <c r="C123" s="1359">
        <f t="shared" si="19"/>
        <v>0.38685478389417904</v>
      </c>
      <c r="D123" s="1360">
        <f t="shared" si="20"/>
        <v>1.0638506557089924</v>
      </c>
      <c r="E123" s="1361">
        <f t="shared" si="21"/>
        <v>1.4507054396031716</v>
      </c>
      <c r="F123" s="1360">
        <f t="shared" si="22"/>
        <v>32.824042269809134</v>
      </c>
      <c r="G123" s="1361">
        <f t="shared" si="17"/>
        <v>33.99632949373089</v>
      </c>
      <c r="H123" s="482">
        <v>80736.666666666672</v>
      </c>
    </row>
    <row r="124" spans="1:8" hidden="1" outlineLevel="1" x14ac:dyDescent="0.25">
      <c r="A124" s="137">
        <v>5</v>
      </c>
      <c r="B124" s="480" t="s">
        <v>47</v>
      </c>
      <c r="C124" s="1359">
        <f t="shared" si="19"/>
        <v>5.6656233523332093E-2</v>
      </c>
      <c r="D124" s="1360">
        <f t="shared" si="20"/>
        <v>0.15580464218916329</v>
      </c>
      <c r="E124" s="1361">
        <f t="shared" si="21"/>
        <v>0.21246087571249536</v>
      </c>
      <c r="F124" s="1360">
        <f t="shared" si="22"/>
        <v>4.8071955716766626</v>
      </c>
      <c r="G124" s="1361">
        <f t="shared" si="17"/>
        <v>4.9788811278079717</v>
      </c>
      <c r="H124" s="482">
        <v>11824.166666666666</v>
      </c>
    </row>
    <row r="125" spans="1:8" hidden="1" outlineLevel="1" x14ac:dyDescent="0.25">
      <c r="A125" s="137">
        <v>6</v>
      </c>
      <c r="B125" s="480" t="s">
        <v>436</v>
      </c>
      <c r="C125" s="1359">
        <f t="shared" si="19"/>
        <v>1.9795342201958916</v>
      </c>
      <c r="D125" s="1360">
        <f t="shared" si="20"/>
        <v>5.443719105538702</v>
      </c>
      <c r="E125" s="1361">
        <f t="shared" si="21"/>
        <v>7.423253325734593</v>
      </c>
      <c r="F125" s="1360">
        <f t="shared" si="22"/>
        <v>167.96047928934837</v>
      </c>
      <c r="G125" s="1361">
        <f t="shared" si="17"/>
        <v>173.95906783539652</v>
      </c>
      <c r="H125" s="482">
        <v>413129.16666666669</v>
      </c>
    </row>
    <row r="126" spans="1:8" hidden="1" outlineLevel="1" x14ac:dyDescent="0.25">
      <c r="A126" s="137">
        <v>7</v>
      </c>
      <c r="B126" s="480" t="s">
        <v>430</v>
      </c>
      <c r="C126" s="1359">
        <f t="shared" si="19"/>
        <v>1.4981618731379379E-2</v>
      </c>
      <c r="D126" s="1360">
        <f t="shared" si="20"/>
        <v>4.119945151129329E-2</v>
      </c>
      <c r="E126" s="1361">
        <f t="shared" si="21"/>
        <v>5.6181070242672666E-2</v>
      </c>
      <c r="F126" s="1360">
        <f t="shared" si="22"/>
        <v>1.27116764993522</v>
      </c>
      <c r="G126" s="1361">
        <f t="shared" si="17"/>
        <v>1.3165664945757636</v>
      </c>
      <c r="H126" s="482">
        <v>3126.6666666666665</v>
      </c>
    </row>
    <row r="127" spans="1:8" hidden="1" outlineLevel="1" x14ac:dyDescent="0.25">
      <c r="A127" s="137">
        <v>8</v>
      </c>
      <c r="B127" s="480" t="s">
        <v>437</v>
      </c>
      <c r="C127" s="1359">
        <f t="shared" si="19"/>
        <v>3.1999651522727707E-3</v>
      </c>
      <c r="D127" s="1360">
        <f t="shared" si="20"/>
        <v>8.7999041687501188E-3</v>
      </c>
      <c r="E127" s="1361">
        <f t="shared" si="21"/>
        <v>1.199986932102289E-2</v>
      </c>
      <c r="F127" s="1360">
        <f t="shared" si="22"/>
        <v>0.27151219473829569</v>
      </c>
      <c r="G127" s="1361">
        <f t="shared" si="17"/>
        <v>0.28120905883609193</v>
      </c>
      <c r="H127" s="482">
        <v>667.83333333333337</v>
      </c>
    </row>
    <row r="128" spans="1:8" hidden="1" outlineLevel="1" x14ac:dyDescent="0.25">
      <c r="A128" s="137">
        <v>9</v>
      </c>
      <c r="B128" s="480" t="s">
        <v>438</v>
      </c>
      <c r="C128" s="1359">
        <f t="shared" si="19"/>
        <v>1.255708810939282E-2</v>
      </c>
      <c r="D128" s="1360">
        <f t="shared" si="20"/>
        <v>3.4531992300830261E-2</v>
      </c>
      <c r="E128" s="1361">
        <f t="shared" si="21"/>
        <v>4.7089080410223083E-2</v>
      </c>
      <c r="F128" s="1360">
        <f t="shared" si="22"/>
        <v>1.0654499001909061</v>
      </c>
      <c r="G128" s="1361">
        <f t="shared" si="17"/>
        <v>1.1035016823405814</v>
      </c>
      <c r="H128" s="482">
        <v>2620.6666666666665</v>
      </c>
    </row>
    <row r="129" spans="1:8" hidden="1" outlineLevel="1" x14ac:dyDescent="0.25">
      <c r="A129" s="137">
        <v>10</v>
      </c>
      <c r="B129" s="480" t="s">
        <v>439</v>
      </c>
      <c r="C129" s="1359">
        <f t="shared" si="19"/>
        <v>7.3382779596292708E-3</v>
      </c>
      <c r="D129" s="1360">
        <f t="shared" si="20"/>
        <v>2.0180264388980493E-2</v>
      </c>
      <c r="E129" s="1361">
        <f t="shared" si="21"/>
        <v>2.7518542348609763E-2</v>
      </c>
      <c r="F129" s="1360">
        <f t="shared" si="22"/>
        <v>0.62264176627157453</v>
      </c>
      <c r="G129" s="1361">
        <f t="shared" si="17"/>
        <v>0.64487897220984502</v>
      </c>
      <c r="H129" s="482">
        <v>1531.5</v>
      </c>
    </row>
    <row r="130" spans="1:8" hidden="1" outlineLevel="1" x14ac:dyDescent="0.25">
      <c r="A130" s="137">
        <v>11</v>
      </c>
      <c r="B130" s="480" t="s">
        <v>53</v>
      </c>
      <c r="C130" s="1359">
        <f t="shared" si="19"/>
        <v>1.2617781234317389E-3</v>
      </c>
      <c r="D130" s="1360">
        <f t="shared" si="20"/>
        <v>3.4698898394372817E-3</v>
      </c>
      <c r="E130" s="1361">
        <f t="shared" si="21"/>
        <v>4.7316679628690208E-3</v>
      </c>
      <c r="F130" s="1360">
        <f t="shared" si="22"/>
        <v>0.10705996198814753</v>
      </c>
      <c r="G130" s="1361">
        <f t="shared" si="17"/>
        <v>0.1108835320591528</v>
      </c>
      <c r="H130" s="482">
        <v>263.33333333333331</v>
      </c>
    </row>
    <row r="131" spans="1:8" hidden="1" outlineLevel="1" x14ac:dyDescent="0.25">
      <c r="A131" s="137">
        <v>12</v>
      </c>
      <c r="B131" s="480" t="s">
        <v>440</v>
      </c>
      <c r="C131" s="1359">
        <f t="shared" si="19"/>
        <v>4.0636123480743453</v>
      </c>
      <c r="D131" s="1360">
        <f t="shared" si="20"/>
        <v>11.17493395720445</v>
      </c>
      <c r="E131" s="1361">
        <f t="shared" si="21"/>
        <v>15.238546305278797</v>
      </c>
      <c r="F131" s="1360">
        <f t="shared" si="22"/>
        <v>344.791350745702</v>
      </c>
      <c r="G131" s="1361">
        <f t="shared" si="17"/>
        <v>357.10532755804854</v>
      </c>
      <c r="H131" s="482">
        <v>848076.66666666663</v>
      </c>
    </row>
    <row r="132" spans="1:8" hidden="1" outlineLevel="1" x14ac:dyDescent="0.25">
      <c r="A132" s="137">
        <v>13</v>
      </c>
      <c r="B132" s="480" t="s">
        <v>442</v>
      </c>
      <c r="C132" s="1359">
        <f t="shared" si="19"/>
        <v>0</v>
      </c>
      <c r="D132" s="1360">
        <f t="shared" si="20"/>
        <v>0</v>
      </c>
      <c r="E132" s="1361">
        <f t="shared" si="21"/>
        <v>0</v>
      </c>
      <c r="F132" s="1360">
        <f t="shared" si="22"/>
        <v>0</v>
      </c>
      <c r="G132" s="1361">
        <f t="shared" si="17"/>
        <v>0</v>
      </c>
      <c r="H132" s="482">
        <v>0</v>
      </c>
    </row>
    <row r="133" spans="1:8" hidden="1" outlineLevel="1" x14ac:dyDescent="0.25">
      <c r="A133" s="137">
        <v>14</v>
      </c>
      <c r="B133" s="480" t="s">
        <v>51</v>
      </c>
      <c r="C133" s="1359">
        <f t="shared" si="19"/>
        <v>0.10190695112334007</v>
      </c>
      <c r="D133" s="1360">
        <f t="shared" si="20"/>
        <v>0.28024411558918522</v>
      </c>
      <c r="E133" s="1361">
        <f t="shared" si="21"/>
        <v>0.38215106671252536</v>
      </c>
      <c r="F133" s="1360">
        <f t="shared" si="22"/>
        <v>8.6466503983440059</v>
      </c>
      <c r="G133" s="1361">
        <f t="shared" si="17"/>
        <v>8.9554593411420065</v>
      </c>
      <c r="H133" s="482">
        <v>21268</v>
      </c>
    </row>
    <row r="134" spans="1:8" collapsed="1" x14ac:dyDescent="0.25">
      <c r="A134" s="140"/>
      <c r="B134" s="488" t="s">
        <v>461</v>
      </c>
      <c r="C134" s="1365">
        <f>SUM(C120:C133)</f>
        <v>7.4485573676172052</v>
      </c>
      <c r="D134" s="1366">
        <f t="shared" ref="D134:H134" si="23">SUM(D120:D133)</f>
        <v>20.483532760947313</v>
      </c>
      <c r="E134" s="1367">
        <f t="shared" si="23"/>
        <v>27.932090128564518</v>
      </c>
      <c r="F134" s="1366">
        <f t="shared" si="23"/>
        <v>631.99880694933859</v>
      </c>
      <c r="G134" s="1367">
        <f t="shared" si="23"/>
        <v>654.57019291181507</v>
      </c>
      <c r="H134" s="489">
        <f t="shared" si="23"/>
        <v>1554515.3333333335</v>
      </c>
    </row>
    <row r="135" spans="1:8" x14ac:dyDescent="0.25">
      <c r="A135" s="483"/>
      <c r="B135" s="484" t="s">
        <v>176</v>
      </c>
      <c r="C135" s="1368">
        <f>C63+C96+C118+C134</f>
        <v>51.73159148428811</v>
      </c>
      <c r="D135" s="1369">
        <f t="shared" ref="D135:H135" si="24">D63+D96+D118+D134</f>
        <v>142.26187658179231</v>
      </c>
      <c r="E135" s="1370">
        <f t="shared" si="24"/>
        <v>193.99346806608045</v>
      </c>
      <c r="F135" s="1371">
        <f t="shared" si="24"/>
        <v>2181.0684034870719</v>
      </c>
      <c r="G135" s="1372">
        <f t="shared" si="24"/>
        <v>2258.9637036116101</v>
      </c>
      <c r="H135" s="487">
        <f t="shared" si="24"/>
        <v>10697651.333333334</v>
      </c>
    </row>
    <row r="136" spans="1:8" x14ac:dyDescent="0.25">
      <c r="A136" s="1373"/>
      <c r="B136" s="1374" t="s">
        <v>462</v>
      </c>
      <c r="C136" s="1375">
        <f>C20-C135</f>
        <v>44.929268328796134</v>
      </c>
      <c r="D136" s="1376">
        <f>D20-D135</f>
        <v>125.27048790418905</v>
      </c>
      <c r="E136" s="1377">
        <f>E20-E135</f>
        <v>171.17975623298517</v>
      </c>
      <c r="F136" s="1376">
        <f>F20-F135</f>
        <v>7715.1229104216691</v>
      </c>
      <c r="G136" s="1377">
        <f>G20-G135</f>
        <v>7940.2512496594218</v>
      </c>
      <c r="H136" s="1378"/>
    </row>
    <row r="137" spans="1:8" x14ac:dyDescent="0.25">
      <c r="A137" s="1343"/>
      <c r="B137" s="1344" t="s">
        <v>464</v>
      </c>
      <c r="C137" s="1379">
        <f>C9*C136</f>
        <v>7965959.2746955547</v>
      </c>
      <c r="D137" s="1380">
        <f>D9*D136</f>
        <v>1190069.635089796</v>
      </c>
      <c r="E137" s="1381">
        <f>E9*E136</f>
        <v>67616.003712029138</v>
      </c>
      <c r="F137" s="1380">
        <f>F9*F136</f>
        <v>185162.94985012006</v>
      </c>
      <c r="G137" s="1381">
        <f>G9*G136</f>
        <v>158805.02499318845</v>
      </c>
      <c r="H137" s="1382">
        <f>SUM(C137:G137)</f>
        <v>9567612.8883406874</v>
      </c>
    </row>
    <row r="138" spans="1:8" ht="15" thickBot="1" x14ac:dyDescent="0.3">
      <c r="A138" s="1383"/>
      <c r="B138" s="1384" t="s">
        <v>463</v>
      </c>
      <c r="C138" s="1385">
        <f>C137/(C9*C11)</f>
        <v>3.4037324491512221E-2</v>
      </c>
      <c r="D138" s="1386">
        <f>D137/(D9*D11)</f>
        <v>3.4509776282145743E-2</v>
      </c>
      <c r="E138" s="1387">
        <f>E137/(E9*E11)</f>
        <v>3.4581768935956596E-2</v>
      </c>
      <c r="F138" s="1386">
        <f>F137/(F9*F11)</f>
        <v>6.8885025985907761E-2</v>
      </c>
      <c r="G138" s="1387">
        <f>G137/(G9*G11)</f>
        <v>6.8450441807408807E-2</v>
      </c>
      <c r="H138" s="1388">
        <f>H137/(C9*C11+D9*D11+E9*E11+F9*F11+G9*G11)</f>
        <v>3.4730162934326327E-2</v>
      </c>
    </row>
    <row r="139" spans="1:8" x14ac:dyDescent="0.25">
      <c r="A139" s="476" t="s">
        <v>86</v>
      </c>
      <c r="B139" s="1113" t="s">
        <v>927</v>
      </c>
      <c r="C139" s="1389"/>
      <c r="D139" s="1390"/>
      <c r="E139" s="1390"/>
      <c r="F139" s="1390"/>
      <c r="G139" s="1390"/>
      <c r="H139" s="1391">
        <f>(93438-89828)*331</f>
        <v>1194910</v>
      </c>
    </row>
    <row r="140" spans="1:8" ht="15" thickBot="1" x14ac:dyDescent="0.3">
      <c r="A140" s="477" t="s">
        <v>552</v>
      </c>
      <c r="B140" s="1114" t="s">
        <v>465</v>
      </c>
      <c r="C140" s="1392"/>
      <c r="D140" s="1393"/>
      <c r="E140" s="1393"/>
      <c r="F140" s="1393"/>
      <c r="G140" s="1393"/>
      <c r="H140" s="1394">
        <f>H137+H139</f>
        <v>10762522.888340687</v>
      </c>
    </row>
    <row r="144" spans="1:8" x14ac:dyDescent="0.3">
      <c r="H144" s="486"/>
    </row>
  </sheetData>
  <mergeCells count="12">
    <mergeCell ref="H8:H20"/>
    <mergeCell ref="C1:H1"/>
    <mergeCell ref="C2:D2"/>
    <mergeCell ref="E2:F2"/>
    <mergeCell ref="G2:H2"/>
    <mergeCell ref="C3:D3"/>
    <mergeCell ref="E3:F3"/>
    <mergeCell ref="C4:D4"/>
    <mergeCell ref="E4:F4"/>
    <mergeCell ref="C5:D5"/>
    <mergeCell ref="E5:F5"/>
    <mergeCell ref="C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E144"/>
  <sheetViews>
    <sheetView topLeftCell="S1" zoomScale="120" zoomScaleNormal="120" workbookViewId="0">
      <selection activeCell="U1" sqref="U1:AE1048576"/>
    </sheetView>
  </sheetViews>
  <sheetFormatPr defaultRowHeight="14.4" outlineLevelRow="1" outlineLevelCol="1" x14ac:dyDescent="0.3"/>
  <cols>
    <col min="1" max="1" width="3" style="134" bestFit="1" customWidth="1"/>
    <col min="2" max="2" width="34.21875" style="5" customWidth="1"/>
    <col min="3" max="3" width="8.88671875" style="5" bestFit="1" customWidth="1"/>
    <col min="4" max="4" width="6.88671875" style="5" bestFit="1" customWidth="1"/>
    <col min="5" max="5" width="12.44140625" style="5" bestFit="1" customWidth="1"/>
    <col min="6" max="7" width="6.88671875" style="5" customWidth="1" outlineLevel="1"/>
    <col min="8" max="8" width="7.88671875" style="5" customWidth="1" outlineLevel="1"/>
    <col min="9" max="9" width="5.33203125" style="5" customWidth="1" outlineLevel="1"/>
    <col min="10" max="10" width="6.88671875" style="5" customWidth="1" outlineLevel="1"/>
    <col min="11" max="11" width="7.88671875" style="5" customWidth="1" outlineLevel="1"/>
    <col min="12" max="12" width="5.109375" style="5" customWidth="1" outlineLevel="1"/>
    <col min="13" max="13" width="7.88671875" style="5" customWidth="1" outlineLevel="1"/>
    <col min="14" max="14" width="8.88671875" style="5" customWidth="1" outlineLevel="1"/>
    <col min="15" max="15" width="5.109375" style="5" customWidth="1" outlineLevel="1"/>
    <col min="16" max="16" width="8.88671875" style="5" customWidth="1" outlineLevel="1"/>
    <col min="17" max="17" width="10.44140625" style="5" customWidth="1" outlineLevel="1"/>
    <col min="18" max="18" width="12.44140625" style="5" bestFit="1" customWidth="1"/>
    <col min="19" max="19" width="14.109375" style="5" bestFit="1" customWidth="1"/>
    <col min="20" max="20" width="10.44140625" style="6" bestFit="1" customWidth="1"/>
    <col min="21" max="21" width="17.109375" style="6" bestFit="1" customWidth="1"/>
    <col min="22" max="22" width="14" style="6" bestFit="1" customWidth="1"/>
    <col min="23" max="23" width="7.5546875" style="6" bestFit="1" customWidth="1"/>
    <col min="24" max="24" width="9.33203125" style="6" bestFit="1" customWidth="1"/>
    <col min="25" max="25" width="7.5546875" style="6" customWidth="1"/>
    <col min="26" max="26" width="9.44140625" style="6" customWidth="1"/>
    <col min="27" max="27" width="9.33203125" style="6" bestFit="1" customWidth="1"/>
    <col min="28" max="28" width="9.21875" style="6" bestFit="1" customWidth="1"/>
    <col min="29" max="29" width="7.88671875" style="6" bestFit="1" customWidth="1"/>
    <col min="30" max="30" width="8.88671875" style="6" bestFit="1" customWidth="1"/>
    <col min="31" max="31" width="28.109375" style="6" bestFit="1" customWidth="1"/>
  </cols>
  <sheetData>
    <row r="1" spans="1:31" s="1107" customFormat="1" ht="18.600000000000001" thickBot="1" x14ac:dyDescent="0.35">
      <c r="A1" s="1103" t="s">
        <v>30</v>
      </c>
      <c r="B1" s="1104"/>
      <c r="C1" s="2093">
        <v>44682</v>
      </c>
      <c r="D1" s="2093"/>
      <c r="E1" s="2093"/>
      <c r="F1" s="2125"/>
      <c r="G1" s="2125"/>
      <c r="H1" s="2125"/>
      <c r="I1" s="2125"/>
      <c r="J1" s="2125"/>
      <c r="K1" s="2125"/>
      <c r="L1" s="2125"/>
      <c r="M1" s="2125"/>
      <c r="N1" s="2125"/>
      <c r="O1" s="2125"/>
      <c r="P1" s="2125"/>
      <c r="Q1" s="2125"/>
      <c r="R1" s="2125"/>
      <c r="S1" s="1105"/>
      <c r="T1" s="1106"/>
      <c r="U1" s="1106"/>
      <c r="V1" s="1106"/>
      <c r="W1" s="1106"/>
      <c r="X1" s="1106"/>
      <c r="Y1" s="1106"/>
      <c r="Z1" s="1106"/>
      <c r="AA1" s="1106"/>
      <c r="AB1" s="1106"/>
      <c r="AC1" s="1106"/>
      <c r="AD1" s="1106"/>
      <c r="AE1" s="1106"/>
    </row>
    <row r="2" spans="1:31" s="123" customFormat="1" x14ac:dyDescent="0.3">
      <c r="A2" s="1108" t="s">
        <v>690</v>
      </c>
      <c r="B2" s="144"/>
      <c r="C2" s="2148" t="s">
        <v>157</v>
      </c>
      <c r="D2" s="2149"/>
      <c r="E2" s="2149"/>
      <c r="F2" s="2149"/>
      <c r="G2" s="2150"/>
      <c r="H2" s="1436"/>
      <c r="I2" s="2128" t="s">
        <v>154</v>
      </c>
      <c r="J2" s="2162"/>
      <c r="K2" s="2162"/>
      <c r="L2" s="2162"/>
      <c r="M2" s="2129"/>
      <c r="N2" s="1434"/>
      <c r="O2" s="2128" t="s">
        <v>153</v>
      </c>
      <c r="P2" s="2162"/>
      <c r="Q2" s="2162"/>
      <c r="R2" s="2130"/>
      <c r="S2" s="5"/>
      <c r="T2" s="6"/>
      <c r="U2" s="1397"/>
      <c r="W2" s="6" t="s">
        <v>933</v>
      </c>
      <c r="X2" s="6"/>
      <c r="Y2" s="6"/>
      <c r="Z2" s="6"/>
      <c r="AA2" s="6"/>
      <c r="AB2" s="6"/>
      <c r="AC2" s="6"/>
      <c r="AD2" s="6"/>
      <c r="AE2" s="6"/>
    </row>
    <row r="3" spans="1:31" x14ac:dyDescent="0.25">
      <c r="A3" s="145"/>
      <c r="B3" s="144"/>
      <c r="C3" s="2131" t="s">
        <v>162</v>
      </c>
      <c r="D3" s="2151"/>
      <c r="E3" s="2151"/>
      <c r="F3" s="2151"/>
      <c r="G3" s="2132"/>
      <c r="H3" s="1437"/>
      <c r="I3" s="2133">
        <v>0.3</v>
      </c>
      <c r="J3" s="2163"/>
      <c r="K3" s="2163"/>
      <c r="L3" s="2163"/>
      <c r="M3" s="2134"/>
      <c r="N3" s="1440"/>
      <c r="O3" s="2158">
        <v>850</v>
      </c>
      <c r="P3" s="2159"/>
      <c r="Q3" s="1504"/>
      <c r="R3" s="957">
        <f>I3*O3</f>
        <v>255</v>
      </c>
      <c r="U3" s="1397">
        <v>44652</v>
      </c>
      <c r="V3" s="733">
        <v>94512</v>
      </c>
      <c r="W3" s="6">
        <v>88</v>
      </c>
      <c r="X3" s="1396">
        <v>1074</v>
      </c>
      <c r="Y3" s="1396"/>
      <c r="AA3" s="733"/>
    </row>
    <row r="4" spans="1:31" x14ac:dyDescent="0.25">
      <c r="A4" s="145"/>
      <c r="B4" s="144"/>
      <c r="C4" s="2131" t="s">
        <v>163</v>
      </c>
      <c r="D4" s="2151"/>
      <c r="E4" s="2151"/>
      <c r="F4" s="2151"/>
      <c r="G4" s="2132"/>
      <c r="H4" s="1437"/>
      <c r="I4" s="2135">
        <v>0.7</v>
      </c>
      <c r="J4" s="2164"/>
      <c r="K4" s="2164"/>
      <c r="L4" s="2164"/>
      <c r="M4" s="2136"/>
      <c r="N4" s="1441"/>
      <c r="O4" s="2158">
        <v>860</v>
      </c>
      <c r="P4" s="2159"/>
      <c r="Q4" s="1504"/>
      <c r="R4" s="957">
        <f>I4*O4</f>
        <v>602</v>
      </c>
      <c r="U4" s="1397">
        <v>44682</v>
      </c>
      <c r="V4" s="733">
        <f>R6</f>
        <v>87930</v>
      </c>
      <c r="W4" s="6">
        <v>90</v>
      </c>
      <c r="X4" s="1396">
        <f>SUM(R3:R5)</f>
        <v>977</v>
      </c>
      <c r="Y4" s="1396"/>
      <c r="AA4" s="733"/>
    </row>
    <row r="5" spans="1:31" ht="15" thickBot="1" x14ac:dyDescent="0.3">
      <c r="A5" s="145"/>
      <c r="B5" s="144"/>
      <c r="C5" s="2137" t="s">
        <v>152</v>
      </c>
      <c r="D5" s="2152"/>
      <c r="E5" s="2152"/>
      <c r="F5" s="2152"/>
      <c r="G5" s="2138"/>
      <c r="H5" s="1438"/>
      <c r="I5" s="2139"/>
      <c r="J5" s="2165"/>
      <c r="K5" s="2165"/>
      <c r="L5" s="2165"/>
      <c r="M5" s="2140"/>
      <c r="N5" s="1442"/>
      <c r="O5" s="2160"/>
      <c r="P5" s="2161"/>
      <c r="Q5" s="1505"/>
      <c r="R5" s="958">
        <v>120</v>
      </c>
      <c r="U5" s="6" t="s">
        <v>930</v>
      </c>
      <c r="V5" s="214">
        <f>V3-V4</f>
        <v>6582</v>
      </c>
      <c r="X5" s="1396">
        <f>X3-X4</f>
        <v>97</v>
      </c>
      <c r="Y5" s="1396"/>
      <c r="AA5" s="214"/>
    </row>
    <row r="6" spans="1:31" ht="15" thickBot="1" x14ac:dyDescent="0.3">
      <c r="A6" s="145"/>
      <c r="B6" s="159"/>
      <c r="C6" s="2153" t="s">
        <v>161</v>
      </c>
      <c r="D6" s="2154"/>
      <c r="E6" s="2154"/>
      <c r="F6" s="2154"/>
      <c r="G6" s="2154"/>
      <c r="H6" s="2154"/>
      <c r="I6" s="2154"/>
      <c r="J6" s="2154"/>
      <c r="K6" s="2154"/>
      <c r="L6" s="2154"/>
      <c r="M6" s="2155"/>
      <c r="N6" s="1439"/>
      <c r="O6" s="2156">
        <v>90</v>
      </c>
      <c r="P6" s="2157"/>
      <c r="Q6" s="1506"/>
      <c r="R6" s="141">
        <f>SUM(R3:R5)*O6</f>
        <v>87930</v>
      </c>
      <c r="S6" s="160"/>
      <c r="T6" s="733"/>
      <c r="U6" s="6" t="s">
        <v>931</v>
      </c>
      <c r="V6" s="1398">
        <f>V5/1000*12</f>
        <v>78.983999999999995</v>
      </c>
    </row>
    <row r="7" spans="1:31" ht="15" thickBot="1" x14ac:dyDescent="0.3">
      <c r="A7" s="135" t="s">
        <v>16</v>
      </c>
      <c r="B7" s="138" t="s">
        <v>173</v>
      </c>
      <c r="C7" s="2288" t="s">
        <v>208</v>
      </c>
      <c r="D7" s="2289"/>
      <c r="E7" s="2289"/>
      <c r="F7" s="2289" t="s">
        <v>693</v>
      </c>
      <c r="G7" s="2289"/>
      <c r="H7" s="2302"/>
      <c r="I7" s="2310" t="s">
        <v>210</v>
      </c>
      <c r="J7" s="2302"/>
      <c r="K7" s="1435"/>
      <c r="L7" s="2289" t="s">
        <v>656</v>
      </c>
      <c r="M7" s="2289"/>
      <c r="N7" s="1435"/>
      <c r="O7" s="2310" t="s">
        <v>172</v>
      </c>
      <c r="P7" s="2302"/>
      <c r="Q7" s="1435"/>
      <c r="R7" s="142" t="s">
        <v>0</v>
      </c>
      <c r="S7" s="3"/>
      <c r="T7" s="733"/>
      <c r="V7" s="1398"/>
    </row>
    <row r="8" spans="1:31" s="1" customFormat="1" x14ac:dyDescent="0.25">
      <c r="A8" s="1068" t="s">
        <v>31</v>
      </c>
      <c r="B8" s="1115" t="s">
        <v>174</v>
      </c>
      <c r="C8" s="1192" t="s">
        <v>692</v>
      </c>
      <c r="D8" s="1193" t="s">
        <v>760</v>
      </c>
      <c r="E8" s="1455" t="s">
        <v>653</v>
      </c>
      <c r="F8" s="1194" t="s">
        <v>692</v>
      </c>
      <c r="G8" s="1195" t="s">
        <v>760</v>
      </c>
      <c r="H8" s="1455" t="s">
        <v>653</v>
      </c>
      <c r="I8" s="1196" t="s">
        <v>692</v>
      </c>
      <c r="J8" s="1193" t="s">
        <v>760</v>
      </c>
      <c r="K8" s="1455" t="s">
        <v>653</v>
      </c>
      <c r="L8" s="1194" t="s">
        <v>469</v>
      </c>
      <c r="M8" s="1195" t="s">
        <v>761</v>
      </c>
      <c r="N8" s="1455"/>
      <c r="O8" s="1196" t="s">
        <v>469</v>
      </c>
      <c r="P8" s="1193" t="s">
        <v>761</v>
      </c>
      <c r="Q8" s="1455"/>
      <c r="R8" s="1197" t="s">
        <v>469</v>
      </c>
      <c r="S8" s="1069"/>
      <c r="T8" s="733"/>
      <c r="U8" s="6"/>
      <c r="V8" s="214"/>
      <c r="W8" s="6"/>
      <c r="X8" s="6"/>
      <c r="Y8" s="6"/>
      <c r="Z8" s="4"/>
      <c r="AA8" s="4"/>
      <c r="AB8" s="4"/>
      <c r="AC8" s="4"/>
      <c r="AD8" s="4"/>
      <c r="AE8" s="4"/>
    </row>
    <row r="9" spans="1:31" s="1" customFormat="1" outlineLevel="1" x14ac:dyDescent="0.25">
      <c r="A9" s="1072" t="s">
        <v>38</v>
      </c>
      <c r="B9" s="1116" t="s">
        <v>689</v>
      </c>
      <c r="C9" s="1183"/>
      <c r="D9" s="1121"/>
      <c r="E9" s="1456"/>
      <c r="F9" s="1118"/>
      <c r="G9" s="1073"/>
      <c r="H9" s="1456"/>
      <c r="I9" s="1120"/>
      <c r="J9" s="1121"/>
      <c r="K9" s="1456"/>
      <c r="L9" s="1118"/>
      <c r="M9" s="1073"/>
      <c r="N9" s="1456"/>
      <c r="O9" s="1120"/>
      <c r="P9" s="1121"/>
      <c r="Q9" s="1456"/>
      <c r="R9" s="1124"/>
      <c r="S9" s="1069"/>
      <c r="T9" s="733"/>
      <c r="U9" s="4" t="s">
        <v>660</v>
      </c>
      <c r="V9" s="4" t="s">
        <v>939</v>
      </c>
      <c r="W9" s="4" t="s">
        <v>929</v>
      </c>
      <c r="X9" s="1399">
        <v>44682</v>
      </c>
      <c r="Y9" s="1399"/>
      <c r="Z9" s="4" t="s">
        <v>940</v>
      </c>
      <c r="AA9" s="4"/>
      <c r="AB9" s="4"/>
      <c r="AC9" s="4" t="s">
        <v>936</v>
      </c>
      <c r="AD9" s="4"/>
      <c r="AE9" s="4"/>
    </row>
    <row r="10" spans="1:31" outlineLevel="1" x14ac:dyDescent="0.25">
      <c r="A10" s="1074">
        <v>1</v>
      </c>
      <c r="B10" s="1443" t="s">
        <v>684</v>
      </c>
      <c r="C10" s="1483">
        <v>61917</v>
      </c>
      <c r="D10" s="1484">
        <v>1200</v>
      </c>
      <c r="E10" s="1485">
        <f>C10*D10</f>
        <v>74300400</v>
      </c>
      <c r="F10" s="1489">
        <v>1</v>
      </c>
      <c r="G10" s="1490">
        <f>D10/12*33</f>
        <v>3300</v>
      </c>
      <c r="H10" s="1491">
        <f>F10*G10</f>
        <v>3300</v>
      </c>
      <c r="I10" s="1499">
        <v>1</v>
      </c>
      <c r="J10" s="1500">
        <f>D10/12*45</f>
        <v>4500</v>
      </c>
      <c r="K10" s="1495">
        <f>I10*J10</f>
        <v>4500</v>
      </c>
      <c r="L10" s="1119"/>
      <c r="M10" s="1075"/>
      <c r="N10" s="1457"/>
      <c r="O10" s="1122"/>
      <c r="P10" s="1123"/>
      <c r="Q10" s="1457"/>
      <c r="R10" s="1125">
        <f>(C10*12+F10*33+I10*45)/1000+L10+O10</f>
        <v>743.08199999999999</v>
      </c>
      <c r="S10" s="136"/>
      <c r="T10" s="4"/>
      <c r="U10" s="1443" t="s">
        <v>684</v>
      </c>
      <c r="V10" s="733">
        <v>1300</v>
      </c>
      <c r="W10" s="733">
        <v>79</v>
      </c>
      <c r="X10" s="214">
        <f>V10-W10</f>
        <v>1221</v>
      </c>
      <c r="Y10" s="214"/>
      <c r="Z10" s="1451">
        <v>1200</v>
      </c>
    </row>
    <row r="11" spans="1:31" outlineLevel="1" x14ac:dyDescent="0.25">
      <c r="A11" s="1074">
        <v>2</v>
      </c>
      <c r="B11" s="1443" t="s">
        <v>686</v>
      </c>
      <c r="C11" s="1483">
        <f>45833-8000</f>
        <v>37833</v>
      </c>
      <c r="D11" s="1484">
        <f>D10</f>
        <v>1200</v>
      </c>
      <c r="E11" s="1485">
        <f t="shared" ref="E11:E20" si="0">C11*D11</f>
        <v>45399600</v>
      </c>
      <c r="F11" s="1489">
        <v>1</v>
      </c>
      <c r="G11" s="1490">
        <f t="shared" ref="G11:G19" si="1">D11/12*33</f>
        <v>3300</v>
      </c>
      <c r="H11" s="1491">
        <f t="shared" ref="H11:H20" si="2">F11*G11</f>
        <v>3300</v>
      </c>
      <c r="I11" s="1499">
        <v>1</v>
      </c>
      <c r="J11" s="1500">
        <f t="shared" ref="J11:J19" si="3">D11/12*45</f>
        <v>4500</v>
      </c>
      <c r="K11" s="1495">
        <f t="shared" ref="K11:K19" si="4">I11*J11</f>
        <v>4500</v>
      </c>
      <c r="L11" s="1119"/>
      <c r="M11" s="1075"/>
      <c r="N11" s="1457"/>
      <c r="O11" s="1122"/>
      <c r="P11" s="1123"/>
      <c r="Q11" s="1457"/>
      <c r="R11" s="1125">
        <f t="shared" ref="R11:R20" si="5">(C11*12+F11*33+I11*45)/1000+L11+O11</f>
        <v>454.07400000000001</v>
      </c>
      <c r="S11" s="136"/>
      <c r="U11" s="1443" t="s">
        <v>686</v>
      </c>
      <c r="V11" s="733">
        <v>1300</v>
      </c>
      <c r="W11" s="733">
        <v>79</v>
      </c>
      <c r="X11" s="214">
        <f t="shared" ref="X11:X19" si="6">V11-W11</f>
        <v>1221</v>
      </c>
      <c r="Y11" s="214"/>
      <c r="Z11" s="1451">
        <v>1200</v>
      </c>
    </row>
    <row r="12" spans="1:31" outlineLevel="1" x14ac:dyDescent="0.25">
      <c r="A12" s="1074">
        <v>3</v>
      </c>
      <c r="B12" s="1444" t="s">
        <v>682</v>
      </c>
      <c r="C12" s="1483">
        <v>29167</v>
      </c>
      <c r="D12" s="1484">
        <f>D10-10</f>
        <v>1190</v>
      </c>
      <c r="E12" s="1485">
        <f t="shared" si="0"/>
        <v>34708730</v>
      </c>
      <c r="F12" s="1489">
        <v>1</v>
      </c>
      <c r="G12" s="1490">
        <f t="shared" si="1"/>
        <v>3272.5</v>
      </c>
      <c r="H12" s="1491">
        <f t="shared" si="2"/>
        <v>3272.5</v>
      </c>
      <c r="I12" s="1499">
        <v>1</v>
      </c>
      <c r="J12" s="1500">
        <f t="shared" si="3"/>
        <v>4462.5</v>
      </c>
      <c r="K12" s="1495">
        <f t="shared" si="4"/>
        <v>4462.5</v>
      </c>
      <c r="L12" s="1119"/>
      <c r="M12" s="1075"/>
      <c r="N12" s="1457"/>
      <c r="O12" s="1122"/>
      <c r="P12" s="1123"/>
      <c r="Q12" s="1457"/>
      <c r="R12" s="1125">
        <f t="shared" si="5"/>
        <v>350.08199999999999</v>
      </c>
      <c r="S12" s="136"/>
      <c r="U12" s="1444" t="s">
        <v>817</v>
      </c>
      <c r="V12" s="733">
        <v>1300</v>
      </c>
      <c r="W12" s="733">
        <v>79</v>
      </c>
      <c r="X12" s="214">
        <f t="shared" si="6"/>
        <v>1221</v>
      </c>
      <c r="Y12" s="214"/>
      <c r="Z12" s="1452">
        <v>1190</v>
      </c>
      <c r="AB12" s="733"/>
      <c r="AC12" s="733"/>
      <c r="AD12" s="733"/>
    </row>
    <row r="13" spans="1:31" outlineLevel="1" x14ac:dyDescent="0.25">
      <c r="A13" s="1074">
        <v>4</v>
      </c>
      <c r="B13" s="1444" t="s">
        <v>687</v>
      </c>
      <c r="C13" s="1483">
        <f>54167-10000</f>
        <v>44167</v>
      </c>
      <c r="D13" s="1484">
        <f>D10-10</f>
        <v>1190</v>
      </c>
      <c r="E13" s="1485">
        <f t="shared" si="0"/>
        <v>52558730</v>
      </c>
      <c r="F13" s="1489">
        <v>1</v>
      </c>
      <c r="G13" s="1490">
        <f t="shared" si="1"/>
        <v>3272.5</v>
      </c>
      <c r="H13" s="1491">
        <f t="shared" si="2"/>
        <v>3272.5</v>
      </c>
      <c r="I13" s="1499">
        <v>1</v>
      </c>
      <c r="J13" s="1500">
        <f t="shared" si="3"/>
        <v>4462.5</v>
      </c>
      <c r="K13" s="1495">
        <f t="shared" si="4"/>
        <v>4462.5</v>
      </c>
      <c r="L13" s="1119"/>
      <c r="M13" s="1075"/>
      <c r="N13" s="1457"/>
      <c r="O13" s="1122"/>
      <c r="P13" s="1123"/>
      <c r="Q13" s="1457"/>
      <c r="R13" s="1125">
        <f t="shared" si="5"/>
        <v>530.08199999999999</v>
      </c>
      <c r="S13" s="136"/>
      <c r="U13" s="1444" t="s">
        <v>687</v>
      </c>
      <c r="V13" s="733">
        <v>1300</v>
      </c>
      <c r="W13" s="733">
        <v>79</v>
      </c>
      <c r="X13" s="214">
        <f t="shared" si="6"/>
        <v>1221</v>
      </c>
      <c r="Y13" s="214"/>
      <c r="Z13" s="1452">
        <v>1190</v>
      </c>
      <c r="AA13" s="6" t="s">
        <v>935</v>
      </c>
      <c r="AB13" s="733">
        <v>1180</v>
      </c>
      <c r="AC13" s="733">
        <v>10000</v>
      </c>
      <c r="AD13" s="733">
        <f t="shared" ref="AD13:AD16" si="7">AC13*10</f>
        <v>100000</v>
      </c>
    </row>
    <row r="14" spans="1:31" outlineLevel="1" x14ac:dyDescent="0.25">
      <c r="A14" s="1074">
        <v>5</v>
      </c>
      <c r="B14" s="1449" t="s">
        <v>681</v>
      </c>
      <c r="C14" s="1483">
        <v>50000</v>
      </c>
      <c r="D14" s="1484">
        <v>1160</v>
      </c>
      <c r="E14" s="1485">
        <f t="shared" si="0"/>
        <v>58000000</v>
      </c>
      <c r="F14" s="1489">
        <v>1</v>
      </c>
      <c r="G14" s="1490">
        <f t="shared" si="1"/>
        <v>3190</v>
      </c>
      <c r="H14" s="1491">
        <f t="shared" si="2"/>
        <v>3190</v>
      </c>
      <c r="I14" s="1499">
        <v>1</v>
      </c>
      <c r="J14" s="1500">
        <f t="shared" si="3"/>
        <v>4350</v>
      </c>
      <c r="K14" s="1495">
        <f t="shared" si="4"/>
        <v>4350</v>
      </c>
      <c r="L14" s="1119"/>
      <c r="M14" s="1075"/>
      <c r="N14" s="1457"/>
      <c r="O14" s="1122"/>
      <c r="P14" s="1123"/>
      <c r="Q14" s="1457"/>
      <c r="R14" s="1125">
        <f t="shared" si="5"/>
        <v>600.07799999999997</v>
      </c>
      <c r="S14" s="136"/>
      <c r="U14" s="1449" t="s">
        <v>681</v>
      </c>
      <c r="V14" s="733">
        <v>1280</v>
      </c>
      <c r="W14" s="733">
        <v>79</v>
      </c>
      <c r="X14" s="214">
        <f t="shared" si="6"/>
        <v>1201</v>
      </c>
      <c r="Y14" s="214"/>
      <c r="Z14" s="1450">
        <v>1160</v>
      </c>
      <c r="AA14" s="1449" t="s">
        <v>681</v>
      </c>
      <c r="AB14" s="733">
        <v>1160</v>
      </c>
      <c r="AC14" s="733">
        <v>50000</v>
      </c>
      <c r="AD14" s="733">
        <f t="shared" si="7"/>
        <v>500000</v>
      </c>
    </row>
    <row r="15" spans="1:31" outlineLevel="1" x14ac:dyDescent="0.25">
      <c r="A15" s="1074">
        <v>6</v>
      </c>
      <c r="B15" s="1446" t="s">
        <v>683</v>
      </c>
      <c r="C15" s="1483">
        <v>18000</v>
      </c>
      <c r="D15" s="1484">
        <f>D10-30</f>
        <v>1170</v>
      </c>
      <c r="E15" s="1485">
        <f t="shared" si="0"/>
        <v>21060000</v>
      </c>
      <c r="F15" s="1489">
        <v>1</v>
      </c>
      <c r="G15" s="1490">
        <f t="shared" si="1"/>
        <v>3217.5</v>
      </c>
      <c r="H15" s="1491">
        <f t="shared" si="2"/>
        <v>3217.5</v>
      </c>
      <c r="I15" s="1499">
        <v>1</v>
      </c>
      <c r="J15" s="1500">
        <f t="shared" si="3"/>
        <v>4387.5</v>
      </c>
      <c r="K15" s="1495">
        <f t="shared" si="4"/>
        <v>4387.5</v>
      </c>
      <c r="L15" s="1119"/>
      <c r="M15" s="1075"/>
      <c r="N15" s="1457"/>
      <c r="O15" s="1122"/>
      <c r="P15" s="1123"/>
      <c r="Q15" s="1457"/>
      <c r="R15" s="1125">
        <f t="shared" si="5"/>
        <v>216.078</v>
      </c>
      <c r="S15" s="136"/>
      <c r="U15" s="1446" t="s">
        <v>683</v>
      </c>
      <c r="V15" s="733">
        <v>1280</v>
      </c>
      <c r="W15" s="733">
        <v>79</v>
      </c>
      <c r="X15" s="214">
        <f t="shared" si="6"/>
        <v>1201</v>
      </c>
      <c r="Y15" s="214"/>
      <c r="Z15" s="1448">
        <v>1170</v>
      </c>
      <c r="AA15" s="1446" t="s">
        <v>934</v>
      </c>
      <c r="AB15" s="1447">
        <v>1170</v>
      </c>
      <c r="AC15" s="1447">
        <v>8000</v>
      </c>
      <c r="AD15" s="1447">
        <f>AC15*10</f>
        <v>80000</v>
      </c>
    </row>
    <row r="16" spans="1:31" outlineLevel="1" x14ac:dyDescent="0.25">
      <c r="A16" s="1074">
        <v>7</v>
      </c>
      <c r="B16" s="1446" t="s">
        <v>764</v>
      </c>
      <c r="C16" s="1483">
        <f>43083-5000</f>
        <v>38083</v>
      </c>
      <c r="D16" s="1484">
        <f>D10-30</f>
        <v>1170</v>
      </c>
      <c r="E16" s="1485">
        <f t="shared" si="0"/>
        <v>44557110</v>
      </c>
      <c r="F16" s="1489">
        <v>1</v>
      </c>
      <c r="G16" s="1490">
        <f t="shared" si="1"/>
        <v>3217.5</v>
      </c>
      <c r="H16" s="1491">
        <f t="shared" si="2"/>
        <v>3217.5</v>
      </c>
      <c r="I16" s="1499">
        <v>1</v>
      </c>
      <c r="J16" s="1500">
        <f t="shared" si="3"/>
        <v>4387.5</v>
      </c>
      <c r="K16" s="1495">
        <f t="shared" si="4"/>
        <v>4387.5</v>
      </c>
      <c r="L16" s="1119"/>
      <c r="M16" s="1075"/>
      <c r="N16" s="1457"/>
      <c r="O16" s="1122"/>
      <c r="P16" s="1123"/>
      <c r="Q16" s="1457"/>
      <c r="R16" s="1125">
        <f t="shared" si="5"/>
        <v>457.07400000000001</v>
      </c>
      <c r="S16" s="136"/>
      <c r="U16" s="1446" t="s">
        <v>923</v>
      </c>
      <c r="V16" s="733">
        <v>1280</v>
      </c>
      <c r="W16" s="733">
        <v>79</v>
      </c>
      <c r="X16" s="214">
        <f t="shared" si="6"/>
        <v>1201</v>
      </c>
      <c r="Y16" s="214"/>
      <c r="Z16" s="1448">
        <v>1170</v>
      </c>
      <c r="AA16" s="6" t="s">
        <v>937</v>
      </c>
      <c r="AB16" s="733">
        <v>1160</v>
      </c>
      <c r="AC16" s="733">
        <v>5000</v>
      </c>
      <c r="AD16" s="733">
        <f t="shared" si="7"/>
        <v>50000</v>
      </c>
    </row>
    <row r="17" spans="1:31" outlineLevel="1" x14ac:dyDescent="0.3">
      <c r="A17" s="1074"/>
      <c r="B17" s="1445" t="s">
        <v>859</v>
      </c>
      <c r="C17" s="1483">
        <v>8000</v>
      </c>
      <c r="D17" s="1484">
        <v>1170</v>
      </c>
      <c r="E17" s="1485">
        <f t="shared" si="0"/>
        <v>9360000</v>
      </c>
      <c r="F17" s="1489">
        <v>1</v>
      </c>
      <c r="G17" s="1490">
        <f t="shared" si="1"/>
        <v>3217.5</v>
      </c>
      <c r="H17" s="1491">
        <f t="shared" si="2"/>
        <v>3217.5</v>
      </c>
      <c r="I17" s="1499">
        <v>1</v>
      </c>
      <c r="J17" s="1500">
        <f t="shared" si="3"/>
        <v>4387.5</v>
      </c>
      <c r="K17" s="1495">
        <f t="shared" si="4"/>
        <v>4387.5</v>
      </c>
      <c r="L17" s="1119"/>
      <c r="M17" s="1075"/>
      <c r="N17" s="1457"/>
      <c r="O17" s="1122"/>
      <c r="P17" s="1123"/>
      <c r="Q17" s="1457"/>
      <c r="R17" s="1125">
        <f t="shared" si="5"/>
        <v>96.078000000000003</v>
      </c>
      <c r="S17" s="136"/>
      <c r="U17" s="1453" t="s">
        <v>859</v>
      </c>
      <c r="V17" s="733">
        <v>1300</v>
      </c>
      <c r="W17" s="733">
        <v>79</v>
      </c>
      <c r="X17" s="214">
        <f t="shared" si="6"/>
        <v>1221</v>
      </c>
      <c r="Y17" s="196"/>
      <c r="Z17" s="196">
        <v>1170</v>
      </c>
      <c r="AB17" s="733"/>
      <c r="AC17" s="733"/>
      <c r="AD17" s="733"/>
    </row>
    <row r="18" spans="1:31" outlineLevel="1" x14ac:dyDescent="0.3">
      <c r="A18" s="1074"/>
      <c r="B18" s="1454" t="s">
        <v>935</v>
      </c>
      <c r="C18" s="1483">
        <v>10000</v>
      </c>
      <c r="D18" s="1484">
        <v>1180</v>
      </c>
      <c r="E18" s="1485">
        <f t="shared" si="0"/>
        <v>11800000</v>
      </c>
      <c r="F18" s="1489">
        <v>1</v>
      </c>
      <c r="G18" s="1490">
        <f t="shared" si="1"/>
        <v>3245</v>
      </c>
      <c r="H18" s="1491">
        <f t="shared" si="2"/>
        <v>3245</v>
      </c>
      <c r="I18" s="1499">
        <v>1</v>
      </c>
      <c r="J18" s="1500">
        <f t="shared" si="3"/>
        <v>4425</v>
      </c>
      <c r="K18" s="1495">
        <f t="shared" si="4"/>
        <v>4425</v>
      </c>
      <c r="L18" s="1119"/>
      <c r="M18" s="1075"/>
      <c r="N18" s="1457"/>
      <c r="O18" s="1122"/>
      <c r="P18" s="1123"/>
      <c r="Q18" s="1457"/>
      <c r="R18" s="1125">
        <f t="shared" si="5"/>
        <v>120.078</v>
      </c>
      <c r="S18" s="136"/>
      <c r="U18" s="1454" t="s">
        <v>935</v>
      </c>
      <c r="V18" s="733">
        <v>1300</v>
      </c>
      <c r="W18" s="733">
        <v>79</v>
      </c>
      <c r="X18" s="214">
        <f t="shared" si="6"/>
        <v>1221</v>
      </c>
      <c r="Z18" s="196">
        <v>1180</v>
      </c>
      <c r="AB18" s="733"/>
      <c r="AC18" s="733"/>
      <c r="AD18" s="733"/>
    </row>
    <row r="19" spans="1:31" outlineLevel="1" x14ac:dyDescent="0.3">
      <c r="A19" s="1074"/>
      <c r="B19" s="1449" t="s">
        <v>941</v>
      </c>
      <c r="C19" s="1483">
        <v>5000</v>
      </c>
      <c r="D19" s="1484">
        <v>1160</v>
      </c>
      <c r="E19" s="1485">
        <f t="shared" si="0"/>
        <v>5800000</v>
      </c>
      <c r="F19" s="1489">
        <v>1</v>
      </c>
      <c r="G19" s="1490">
        <f t="shared" si="1"/>
        <v>3190</v>
      </c>
      <c r="H19" s="1491">
        <f t="shared" si="2"/>
        <v>3190</v>
      </c>
      <c r="I19" s="1499">
        <v>1</v>
      </c>
      <c r="J19" s="1500">
        <f t="shared" si="3"/>
        <v>4350</v>
      </c>
      <c r="K19" s="1495">
        <f t="shared" si="4"/>
        <v>4350</v>
      </c>
      <c r="L19" s="1119"/>
      <c r="M19" s="1075"/>
      <c r="N19" s="1457"/>
      <c r="O19" s="1122"/>
      <c r="P19" s="1123"/>
      <c r="Q19" s="1457"/>
      <c r="R19" s="1125">
        <f t="shared" si="5"/>
        <v>60.078000000000003</v>
      </c>
      <c r="S19" s="136"/>
      <c r="U19" s="1449" t="s">
        <v>941</v>
      </c>
      <c r="V19" s="733">
        <v>1280</v>
      </c>
      <c r="W19" s="733">
        <v>79</v>
      </c>
      <c r="X19" s="214">
        <f t="shared" si="6"/>
        <v>1201</v>
      </c>
      <c r="Z19" s="196">
        <v>1160</v>
      </c>
      <c r="AB19" s="733"/>
      <c r="AC19" s="733"/>
      <c r="AD19" s="733"/>
    </row>
    <row r="20" spans="1:31" outlineLevel="1" x14ac:dyDescent="0.25">
      <c r="A20" s="1074">
        <v>8</v>
      </c>
      <c r="B20" s="1117" t="s">
        <v>688</v>
      </c>
      <c r="C20" s="1483"/>
      <c r="D20" s="1484"/>
      <c r="E20" s="1485">
        <f t="shared" si="0"/>
        <v>0</v>
      </c>
      <c r="F20" s="1489"/>
      <c r="G20" s="1490"/>
      <c r="H20" s="1491">
        <f t="shared" si="2"/>
        <v>0</v>
      </c>
      <c r="I20" s="1499"/>
      <c r="J20" s="1500"/>
      <c r="K20" s="1495"/>
      <c r="L20" s="1119">
        <v>10</v>
      </c>
      <c r="M20" s="1075">
        <f>(R3+R4+240)*O6</f>
        <v>98730</v>
      </c>
      <c r="N20" s="1457">
        <f>L20*M20</f>
        <v>987300</v>
      </c>
      <c r="O20" s="1122">
        <v>10</v>
      </c>
      <c r="P20" s="1123">
        <f>(R3+R4+275)*O6</f>
        <v>101880</v>
      </c>
      <c r="Q20" s="1457">
        <f>O20*P20</f>
        <v>1018800</v>
      </c>
      <c r="R20" s="1125">
        <f t="shared" si="5"/>
        <v>20</v>
      </c>
      <c r="S20" s="136"/>
      <c r="V20" s="733"/>
      <c r="W20" s="733"/>
      <c r="AD20" s="214">
        <f>SUM(AD12:AD16)</f>
        <v>730000</v>
      </c>
      <c r="AE20" s="1446" t="s">
        <v>938</v>
      </c>
    </row>
    <row r="21" spans="1:31" s="1" customFormat="1" x14ac:dyDescent="0.25">
      <c r="A21" s="1081" t="s">
        <v>38</v>
      </c>
      <c r="B21" s="1082" t="s">
        <v>689</v>
      </c>
      <c r="C21" s="1486">
        <f>SUM(C10:C20)</f>
        <v>302167</v>
      </c>
      <c r="D21" s="1487"/>
      <c r="E21" s="1488">
        <f>SUM(E10:E20)</f>
        <v>357544570</v>
      </c>
      <c r="F21" s="1492">
        <f>SUM(F10:F20)</f>
        <v>10</v>
      </c>
      <c r="G21" s="1493"/>
      <c r="H21" s="1494">
        <f>SUM(H10:H20)</f>
        <v>32422.5</v>
      </c>
      <c r="I21" s="1501">
        <f>SUM(I10:I20)</f>
        <v>10</v>
      </c>
      <c r="J21" s="1502"/>
      <c r="K21" s="1496">
        <f>SUM(K10:K20)</f>
        <v>44212.5</v>
      </c>
      <c r="L21" s="1128">
        <f>SUM(L10:L20)</f>
        <v>10</v>
      </c>
      <c r="M21" s="1129"/>
      <c r="N21" s="1458">
        <f>N20</f>
        <v>987300</v>
      </c>
      <c r="O21" s="1126">
        <f>SUM(O10:O20)</f>
        <v>10</v>
      </c>
      <c r="P21" s="1127"/>
      <c r="Q21" s="1458">
        <f>Q20</f>
        <v>1018800</v>
      </c>
      <c r="R21" s="1130">
        <f>SUM(R10:R20)</f>
        <v>3646.7839999999997</v>
      </c>
      <c r="S21" s="1509">
        <f>E21+H21+K21+N21+Q21</f>
        <v>359627305</v>
      </c>
      <c r="T21" s="6"/>
      <c r="U21" s="6"/>
      <c r="V21" s="733"/>
      <c r="W21" s="733"/>
      <c r="X21" s="6"/>
      <c r="Y21" s="6"/>
      <c r="Z21" s="6"/>
      <c r="AA21" s="4"/>
      <c r="AB21" s="4"/>
      <c r="AC21" s="4"/>
      <c r="AD21" s="4"/>
      <c r="AE21" s="6" t="s">
        <v>942</v>
      </c>
    </row>
    <row r="22" spans="1:31" s="1" customFormat="1" x14ac:dyDescent="0.25">
      <c r="A22" s="1131" t="s">
        <v>40</v>
      </c>
      <c r="B22" s="1132" t="s">
        <v>175</v>
      </c>
      <c r="C22" s="2311"/>
      <c r="D22" s="2283"/>
      <c r="E22" s="1459"/>
      <c r="F22" s="2312"/>
      <c r="G22" s="2313"/>
      <c r="H22" s="1459"/>
      <c r="I22" s="2282"/>
      <c r="J22" s="2283"/>
      <c r="K22" s="1459"/>
      <c r="L22" s="2284"/>
      <c r="M22" s="2285"/>
      <c r="N22" s="1503"/>
      <c r="O22" s="2286"/>
      <c r="P22" s="2287"/>
      <c r="Q22" s="1503"/>
      <c r="R22" s="1184"/>
      <c r="S22" s="3"/>
      <c r="T22" s="6"/>
      <c r="U22" s="1400" t="s">
        <v>932</v>
      </c>
      <c r="V22" s="6" t="s">
        <v>932</v>
      </c>
      <c r="W22" s="6"/>
      <c r="X22" s="6"/>
      <c r="Y22" s="6"/>
      <c r="Z22" s="6"/>
      <c r="AA22" s="4"/>
      <c r="AB22" s="4"/>
      <c r="AC22" s="4"/>
      <c r="AD22" s="4"/>
      <c r="AE22" s="6" t="s">
        <v>943</v>
      </c>
    </row>
    <row r="23" spans="1:31" x14ac:dyDescent="0.3">
      <c r="A23" s="1133" t="s">
        <v>32</v>
      </c>
      <c r="B23" s="815" t="s">
        <v>928</v>
      </c>
      <c r="C23" s="2303">
        <f>E21/C21</f>
        <v>1183.2680934714908</v>
      </c>
      <c r="D23" s="2304"/>
      <c r="E23" s="2305"/>
      <c r="F23" s="2306">
        <f>H21/F21</f>
        <v>3242.25</v>
      </c>
      <c r="G23" s="2307"/>
      <c r="H23" s="2308"/>
      <c r="I23" s="2309">
        <f>K21/I21</f>
        <v>4421.25</v>
      </c>
      <c r="J23" s="2309"/>
      <c r="K23" s="2309"/>
      <c r="L23" s="2297">
        <f>M20</f>
        <v>98730</v>
      </c>
      <c r="M23" s="2298"/>
      <c r="N23" s="1460"/>
      <c r="O23" s="2295">
        <f>P20</f>
        <v>101880</v>
      </c>
      <c r="P23" s="2296"/>
      <c r="Q23" s="1460"/>
      <c r="R23" s="1079"/>
    </row>
    <row r="24" spans="1:31" x14ac:dyDescent="0.25">
      <c r="A24" s="1064" t="s">
        <v>33</v>
      </c>
      <c r="B24" s="139" t="s">
        <v>169</v>
      </c>
      <c r="C24" s="2301"/>
      <c r="D24" s="2262"/>
      <c r="E24" s="1461"/>
      <c r="F24" s="2299"/>
      <c r="G24" s="2300"/>
      <c r="H24" s="1461"/>
      <c r="I24" s="2261"/>
      <c r="J24" s="2262"/>
      <c r="K24" s="1461"/>
      <c r="L24" s="2299"/>
      <c r="M24" s="2300"/>
      <c r="N24" s="1461"/>
      <c r="O24" s="2261"/>
      <c r="P24" s="2262"/>
      <c r="Q24" s="1461"/>
      <c r="R24" s="1067"/>
      <c r="U24" s="214">
        <f>T25-AD20</f>
        <v>4528370.6411407068</v>
      </c>
    </row>
    <row r="25" spans="1:31" x14ac:dyDescent="0.25">
      <c r="A25" s="1064">
        <v>1</v>
      </c>
      <c r="B25" s="139" t="s">
        <v>143</v>
      </c>
      <c r="C25" s="2301">
        <f>C23*(7/107)</f>
        <v>77.410062189723689</v>
      </c>
      <c r="D25" s="2262"/>
      <c r="E25" s="1461"/>
      <c r="F25" s="2299">
        <f>F23*(7/107)</f>
        <v>212.10981308411212</v>
      </c>
      <c r="G25" s="2300"/>
      <c r="H25" s="1461"/>
      <c r="I25" s="2261">
        <f>I23*(7/107)</f>
        <v>289.24065420560743</v>
      </c>
      <c r="J25" s="2262"/>
      <c r="K25" s="1461"/>
      <c r="L25" s="2299">
        <f>L23*7/107</f>
        <v>6458.9719626168226</v>
      </c>
      <c r="M25" s="2300"/>
      <c r="N25" s="1461"/>
      <c r="O25" s="2261">
        <f>O23*(7/107)</f>
        <v>6665.0467289719618</v>
      </c>
      <c r="P25" s="2262"/>
      <c r="Q25" s="1461"/>
      <c r="R25" s="1067"/>
      <c r="S25" s="486">
        <f>S21/1.07*0.07</f>
        <v>23527019.953271031</v>
      </c>
      <c r="T25" s="1198">
        <f>R136</f>
        <v>5258370.6411407068</v>
      </c>
    </row>
    <row r="26" spans="1:31" x14ac:dyDescent="0.25">
      <c r="A26" s="1064">
        <v>2</v>
      </c>
      <c r="B26" s="139" t="s">
        <v>147</v>
      </c>
      <c r="C26" s="2301">
        <f>R6/1000*12</f>
        <v>1055.1600000000001</v>
      </c>
      <c r="D26" s="2262"/>
      <c r="E26" s="1461"/>
      <c r="F26" s="2299">
        <f>R6/1000*33</f>
        <v>2901.69</v>
      </c>
      <c r="G26" s="2300"/>
      <c r="H26" s="1461"/>
      <c r="I26" s="2261">
        <f>R6/1000*45</f>
        <v>3956.8500000000004</v>
      </c>
      <c r="J26" s="2262"/>
      <c r="K26" s="1461"/>
      <c r="L26" s="2299">
        <f>R6</f>
        <v>87930</v>
      </c>
      <c r="M26" s="2300"/>
      <c r="N26" s="1461"/>
      <c r="O26" s="2261">
        <f>SUM(R3:R5)*O6</f>
        <v>87930</v>
      </c>
      <c r="P26" s="2262"/>
      <c r="Q26" s="1461"/>
      <c r="R26" s="1067"/>
      <c r="T26" s="4"/>
    </row>
    <row r="27" spans="1:31" x14ac:dyDescent="0.25">
      <c r="A27" s="1064">
        <v>3</v>
      </c>
      <c r="B27" s="139" t="s">
        <v>197</v>
      </c>
      <c r="C27" s="2263">
        <f>(310/1000)*0.5*12</f>
        <v>1.8599999999999999</v>
      </c>
      <c r="D27" s="2264"/>
      <c r="E27" s="1462"/>
      <c r="F27" s="2265">
        <f>(310/1000)*0.5*33</f>
        <v>5.1150000000000002</v>
      </c>
      <c r="G27" s="2266"/>
      <c r="H27" s="1462"/>
      <c r="I27" s="2267">
        <f>(310/1000)*0.5*45</f>
        <v>6.9749999999999996</v>
      </c>
      <c r="J27" s="2264"/>
      <c r="K27" s="1462"/>
      <c r="L27" s="2299">
        <v>0</v>
      </c>
      <c r="M27" s="2300"/>
      <c r="N27" s="1461"/>
      <c r="O27" s="2261">
        <v>0</v>
      </c>
      <c r="P27" s="2262"/>
      <c r="Q27" s="1461"/>
      <c r="R27" s="1067"/>
      <c r="Z27" s="4"/>
    </row>
    <row r="28" spans="1:31" x14ac:dyDescent="0.25">
      <c r="A28" s="1064">
        <v>4</v>
      </c>
      <c r="B28" s="139" t="s">
        <v>158</v>
      </c>
      <c r="C28" s="2263">
        <v>0.98</v>
      </c>
      <c r="D28" s="2264"/>
      <c r="E28" s="1462"/>
      <c r="F28" s="2265">
        <v>0.98</v>
      </c>
      <c r="G28" s="2266"/>
      <c r="H28" s="1462"/>
      <c r="I28" s="2267">
        <v>0.98</v>
      </c>
      <c r="J28" s="2264"/>
      <c r="K28" s="1462"/>
      <c r="L28" s="2299">
        <v>0</v>
      </c>
      <c r="M28" s="2300"/>
      <c r="N28" s="1461"/>
      <c r="O28" s="2261">
        <v>0</v>
      </c>
      <c r="P28" s="2262"/>
      <c r="Q28" s="1461"/>
      <c r="R28" s="1067"/>
      <c r="V28" s="4"/>
      <c r="W28" s="4"/>
      <c r="Z28" s="4"/>
    </row>
    <row r="29" spans="1:31" x14ac:dyDescent="0.25">
      <c r="A29" s="1064">
        <v>5</v>
      </c>
      <c r="B29" s="139" t="s">
        <v>170</v>
      </c>
      <c r="C29" s="2301">
        <v>0</v>
      </c>
      <c r="D29" s="2262"/>
      <c r="E29" s="1461"/>
      <c r="F29" s="2299">
        <v>0</v>
      </c>
      <c r="G29" s="2300"/>
      <c r="H29" s="1461"/>
      <c r="I29" s="2261">
        <v>0</v>
      </c>
      <c r="J29" s="2262"/>
      <c r="K29" s="1461"/>
      <c r="L29" s="2299">
        <f>5400/17</f>
        <v>317.64705882352939</v>
      </c>
      <c r="M29" s="2300"/>
      <c r="N29" s="1461"/>
      <c r="O29" s="2261">
        <v>3700</v>
      </c>
      <c r="P29" s="2262"/>
      <c r="Q29" s="1461"/>
      <c r="R29" s="1067"/>
      <c r="U29" s="4"/>
      <c r="V29" s="4"/>
      <c r="W29" s="4"/>
    </row>
    <row r="30" spans="1:31" s="1" customFormat="1" x14ac:dyDescent="0.25">
      <c r="A30" s="1134"/>
      <c r="B30" s="1070" t="s">
        <v>39</v>
      </c>
      <c r="C30" s="2290">
        <f>SUM(C25:C29)</f>
        <v>1135.4100621897237</v>
      </c>
      <c r="D30" s="2291"/>
      <c r="E30" s="1463"/>
      <c r="F30" s="2292">
        <f>SUM(F25:F29)</f>
        <v>3119.8948130841118</v>
      </c>
      <c r="G30" s="2293"/>
      <c r="H30" s="1463"/>
      <c r="I30" s="2294">
        <f>SUM(I25:I29)</f>
        <v>4254.0456542056081</v>
      </c>
      <c r="J30" s="2291"/>
      <c r="K30" s="1463"/>
      <c r="L30" s="2292">
        <f>SUM(L25:L29)</f>
        <v>94706.619021440347</v>
      </c>
      <c r="M30" s="2293"/>
      <c r="N30" s="1463"/>
      <c r="O30" s="2294">
        <f>SUM(O25:O29)</f>
        <v>98295.046728971967</v>
      </c>
      <c r="P30" s="2291"/>
      <c r="Q30" s="1463"/>
      <c r="R30" s="1071"/>
      <c r="S30" s="3"/>
      <c r="T30" s="6"/>
      <c r="U30" s="4"/>
      <c r="V30" s="6"/>
      <c r="W30" s="6"/>
      <c r="X30" s="6"/>
      <c r="Y30" s="6"/>
      <c r="Z30" s="6"/>
      <c r="AA30" s="4"/>
      <c r="AB30" s="4"/>
      <c r="AC30" s="4"/>
      <c r="AD30" s="4"/>
      <c r="AE30" s="4"/>
    </row>
    <row r="31" spans="1:31" s="1" customFormat="1" x14ac:dyDescent="0.25">
      <c r="A31" s="1135" t="s">
        <v>41</v>
      </c>
      <c r="B31" s="1136" t="s">
        <v>159</v>
      </c>
      <c r="C31" s="2277">
        <f>C23-C30</f>
        <v>47.858031281767126</v>
      </c>
      <c r="D31" s="2278"/>
      <c r="E31" s="1464"/>
      <c r="F31" s="2279">
        <f>F23-F30</f>
        <v>122.35518691588823</v>
      </c>
      <c r="G31" s="2280"/>
      <c r="H31" s="1464"/>
      <c r="I31" s="2281">
        <f>I23-I30</f>
        <v>167.20434579439188</v>
      </c>
      <c r="J31" s="2278"/>
      <c r="K31" s="1464"/>
      <c r="L31" s="2279">
        <f>L23-L30</f>
        <v>4023.3809785596532</v>
      </c>
      <c r="M31" s="2280"/>
      <c r="N31" s="1464"/>
      <c r="O31" s="2281">
        <f>O23-O30</f>
        <v>3584.9532710280328</v>
      </c>
      <c r="P31" s="2278"/>
      <c r="Q31" s="1464"/>
      <c r="R31" s="1185"/>
      <c r="S31" s="3"/>
      <c r="T31" s="6"/>
      <c r="U31" s="6"/>
      <c r="V31" s="6"/>
      <c r="W31" s="6"/>
      <c r="X31" s="6"/>
      <c r="Y31" s="6"/>
      <c r="Z31" s="6"/>
      <c r="AA31" s="4"/>
      <c r="AB31" s="4"/>
      <c r="AC31" s="4"/>
      <c r="AD31" s="4"/>
      <c r="AE31" s="4"/>
    </row>
    <row r="32" spans="1:31" x14ac:dyDescent="0.25">
      <c r="A32" s="1178" t="s">
        <v>62</v>
      </c>
      <c r="B32" s="1179" t="s">
        <v>156</v>
      </c>
      <c r="C32" s="2268">
        <f>(C21*12)/1000</f>
        <v>3626.0039999999999</v>
      </c>
      <c r="D32" s="2269"/>
      <c r="E32" s="1465"/>
      <c r="F32" s="2270">
        <f>(F21*33)/1000</f>
        <v>0.33</v>
      </c>
      <c r="G32" s="2271"/>
      <c r="H32" s="1465"/>
      <c r="I32" s="2272">
        <f>(I21*45)/1000</f>
        <v>0.45</v>
      </c>
      <c r="J32" s="2273"/>
      <c r="K32" s="1465"/>
      <c r="L32" s="2274">
        <f>L21</f>
        <v>10</v>
      </c>
      <c r="M32" s="2275"/>
      <c r="N32" s="1465"/>
      <c r="O32" s="2276">
        <f>O21</f>
        <v>10</v>
      </c>
      <c r="P32" s="2269"/>
      <c r="Q32" s="1465"/>
      <c r="R32" s="1186">
        <f>SUM(C32:O32)</f>
        <v>3646.7839999999997</v>
      </c>
      <c r="Z32" s="4"/>
    </row>
    <row r="33" spans="1:31" x14ac:dyDescent="0.3">
      <c r="A33" s="1180" t="s">
        <v>63</v>
      </c>
      <c r="B33" s="143" t="s">
        <v>171</v>
      </c>
      <c r="C33" s="2256">
        <f>C21*C23</f>
        <v>357544569.99999994</v>
      </c>
      <c r="D33" s="2257"/>
      <c r="E33" s="1296"/>
      <c r="F33" s="2258">
        <f>F21*F23</f>
        <v>32422.5</v>
      </c>
      <c r="G33" s="2259"/>
      <c r="H33" s="1296"/>
      <c r="I33" s="2260">
        <f>I21*I23</f>
        <v>44212.5</v>
      </c>
      <c r="J33" s="2257"/>
      <c r="K33" s="1296"/>
      <c r="L33" s="2258">
        <f>L21*L23</f>
        <v>987300</v>
      </c>
      <c r="M33" s="2259"/>
      <c r="N33" s="1296"/>
      <c r="O33" s="2260">
        <f>O21*O23</f>
        <v>1018800</v>
      </c>
      <c r="P33" s="2257"/>
      <c r="Q33" s="1296"/>
      <c r="R33" s="1149">
        <f>SUM(C33:O33)</f>
        <v>359627304.99999994</v>
      </c>
      <c r="S33" s="196">
        <f>R33/R32</f>
        <v>98614.917966076406</v>
      </c>
      <c r="Z33" s="4"/>
    </row>
    <row r="34" spans="1:31" ht="15" thickBot="1" x14ac:dyDescent="0.3">
      <c r="A34" s="1181" t="s">
        <v>64</v>
      </c>
      <c r="B34" s="1182" t="s">
        <v>160</v>
      </c>
      <c r="C34" s="2251">
        <f>C21*C31</f>
        <v>14461117.738317726</v>
      </c>
      <c r="D34" s="2252"/>
      <c r="E34" s="1466"/>
      <c r="F34" s="2253">
        <f>F21*F31</f>
        <v>1223.5518691588823</v>
      </c>
      <c r="G34" s="2254"/>
      <c r="H34" s="1466"/>
      <c r="I34" s="2255">
        <f>I21*I31</f>
        <v>1672.0434579439188</v>
      </c>
      <c r="J34" s="2252"/>
      <c r="K34" s="1466"/>
      <c r="L34" s="2253">
        <f>L21*L31</f>
        <v>40233.809785596532</v>
      </c>
      <c r="M34" s="2254"/>
      <c r="N34" s="1466"/>
      <c r="O34" s="2255">
        <f>O21*O31</f>
        <v>35849.532710280328</v>
      </c>
      <c r="P34" s="2252"/>
      <c r="Q34" s="1466"/>
      <c r="R34" s="1187">
        <f>SUM(C34:O34)</f>
        <v>14540096.676140707</v>
      </c>
      <c r="T34" s="4"/>
    </row>
    <row r="35" spans="1:31" s="1" customFormat="1" x14ac:dyDescent="0.25">
      <c r="A35" s="1140" t="s">
        <v>83</v>
      </c>
      <c r="B35" s="1141" t="s">
        <v>165</v>
      </c>
      <c r="C35" s="2246"/>
      <c r="D35" s="2247"/>
      <c r="E35" s="1467"/>
      <c r="F35" s="2248"/>
      <c r="G35" s="2249"/>
      <c r="H35" s="1467"/>
      <c r="I35" s="2250"/>
      <c r="J35" s="2247"/>
      <c r="K35" s="1467"/>
      <c r="L35" s="2248"/>
      <c r="M35" s="2249"/>
      <c r="N35" s="1467"/>
      <c r="O35" s="2250"/>
      <c r="P35" s="2247"/>
      <c r="Q35" s="1467"/>
      <c r="R35" s="1142"/>
      <c r="S35" s="3"/>
      <c r="T35" s="4"/>
      <c r="U35" s="6"/>
      <c r="V35" s="6"/>
      <c r="W35" s="6"/>
      <c r="X35" s="6"/>
      <c r="Y35" s="6"/>
      <c r="Z35" s="6"/>
      <c r="AA35" s="4"/>
      <c r="AB35" s="4"/>
      <c r="AC35" s="4"/>
      <c r="AD35" s="4"/>
      <c r="AE35" s="4"/>
    </row>
    <row r="36" spans="1:31" s="1" customFormat="1" hidden="1" outlineLevel="1" x14ac:dyDescent="0.25">
      <c r="A36" s="1143" t="s">
        <v>32</v>
      </c>
      <c r="B36" s="1144" t="s">
        <v>455</v>
      </c>
      <c r="C36" s="2241"/>
      <c r="D36" s="2242"/>
      <c r="E36" s="1468"/>
      <c r="F36" s="2243"/>
      <c r="G36" s="2244"/>
      <c r="H36" s="1468"/>
      <c r="I36" s="2245"/>
      <c r="J36" s="2242"/>
      <c r="K36" s="1468"/>
      <c r="L36" s="2243"/>
      <c r="M36" s="2244"/>
      <c r="N36" s="1468"/>
      <c r="O36" s="2245"/>
      <c r="P36" s="2242"/>
      <c r="Q36" s="1468"/>
      <c r="R36" s="1145"/>
      <c r="S36" s="3"/>
      <c r="T36" s="6"/>
      <c r="U36" s="6"/>
      <c r="V36" s="6"/>
      <c r="W36" s="6"/>
      <c r="X36" s="6"/>
      <c r="Y36" s="6"/>
      <c r="Z36" s="6"/>
      <c r="AA36" s="4"/>
      <c r="AB36" s="4"/>
      <c r="AC36" s="4"/>
      <c r="AD36" s="4"/>
      <c r="AE36" s="4"/>
    </row>
    <row r="37" spans="1:31" hidden="1" outlineLevel="1" x14ac:dyDescent="0.25">
      <c r="A37" s="1076">
        <v>1</v>
      </c>
      <c r="B37" s="813" t="s">
        <v>698</v>
      </c>
      <c r="C37" s="2236">
        <f>((R37/($C$21*$C$23+$F$21*$F$23+$I$21*$I$23)*($C$21*$C$23))/$C$21)</f>
        <v>7.631229615656171E-2</v>
      </c>
      <c r="D37" s="2237"/>
      <c r="E37" s="1469"/>
      <c r="F37" s="2238">
        <f t="shared" ref="F37:F76" si="8">(R37/($C$21*$C$23+$F$21*$F$23+$I$21*$I$23)*($F$21*$F$23))/$F$21</f>
        <v>0.20910184562461839</v>
      </c>
      <c r="G37" s="2239"/>
      <c r="H37" s="1469"/>
      <c r="I37" s="2240">
        <f t="shared" ref="I37:I76" si="9">(R37/($C$21*$C$23+$F$21*$F$23+$I$21*$I$23)*($I$21*$I$23))/$I$21</f>
        <v>0.28513888039720692</v>
      </c>
      <c r="J37" s="2237"/>
      <c r="K37" s="1469"/>
      <c r="L37" s="2238"/>
      <c r="M37" s="2239"/>
      <c r="N37" s="1469"/>
      <c r="O37" s="2240"/>
      <c r="P37" s="2237"/>
      <c r="Q37" s="1469"/>
      <c r="R37" s="1146">
        <v>23064</v>
      </c>
      <c r="V37" s="4"/>
      <c r="W37" s="4"/>
    </row>
    <row r="38" spans="1:31" hidden="1" outlineLevel="1" x14ac:dyDescent="0.25">
      <c r="A38" s="1076">
        <v>2</v>
      </c>
      <c r="B38" s="813" t="s">
        <v>699</v>
      </c>
      <c r="C38" s="2236">
        <f t="shared" ref="C38:C76" si="10">(R38/($C$21*$C$23+$F$21*$F$23+$I$21*$I$23)*$C$21*$C$23)/$C$21</f>
        <v>9.1808003537265176E-2</v>
      </c>
      <c r="D38" s="2237"/>
      <c r="E38" s="1469"/>
      <c r="F38" s="2238">
        <f t="shared" si="8"/>
        <v>0.25156133348901955</v>
      </c>
      <c r="G38" s="2239"/>
      <c r="H38" s="1469"/>
      <c r="I38" s="2240">
        <f t="shared" si="9"/>
        <v>0.34303818203048114</v>
      </c>
      <c r="J38" s="2237"/>
      <c r="K38" s="1469"/>
      <c r="L38" s="2238"/>
      <c r="M38" s="2239"/>
      <c r="N38" s="1469"/>
      <c r="O38" s="2240"/>
      <c r="P38" s="2237"/>
      <c r="Q38" s="1469"/>
      <c r="R38" s="1146">
        <v>27747.294999999998</v>
      </c>
      <c r="U38" s="4"/>
      <c r="V38" s="4"/>
      <c r="W38" s="4"/>
    </row>
    <row r="39" spans="1:31" hidden="1" outlineLevel="1" x14ac:dyDescent="0.25">
      <c r="A39" s="1076">
        <v>3</v>
      </c>
      <c r="B39" s="813" t="s">
        <v>700</v>
      </c>
      <c r="C39" s="2236">
        <f t="shared" si="10"/>
        <v>5.3419500663736554E-2</v>
      </c>
      <c r="D39" s="2237"/>
      <c r="E39" s="1469"/>
      <c r="F39" s="2238">
        <f t="shared" si="8"/>
        <v>0.14637373979962964</v>
      </c>
      <c r="G39" s="2239"/>
      <c r="H39" s="1469"/>
      <c r="I39" s="2240">
        <f t="shared" si="9"/>
        <v>0.19960055427222223</v>
      </c>
      <c r="J39" s="2237"/>
      <c r="K39" s="1469"/>
      <c r="L39" s="2238"/>
      <c r="M39" s="2239"/>
      <c r="N39" s="1469"/>
      <c r="O39" s="2240"/>
      <c r="P39" s="2237"/>
      <c r="Q39" s="1469"/>
      <c r="R39" s="1146">
        <v>16145.07</v>
      </c>
      <c r="S39" s="486">
        <f>R64+R94+R115+R127</f>
        <v>3854540.5</v>
      </c>
      <c r="T39" s="4"/>
      <c r="U39" s="4"/>
    </row>
    <row r="40" spans="1:31" hidden="1" outlineLevel="1" x14ac:dyDescent="0.25">
      <c r="A40" s="1076">
        <v>4</v>
      </c>
      <c r="B40" s="813" t="s">
        <v>701</v>
      </c>
      <c r="C40" s="2236">
        <f t="shared" si="10"/>
        <v>3.3055757663550546E-2</v>
      </c>
      <c r="D40" s="2237"/>
      <c r="E40" s="1469"/>
      <c r="F40" s="2238">
        <f t="shared" si="8"/>
        <v>9.0575441758270467E-2</v>
      </c>
      <c r="G40" s="2239"/>
      <c r="H40" s="1469"/>
      <c r="I40" s="2240">
        <f t="shared" si="9"/>
        <v>0.12351196603400519</v>
      </c>
      <c r="J40" s="2237"/>
      <c r="K40" s="1469"/>
      <c r="L40" s="2238"/>
      <c r="M40" s="2239"/>
      <c r="N40" s="1469"/>
      <c r="O40" s="2240"/>
      <c r="P40" s="2237"/>
      <c r="Q40" s="1469"/>
      <c r="R40" s="1146">
        <v>9990.5</v>
      </c>
      <c r="T40" s="4"/>
    </row>
    <row r="41" spans="1:31" hidden="1" outlineLevel="1" x14ac:dyDescent="0.25">
      <c r="A41" s="1076">
        <v>5</v>
      </c>
      <c r="B41" s="813" t="s">
        <v>702</v>
      </c>
      <c r="C41" s="2236">
        <f t="shared" si="10"/>
        <v>1.9753052725228645E-2</v>
      </c>
      <c r="D41" s="2237"/>
      <c r="E41" s="1469"/>
      <c r="F41" s="2238">
        <f t="shared" si="8"/>
        <v>5.4124957439254773E-2</v>
      </c>
      <c r="G41" s="2239"/>
      <c r="H41" s="1469"/>
      <c r="I41" s="2240">
        <f t="shared" si="9"/>
        <v>7.3806760144438321E-2</v>
      </c>
      <c r="J41" s="2237"/>
      <c r="K41" s="1469"/>
      <c r="L41" s="2238"/>
      <c r="M41" s="2239"/>
      <c r="N41" s="1469"/>
      <c r="O41" s="2240"/>
      <c r="P41" s="2237"/>
      <c r="Q41" s="1469"/>
      <c r="R41" s="1146">
        <v>5970</v>
      </c>
    </row>
    <row r="42" spans="1:31" hidden="1" outlineLevel="1" x14ac:dyDescent="0.25">
      <c r="A42" s="1076">
        <v>6</v>
      </c>
      <c r="B42" s="813" t="s">
        <v>703</v>
      </c>
      <c r="C42" s="2236">
        <f t="shared" si="10"/>
        <v>0.14856148532039634</v>
      </c>
      <c r="D42" s="2237"/>
      <c r="E42" s="1469"/>
      <c r="F42" s="2238">
        <f t="shared" si="8"/>
        <v>0.40707045042253587</v>
      </c>
      <c r="G42" s="2239"/>
      <c r="H42" s="1469"/>
      <c r="I42" s="2240">
        <f t="shared" si="9"/>
        <v>0.55509606875800344</v>
      </c>
      <c r="J42" s="2237"/>
      <c r="K42" s="1469"/>
      <c r="L42" s="2238"/>
      <c r="M42" s="2239"/>
      <c r="N42" s="1469"/>
      <c r="O42" s="2240"/>
      <c r="P42" s="2237"/>
      <c r="Q42" s="1469"/>
      <c r="R42" s="1146">
        <v>44900</v>
      </c>
      <c r="V42" s="4"/>
      <c r="W42" s="4"/>
    </row>
    <row r="43" spans="1:31" hidden="1" outlineLevel="1" x14ac:dyDescent="0.25">
      <c r="A43" s="1076">
        <v>7</v>
      </c>
      <c r="B43" s="813" t="s">
        <v>704</v>
      </c>
      <c r="C43" s="2236">
        <f t="shared" si="10"/>
        <v>0.22695081331665629</v>
      </c>
      <c r="D43" s="2237"/>
      <c r="E43" s="1469"/>
      <c r="F43" s="2238">
        <f t="shared" si="8"/>
        <v>0.6218635307888134</v>
      </c>
      <c r="G43" s="2239"/>
      <c r="H43" s="1469"/>
      <c r="I43" s="2240">
        <f t="shared" si="9"/>
        <v>0.84799572380292731</v>
      </c>
      <c r="J43" s="2237"/>
      <c r="K43" s="1469"/>
      <c r="L43" s="2238"/>
      <c r="M43" s="2239"/>
      <c r="N43" s="1469"/>
      <c r="O43" s="2240"/>
      <c r="P43" s="2237"/>
      <c r="Q43" s="1469"/>
      <c r="R43" s="1146">
        <v>68591.744999999995</v>
      </c>
      <c r="U43" s="4"/>
      <c r="V43" s="4"/>
      <c r="W43" s="4"/>
    </row>
    <row r="44" spans="1:31" hidden="1" outlineLevel="1" x14ac:dyDescent="0.25">
      <c r="A44" s="1076">
        <v>8</v>
      </c>
      <c r="B44" s="813" t="s">
        <v>705</v>
      </c>
      <c r="C44" s="2236">
        <f t="shared" si="10"/>
        <v>7.1160752945326894E-2</v>
      </c>
      <c r="D44" s="2237"/>
      <c r="E44" s="1469"/>
      <c r="F44" s="2238">
        <f t="shared" si="8"/>
        <v>0.19498620178297318</v>
      </c>
      <c r="G44" s="2239"/>
      <c r="H44" s="1469"/>
      <c r="I44" s="2240">
        <f t="shared" si="9"/>
        <v>0.26589027515859975</v>
      </c>
      <c r="J44" s="2237"/>
      <c r="K44" s="1469"/>
      <c r="L44" s="2238"/>
      <c r="M44" s="2239"/>
      <c r="N44" s="1469"/>
      <c r="O44" s="2240"/>
      <c r="P44" s="2237"/>
      <c r="Q44" s="1469"/>
      <c r="R44" s="1146">
        <v>21507.040000000001</v>
      </c>
      <c r="U44" s="4"/>
    </row>
    <row r="45" spans="1:31" hidden="1" outlineLevel="1" x14ac:dyDescent="0.25">
      <c r="A45" s="1076">
        <v>9</v>
      </c>
      <c r="B45" s="813" t="s">
        <v>706</v>
      </c>
      <c r="C45" s="2236">
        <f t="shared" si="10"/>
        <v>2.4283615545262323</v>
      </c>
      <c r="D45" s="2237"/>
      <c r="E45" s="1469"/>
      <c r="F45" s="2238">
        <f t="shared" si="8"/>
        <v>6.6539064930447847</v>
      </c>
      <c r="G45" s="2239"/>
      <c r="H45" s="1469"/>
      <c r="I45" s="2240">
        <f t="shared" si="9"/>
        <v>9.0735088541519797</v>
      </c>
      <c r="J45" s="2237"/>
      <c r="K45" s="1469"/>
      <c r="L45" s="2238"/>
      <c r="M45" s="2239"/>
      <c r="N45" s="1469"/>
      <c r="O45" s="2240"/>
      <c r="P45" s="2237"/>
      <c r="Q45" s="1469"/>
      <c r="R45" s="1146">
        <v>733928</v>
      </c>
    </row>
    <row r="46" spans="1:31" hidden="1" outlineLevel="1" x14ac:dyDescent="0.25">
      <c r="A46" s="1076">
        <v>10</v>
      </c>
      <c r="B46" s="813" t="s">
        <v>707</v>
      </c>
      <c r="C46" s="2236">
        <f t="shared" si="10"/>
        <v>2.3531427900155145E-2</v>
      </c>
      <c r="D46" s="2237"/>
      <c r="E46" s="1469"/>
      <c r="F46" s="2238">
        <f t="shared" si="8"/>
        <v>6.4478010123169296E-2</v>
      </c>
      <c r="G46" s="2239"/>
      <c r="H46" s="1469"/>
      <c r="I46" s="2240">
        <f t="shared" si="9"/>
        <v>8.7924559258867219E-2</v>
      </c>
      <c r="J46" s="2237"/>
      <c r="K46" s="1469"/>
      <c r="L46" s="2238"/>
      <c r="M46" s="2239"/>
      <c r="N46" s="1469"/>
      <c r="O46" s="2240"/>
      <c r="P46" s="2237"/>
      <c r="Q46" s="1469"/>
      <c r="R46" s="1146">
        <v>7111.9449999999997</v>
      </c>
    </row>
    <row r="47" spans="1:31" hidden="1" outlineLevel="1" x14ac:dyDescent="0.25">
      <c r="A47" s="1076">
        <v>11</v>
      </c>
      <c r="B47" s="813" t="s">
        <v>708</v>
      </c>
      <c r="C47" s="2236">
        <f t="shared" si="10"/>
        <v>2.6469752395616272E-2</v>
      </c>
      <c r="D47" s="2237"/>
      <c r="E47" s="1469"/>
      <c r="F47" s="2238">
        <f t="shared" si="8"/>
        <v>7.2529256200006387E-2</v>
      </c>
      <c r="G47" s="2239"/>
      <c r="H47" s="1469"/>
      <c r="I47" s="2240">
        <f t="shared" si="9"/>
        <v>9.890353118182689E-2</v>
      </c>
      <c r="J47" s="2237"/>
      <c r="K47" s="1469"/>
      <c r="L47" s="2238"/>
      <c r="M47" s="2239"/>
      <c r="N47" s="1469"/>
      <c r="O47" s="2240"/>
      <c r="P47" s="2237"/>
      <c r="Q47" s="1469"/>
      <c r="R47" s="1146">
        <v>8000</v>
      </c>
    </row>
    <row r="48" spans="1:31" hidden="1" outlineLevel="1" x14ac:dyDescent="0.25">
      <c r="A48" s="1076">
        <v>12</v>
      </c>
      <c r="B48" s="813" t="s">
        <v>709</v>
      </c>
      <c r="C48" s="2236">
        <f t="shared" si="10"/>
        <v>1.5053050402672523</v>
      </c>
      <c r="D48" s="2237"/>
      <c r="E48" s="1469"/>
      <c r="F48" s="2238">
        <f t="shared" si="8"/>
        <v>4.1246572046811378</v>
      </c>
      <c r="G48" s="2239"/>
      <c r="H48" s="1469"/>
      <c r="I48" s="2240">
        <f t="shared" si="9"/>
        <v>5.6245325518379152</v>
      </c>
      <c r="J48" s="2237"/>
      <c r="K48" s="1469"/>
      <c r="L48" s="2238"/>
      <c r="M48" s="2239"/>
      <c r="N48" s="1469"/>
      <c r="O48" s="2240"/>
      <c r="P48" s="2237"/>
      <c r="Q48" s="1469"/>
      <c r="R48" s="1146">
        <v>454951</v>
      </c>
    </row>
    <row r="49" spans="1:18" hidden="1" outlineLevel="1" x14ac:dyDescent="0.25">
      <c r="A49" s="1076">
        <v>13</v>
      </c>
      <c r="B49" s="813" t="s">
        <v>710</v>
      </c>
      <c r="C49" s="2236">
        <f t="shared" si="10"/>
        <v>9.8713151301114341E-2</v>
      </c>
      <c r="D49" s="2237"/>
      <c r="E49" s="1469"/>
      <c r="F49" s="2238">
        <f t="shared" si="8"/>
        <v>0.27048199522313005</v>
      </c>
      <c r="G49" s="2239"/>
      <c r="H49" s="1469"/>
      <c r="I49" s="2240">
        <f t="shared" si="9"/>
        <v>0.36883908439517732</v>
      </c>
      <c r="J49" s="2237"/>
      <c r="K49" s="1469"/>
      <c r="L49" s="2238"/>
      <c r="M49" s="2239"/>
      <c r="N49" s="1469"/>
      <c r="O49" s="2240"/>
      <c r="P49" s="2237"/>
      <c r="Q49" s="1469"/>
      <c r="R49" s="1146">
        <v>29834.25</v>
      </c>
    </row>
    <row r="50" spans="1:18" hidden="1" outlineLevel="1" x14ac:dyDescent="0.25">
      <c r="A50" s="1076">
        <v>14</v>
      </c>
      <c r="B50" s="813" t="s">
        <v>711</v>
      </c>
      <c r="C50" s="2236">
        <f t="shared" si="10"/>
        <v>1.2001369192577171</v>
      </c>
      <c r="D50" s="2237"/>
      <c r="E50" s="1469"/>
      <c r="F50" s="2238">
        <f t="shared" si="8"/>
        <v>3.2884719430297773</v>
      </c>
      <c r="G50" s="2239"/>
      <c r="H50" s="1469"/>
      <c r="I50" s="2240">
        <f t="shared" si="9"/>
        <v>4.4842799223133323</v>
      </c>
      <c r="J50" s="2237"/>
      <c r="K50" s="1469"/>
      <c r="L50" s="2238"/>
      <c r="M50" s="2239"/>
      <c r="N50" s="1469"/>
      <c r="O50" s="2240"/>
      <c r="P50" s="2237"/>
      <c r="Q50" s="1469"/>
      <c r="R50" s="1146">
        <v>362719.5</v>
      </c>
    </row>
    <row r="51" spans="1:18" hidden="1" outlineLevel="1" x14ac:dyDescent="0.25">
      <c r="A51" s="1076">
        <v>15</v>
      </c>
      <c r="B51" s="813" t="s">
        <v>712</v>
      </c>
      <c r="C51" s="2236">
        <f t="shared" si="10"/>
        <v>6.2466961294129673E-2</v>
      </c>
      <c r="D51" s="2237"/>
      <c r="E51" s="1469"/>
      <c r="F51" s="2238">
        <f t="shared" si="8"/>
        <v>0.17116451155350257</v>
      </c>
      <c r="G51" s="2239"/>
      <c r="H51" s="1469"/>
      <c r="I51" s="2240">
        <f t="shared" si="9"/>
        <v>0.23340615211841259</v>
      </c>
      <c r="J51" s="2237"/>
      <c r="K51" s="1469"/>
      <c r="L51" s="2238"/>
      <c r="M51" s="2239"/>
      <c r="N51" s="1469"/>
      <c r="O51" s="2240"/>
      <c r="P51" s="2237"/>
      <c r="Q51" s="1469"/>
      <c r="R51" s="1146">
        <v>18879.5</v>
      </c>
    </row>
    <row r="52" spans="1:18" hidden="1" outlineLevel="1" x14ac:dyDescent="0.25">
      <c r="A52" s="1076">
        <v>16</v>
      </c>
      <c r="B52" s="813" t="s">
        <v>713</v>
      </c>
      <c r="C52" s="2236">
        <f t="shared" si="10"/>
        <v>8.7350182905533702E-4</v>
      </c>
      <c r="D52" s="2237"/>
      <c r="E52" s="1469"/>
      <c r="F52" s="2238">
        <f t="shared" si="8"/>
        <v>2.3934654546002103E-3</v>
      </c>
      <c r="G52" s="2239"/>
      <c r="H52" s="1469"/>
      <c r="I52" s="2240">
        <f t="shared" si="9"/>
        <v>3.2638165290002873E-3</v>
      </c>
      <c r="J52" s="2237"/>
      <c r="K52" s="1469"/>
      <c r="L52" s="2238"/>
      <c r="M52" s="2239"/>
      <c r="N52" s="1469"/>
      <c r="O52" s="2240"/>
      <c r="P52" s="2237"/>
      <c r="Q52" s="1469"/>
      <c r="R52" s="1146">
        <v>264</v>
      </c>
    </row>
    <row r="53" spans="1:18" hidden="1" outlineLevel="1" x14ac:dyDescent="0.25">
      <c r="A53" s="1076">
        <v>17</v>
      </c>
      <c r="B53" s="813" t="s">
        <v>714</v>
      </c>
      <c r="C53" s="2236">
        <f t="shared" si="10"/>
        <v>5.18619542583975E-2</v>
      </c>
      <c r="D53" s="2237"/>
      <c r="E53" s="1469"/>
      <c r="F53" s="2238">
        <f t="shared" si="8"/>
        <v>0.14210593704168076</v>
      </c>
      <c r="G53" s="2239"/>
      <c r="H53" s="1469"/>
      <c r="I53" s="2240">
        <f t="shared" si="9"/>
        <v>0.19378082323865559</v>
      </c>
      <c r="J53" s="2237"/>
      <c r="K53" s="1469"/>
      <c r="L53" s="2238"/>
      <c r="M53" s="2239"/>
      <c r="N53" s="1469"/>
      <c r="O53" s="2240"/>
      <c r="P53" s="2237"/>
      <c r="Q53" s="1469"/>
      <c r="R53" s="1146">
        <v>15674.33</v>
      </c>
    </row>
    <row r="54" spans="1:18" hidden="1" outlineLevel="1" x14ac:dyDescent="0.25">
      <c r="A54" s="1076">
        <v>18</v>
      </c>
      <c r="B54" s="813" t="s">
        <v>715</v>
      </c>
      <c r="C54" s="2236">
        <f t="shared" si="10"/>
        <v>8.3785038129749134E-2</v>
      </c>
      <c r="D54" s="2237"/>
      <c r="E54" s="1469"/>
      <c r="F54" s="2238">
        <f t="shared" si="8"/>
        <v>0.22957776126558271</v>
      </c>
      <c r="G54" s="2239"/>
      <c r="H54" s="1469"/>
      <c r="I54" s="2240">
        <f t="shared" si="9"/>
        <v>0.31306058354397642</v>
      </c>
      <c r="J54" s="2237"/>
      <c r="K54" s="1469"/>
      <c r="L54" s="2238"/>
      <c r="M54" s="2239"/>
      <c r="N54" s="1469"/>
      <c r="O54" s="2240"/>
      <c r="P54" s="2237"/>
      <c r="Q54" s="1469"/>
      <c r="R54" s="1146">
        <v>25322.5</v>
      </c>
    </row>
    <row r="55" spans="1:18" hidden="1" outlineLevel="1" x14ac:dyDescent="0.25">
      <c r="A55" s="1076">
        <v>19</v>
      </c>
      <c r="B55" s="813" t="s">
        <v>716</v>
      </c>
      <c r="C55" s="2236">
        <f t="shared" si="10"/>
        <v>1.2904004292862931E-3</v>
      </c>
      <c r="D55" s="2237"/>
      <c r="E55" s="1469"/>
      <c r="F55" s="2238">
        <f t="shared" si="8"/>
        <v>3.5358012397503106E-3</v>
      </c>
      <c r="G55" s="2239"/>
      <c r="H55" s="1469"/>
      <c r="I55" s="2240">
        <f t="shared" si="9"/>
        <v>4.8215471451140603E-3</v>
      </c>
      <c r="J55" s="2237"/>
      <c r="K55" s="1469"/>
      <c r="L55" s="2238"/>
      <c r="M55" s="2239"/>
      <c r="N55" s="1469"/>
      <c r="O55" s="2240"/>
      <c r="P55" s="2237"/>
      <c r="Q55" s="1469"/>
      <c r="R55" s="1146">
        <v>390</v>
      </c>
    </row>
    <row r="56" spans="1:18" hidden="1" outlineLevel="1" x14ac:dyDescent="0.25">
      <c r="A56" s="1076">
        <v>20</v>
      </c>
      <c r="B56" s="813" t="s">
        <v>717</v>
      </c>
      <c r="C56" s="2236">
        <f t="shared" si="10"/>
        <v>0.14301938091256419</v>
      </c>
      <c r="D56" s="2237"/>
      <c r="E56" s="1469"/>
      <c r="F56" s="2238">
        <f t="shared" si="8"/>
        <v>0.39188463740565954</v>
      </c>
      <c r="G56" s="2239"/>
      <c r="H56" s="1469"/>
      <c r="I56" s="2240">
        <f t="shared" si="9"/>
        <v>0.53438814191680839</v>
      </c>
      <c r="J56" s="2237"/>
      <c r="K56" s="1469"/>
      <c r="L56" s="2238"/>
      <c r="M56" s="2239"/>
      <c r="N56" s="1469"/>
      <c r="O56" s="2240"/>
      <c r="P56" s="2237"/>
      <c r="Q56" s="1469"/>
      <c r="R56" s="1146">
        <v>43225</v>
      </c>
    </row>
    <row r="57" spans="1:18" hidden="1" outlineLevel="1" x14ac:dyDescent="0.25">
      <c r="A57" s="1076">
        <v>21</v>
      </c>
      <c r="B57" s="813" t="s">
        <v>718</v>
      </c>
      <c r="C57" s="2236">
        <f t="shared" si="10"/>
        <v>0.45402242796580811</v>
      </c>
      <c r="D57" s="2237"/>
      <c r="E57" s="1469"/>
      <c r="F57" s="2238">
        <f t="shared" si="8"/>
        <v>1.2440580669706096</v>
      </c>
      <c r="G57" s="2239"/>
      <c r="H57" s="1469"/>
      <c r="I57" s="2240">
        <f t="shared" si="9"/>
        <v>1.6964428185962857</v>
      </c>
      <c r="J57" s="2237"/>
      <c r="K57" s="1469"/>
      <c r="L57" s="2238"/>
      <c r="M57" s="2239"/>
      <c r="N57" s="1469"/>
      <c r="O57" s="2240"/>
      <c r="P57" s="2237"/>
      <c r="Q57" s="1469"/>
      <c r="R57" s="1146">
        <v>137220</v>
      </c>
    </row>
    <row r="58" spans="1:18" hidden="1" outlineLevel="1" x14ac:dyDescent="0.25">
      <c r="A58" s="1076">
        <v>22</v>
      </c>
      <c r="B58" s="813" t="s">
        <v>719</v>
      </c>
      <c r="C58" s="2236">
        <f t="shared" si="10"/>
        <v>1.6742118390227292E-3</v>
      </c>
      <c r="D58" s="2237"/>
      <c r="E58" s="1469"/>
      <c r="F58" s="2238">
        <f t="shared" si="8"/>
        <v>4.5874754546504038E-3</v>
      </c>
      <c r="G58" s="2239"/>
      <c r="H58" s="1469"/>
      <c r="I58" s="2240">
        <f t="shared" si="9"/>
        <v>6.2556483472505503E-3</v>
      </c>
      <c r="J58" s="2237"/>
      <c r="K58" s="1469"/>
      <c r="L58" s="2238"/>
      <c r="M58" s="2239"/>
      <c r="N58" s="1469"/>
      <c r="O58" s="2240"/>
      <c r="P58" s="2237"/>
      <c r="Q58" s="1469"/>
      <c r="R58" s="1146">
        <v>506</v>
      </c>
    </row>
    <row r="59" spans="1:18" hidden="1" outlineLevel="1" x14ac:dyDescent="0.25">
      <c r="A59" s="1076">
        <v>23</v>
      </c>
      <c r="B59" s="813" t="s">
        <v>720</v>
      </c>
      <c r="C59" s="2236">
        <f t="shared" si="10"/>
        <v>1.654359524726017E-3</v>
      </c>
      <c r="D59" s="2237"/>
      <c r="E59" s="1469"/>
      <c r="F59" s="2238">
        <f t="shared" si="8"/>
        <v>4.5330785125003992E-3</v>
      </c>
      <c r="G59" s="2239"/>
      <c r="H59" s="1469"/>
      <c r="I59" s="2240">
        <f t="shared" si="9"/>
        <v>6.1814706988641806E-3</v>
      </c>
      <c r="J59" s="2237"/>
      <c r="K59" s="1469"/>
      <c r="L59" s="2238"/>
      <c r="M59" s="2239"/>
      <c r="N59" s="1469"/>
      <c r="O59" s="2240"/>
      <c r="P59" s="2237"/>
      <c r="Q59" s="1469"/>
      <c r="R59" s="1146">
        <v>500</v>
      </c>
    </row>
    <row r="60" spans="1:18" hidden="1" outlineLevel="1" x14ac:dyDescent="0.25">
      <c r="A60" s="1076">
        <v>24</v>
      </c>
      <c r="B60" s="813" t="s">
        <v>721</v>
      </c>
      <c r="C60" s="2236">
        <f t="shared" si="10"/>
        <v>0.28218575849204142</v>
      </c>
      <c r="D60" s="2237"/>
      <c r="E60" s="1469"/>
      <c r="F60" s="2238">
        <f t="shared" si="8"/>
        <v>0.77321173495570561</v>
      </c>
      <c r="G60" s="2239"/>
      <c r="H60" s="1469"/>
      <c r="I60" s="2240">
        <f t="shared" si="9"/>
        <v>1.0543796385759623</v>
      </c>
      <c r="J60" s="2237"/>
      <c r="K60" s="1469"/>
      <c r="L60" s="2238"/>
      <c r="M60" s="2239"/>
      <c r="N60" s="1469"/>
      <c r="O60" s="2240"/>
      <c r="P60" s="2237"/>
      <c r="Q60" s="1469"/>
      <c r="R60" s="1146">
        <v>85285.5</v>
      </c>
    </row>
    <row r="61" spans="1:18" hidden="1" outlineLevel="1" x14ac:dyDescent="0.25">
      <c r="A61" s="1076">
        <v>25</v>
      </c>
      <c r="B61" s="813" t="s">
        <v>722</v>
      </c>
      <c r="C61" s="2236">
        <f t="shared" si="10"/>
        <v>0.10587900958246509</v>
      </c>
      <c r="D61" s="2237"/>
      <c r="E61" s="1469"/>
      <c r="F61" s="2238">
        <f t="shared" si="8"/>
        <v>0.29011702480002555</v>
      </c>
      <c r="G61" s="2239"/>
      <c r="H61" s="1469"/>
      <c r="I61" s="2240">
        <f t="shared" si="9"/>
        <v>0.39561412472730756</v>
      </c>
      <c r="J61" s="2237"/>
      <c r="K61" s="1469"/>
      <c r="L61" s="2238"/>
      <c r="M61" s="2239"/>
      <c r="N61" s="1469"/>
      <c r="O61" s="2240"/>
      <c r="P61" s="2237"/>
      <c r="Q61" s="1469"/>
      <c r="R61" s="1146">
        <v>32000</v>
      </c>
    </row>
    <row r="62" spans="1:18" hidden="1" outlineLevel="1" x14ac:dyDescent="0.25">
      <c r="A62" s="1076">
        <v>26</v>
      </c>
      <c r="B62" s="813" t="s">
        <v>723</v>
      </c>
      <c r="C62" s="2236">
        <f t="shared" si="10"/>
        <v>1.6543595247260172E-2</v>
      </c>
      <c r="D62" s="2237"/>
      <c r="E62" s="1469"/>
      <c r="F62" s="2238">
        <f t="shared" si="8"/>
        <v>4.5330785125003992E-2</v>
      </c>
      <c r="G62" s="2239"/>
      <c r="H62" s="1469"/>
      <c r="I62" s="2240">
        <f t="shared" si="9"/>
        <v>6.1814706988641797E-2</v>
      </c>
      <c r="J62" s="2237"/>
      <c r="K62" s="1469"/>
      <c r="L62" s="2238"/>
      <c r="M62" s="2239"/>
      <c r="N62" s="1469"/>
      <c r="O62" s="2240"/>
      <c r="P62" s="2237"/>
      <c r="Q62" s="1469"/>
      <c r="R62" s="1146">
        <v>5000</v>
      </c>
    </row>
    <row r="63" spans="1:18" hidden="1" outlineLevel="1" x14ac:dyDescent="0.25">
      <c r="A63" s="1076">
        <v>27</v>
      </c>
      <c r="B63" s="813" t="s">
        <v>724</v>
      </c>
      <c r="C63" s="2236">
        <f t="shared" si="10"/>
        <v>4.5561061310954505E-2</v>
      </c>
      <c r="D63" s="2237"/>
      <c r="E63" s="1469"/>
      <c r="F63" s="2238">
        <f t="shared" si="8"/>
        <v>0.12484098223426099</v>
      </c>
      <c r="G63" s="2239"/>
      <c r="H63" s="1469"/>
      <c r="I63" s="2240">
        <f t="shared" si="9"/>
        <v>0.17023770304671954</v>
      </c>
      <c r="J63" s="2237"/>
      <c r="K63" s="1469"/>
      <c r="L63" s="2238"/>
      <c r="M63" s="2239"/>
      <c r="N63" s="1469"/>
      <c r="O63" s="2240"/>
      <c r="P63" s="2237"/>
      <c r="Q63" s="1469"/>
      <c r="R63" s="1146">
        <v>13770</v>
      </c>
    </row>
    <row r="64" spans="1:18" hidden="1" outlineLevel="1" x14ac:dyDescent="0.25">
      <c r="A64" s="1076">
        <v>28</v>
      </c>
      <c r="B64" s="813" t="s">
        <v>725</v>
      </c>
      <c r="C64" s="2236">
        <f t="shared" si="10"/>
        <v>5.5479227902806185</v>
      </c>
      <c r="D64" s="2237"/>
      <c r="E64" s="1469"/>
      <c r="F64" s="2238">
        <f t="shared" si="8"/>
        <v>15.201755854004801</v>
      </c>
      <c r="G64" s="2239"/>
      <c r="H64" s="1469"/>
      <c r="I64" s="2240">
        <f t="shared" si="9"/>
        <v>20.729667073642911</v>
      </c>
      <c r="J64" s="2237"/>
      <c r="K64" s="1469"/>
      <c r="L64" s="2238"/>
      <c r="M64" s="2239"/>
      <c r="N64" s="1469"/>
      <c r="O64" s="2240"/>
      <c r="P64" s="2237"/>
      <c r="Q64" s="1469"/>
      <c r="R64" s="1146">
        <v>1676758.5</v>
      </c>
    </row>
    <row r="65" spans="1:31" hidden="1" outlineLevel="1" x14ac:dyDescent="0.25">
      <c r="A65" s="1076">
        <v>29</v>
      </c>
      <c r="B65" s="813" t="s">
        <v>726</v>
      </c>
      <c r="C65" s="2236">
        <f t="shared" si="10"/>
        <v>7.3059825330950373E-2</v>
      </c>
      <c r="D65" s="2237"/>
      <c r="E65" s="1469"/>
      <c r="F65" s="2238">
        <f t="shared" si="8"/>
        <v>0.20018981326904264</v>
      </c>
      <c r="G65" s="2239"/>
      <c r="H65" s="1469"/>
      <c r="I65" s="2240">
        <f t="shared" si="9"/>
        <v>0.27298610900324</v>
      </c>
      <c r="J65" s="2237"/>
      <c r="K65" s="1469"/>
      <c r="L65" s="2238"/>
      <c r="M65" s="2239"/>
      <c r="N65" s="1469"/>
      <c r="O65" s="2240"/>
      <c r="P65" s="2237"/>
      <c r="Q65" s="1469"/>
      <c r="R65" s="1146">
        <v>22081</v>
      </c>
    </row>
    <row r="66" spans="1:31" hidden="1" outlineLevel="1" x14ac:dyDescent="0.25">
      <c r="A66" s="1076">
        <v>30</v>
      </c>
      <c r="B66" s="813" t="s">
        <v>727</v>
      </c>
      <c r="C66" s="2236">
        <f t="shared" si="10"/>
        <v>3.7087431825307847E-2</v>
      </c>
      <c r="D66" s="2237"/>
      <c r="E66" s="1469"/>
      <c r="F66" s="2238">
        <f t="shared" si="8"/>
        <v>0.10162255409323392</v>
      </c>
      <c r="G66" s="2239"/>
      <c r="H66" s="1469"/>
      <c r="I66" s="2240">
        <f t="shared" si="9"/>
        <v>0.13857621012713719</v>
      </c>
      <c r="J66" s="2237"/>
      <c r="K66" s="1469"/>
      <c r="L66" s="2238"/>
      <c r="M66" s="2239"/>
      <c r="N66" s="1469"/>
      <c r="O66" s="2240"/>
      <c r="P66" s="2237"/>
      <c r="Q66" s="1469"/>
      <c r="R66" s="1146">
        <v>11209</v>
      </c>
    </row>
    <row r="67" spans="1:31" hidden="1" outlineLevel="1" x14ac:dyDescent="0.25">
      <c r="A67" s="1076">
        <v>31</v>
      </c>
      <c r="B67" s="813" t="s">
        <v>728</v>
      </c>
      <c r="C67" s="2236">
        <f t="shared" si="10"/>
        <v>4.0349828808067551E-3</v>
      </c>
      <c r="D67" s="2237"/>
      <c r="E67" s="1469"/>
      <c r="F67" s="2238">
        <f t="shared" si="8"/>
        <v>1.1056178491988474E-2</v>
      </c>
      <c r="G67" s="2239"/>
      <c r="H67" s="1469"/>
      <c r="I67" s="2240">
        <f t="shared" si="9"/>
        <v>1.5076607034529737E-2</v>
      </c>
      <c r="J67" s="2237"/>
      <c r="K67" s="1469"/>
      <c r="L67" s="2238"/>
      <c r="M67" s="2239"/>
      <c r="N67" s="1469"/>
      <c r="O67" s="2240"/>
      <c r="P67" s="2237"/>
      <c r="Q67" s="1469"/>
      <c r="R67" s="1146">
        <v>1219.5</v>
      </c>
    </row>
    <row r="68" spans="1:31" hidden="1" outlineLevel="1" x14ac:dyDescent="0.25">
      <c r="A68" s="1076">
        <v>32</v>
      </c>
      <c r="B68" s="813" t="s">
        <v>729</v>
      </c>
      <c r="C68" s="2236">
        <f t="shared" si="10"/>
        <v>0.15134577240051023</v>
      </c>
      <c r="D68" s="2237"/>
      <c r="E68" s="1469"/>
      <c r="F68" s="2238">
        <f t="shared" si="8"/>
        <v>0.41469962155907403</v>
      </c>
      <c r="G68" s="2239"/>
      <c r="H68" s="1469"/>
      <c r="I68" s="2240">
        <f t="shared" si="9"/>
        <v>0.56549948394419181</v>
      </c>
      <c r="J68" s="2237"/>
      <c r="K68" s="1469"/>
      <c r="L68" s="2238"/>
      <c r="M68" s="2239"/>
      <c r="N68" s="1469"/>
      <c r="O68" s="2240"/>
      <c r="P68" s="2237"/>
      <c r="Q68" s="1469"/>
      <c r="R68" s="1146">
        <v>45741.5</v>
      </c>
    </row>
    <row r="69" spans="1:31" hidden="1" outlineLevel="1" x14ac:dyDescent="0.25">
      <c r="A69" s="1076">
        <v>33</v>
      </c>
      <c r="B69" s="813" t="s">
        <v>730</v>
      </c>
      <c r="C69" s="2236">
        <f t="shared" si="10"/>
        <v>0.11413426361084791</v>
      </c>
      <c r="D69" s="2237"/>
      <c r="E69" s="1469"/>
      <c r="F69" s="2238">
        <f t="shared" si="8"/>
        <v>0.31273708657740251</v>
      </c>
      <c r="G69" s="2239"/>
      <c r="H69" s="1469"/>
      <c r="I69" s="2240">
        <f t="shared" si="9"/>
        <v>0.42645966351463976</v>
      </c>
      <c r="J69" s="2237"/>
      <c r="K69" s="1469"/>
      <c r="L69" s="2238"/>
      <c r="M69" s="2239"/>
      <c r="N69" s="1469"/>
      <c r="O69" s="2240"/>
      <c r="P69" s="2237"/>
      <c r="Q69" s="1469"/>
      <c r="R69" s="1146">
        <v>34495</v>
      </c>
    </row>
    <row r="70" spans="1:31" hidden="1" outlineLevel="1" x14ac:dyDescent="0.25">
      <c r="A70" s="1076">
        <v>34</v>
      </c>
      <c r="B70" s="813" t="s">
        <v>731</v>
      </c>
      <c r="C70" s="2236">
        <f t="shared" si="10"/>
        <v>0.62999665061091459</v>
      </c>
      <c r="D70" s="2237"/>
      <c r="E70" s="1469"/>
      <c r="F70" s="2238">
        <f t="shared" si="8"/>
        <v>1.7262416283452768</v>
      </c>
      <c r="G70" s="2239"/>
      <c r="H70" s="1469"/>
      <c r="I70" s="2240">
        <f t="shared" si="9"/>
        <v>2.3539658568344684</v>
      </c>
      <c r="J70" s="2237"/>
      <c r="K70" s="1469"/>
      <c r="L70" s="2238"/>
      <c r="M70" s="2239"/>
      <c r="N70" s="1469"/>
      <c r="O70" s="2240"/>
      <c r="P70" s="2237"/>
      <c r="Q70" s="1469"/>
      <c r="R70" s="1146">
        <v>190405</v>
      </c>
    </row>
    <row r="71" spans="1:31" hidden="1" outlineLevel="1" x14ac:dyDescent="0.25">
      <c r="A71" s="1076">
        <v>35</v>
      </c>
      <c r="B71" s="813" t="s">
        <v>732</v>
      </c>
      <c r="C71" s="2236">
        <f t="shared" si="10"/>
        <v>3.6395909543972364E-2</v>
      </c>
      <c r="D71" s="2237"/>
      <c r="E71" s="1469"/>
      <c r="F71" s="2238">
        <f t="shared" si="8"/>
        <v>9.9727727275008768E-2</v>
      </c>
      <c r="G71" s="2239"/>
      <c r="H71" s="1469"/>
      <c r="I71" s="2240">
        <f t="shared" si="9"/>
        <v>0.13599235537501195</v>
      </c>
      <c r="J71" s="2237"/>
      <c r="K71" s="1469"/>
      <c r="L71" s="2238"/>
      <c r="M71" s="2239"/>
      <c r="N71" s="1469"/>
      <c r="O71" s="2240"/>
      <c r="P71" s="2237"/>
      <c r="Q71" s="1469"/>
      <c r="R71" s="1146">
        <v>11000</v>
      </c>
    </row>
    <row r="72" spans="1:31" hidden="1" outlineLevel="1" x14ac:dyDescent="0.25">
      <c r="A72" s="1076">
        <v>36</v>
      </c>
      <c r="B72" s="813" t="s">
        <v>733</v>
      </c>
      <c r="C72" s="2236">
        <f t="shared" si="10"/>
        <v>0.66852544317213991</v>
      </c>
      <c r="D72" s="2237"/>
      <c r="E72" s="1469"/>
      <c r="F72" s="2238">
        <f t="shared" si="8"/>
        <v>1.8318136270925269</v>
      </c>
      <c r="G72" s="2239"/>
      <c r="H72" s="1469"/>
      <c r="I72" s="2240">
        <f t="shared" si="9"/>
        <v>2.4979276733079914</v>
      </c>
      <c r="J72" s="2237"/>
      <c r="K72" s="1469"/>
      <c r="L72" s="2238"/>
      <c r="M72" s="2239"/>
      <c r="N72" s="1469"/>
      <c r="O72" s="2240"/>
      <c r="P72" s="2237"/>
      <c r="Q72" s="1469"/>
      <c r="R72" s="1146">
        <v>202049.625</v>
      </c>
    </row>
    <row r="73" spans="1:31" hidden="1" outlineLevel="1" x14ac:dyDescent="0.25">
      <c r="A73" s="1076">
        <v>37</v>
      </c>
      <c r="B73" s="813" t="s">
        <v>734</v>
      </c>
      <c r="C73" s="2236">
        <f t="shared" si="10"/>
        <v>9.0989773859930911E-3</v>
      </c>
      <c r="D73" s="2237"/>
      <c r="E73" s="1469"/>
      <c r="F73" s="2238">
        <f t="shared" si="8"/>
        <v>2.4931931818752192E-2</v>
      </c>
      <c r="G73" s="2239"/>
      <c r="H73" s="1469"/>
      <c r="I73" s="2240">
        <f t="shared" si="9"/>
        <v>3.3998088843752987E-2</v>
      </c>
      <c r="J73" s="2237"/>
      <c r="K73" s="1469"/>
      <c r="L73" s="2238"/>
      <c r="M73" s="2239"/>
      <c r="N73" s="1469"/>
      <c r="O73" s="2240"/>
      <c r="P73" s="2237"/>
      <c r="Q73" s="1469"/>
      <c r="R73" s="1146">
        <v>2750</v>
      </c>
    </row>
    <row r="74" spans="1:31" hidden="1" outlineLevel="1" x14ac:dyDescent="0.25">
      <c r="A74" s="1076">
        <v>38</v>
      </c>
      <c r="B74" s="813" t="s">
        <v>735</v>
      </c>
      <c r="C74" s="2236">
        <f t="shared" si="10"/>
        <v>8.437233576102687E-3</v>
      </c>
      <c r="D74" s="2237"/>
      <c r="E74" s="1469"/>
      <c r="F74" s="2238">
        <f t="shared" si="8"/>
        <v>2.3118700413752032E-2</v>
      </c>
      <c r="G74" s="2239"/>
      <c r="H74" s="1469"/>
      <c r="I74" s="2240">
        <f t="shared" si="9"/>
        <v>3.1525500564207318E-2</v>
      </c>
      <c r="J74" s="2237"/>
      <c r="K74" s="1469"/>
      <c r="L74" s="2238"/>
      <c r="M74" s="2239"/>
      <c r="N74" s="1469"/>
      <c r="O74" s="2240"/>
      <c r="P74" s="2237"/>
      <c r="Q74" s="1469"/>
      <c r="R74" s="1146">
        <v>2550</v>
      </c>
      <c r="Z74" s="4"/>
    </row>
    <row r="75" spans="1:31" hidden="1" outlineLevel="1" x14ac:dyDescent="0.25">
      <c r="A75" s="1076">
        <v>39</v>
      </c>
      <c r="B75" s="813" t="s">
        <v>736</v>
      </c>
      <c r="C75" s="2236">
        <f t="shared" si="10"/>
        <v>1.7688354135787208</v>
      </c>
      <c r="D75" s="2237"/>
      <c r="E75" s="1469"/>
      <c r="F75" s="2238">
        <f t="shared" si="8"/>
        <v>4.8467516797906329</v>
      </c>
      <c r="G75" s="2239"/>
      <c r="H75" s="1469"/>
      <c r="I75" s="2240">
        <f t="shared" si="9"/>
        <v>6.6092068360781351</v>
      </c>
      <c r="J75" s="2237"/>
      <c r="K75" s="1469"/>
      <c r="L75" s="2238"/>
      <c r="M75" s="2239"/>
      <c r="N75" s="1469"/>
      <c r="O75" s="2240"/>
      <c r="P75" s="2237"/>
      <c r="Q75" s="1469"/>
      <c r="R75" s="1146">
        <v>534598.25</v>
      </c>
      <c r="Z75" s="4"/>
    </row>
    <row r="76" spans="1:31" hidden="1" outlineLevel="1" x14ac:dyDescent="0.25">
      <c r="A76" s="1076">
        <v>40</v>
      </c>
      <c r="B76" s="813" t="s">
        <v>737</v>
      </c>
      <c r="C76" s="2236">
        <f t="shared" si="10"/>
        <v>2.4815392870890258E-3</v>
      </c>
      <c r="D76" s="2237"/>
      <c r="E76" s="1469"/>
      <c r="F76" s="2238">
        <f t="shared" si="8"/>
        <v>6.7996177687505988E-3</v>
      </c>
      <c r="G76" s="2239"/>
      <c r="H76" s="1469"/>
      <c r="I76" s="2240">
        <f t="shared" si="9"/>
        <v>9.2722060482962713E-3</v>
      </c>
      <c r="J76" s="2237"/>
      <c r="K76" s="1469"/>
      <c r="L76" s="2238"/>
      <c r="M76" s="2239"/>
      <c r="N76" s="1469"/>
      <c r="O76" s="2240"/>
      <c r="P76" s="2237"/>
      <c r="Q76" s="1469"/>
      <c r="R76" s="1146">
        <v>750</v>
      </c>
    </row>
    <row r="77" spans="1:31" s="1" customFormat="1" collapsed="1" x14ac:dyDescent="0.25">
      <c r="A77" s="1147"/>
      <c r="B77" s="853" t="s">
        <v>456</v>
      </c>
      <c r="C77" s="2231">
        <f>SUM(C37:C76)</f>
        <v>16.305713402276247</v>
      </c>
      <c r="D77" s="2232"/>
      <c r="E77" s="1470"/>
      <c r="F77" s="2233">
        <f>SUM(F37:F76)</f>
        <v>44.678969685920897</v>
      </c>
      <c r="G77" s="2234"/>
      <c r="H77" s="1470"/>
      <c r="I77" s="2235">
        <f>SUM(I37:I76)</f>
        <v>60.925867753528486</v>
      </c>
      <c r="J77" s="2232"/>
      <c r="K77" s="1470"/>
      <c r="L77" s="2233">
        <f>SUM(L37:L76)</f>
        <v>0</v>
      </c>
      <c r="M77" s="2234"/>
      <c r="N77" s="1470"/>
      <c r="O77" s="2235">
        <f>SUM(O37:O76)</f>
        <v>0</v>
      </c>
      <c r="P77" s="2232"/>
      <c r="Q77" s="1470"/>
      <c r="R77" s="1148">
        <f>SUM(R37:R76)</f>
        <v>4928104.55</v>
      </c>
      <c r="S77" s="3"/>
      <c r="T77" s="6"/>
      <c r="U77" s="6"/>
      <c r="V77" s="6"/>
      <c r="W77" s="6"/>
      <c r="X77" s="6"/>
      <c r="Y77" s="6"/>
      <c r="Z77" s="6"/>
      <c r="AA77" s="4"/>
      <c r="AB77" s="4"/>
      <c r="AC77" s="4"/>
      <c r="AD77" s="4"/>
      <c r="AE77" s="4"/>
    </row>
    <row r="78" spans="1:31" s="1" customFormat="1" hidden="1" outlineLevel="1" x14ac:dyDescent="0.25">
      <c r="A78" s="1150" t="s">
        <v>33</v>
      </c>
      <c r="B78" s="1151" t="s">
        <v>457</v>
      </c>
      <c r="C78" s="2226"/>
      <c r="D78" s="2227"/>
      <c r="E78" s="1471"/>
      <c r="F78" s="2228"/>
      <c r="G78" s="2229"/>
      <c r="H78" s="1471"/>
      <c r="I78" s="2230"/>
      <c r="J78" s="2227"/>
      <c r="K78" s="1471"/>
      <c r="L78" s="2228"/>
      <c r="M78" s="2229"/>
      <c r="N78" s="1471"/>
      <c r="O78" s="2230"/>
      <c r="P78" s="2227"/>
      <c r="Q78" s="1471"/>
      <c r="R78" s="1152"/>
      <c r="S78" s="3"/>
      <c r="T78" s="6"/>
      <c r="U78" s="6"/>
      <c r="V78" s="6"/>
      <c r="W78" s="6"/>
      <c r="X78" s="6"/>
      <c r="Y78" s="6"/>
      <c r="Z78" s="6"/>
      <c r="AA78" s="4"/>
      <c r="AB78" s="4"/>
      <c r="AC78" s="4"/>
      <c r="AD78" s="4"/>
      <c r="AE78" s="4"/>
    </row>
    <row r="79" spans="1:31" hidden="1" outlineLevel="1" x14ac:dyDescent="0.25">
      <c r="A79" s="1153">
        <v>1</v>
      </c>
      <c r="B79" s="817" t="s">
        <v>701</v>
      </c>
      <c r="C79" s="2221">
        <f t="shared" ref="C79:C106" si="11">((R79/(($C$21*$C$23)+($F$21*$F$23)+($I$21*$I$23)+($L$21*$L$23)+($O$21*$O$23)))*($C$21*$C$23))/$C$21</f>
        <v>4.0963763204020509E-3</v>
      </c>
      <c r="D79" s="2222"/>
      <c r="E79" s="1472"/>
      <c r="F79" s="2223">
        <f t="shared" ref="F79:F106" si="12">((R79/(($C$21*$C$23)+($F$21*$F$23)+($I$21*$I$23)+($L$21*$L$23)+($O$21*$O$23)))*($F$21*$F$23))/$F$21</f>
        <v>1.122440146751371E-2</v>
      </c>
      <c r="G79" s="2224"/>
      <c r="H79" s="1472"/>
      <c r="I79" s="2225">
        <f t="shared" ref="I79:I106" si="13">((R79/(($C$21*$C$23)+($F$21*$F$23)+($I$21*$I$23)+($L$21*$L$23)+($O$21*$O$23)))*($I$21*$I$23))/$I$21</f>
        <v>1.5306002001155058E-2</v>
      </c>
      <c r="J79" s="2222"/>
      <c r="K79" s="1472"/>
      <c r="L79" s="2223">
        <f t="shared" ref="L79:L106" si="14">((R79/(($C$21*$C$23)+($F$21*$F$23)+($I$21*$I$23)+($L$21*$L$23)+($O$21*$O$23)))*($L$21*$L$23))/$L$21</f>
        <v>0.34179509812248549</v>
      </c>
      <c r="M79" s="2224"/>
      <c r="N79" s="1472"/>
      <c r="O79" s="2225">
        <f t="shared" ref="O79:O106" si="15">((R79/(($C$21*$C$23)+($F$21*$F$23)+($I$21*$I$23)+($L$21*$L$23)+($O$21*$O$23)))*($O$21*$O$23))/$O$21</f>
        <v>0.35270013771618375</v>
      </c>
      <c r="P79" s="2222"/>
      <c r="Q79" s="1472"/>
      <c r="R79" s="1154">
        <v>1245</v>
      </c>
    </row>
    <row r="80" spans="1:31" hidden="1" outlineLevel="1" x14ac:dyDescent="0.25">
      <c r="A80" s="1153">
        <v>2</v>
      </c>
      <c r="B80" s="817" t="s">
        <v>738</v>
      </c>
      <c r="C80" s="2221">
        <f t="shared" si="11"/>
        <v>0.14954241266046042</v>
      </c>
      <c r="D80" s="2222"/>
      <c r="E80" s="1472"/>
      <c r="F80" s="2223">
        <f t="shared" si="12"/>
        <v>0.40975827044056079</v>
      </c>
      <c r="G80" s="2224"/>
      <c r="H80" s="1472"/>
      <c r="I80" s="2225">
        <f t="shared" si="13"/>
        <v>0.55876127787349195</v>
      </c>
      <c r="J80" s="2222"/>
      <c r="K80" s="1472"/>
      <c r="L80" s="2223">
        <f t="shared" si="14"/>
        <v>12.477580088085917</v>
      </c>
      <c r="M80" s="2224"/>
      <c r="N80" s="1472"/>
      <c r="O80" s="2225">
        <f t="shared" si="15"/>
        <v>12.875679726265503</v>
      </c>
      <c r="P80" s="2222"/>
      <c r="Q80" s="1472"/>
      <c r="R80" s="1154">
        <v>45450</v>
      </c>
    </row>
    <row r="81" spans="1:23" hidden="1" outlineLevel="1" x14ac:dyDescent="0.25">
      <c r="A81" s="1153">
        <v>3</v>
      </c>
      <c r="B81" s="817" t="s">
        <v>739</v>
      </c>
      <c r="C81" s="2221">
        <f t="shared" si="11"/>
        <v>0.21621134855776689</v>
      </c>
      <c r="D81" s="2222"/>
      <c r="E81" s="1472"/>
      <c r="F81" s="2223">
        <f t="shared" si="12"/>
        <v>0.59243653127228479</v>
      </c>
      <c r="G81" s="2224"/>
      <c r="H81" s="1472"/>
      <c r="I81" s="2225">
        <f t="shared" si="13"/>
        <v>0.80786799718947933</v>
      </c>
      <c r="J81" s="2222"/>
      <c r="K81" s="1472"/>
      <c r="L81" s="2223">
        <f t="shared" si="14"/>
        <v>18.04032962680629</v>
      </c>
      <c r="M81" s="2224"/>
      <c r="N81" s="1472"/>
      <c r="O81" s="2225">
        <f t="shared" si="15"/>
        <v>18.615909879256808</v>
      </c>
      <c r="P81" s="2222"/>
      <c r="Q81" s="1472"/>
      <c r="R81" s="1154">
        <v>65712.5</v>
      </c>
      <c r="T81" s="4"/>
    </row>
    <row r="82" spans="1:23" hidden="1" outlineLevel="1" x14ac:dyDescent="0.25">
      <c r="A82" s="1153">
        <v>4</v>
      </c>
      <c r="B82" s="817" t="s">
        <v>740</v>
      </c>
      <c r="C82" s="2221">
        <f t="shared" si="11"/>
        <v>2.2544875941682616E-2</v>
      </c>
      <c r="D82" s="2222"/>
      <c r="E82" s="1472"/>
      <c r="F82" s="2223">
        <f t="shared" si="12"/>
        <v>6.17747781971116E-2</v>
      </c>
      <c r="G82" s="2224"/>
      <c r="H82" s="1472"/>
      <c r="I82" s="2225">
        <f t="shared" si="13"/>
        <v>8.4238333905152188E-2</v>
      </c>
      <c r="J82" s="2222"/>
      <c r="K82" s="1472"/>
      <c r="L82" s="2223">
        <f t="shared" si="14"/>
        <v>1.8811084436427876</v>
      </c>
      <c r="M82" s="2224"/>
      <c r="N82" s="1472"/>
      <c r="O82" s="2225">
        <f t="shared" si="15"/>
        <v>1.9411255772138882</v>
      </c>
      <c r="P82" s="2222"/>
      <c r="Q82" s="1472"/>
      <c r="R82" s="1154">
        <v>6852</v>
      </c>
      <c r="T82" s="4"/>
    </row>
    <row r="83" spans="1:23" hidden="1" outlineLevel="1" x14ac:dyDescent="0.25">
      <c r="A83" s="1153">
        <v>5</v>
      </c>
      <c r="B83" s="817" t="s">
        <v>699</v>
      </c>
      <c r="C83" s="2221">
        <f t="shared" si="11"/>
        <v>1.1083132740645056E-2</v>
      </c>
      <c r="D83" s="2222"/>
      <c r="E83" s="1472"/>
      <c r="F83" s="2223">
        <f t="shared" si="12"/>
        <v>3.0368677501420537E-2</v>
      </c>
      <c r="G83" s="2224"/>
      <c r="H83" s="1472"/>
      <c r="I83" s="2225">
        <f t="shared" si="13"/>
        <v>4.1411832956482555E-2</v>
      </c>
      <c r="J83" s="2222"/>
      <c r="K83" s="1472"/>
      <c r="L83" s="2223">
        <f t="shared" si="14"/>
        <v>0.92475889574068915</v>
      </c>
      <c r="M83" s="2224"/>
      <c r="N83" s="1472"/>
      <c r="O83" s="2225">
        <f t="shared" si="15"/>
        <v>0.95426350955192363</v>
      </c>
      <c r="P83" s="2222"/>
      <c r="Q83" s="1472"/>
      <c r="R83" s="1154">
        <v>3368.4650000000001</v>
      </c>
    </row>
    <row r="84" spans="1:23" hidden="1" outlineLevel="1" x14ac:dyDescent="0.25">
      <c r="A84" s="1153">
        <v>6</v>
      </c>
      <c r="B84" s="817" t="s">
        <v>715</v>
      </c>
      <c r="C84" s="2221">
        <f t="shared" si="11"/>
        <v>6.5805242094812077E-4</v>
      </c>
      <c r="D84" s="2222"/>
      <c r="E84" s="1472"/>
      <c r="F84" s="2223">
        <f t="shared" si="12"/>
        <v>1.8031167016086282E-3</v>
      </c>
      <c r="G84" s="2224"/>
      <c r="H84" s="1472"/>
      <c r="I84" s="2225">
        <f t="shared" si="13"/>
        <v>2.4587955021935842E-3</v>
      </c>
      <c r="J84" s="2222"/>
      <c r="K84" s="1472"/>
      <c r="L84" s="2223">
        <f t="shared" si="14"/>
        <v>5.4906843071885224E-2</v>
      </c>
      <c r="M84" s="2224"/>
      <c r="N84" s="1472"/>
      <c r="O84" s="2225">
        <f t="shared" si="15"/>
        <v>5.665865666123434E-2</v>
      </c>
      <c r="P84" s="2222"/>
      <c r="Q84" s="1472"/>
      <c r="R84" s="1154">
        <v>200</v>
      </c>
      <c r="V84" s="4"/>
      <c r="W84" s="4"/>
    </row>
    <row r="85" spans="1:23" hidden="1" outlineLevel="1" x14ac:dyDescent="0.25">
      <c r="A85" s="1153">
        <v>7</v>
      </c>
      <c r="B85" s="817" t="s">
        <v>741</v>
      </c>
      <c r="C85" s="2221">
        <f t="shared" si="11"/>
        <v>3.7015448678331792E-3</v>
      </c>
      <c r="D85" s="2222"/>
      <c r="E85" s="1472"/>
      <c r="F85" s="2223">
        <f t="shared" si="12"/>
        <v>1.0142531446548534E-2</v>
      </c>
      <c r="G85" s="2224"/>
      <c r="H85" s="1472"/>
      <c r="I85" s="2225">
        <f t="shared" si="13"/>
        <v>1.3830724699838908E-2</v>
      </c>
      <c r="J85" s="2222"/>
      <c r="K85" s="1472"/>
      <c r="L85" s="2223">
        <f t="shared" si="14"/>
        <v>0.30885099227935442</v>
      </c>
      <c r="M85" s="2224"/>
      <c r="N85" s="1472"/>
      <c r="O85" s="2225">
        <f t="shared" si="15"/>
        <v>0.31870494371944319</v>
      </c>
      <c r="P85" s="2222"/>
      <c r="Q85" s="1472"/>
      <c r="R85" s="1154">
        <v>1125</v>
      </c>
      <c r="U85" s="4"/>
      <c r="V85" s="4"/>
      <c r="W85" s="4"/>
    </row>
    <row r="86" spans="1:23" hidden="1" outlineLevel="1" x14ac:dyDescent="0.25">
      <c r="A86" s="1153">
        <v>8</v>
      </c>
      <c r="B86" s="817" t="s">
        <v>721</v>
      </c>
      <c r="C86" s="2221">
        <f t="shared" si="11"/>
        <v>1.8244503370786643E-2</v>
      </c>
      <c r="D86" s="2222"/>
      <c r="E86" s="1472"/>
      <c r="F86" s="2223">
        <f t="shared" si="12"/>
        <v>4.9991410552099207E-2</v>
      </c>
      <c r="G86" s="2224"/>
      <c r="H86" s="1472"/>
      <c r="I86" s="2225">
        <f t="shared" si="13"/>
        <v>6.8170105298317102E-2</v>
      </c>
      <c r="J86" s="2222"/>
      <c r="K86" s="1472"/>
      <c r="L86" s="2223">
        <f t="shared" si="14"/>
        <v>1.5222922241680175</v>
      </c>
      <c r="M86" s="2224"/>
      <c r="N86" s="1472"/>
      <c r="O86" s="2225">
        <f t="shared" si="15"/>
        <v>1.570861255932722</v>
      </c>
      <c r="P86" s="2222"/>
      <c r="Q86" s="1472"/>
      <c r="R86" s="1154">
        <v>5545</v>
      </c>
      <c r="U86" s="4"/>
    </row>
    <row r="87" spans="1:23" hidden="1" outlineLevel="1" x14ac:dyDescent="0.25">
      <c r="A87" s="1153">
        <v>9</v>
      </c>
      <c r="B87" s="817" t="s">
        <v>742</v>
      </c>
      <c r="C87" s="2221">
        <f t="shared" si="11"/>
        <v>8.8869979449043693E-2</v>
      </c>
      <c r="D87" s="2222"/>
      <c r="E87" s="1472"/>
      <c r="F87" s="2223">
        <f t="shared" si="12"/>
        <v>0.24351091055224522</v>
      </c>
      <c r="G87" s="2224"/>
      <c r="H87" s="1472"/>
      <c r="I87" s="2225">
        <f t="shared" si="13"/>
        <v>0.33206033257124351</v>
      </c>
      <c r="J87" s="2222"/>
      <c r="K87" s="1472"/>
      <c r="L87" s="2223">
        <f t="shared" si="14"/>
        <v>7.4151691568581004</v>
      </c>
      <c r="M87" s="2224"/>
      <c r="N87" s="1472"/>
      <c r="O87" s="2225">
        <f t="shared" si="15"/>
        <v>7.6517515820996973</v>
      </c>
      <c r="P87" s="2222"/>
      <c r="Q87" s="1472"/>
      <c r="R87" s="1154">
        <v>27010</v>
      </c>
    </row>
    <row r="88" spans="1:23" hidden="1" outlineLevel="1" x14ac:dyDescent="0.25">
      <c r="A88" s="1153">
        <v>10</v>
      </c>
      <c r="B88" s="817" t="s">
        <v>734</v>
      </c>
      <c r="C88" s="2221">
        <f t="shared" si="11"/>
        <v>0.17984901690722613</v>
      </c>
      <c r="D88" s="2222"/>
      <c r="E88" s="1472"/>
      <c r="F88" s="2223">
        <f t="shared" si="12"/>
        <v>0.49280081013314614</v>
      </c>
      <c r="G88" s="2224"/>
      <c r="H88" s="1472"/>
      <c r="I88" s="2225">
        <f t="shared" si="13"/>
        <v>0.67200110472701746</v>
      </c>
      <c r="J88" s="2222"/>
      <c r="K88" s="1472"/>
      <c r="L88" s="2223">
        <f t="shared" si="14"/>
        <v>15.006314745761591</v>
      </c>
      <c r="M88" s="2224"/>
      <c r="N88" s="1472"/>
      <c r="O88" s="2225">
        <f t="shared" si="15"/>
        <v>15.485094158798651</v>
      </c>
      <c r="P88" s="2222"/>
      <c r="Q88" s="1472"/>
      <c r="R88" s="1154">
        <v>54661</v>
      </c>
    </row>
    <row r="89" spans="1:23" hidden="1" outlineLevel="1" x14ac:dyDescent="0.25">
      <c r="A89" s="1153">
        <v>11</v>
      </c>
      <c r="B89" s="817" t="s">
        <v>705</v>
      </c>
      <c r="C89" s="2221">
        <f t="shared" si="11"/>
        <v>2.5905171275322617E-2</v>
      </c>
      <c r="D89" s="2222"/>
      <c r="E89" s="1472"/>
      <c r="F89" s="2223">
        <f t="shared" si="12"/>
        <v>7.0982258400123427E-2</v>
      </c>
      <c r="G89" s="2224"/>
      <c r="H89" s="1472"/>
      <c r="I89" s="2225">
        <f t="shared" si="13"/>
        <v>9.6793988727441035E-2</v>
      </c>
      <c r="J89" s="2222"/>
      <c r="K89" s="1472"/>
      <c r="L89" s="2223">
        <f t="shared" si="14"/>
        <v>2.1614861197761388</v>
      </c>
      <c r="M89" s="2224"/>
      <c r="N89" s="1472"/>
      <c r="O89" s="2225">
        <f t="shared" si="15"/>
        <v>2.2304487580552315</v>
      </c>
      <c r="P89" s="2222"/>
      <c r="Q89" s="1472"/>
      <c r="R89" s="1154">
        <v>7873.2849999999989</v>
      </c>
    </row>
    <row r="90" spans="1:23" hidden="1" outlineLevel="1" x14ac:dyDescent="0.25">
      <c r="A90" s="1153">
        <v>12</v>
      </c>
      <c r="B90" s="817" t="s">
        <v>723</v>
      </c>
      <c r="C90" s="2221">
        <f t="shared" si="11"/>
        <v>0</v>
      </c>
      <c r="D90" s="2222"/>
      <c r="E90" s="1472"/>
      <c r="F90" s="2223">
        <f t="shared" si="12"/>
        <v>0</v>
      </c>
      <c r="G90" s="2224"/>
      <c r="H90" s="1472"/>
      <c r="I90" s="2225">
        <f t="shared" si="13"/>
        <v>0</v>
      </c>
      <c r="J90" s="2222"/>
      <c r="K90" s="1472"/>
      <c r="L90" s="2223">
        <f t="shared" si="14"/>
        <v>0</v>
      </c>
      <c r="M90" s="2224"/>
      <c r="N90" s="1472"/>
      <c r="O90" s="2225">
        <f t="shared" si="15"/>
        <v>0</v>
      </c>
      <c r="P90" s="2222"/>
      <c r="Q90" s="1472"/>
      <c r="R90" s="1154">
        <v>0</v>
      </c>
    </row>
    <row r="91" spans="1:23" hidden="1" outlineLevel="1" x14ac:dyDescent="0.25">
      <c r="A91" s="1153">
        <v>13</v>
      </c>
      <c r="B91" s="817" t="s">
        <v>719</v>
      </c>
      <c r="C91" s="2221">
        <f t="shared" si="11"/>
        <v>3.0105898258376519E-3</v>
      </c>
      <c r="D91" s="2222"/>
      <c r="E91" s="1472"/>
      <c r="F91" s="2223">
        <f t="shared" si="12"/>
        <v>8.2492589098594731E-3</v>
      </c>
      <c r="G91" s="2224"/>
      <c r="H91" s="1472"/>
      <c r="I91" s="2225">
        <f t="shared" si="13"/>
        <v>1.1248989422535646E-2</v>
      </c>
      <c r="J91" s="2222"/>
      <c r="K91" s="1472"/>
      <c r="L91" s="2223">
        <f t="shared" si="14"/>
        <v>0.25119880705387487</v>
      </c>
      <c r="M91" s="2224"/>
      <c r="N91" s="1472"/>
      <c r="O91" s="2225">
        <f t="shared" si="15"/>
        <v>0.25921335422514707</v>
      </c>
      <c r="P91" s="2222"/>
      <c r="Q91" s="1472"/>
      <c r="R91" s="1154">
        <v>915</v>
      </c>
    </row>
    <row r="92" spans="1:23" hidden="1" outlineLevel="1" x14ac:dyDescent="0.25">
      <c r="A92" s="1153">
        <v>14</v>
      </c>
      <c r="B92" s="817" t="s">
        <v>712</v>
      </c>
      <c r="C92" s="2221">
        <f t="shared" si="11"/>
        <v>2.2702808522710165E-2</v>
      </c>
      <c r="D92" s="2222"/>
      <c r="E92" s="1472"/>
      <c r="F92" s="2223">
        <f t="shared" si="12"/>
        <v>6.2207526205497674E-2</v>
      </c>
      <c r="G92" s="2224"/>
      <c r="H92" s="1472"/>
      <c r="I92" s="2225">
        <f t="shared" si="13"/>
        <v>8.4828444825678639E-2</v>
      </c>
      <c r="J92" s="2222"/>
      <c r="K92" s="1472"/>
      <c r="L92" s="2223">
        <f t="shared" si="14"/>
        <v>1.8942860859800401</v>
      </c>
      <c r="M92" s="2224"/>
      <c r="N92" s="1472"/>
      <c r="O92" s="2225">
        <f t="shared" si="15"/>
        <v>1.9547236548125848</v>
      </c>
      <c r="P92" s="2222"/>
      <c r="Q92" s="1472"/>
      <c r="R92" s="1154">
        <v>6900</v>
      </c>
    </row>
    <row r="93" spans="1:23" hidden="1" outlineLevel="1" x14ac:dyDescent="0.25">
      <c r="A93" s="1153">
        <v>15</v>
      </c>
      <c r="B93" s="817" t="s">
        <v>698</v>
      </c>
      <c r="C93" s="2221">
        <f t="shared" si="11"/>
        <v>3.0681694126706127E-2</v>
      </c>
      <c r="D93" s="2222"/>
      <c r="E93" s="1472"/>
      <c r="F93" s="2223">
        <f t="shared" si="12"/>
        <v>8.4070316212502286E-2</v>
      </c>
      <c r="G93" s="2224"/>
      <c r="H93" s="1472"/>
      <c r="I93" s="2225">
        <f t="shared" si="13"/>
        <v>0.11464134028977584</v>
      </c>
      <c r="J93" s="2222"/>
      <c r="K93" s="1472"/>
      <c r="L93" s="2223">
        <f t="shared" si="14"/>
        <v>2.5600315582266484</v>
      </c>
      <c r="M93" s="2224"/>
      <c r="N93" s="1472"/>
      <c r="O93" s="2225">
        <f t="shared" si="15"/>
        <v>2.6417098668300509</v>
      </c>
      <c r="P93" s="2222"/>
      <c r="Q93" s="1472"/>
      <c r="R93" s="1154">
        <v>9325</v>
      </c>
    </row>
    <row r="94" spans="1:23" hidden="1" outlineLevel="1" x14ac:dyDescent="0.25">
      <c r="A94" s="1153">
        <v>16</v>
      </c>
      <c r="B94" s="817" t="s">
        <v>725</v>
      </c>
      <c r="C94" s="2221">
        <f t="shared" si="11"/>
        <v>1.410749231339105</v>
      </c>
      <c r="D94" s="2222"/>
      <c r="E94" s="1472"/>
      <c r="F94" s="2223">
        <f t="shared" si="12"/>
        <v>3.8655666628261174</v>
      </c>
      <c r="G94" s="2224"/>
      <c r="H94" s="1472"/>
      <c r="I94" s="2225">
        <f t="shared" si="13"/>
        <v>5.2712272674901595</v>
      </c>
      <c r="J94" s="2222"/>
      <c r="K94" s="1472"/>
      <c r="L94" s="2223">
        <f t="shared" si="14"/>
        <v>117.71066284858435</v>
      </c>
      <c r="M94" s="2224"/>
      <c r="N94" s="1472"/>
      <c r="O94" s="2225">
        <f t="shared" si="15"/>
        <v>121.46624461677069</v>
      </c>
      <c r="P94" s="2222"/>
      <c r="Q94" s="1472"/>
      <c r="R94" s="1154">
        <v>428765</v>
      </c>
    </row>
    <row r="95" spans="1:23" hidden="1" outlineLevel="1" x14ac:dyDescent="0.25">
      <c r="A95" s="1153">
        <v>17</v>
      </c>
      <c r="B95" s="817" t="s">
        <v>703</v>
      </c>
      <c r="C95" s="2221">
        <f t="shared" si="11"/>
        <v>0.16945014352519344</v>
      </c>
      <c r="D95" s="2222"/>
      <c r="E95" s="1472"/>
      <c r="F95" s="2223">
        <f t="shared" si="12"/>
        <v>0.46430705845597575</v>
      </c>
      <c r="G95" s="2224"/>
      <c r="H95" s="1472"/>
      <c r="I95" s="2225">
        <f t="shared" si="13"/>
        <v>0.63314598880360329</v>
      </c>
      <c r="J95" s="2222"/>
      <c r="K95" s="1472"/>
      <c r="L95" s="2223">
        <f t="shared" si="14"/>
        <v>14.138649358118125</v>
      </c>
      <c r="M95" s="2224"/>
      <c r="N95" s="1472"/>
      <c r="O95" s="2225">
        <f t="shared" si="15"/>
        <v>14.589745736909496</v>
      </c>
      <c r="P95" s="2222"/>
      <c r="Q95" s="1472"/>
      <c r="R95" s="1154">
        <v>51500.5</v>
      </c>
    </row>
    <row r="96" spans="1:23" hidden="1" outlineLevel="1" x14ac:dyDescent="0.25">
      <c r="A96" s="1153">
        <v>18</v>
      </c>
      <c r="B96" s="817" t="s">
        <v>729</v>
      </c>
      <c r="C96" s="2221">
        <f t="shared" si="11"/>
        <v>2.5731494790123887E-2</v>
      </c>
      <c r="D96" s="2222"/>
      <c r="E96" s="1472"/>
      <c r="F96" s="2223">
        <f t="shared" si="12"/>
        <v>7.0506370824651388E-2</v>
      </c>
      <c r="G96" s="2224"/>
      <c r="H96" s="1472"/>
      <c r="I96" s="2225">
        <f t="shared" si="13"/>
        <v>9.6145051124524622E-2</v>
      </c>
      <c r="J96" s="2222"/>
      <c r="K96" s="1472"/>
      <c r="L96" s="2223">
        <f t="shared" si="14"/>
        <v>2.1469948312183922</v>
      </c>
      <c r="M96" s="2224"/>
      <c r="N96" s="1472"/>
      <c r="O96" s="2225">
        <f t="shared" si="15"/>
        <v>2.2154951220959158</v>
      </c>
      <c r="P96" s="2222"/>
      <c r="Q96" s="1472"/>
      <c r="R96" s="1154">
        <v>7820.5</v>
      </c>
    </row>
    <row r="97" spans="1:31" hidden="1" outlineLevel="1" x14ac:dyDescent="0.25">
      <c r="A97" s="1153">
        <v>19</v>
      </c>
      <c r="B97" s="817" t="s">
        <v>727</v>
      </c>
      <c r="C97" s="2221">
        <f t="shared" si="11"/>
        <v>1.1283953888207899E-2</v>
      </c>
      <c r="D97" s="2222"/>
      <c r="E97" s="1472"/>
      <c r="F97" s="2223">
        <f t="shared" si="12"/>
        <v>3.0918943640833953E-2</v>
      </c>
      <c r="G97" s="2224"/>
      <c r="H97" s="1472"/>
      <c r="I97" s="2225">
        <f t="shared" si="13"/>
        <v>4.216219587386448E-2</v>
      </c>
      <c r="J97" s="2222"/>
      <c r="K97" s="1472"/>
      <c r="L97" s="2223">
        <f t="shared" si="14"/>
        <v>0.94151509157515179</v>
      </c>
      <c r="M97" s="2224"/>
      <c r="N97" s="1472"/>
      <c r="O97" s="2225">
        <f t="shared" si="15"/>
        <v>0.97155431509851586</v>
      </c>
      <c r="P97" s="2222"/>
      <c r="Q97" s="1472"/>
      <c r="R97" s="1154">
        <v>3429.5</v>
      </c>
    </row>
    <row r="98" spans="1:31" hidden="1" outlineLevel="1" x14ac:dyDescent="0.25">
      <c r="A98" s="1153">
        <v>20</v>
      </c>
      <c r="B98" s="817" t="s">
        <v>700</v>
      </c>
      <c r="C98" s="2221">
        <f t="shared" si="11"/>
        <v>1.5381975339662322E-2</v>
      </c>
      <c r="D98" s="2222"/>
      <c r="E98" s="1472"/>
      <c r="F98" s="2223">
        <f t="shared" si="12"/>
        <v>4.2147852900101687E-2</v>
      </c>
      <c r="G98" s="2224"/>
      <c r="H98" s="1472"/>
      <c r="I98" s="2225">
        <f t="shared" si="13"/>
        <v>5.7474344863775027E-2</v>
      </c>
      <c r="J98" s="2222"/>
      <c r="K98" s="1472"/>
      <c r="L98" s="2223">
        <f t="shared" si="14"/>
        <v>1.2834474568053171</v>
      </c>
      <c r="M98" s="2224"/>
      <c r="N98" s="1472"/>
      <c r="O98" s="2225">
        <f t="shared" si="15"/>
        <v>1.3243960994563528</v>
      </c>
      <c r="P98" s="2222"/>
      <c r="Q98" s="1472"/>
      <c r="R98" s="1154">
        <v>4675</v>
      </c>
    </row>
    <row r="99" spans="1:31" hidden="1" outlineLevel="1" x14ac:dyDescent="0.25">
      <c r="A99" s="1153">
        <v>21</v>
      </c>
      <c r="B99" s="817" t="s">
        <v>743</v>
      </c>
      <c r="C99" s="2221">
        <f t="shared" si="11"/>
        <v>0.39351534772697616</v>
      </c>
      <c r="D99" s="2222"/>
      <c r="E99" s="1472"/>
      <c r="F99" s="2223">
        <f t="shared" si="12"/>
        <v>1.0782637875619596</v>
      </c>
      <c r="G99" s="2224"/>
      <c r="H99" s="1472"/>
      <c r="I99" s="2225">
        <f t="shared" si="13"/>
        <v>1.4703597103117629</v>
      </c>
      <c r="J99" s="2222"/>
      <c r="K99" s="1472"/>
      <c r="L99" s="2223">
        <f t="shared" si="14"/>
        <v>32.83429215698736</v>
      </c>
      <c r="M99" s="2224"/>
      <c r="N99" s="1472"/>
      <c r="O99" s="2225">
        <f t="shared" si="15"/>
        <v>33.881876683418128</v>
      </c>
      <c r="P99" s="2222"/>
      <c r="Q99" s="1472"/>
      <c r="R99" s="1154">
        <v>119600</v>
      </c>
    </row>
    <row r="100" spans="1:31" hidden="1" outlineLevel="1" x14ac:dyDescent="0.25">
      <c r="A100" s="1153">
        <v>22</v>
      </c>
      <c r="B100" s="817" t="s">
        <v>730</v>
      </c>
      <c r="C100" s="2221">
        <f t="shared" si="11"/>
        <v>0.13172893362539478</v>
      </c>
      <c r="D100" s="2222"/>
      <c r="E100" s="1472"/>
      <c r="F100" s="2223">
        <f t="shared" si="12"/>
        <v>0.36094790132801513</v>
      </c>
      <c r="G100" s="2224"/>
      <c r="H100" s="1472"/>
      <c r="I100" s="2225">
        <f t="shared" si="13"/>
        <v>0.49220168362911154</v>
      </c>
      <c r="J100" s="2222"/>
      <c r="K100" s="1472"/>
      <c r="L100" s="2223">
        <f t="shared" si="14"/>
        <v>10.991251846129982</v>
      </c>
      <c r="M100" s="2224"/>
      <c r="N100" s="1472"/>
      <c r="O100" s="2225">
        <f t="shared" si="15"/>
        <v>11.34192989044589</v>
      </c>
      <c r="P100" s="2222"/>
      <c r="Q100" s="1472"/>
      <c r="R100" s="1154">
        <v>40036</v>
      </c>
    </row>
    <row r="101" spans="1:31" hidden="1" outlineLevel="1" x14ac:dyDescent="0.25">
      <c r="A101" s="1153">
        <v>23</v>
      </c>
      <c r="B101" s="817" t="s">
        <v>744</v>
      </c>
      <c r="C101" s="2221">
        <f t="shared" si="11"/>
        <v>0.40645430345386857</v>
      </c>
      <c r="D101" s="2222"/>
      <c r="E101" s="1472"/>
      <c r="F101" s="2223">
        <f t="shared" si="12"/>
        <v>1.1137175697073392</v>
      </c>
      <c r="G101" s="2224"/>
      <c r="H101" s="1472"/>
      <c r="I101" s="2225">
        <f t="shared" si="13"/>
        <v>1.5187057768736445</v>
      </c>
      <c r="J101" s="2222"/>
      <c r="K101" s="1472"/>
      <c r="L101" s="2223">
        <f t="shared" si="14"/>
        <v>33.913897958888306</v>
      </c>
      <c r="M101" s="2224"/>
      <c r="N101" s="1472"/>
      <c r="O101" s="2225">
        <f t="shared" si="15"/>
        <v>34.995927520019656</v>
      </c>
      <c r="P101" s="2222"/>
      <c r="Q101" s="1472"/>
      <c r="R101" s="1154">
        <v>123532.5</v>
      </c>
    </row>
    <row r="102" spans="1:31" hidden="1" outlineLevel="1" x14ac:dyDescent="0.25">
      <c r="A102" s="1153">
        <v>24</v>
      </c>
      <c r="B102" s="817" t="s">
        <v>745</v>
      </c>
      <c r="C102" s="2221">
        <f t="shared" si="11"/>
        <v>6.4094305800346954E-3</v>
      </c>
      <c r="D102" s="2222"/>
      <c r="E102" s="1472"/>
      <c r="F102" s="2223">
        <f t="shared" si="12"/>
        <v>1.7562356673668039E-2</v>
      </c>
      <c r="G102" s="2224"/>
      <c r="H102" s="1472"/>
      <c r="I102" s="2225">
        <f t="shared" si="13"/>
        <v>2.3948668191365506E-2</v>
      </c>
      <c r="J102" s="2222"/>
      <c r="K102" s="1472"/>
      <c r="L102" s="2223">
        <f t="shared" si="14"/>
        <v>0.53479265152016198</v>
      </c>
      <c r="M102" s="2224"/>
      <c r="N102" s="1472"/>
      <c r="O102" s="2225">
        <f t="shared" si="15"/>
        <v>0.55185531588042247</v>
      </c>
      <c r="P102" s="2222"/>
      <c r="Q102" s="1472"/>
      <c r="R102" s="1154">
        <v>1948</v>
      </c>
    </row>
    <row r="103" spans="1:31" hidden="1" outlineLevel="1" x14ac:dyDescent="0.25">
      <c r="A103" s="1153">
        <v>25</v>
      </c>
      <c r="B103" s="817" t="s">
        <v>731</v>
      </c>
      <c r="C103" s="2221">
        <f t="shared" si="11"/>
        <v>2.2128657785432927E-2</v>
      </c>
      <c r="D103" s="2222"/>
      <c r="E103" s="1472"/>
      <c r="F103" s="2223">
        <f t="shared" si="12"/>
        <v>6.0634306883344133E-2</v>
      </c>
      <c r="G103" s="2224"/>
      <c r="H103" s="1472"/>
      <c r="I103" s="2225">
        <f t="shared" si="13"/>
        <v>8.268314575001473E-2</v>
      </c>
      <c r="J103" s="2222"/>
      <c r="K103" s="1472"/>
      <c r="L103" s="2223">
        <f t="shared" si="14"/>
        <v>1.84637986539982</v>
      </c>
      <c r="M103" s="2224"/>
      <c r="N103" s="1472"/>
      <c r="O103" s="2225">
        <f t="shared" si="15"/>
        <v>1.9052889768756576</v>
      </c>
      <c r="P103" s="2222"/>
      <c r="Q103" s="1472"/>
      <c r="R103" s="1154">
        <v>6725.5</v>
      </c>
    </row>
    <row r="104" spans="1:31" hidden="1" outlineLevel="1" x14ac:dyDescent="0.25">
      <c r="A104" s="1153">
        <v>26</v>
      </c>
      <c r="B104" s="817" t="s">
        <v>746</v>
      </c>
      <c r="C104" s="2221">
        <f t="shared" si="11"/>
        <v>1.7027106392032622E-2</v>
      </c>
      <c r="D104" s="2222"/>
      <c r="E104" s="1472"/>
      <c r="F104" s="2223">
        <f t="shared" si="12"/>
        <v>4.6655644654123252E-2</v>
      </c>
      <c r="G104" s="2224"/>
      <c r="H104" s="1472"/>
      <c r="I104" s="2225">
        <f t="shared" si="13"/>
        <v>6.362133361925898E-2</v>
      </c>
      <c r="J104" s="2222"/>
      <c r="K104" s="1472"/>
      <c r="L104" s="2223">
        <f t="shared" si="14"/>
        <v>1.4207145644850301</v>
      </c>
      <c r="M104" s="2224"/>
      <c r="N104" s="1472"/>
      <c r="O104" s="2225">
        <f t="shared" si="15"/>
        <v>1.4660427411094386</v>
      </c>
      <c r="P104" s="2222"/>
      <c r="Q104" s="1472"/>
      <c r="R104" s="1154">
        <v>5175</v>
      </c>
      <c r="Z104" s="4"/>
    </row>
    <row r="105" spans="1:31" hidden="1" outlineLevel="1" x14ac:dyDescent="0.25">
      <c r="A105" s="1153">
        <v>27</v>
      </c>
      <c r="B105" s="817" t="s">
        <v>717</v>
      </c>
      <c r="C105" s="2221">
        <f t="shared" si="11"/>
        <v>3.3955504920923029E-3</v>
      </c>
      <c r="D105" s="2222"/>
      <c r="E105" s="1472"/>
      <c r="F105" s="2223">
        <f t="shared" si="12"/>
        <v>9.304082180300521E-3</v>
      </c>
      <c r="G105" s="2224"/>
      <c r="H105" s="1472"/>
      <c r="I105" s="2225">
        <f t="shared" si="13"/>
        <v>1.2687384791318892E-2</v>
      </c>
      <c r="J105" s="2222"/>
      <c r="K105" s="1472"/>
      <c r="L105" s="2223">
        <f t="shared" si="14"/>
        <v>0.28331931025092771</v>
      </c>
      <c r="M105" s="2224"/>
      <c r="N105" s="1472"/>
      <c r="O105" s="2225">
        <f t="shared" si="15"/>
        <v>0.29235866837196917</v>
      </c>
      <c r="P105" s="2222"/>
      <c r="Q105" s="1472"/>
      <c r="R105" s="1154">
        <v>1032</v>
      </c>
      <c r="Z105" s="4"/>
    </row>
    <row r="106" spans="1:31" hidden="1" outlineLevel="1" x14ac:dyDescent="0.25">
      <c r="A106" s="1153">
        <v>28</v>
      </c>
      <c r="B106" s="817" t="s">
        <v>747</v>
      </c>
      <c r="C106" s="2221">
        <f t="shared" si="11"/>
        <v>1.5684679453298454E-2</v>
      </c>
      <c r="D106" s="2222"/>
      <c r="E106" s="1472"/>
      <c r="F106" s="2223">
        <f t="shared" si="12"/>
        <v>4.2977286582841653E-2</v>
      </c>
      <c r="G106" s="2224"/>
      <c r="H106" s="1472"/>
      <c r="I106" s="2225">
        <f t="shared" si="13"/>
        <v>5.8605390794784072E-2</v>
      </c>
      <c r="J106" s="2222"/>
      <c r="K106" s="1472"/>
      <c r="L106" s="2223">
        <f t="shared" si="14"/>
        <v>1.3087046046183841</v>
      </c>
      <c r="M106" s="2224"/>
      <c r="N106" s="1472"/>
      <c r="O106" s="2225">
        <f t="shared" si="15"/>
        <v>1.3504590815205204</v>
      </c>
      <c r="P106" s="2222"/>
      <c r="Q106" s="1472"/>
      <c r="R106" s="1154">
        <v>4767</v>
      </c>
    </row>
    <row r="107" spans="1:31" s="1" customFormat="1" collapsed="1" x14ac:dyDescent="0.25">
      <c r="A107" s="1155"/>
      <c r="B107" s="869" t="s">
        <v>762</v>
      </c>
      <c r="C107" s="2216">
        <f>SUM(C79:C106)</f>
        <v>3.406042315378794</v>
      </c>
      <c r="D107" s="2217"/>
      <c r="E107" s="1473"/>
      <c r="F107" s="2218">
        <f>SUM(F79:F106)</f>
        <v>9.3328306222117927</v>
      </c>
      <c r="G107" s="2219"/>
      <c r="H107" s="1473"/>
      <c r="I107" s="2220">
        <f>SUM(I79:I106)</f>
        <v>12.726587212106992</v>
      </c>
      <c r="J107" s="2217"/>
      <c r="K107" s="1473"/>
      <c r="L107" s="2218">
        <f>SUM(L79:L106)</f>
        <v>284.19473123015507</v>
      </c>
      <c r="M107" s="2219"/>
      <c r="N107" s="1473"/>
      <c r="O107" s="2220">
        <f>SUM(O79:O106)</f>
        <v>293.26201982911175</v>
      </c>
      <c r="P107" s="2217"/>
      <c r="Q107" s="1473"/>
      <c r="R107" s="1156">
        <f>SUM(R79:R106)</f>
        <v>1035188.75</v>
      </c>
      <c r="S107" s="3"/>
      <c r="T107" s="6"/>
      <c r="U107" s="6"/>
      <c r="V107" s="6"/>
      <c r="W107" s="6"/>
      <c r="X107" s="6"/>
      <c r="Y107" s="6"/>
      <c r="Z107" s="6"/>
      <c r="AA107" s="4"/>
      <c r="AB107" s="4"/>
      <c r="AC107" s="4"/>
      <c r="AD107" s="4"/>
      <c r="AE107" s="4"/>
    </row>
    <row r="108" spans="1:31" s="1" customFormat="1" hidden="1" outlineLevel="1" x14ac:dyDescent="0.25">
      <c r="A108" s="1157" t="s">
        <v>35</v>
      </c>
      <c r="B108" s="1158" t="s">
        <v>459</v>
      </c>
      <c r="C108" s="2211"/>
      <c r="D108" s="2212"/>
      <c r="E108" s="1474"/>
      <c r="F108" s="2213"/>
      <c r="G108" s="2214"/>
      <c r="H108" s="1474"/>
      <c r="I108" s="2215"/>
      <c r="J108" s="2212"/>
      <c r="K108" s="1474"/>
      <c r="L108" s="2213"/>
      <c r="M108" s="2214"/>
      <c r="N108" s="1474"/>
      <c r="O108" s="2215"/>
      <c r="P108" s="2212"/>
      <c r="Q108" s="1474"/>
      <c r="R108" s="1159"/>
      <c r="S108" s="3"/>
      <c r="T108" s="6"/>
      <c r="U108" s="6"/>
      <c r="V108" s="6"/>
      <c r="W108" s="6"/>
      <c r="X108" s="6"/>
      <c r="Y108" s="6"/>
      <c r="Z108" s="6"/>
      <c r="AA108" s="4"/>
      <c r="AB108" s="4"/>
      <c r="AC108" s="4"/>
      <c r="AD108" s="4"/>
      <c r="AE108" s="4"/>
    </row>
    <row r="109" spans="1:31" hidden="1" outlineLevel="1" x14ac:dyDescent="0.25">
      <c r="A109" s="1160">
        <v>1</v>
      </c>
      <c r="B109" s="1161" t="s">
        <v>701</v>
      </c>
      <c r="C109" s="2206">
        <f t="shared" ref="C109" si="16">((R109/(($C$21*$C$23)+($F$21*$F$23)+($I$21*$I$23)+($L$21*$L$23)+($O$21*$O$23)))*($C$21*$C$23))/$C$21</f>
        <v>3.2112958142268295E-3</v>
      </c>
      <c r="D109" s="2207"/>
      <c r="E109" s="1475"/>
      <c r="F109" s="2208">
        <f t="shared" ref="F109" si="17">((R109/(($C$21*$C$23)+($F$21*$F$23)+($I$21*$I$23)+($L$21*$L$23)+($O$21*$O$23)))*($F$21*$F$23))/$F$21</f>
        <v>8.7992095038501063E-3</v>
      </c>
      <c r="G109" s="2209"/>
      <c r="H109" s="1475"/>
      <c r="I109" s="2210">
        <f t="shared" ref="I109" si="18">((R109/(($C$21*$C$23)+($F$21*$F$23)+($I$21*$I$23)+($L$21*$L$23)+($O$21*$O$23)))*($I$21*$I$23))/$I$21</f>
        <v>1.1998922050704689E-2</v>
      </c>
      <c r="J109" s="2207"/>
      <c r="K109" s="1475"/>
      <c r="L109" s="2208">
        <f t="shared" ref="L109" si="19">((R109/(($C$21*$C$23)+($F$21*$F$23)+($I$21*$I$23)+($L$21*$L$23)+($O$21*$O$23)))*($L$21*$L$23))/$L$21</f>
        <v>0.26794539419079988</v>
      </c>
      <c r="M109" s="2209"/>
      <c r="N109" s="1475"/>
      <c r="O109" s="2210">
        <f t="shared" ref="O109:O118" si="20">((R109/(($C$21*$C$23)+($F$21*$F$23)+($I$21*$I$23)+($L$21*$L$23)+($O$21*$O$23)))*($O$21*$O$23))/$O$21</f>
        <v>0.27649424450682358</v>
      </c>
      <c r="P109" s="2207"/>
      <c r="Q109" s="1475"/>
      <c r="R109" s="1162">
        <v>976</v>
      </c>
    </row>
    <row r="110" spans="1:31" hidden="1" outlineLevel="1" x14ac:dyDescent="0.25">
      <c r="A110" s="1160">
        <v>2</v>
      </c>
      <c r="B110" s="1161" t="s">
        <v>719</v>
      </c>
      <c r="C110" s="2206">
        <f t="shared" ref="C110:C118" si="21">((R110/(($C$21*$C$23)+($F$21*$F$23)+($I$21*$I$23)+($L$21*$L$23)+($O$21*$O$23)))*($C$21*$C$23))/$C$21</f>
        <v>5.3631272307271844E-3</v>
      </c>
      <c r="D110" s="2207"/>
      <c r="E110" s="1475"/>
      <c r="F110" s="2208">
        <f t="shared" ref="F110:F118" si="22">((R110/(($C$21*$C$23)+($F$21*$F$23)+($I$21*$I$23)+($L$21*$L$23)+($O$21*$O$23)))*($F$21*$F$23))/$F$21</f>
        <v>1.469540111811032E-2</v>
      </c>
      <c r="G110" s="2209"/>
      <c r="H110" s="1475"/>
      <c r="I110" s="2210">
        <f t="shared" ref="I110:I118" si="23">((R110/(($C$21*$C$23)+($F$21*$F$23)+($I$21*$I$23)+($L$21*$L$23)+($O$21*$O$23)))*($I$21*$I$23))/$I$21</f>
        <v>2.0039183342877707E-2</v>
      </c>
      <c r="J110" s="2207"/>
      <c r="K110" s="1475"/>
      <c r="L110" s="2208">
        <f t="shared" ref="L110:L118" si="24">((R110/(($C$21*$C$23)+($F$21*$F$23)+($I$21*$I$23)+($L$21*$L$23)+($O$21*$O$23)))*($L$21*$L$23))/$L$21</f>
        <v>0.44749077103586454</v>
      </c>
      <c r="M110" s="2209"/>
      <c r="N110" s="1475"/>
      <c r="O110" s="2210">
        <f t="shared" si="20"/>
        <v>0.46176805178905989</v>
      </c>
      <c r="P110" s="2207"/>
      <c r="Q110" s="1475"/>
      <c r="R110" s="1162">
        <v>1630</v>
      </c>
    </row>
    <row r="111" spans="1:31" hidden="1" outlineLevel="1" x14ac:dyDescent="0.25">
      <c r="A111" s="1160">
        <v>3</v>
      </c>
      <c r="B111" s="1161" t="s">
        <v>705</v>
      </c>
      <c r="C111" s="2206">
        <f t="shared" si="21"/>
        <v>9.8707863142218099E-4</v>
      </c>
      <c r="D111" s="2207"/>
      <c r="E111" s="1475"/>
      <c r="F111" s="2208">
        <f t="shared" si="22"/>
        <v>2.7046750524129422E-3</v>
      </c>
      <c r="G111" s="2209"/>
      <c r="H111" s="1475"/>
      <c r="I111" s="2210">
        <f t="shared" si="23"/>
        <v>3.6881932532903763E-3</v>
      </c>
      <c r="J111" s="2207"/>
      <c r="K111" s="1475"/>
      <c r="L111" s="2208">
        <f t="shared" si="24"/>
        <v>8.2360264607827832E-2</v>
      </c>
      <c r="M111" s="2209"/>
      <c r="N111" s="1475"/>
      <c r="O111" s="2210">
        <f t="shared" si="20"/>
        <v>8.4987984991851506E-2</v>
      </c>
      <c r="P111" s="2207"/>
      <c r="Q111" s="1475"/>
      <c r="R111" s="1162">
        <v>300</v>
      </c>
      <c r="T111" s="4"/>
    </row>
    <row r="112" spans="1:31" hidden="1" outlineLevel="1" x14ac:dyDescent="0.25">
      <c r="A112" s="1160">
        <v>4</v>
      </c>
      <c r="B112" s="1161" t="s">
        <v>699</v>
      </c>
      <c r="C112" s="2206">
        <f t="shared" si="21"/>
        <v>1.3407818076817961E-3</v>
      </c>
      <c r="D112" s="2207"/>
      <c r="E112" s="1475"/>
      <c r="F112" s="2208">
        <f t="shared" si="22"/>
        <v>3.6738502795275801E-3</v>
      </c>
      <c r="G112" s="2209"/>
      <c r="H112" s="1475"/>
      <c r="I112" s="2210">
        <f t="shared" si="23"/>
        <v>5.0097958357194269E-3</v>
      </c>
      <c r="J112" s="2207"/>
      <c r="K112" s="1475"/>
      <c r="L112" s="2208">
        <f t="shared" si="24"/>
        <v>0.11187269275896614</v>
      </c>
      <c r="M112" s="2209"/>
      <c r="N112" s="1475"/>
      <c r="O112" s="2210">
        <f t="shared" si="20"/>
        <v>0.11544201294726497</v>
      </c>
      <c r="P112" s="2207"/>
      <c r="Q112" s="1475"/>
      <c r="R112" s="1162">
        <v>407.5</v>
      </c>
      <c r="T112" s="4"/>
    </row>
    <row r="113" spans="1:31" hidden="1" outlineLevel="1" x14ac:dyDescent="0.25">
      <c r="A113" s="1160">
        <v>5</v>
      </c>
      <c r="B113" s="1161" t="s">
        <v>733</v>
      </c>
      <c r="C113" s="2206">
        <f t="shared" si="21"/>
        <v>0.82971274868824196</v>
      </c>
      <c r="D113" s="2207"/>
      <c r="E113" s="1475"/>
      <c r="F113" s="2208">
        <f t="shared" si="22"/>
        <v>2.273479843052379</v>
      </c>
      <c r="G113" s="2209"/>
      <c r="H113" s="1475"/>
      <c r="I113" s="2210">
        <f t="shared" si="23"/>
        <v>3.100199785980517</v>
      </c>
      <c r="J113" s="2207"/>
      <c r="K113" s="1475"/>
      <c r="L113" s="2208">
        <f t="shared" si="24"/>
        <v>69.229906671157806</v>
      </c>
      <c r="M113" s="2209"/>
      <c r="N113" s="1475"/>
      <c r="O113" s="2210">
        <f t="shared" si="20"/>
        <v>71.438700411805499</v>
      </c>
      <c r="P113" s="2207"/>
      <c r="Q113" s="1475"/>
      <c r="R113" s="1162">
        <v>252172.23499999999</v>
      </c>
    </row>
    <row r="114" spans="1:31" hidden="1" outlineLevel="1" x14ac:dyDescent="0.25">
      <c r="A114" s="1160">
        <v>6</v>
      </c>
      <c r="B114" s="1161" t="s">
        <v>749</v>
      </c>
      <c r="C114" s="2206">
        <f t="shared" si="21"/>
        <v>3.2474886973789755E-3</v>
      </c>
      <c r="D114" s="2207"/>
      <c r="E114" s="1475"/>
      <c r="F114" s="2208">
        <f t="shared" si="22"/>
        <v>8.8983809224385795E-3</v>
      </c>
      <c r="G114" s="2209"/>
      <c r="H114" s="1475"/>
      <c r="I114" s="2210">
        <f t="shared" si="23"/>
        <v>1.2134155803325337E-2</v>
      </c>
      <c r="J114" s="2207"/>
      <c r="K114" s="1475"/>
      <c r="L114" s="2208">
        <f t="shared" si="24"/>
        <v>0.27096527055975356</v>
      </c>
      <c r="M114" s="2209"/>
      <c r="N114" s="1475"/>
      <c r="O114" s="2210">
        <f t="shared" si="20"/>
        <v>0.2796104706231915</v>
      </c>
      <c r="P114" s="2207"/>
      <c r="Q114" s="1475"/>
      <c r="R114" s="1162">
        <v>987</v>
      </c>
      <c r="V114" s="4"/>
      <c r="W114" s="4"/>
    </row>
    <row r="115" spans="1:31" hidden="1" outlineLevel="1" x14ac:dyDescent="0.25">
      <c r="A115" s="1160">
        <v>7</v>
      </c>
      <c r="B115" s="1161" t="s">
        <v>725</v>
      </c>
      <c r="C115" s="2206">
        <f t="shared" si="21"/>
        <v>3.6191616401236306</v>
      </c>
      <c r="D115" s="2207"/>
      <c r="E115" s="1475"/>
      <c r="F115" s="2208">
        <f t="shared" si="22"/>
        <v>9.9167947588823946</v>
      </c>
      <c r="G115" s="2209"/>
      <c r="H115" s="1475"/>
      <c r="I115" s="2210">
        <f t="shared" si="23"/>
        <v>13.522901943930538</v>
      </c>
      <c r="J115" s="2207"/>
      <c r="K115" s="1475"/>
      <c r="L115" s="2208">
        <f t="shared" si="24"/>
        <v>301.9770673280774</v>
      </c>
      <c r="M115" s="2209"/>
      <c r="N115" s="1475"/>
      <c r="O115" s="2210">
        <f t="shared" si="20"/>
        <v>311.61170484538155</v>
      </c>
      <c r="P115" s="2207"/>
      <c r="Q115" s="1475"/>
      <c r="R115" s="1162">
        <v>1099961.5</v>
      </c>
      <c r="U115" s="4"/>
      <c r="V115" s="4"/>
      <c r="W115" s="4"/>
    </row>
    <row r="116" spans="1:31" hidden="1" outlineLevel="1" x14ac:dyDescent="0.25">
      <c r="A116" s="1160">
        <v>8</v>
      </c>
      <c r="B116" s="1161" t="s">
        <v>735</v>
      </c>
      <c r="C116" s="2206">
        <f t="shared" si="21"/>
        <v>6.5805242094812077E-4</v>
      </c>
      <c r="D116" s="2207"/>
      <c r="E116" s="1475"/>
      <c r="F116" s="2208">
        <f t="shared" si="22"/>
        <v>1.8031167016086282E-3</v>
      </c>
      <c r="G116" s="2209"/>
      <c r="H116" s="1475"/>
      <c r="I116" s="2210">
        <f t="shared" si="23"/>
        <v>2.4587955021935842E-3</v>
      </c>
      <c r="J116" s="2207"/>
      <c r="K116" s="1475"/>
      <c r="L116" s="2208">
        <f t="shared" si="24"/>
        <v>5.4906843071885224E-2</v>
      </c>
      <c r="M116" s="2209"/>
      <c r="N116" s="1475"/>
      <c r="O116" s="2210">
        <f t="shared" si="20"/>
        <v>5.665865666123434E-2</v>
      </c>
      <c r="P116" s="2207"/>
      <c r="Q116" s="1475"/>
      <c r="R116" s="1162">
        <v>200</v>
      </c>
      <c r="U116" s="4"/>
      <c r="Z116" s="4"/>
    </row>
    <row r="117" spans="1:31" hidden="1" outlineLevel="1" x14ac:dyDescent="0.25">
      <c r="A117" s="1160">
        <v>9</v>
      </c>
      <c r="B117" s="1161" t="s">
        <v>750</v>
      </c>
      <c r="C117" s="2206">
        <f t="shared" si="21"/>
        <v>0.55444206726983902</v>
      </c>
      <c r="D117" s="2207"/>
      <c r="E117" s="1475"/>
      <c r="F117" s="2208">
        <f t="shared" si="22"/>
        <v>1.5192159769403495</v>
      </c>
      <c r="G117" s="2209"/>
      <c r="H117" s="1475"/>
      <c r="I117" s="2210">
        <f t="shared" si="23"/>
        <v>2.0716581503732039</v>
      </c>
      <c r="J117" s="2207"/>
      <c r="K117" s="1475"/>
      <c r="L117" s="2208">
        <f t="shared" si="24"/>
        <v>46.261760630216891</v>
      </c>
      <c r="M117" s="2209"/>
      <c r="N117" s="1475"/>
      <c r="O117" s="2210">
        <f t="shared" si="20"/>
        <v>47.737751169922987</v>
      </c>
      <c r="P117" s="2207"/>
      <c r="Q117" s="1475"/>
      <c r="R117" s="1162">
        <v>168510</v>
      </c>
      <c r="Z117" s="4"/>
    </row>
    <row r="118" spans="1:31" hidden="1" outlineLevel="1" x14ac:dyDescent="0.25">
      <c r="A118" s="1160">
        <v>10</v>
      </c>
      <c r="B118" s="1161" t="s">
        <v>751</v>
      </c>
      <c r="C118" s="2206">
        <f t="shared" si="21"/>
        <v>0</v>
      </c>
      <c r="D118" s="2207"/>
      <c r="E118" s="1475"/>
      <c r="F118" s="2208">
        <f t="shared" si="22"/>
        <v>0</v>
      </c>
      <c r="G118" s="2209"/>
      <c r="H118" s="1475"/>
      <c r="I118" s="2210">
        <f t="shared" si="23"/>
        <v>0</v>
      </c>
      <c r="J118" s="2207"/>
      <c r="K118" s="1475"/>
      <c r="L118" s="2208">
        <f t="shared" si="24"/>
        <v>0</v>
      </c>
      <c r="M118" s="2209"/>
      <c r="N118" s="1475"/>
      <c r="O118" s="2210">
        <f t="shared" si="20"/>
        <v>0</v>
      </c>
      <c r="P118" s="2207"/>
      <c r="Q118" s="1475"/>
      <c r="R118" s="1162">
        <v>0</v>
      </c>
    </row>
    <row r="119" spans="1:31" s="1" customFormat="1" collapsed="1" x14ac:dyDescent="0.25">
      <c r="A119" s="1163"/>
      <c r="B119" s="1164" t="s">
        <v>759</v>
      </c>
      <c r="C119" s="2201">
        <f>SUM(C109:C118)</f>
        <v>5.0181242806840967</v>
      </c>
      <c r="D119" s="2202"/>
      <c r="E119" s="1476"/>
      <c r="F119" s="2203">
        <f>SUM(F109:F118)</f>
        <v>13.750065212453071</v>
      </c>
      <c r="G119" s="2204"/>
      <c r="H119" s="1476"/>
      <c r="I119" s="2205">
        <f>SUM(I109:I118)</f>
        <v>18.750088926072369</v>
      </c>
      <c r="J119" s="2202"/>
      <c r="K119" s="1476"/>
      <c r="L119" s="2203">
        <f>SUM(L109:L118)</f>
        <v>418.70427586567718</v>
      </c>
      <c r="M119" s="2204"/>
      <c r="N119" s="1476"/>
      <c r="O119" s="2205">
        <f>SUM(O109:O118)</f>
        <v>432.06311784862947</v>
      </c>
      <c r="P119" s="2202"/>
      <c r="Q119" s="1476"/>
      <c r="R119" s="1165">
        <f>SUM(R109:R118)</f>
        <v>1525144.2349999999</v>
      </c>
      <c r="S119" s="3"/>
      <c r="T119" s="6"/>
      <c r="U119" s="6"/>
      <c r="V119" s="6"/>
      <c r="W119" s="6"/>
      <c r="X119" s="6"/>
      <c r="Y119" s="6"/>
      <c r="Z119" s="6"/>
      <c r="AA119" s="4"/>
      <c r="AB119" s="4"/>
      <c r="AC119" s="4"/>
      <c r="AD119" s="4"/>
      <c r="AE119" s="4"/>
    </row>
    <row r="120" spans="1:31" s="1" customFormat="1" hidden="1" outlineLevel="1" x14ac:dyDescent="0.25">
      <c r="A120" s="1166" t="s">
        <v>36</v>
      </c>
      <c r="B120" s="1167" t="s">
        <v>167</v>
      </c>
      <c r="C120" s="2196"/>
      <c r="D120" s="2197"/>
      <c r="E120" s="1477"/>
      <c r="F120" s="2198"/>
      <c r="G120" s="2199"/>
      <c r="H120" s="1477"/>
      <c r="I120" s="2200"/>
      <c r="J120" s="2197"/>
      <c r="K120" s="1477"/>
      <c r="L120" s="2198"/>
      <c r="M120" s="2199"/>
      <c r="N120" s="1477"/>
      <c r="O120" s="2200"/>
      <c r="P120" s="2197"/>
      <c r="Q120" s="1477"/>
      <c r="R120" s="1168"/>
      <c r="S120" s="3"/>
      <c r="T120" s="6"/>
      <c r="U120" s="6"/>
      <c r="V120" s="6"/>
      <c r="W120" s="6"/>
      <c r="X120" s="6"/>
      <c r="Y120" s="6"/>
      <c r="Z120" s="6"/>
      <c r="AA120" s="4"/>
      <c r="AB120" s="4"/>
      <c r="AC120" s="4"/>
      <c r="AD120" s="4"/>
      <c r="AE120" s="4"/>
    </row>
    <row r="121" spans="1:31" hidden="1" outlineLevel="1" x14ac:dyDescent="0.25">
      <c r="A121" s="1077">
        <v>1</v>
      </c>
      <c r="B121" s="1078" t="s">
        <v>717</v>
      </c>
      <c r="C121" s="2191">
        <f t="shared" ref="C121:C129" si="25">((R121/(($C$21*$C$23)+($F$21*$F$23)+($I$21*$I$23)+($L$21*$L$23)+($O$21*$O$23)))*($C$21*$C$23))/$C$21</f>
        <v>0.29633745646346243</v>
      </c>
      <c r="D121" s="2192"/>
      <c r="E121" s="1478"/>
      <c r="F121" s="2193">
        <f t="shared" ref="F121:F129" si="26">((R121/(($C$21*$C$23)+($F$21*$F$23)+($I$21*$I$23)+($L$21*$L$23)+($O$21*$O$23)))*($F$21*$F$23))/$F$21</f>
        <v>0.81198852865190541</v>
      </c>
      <c r="G121" s="2194"/>
      <c r="H121" s="1478"/>
      <c r="I121" s="2195">
        <f t="shared" ref="I121:I129" si="27">((R121/(($C$21*$C$23)+($F$21*$F$23)+($I$21*$I$23)+($L$21*$L$23)+($O$21*$O$23)))*($I$21*$I$23))/$I$21</f>
        <v>1.1072570845253256</v>
      </c>
      <c r="J121" s="2192"/>
      <c r="K121" s="1478"/>
      <c r="L121" s="2193">
        <f t="shared" ref="L121:L129" si="28">((R121/(($C$21*$C$23)+($F$21*$F$23)+($I$21*$I$23)+($L$21*$L$23)+($O$21*$O$23)))*($L$21*$L$23))/$L$21</f>
        <v>24.72592410634671</v>
      </c>
      <c r="M121" s="2194"/>
      <c r="N121" s="1478"/>
      <c r="O121" s="2195">
        <f t="shared" ref="O121:O129" si="29">((R121/(($C$21*$C$23)+($F$21*$F$23)+($I$21*$I$23)+($L$21*$L$23)+($O$21*$O$23)))*($O$21*$O$23))/$O$21</f>
        <v>25.514809560970352</v>
      </c>
      <c r="P121" s="2192"/>
      <c r="Q121" s="1478"/>
      <c r="R121" s="1169">
        <v>90065</v>
      </c>
    </row>
    <row r="122" spans="1:31" hidden="1" outlineLevel="1" x14ac:dyDescent="0.25">
      <c r="A122" s="1077">
        <v>2</v>
      </c>
      <c r="B122" s="1078" t="s">
        <v>714</v>
      </c>
      <c r="C122" s="2191">
        <f t="shared" si="25"/>
        <v>0</v>
      </c>
      <c r="D122" s="2192"/>
      <c r="E122" s="1478"/>
      <c r="F122" s="2193">
        <f t="shared" si="26"/>
        <v>0</v>
      </c>
      <c r="G122" s="2194"/>
      <c r="H122" s="1478"/>
      <c r="I122" s="2195">
        <f t="shared" si="27"/>
        <v>0</v>
      </c>
      <c r="J122" s="2192"/>
      <c r="K122" s="1478"/>
      <c r="L122" s="2193">
        <f t="shared" si="28"/>
        <v>0</v>
      </c>
      <c r="M122" s="2194"/>
      <c r="N122" s="1478"/>
      <c r="O122" s="2195">
        <f t="shared" si="29"/>
        <v>0</v>
      </c>
      <c r="P122" s="2192"/>
      <c r="Q122" s="1478"/>
      <c r="R122" s="1169">
        <v>0</v>
      </c>
    </row>
    <row r="123" spans="1:31" hidden="1" outlineLevel="1" x14ac:dyDescent="0.25">
      <c r="A123" s="1077">
        <v>3</v>
      </c>
      <c r="B123" s="1078" t="s">
        <v>715</v>
      </c>
      <c r="C123" s="2191">
        <f t="shared" si="25"/>
        <v>4.935393157110905E-4</v>
      </c>
      <c r="D123" s="2192"/>
      <c r="E123" s="1478"/>
      <c r="F123" s="2193">
        <f t="shared" si="26"/>
        <v>1.3523375262064711E-3</v>
      </c>
      <c r="G123" s="2194"/>
      <c r="H123" s="1478"/>
      <c r="I123" s="2195">
        <f t="shared" si="27"/>
        <v>1.8440966266451881E-3</v>
      </c>
      <c r="J123" s="2192"/>
      <c r="K123" s="1478"/>
      <c r="L123" s="2193">
        <f t="shared" si="28"/>
        <v>4.1180132303913916E-2</v>
      </c>
      <c r="M123" s="2194"/>
      <c r="N123" s="1478"/>
      <c r="O123" s="2195">
        <f t="shared" si="29"/>
        <v>4.2493992495925753E-2</v>
      </c>
      <c r="P123" s="2192"/>
      <c r="Q123" s="1478"/>
      <c r="R123" s="1169">
        <v>150</v>
      </c>
      <c r="T123" s="4"/>
    </row>
    <row r="124" spans="1:31" hidden="1" outlineLevel="1" x14ac:dyDescent="0.25">
      <c r="A124" s="1077">
        <v>4</v>
      </c>
      <c r="B124" s="1078" t="s">
        <v>733</v>
      </c>
      <c r="C124" s="2191">
        <f t="shared" si="25"/>
        <v>0.36173141579518192</v>
      </c>
      <c r="D124" s="2192"/>
      <c r="E124" s="1478"/>
      <c r="F124" s="2193">
        <f t="shared" si="26"/>
        <v>0.99117325087426289</v>
      </c>
      <c r="G124" s="2194"/>
      <c r="H124" s="1478"/>
      <c r="I124" s="2195">
        <f t="shared" si="27"/>
        <v>1.3515998875558131</v>
      </c>
      <c r="J124" s="2192"/>
      <c r="K124" s="1478"/>
      <c r="L124" s="2193">
        <f t="shared" si="28"/>
        <v>30.182291636615304</v>
      </c>
      <c r="M124" s="2194"/>
      <c r="N124" s="1478"/>
      <c r="O124" s="2195">
        <f t="shared" si="29"/>
        <v>31.145263566680512</v>
      </c>
      <c r="P124" s="2192"/>
      <c r="Q124" s="1478"/>
      <c r="R124" s="1169">
        <v>109940</v>
      </c>
      <c r="T124" s="4"/>
    </row>
    <row r="125" spans="1:31" hidden="1" outlineLevel="1" x14ac:dyDescent="0.25">
      <c r="A125" s="1077">
        <v>5</v>
      </c>
      <c r="B125" s="1078" t="s">
        <v>718</v>
      </c>
      <c r="C125" s="2191">
        <f t="shared" si="25"/>
        <v>1.3161048418962413E-2</v>
      </c>
      <c r="D125" s="2192"/>
      <c r="E125" s="1478"/>
      <c r="F125" s="2193">
        <f t="shared" si="26"/>
        <v>3.6062334032172558E-2</v>
      </c>
      <c r="G125" s="2194"/>
      <c r="H125" s="1478"/>
      <c r="I125" s="2195">
        <f t="shared" si="27"/>
        <v>4.9175910043871673E-2</v>
      </c>
      <c r="J125" s="2192"/>
      <c r="K125" s="1478"/>
      <c r="L125" s="2193">
        <f t="shared" si="28"/>
        <v>1.0981368614377043</v>
      </c>
      <c r="M125" s="2194"/>
      <c r="N125" s="1478"/>
      <c r="O125" s="2195">
        <f t="shared" si="29"/>
        <v>1.1331731332246868</v>
      </c>
      <c r="P125" s="2192"/>
      <c r="Q125" s="1478"/>
      <c r="R125" s="1169">
        <v>4000</v>
      </c>
    </row>
    <row r="126" spans="1:31" hidden="1" outlineLevel="1" x14ac:dyDescent="0.25">
      <c r="A126" s="1077">
        <v>6</v>
      </c>
      <c r="B126" s="1078" t="s">
        <v>703</v>
      </c>
      <c r="C126" s="2191">
        <f t="shared" si="25"/>
        <v>5.664186213310949E-2</v>
      </c>
      <c r="D126" s="2192"/>
      <c r="E126" s="1478"/>
      <c r="F126" s="2193">
        <f t="shared" si="26"/>
        <v>0.15520327009096266</v>
      </c>
      <c r="G126" s="2194"/>
      <c r="H126" s="1478"/>
      <c r="I126" s="2195">
        <f t="shared" si="27"/>
        <v>0.21164082285131275</v>
      </c>
      <c r="J126" s="2192"/>
      <c r="K126" s="1478"/>
      <c r="L126" s="2193">
        <f t="shared" si="28"/>
        <v>4.7261065174125196</v>
      </c>
      <c r="M126" s="2194"/>
      <c r="N126" s="1478"/>
      <c r="O126" s="2195">
        <f t="shared" si="29"/>
        <v>4.8768938721157458</v>
      </c>
      <c r="P126" s="2192"/>
      <c r="Q126" s="1478"/>
      <c r="R126" s="1169">
        <v>17215</v>
      </c>
      <c r="V126" s="4"/>
      <c r="W126" s="4"/>
    </row>
    <row r="127" spans="1:31" hidden="1" outlineLevel="1" x14ac:dyDescent="0.25">
      <c r="A127" s="1077">
        <v>7</v>
      </c>
      <c r="B127" s="1078" t="s">
        <v>725</v>
      </c>
      <c r="C127" s="2191">
        <f t="shared" si="25"/>
        <v>2.1355627155234647</v>
      </c>
      <c r="D127" s="2192"/>
      <c r="E127" s="1478"/>
      <c r="F127" s="2193">
        <f t="shared" si="26"/>
        <v>5.8516140616046943</v>
      </c>
      <c r="G127" s="2194"/>
      <c r="H127" s="1478"/>
      <c r="I127" s="2195">
        <f t="shared" si="27"/>
        <v>7.9794737203700379</v>
      </c>
      <c r="J127" s="2192"/>
      <c r="K127" s="1478"/>
      <c r="L127" s="2193">
        <f t="shared" si="28"/>
        <v>178.18794241722</v>
      </c>
      <c r="M127" s="2194"/>
      <c r="N127" s="1478"/>
      <c r="O127" s="2195">
        <f t="shared" si="29"/>
        <v>183.87306364292891</v>
      </c>
      <c r="P127" s="2192"/>
      <c r="Q127" s="1478"/>
      <c r="R127" s="1169">
        <v>649055.5</v>
      </c>
      <c r="U127" s="4"/>
      <c r="V127" s="4"/>
      <c r="W127" s="4"/>
      <c r="Z127" s="4"/>
    </row>
    <row r="128" spans="1:31" hidden="1" outlineLevel="1" x14ac:dyDescent="0.25">
      <c r="A128" s="1077">
        <v>8</v>
      </c>
      <c r="B128" s="1078" t="s">
        <v>729</v>
      </c>
      <c r="C128" s="2191">
        <f t="shared" si="25"/>
        <v>6.4670101668676556E-3</v>
      </c>
      <c r="D128" s="2192"/>
      <c r="E128" s="1478"/>
      <c r="F128" s="2193">
        <f t="shared" si="26"/>
        <v>1.7720129385058792E-2</v>
      </c>
      <c r="G128" s="2194"/>
      <c r="H128" s="1478"/>
      <c r="I128" s="2195">
        <f t="shared" si="27"/>
        <v>2.4163812797807445E-2</v>
      </c>
      <c r="J128" s="2192"/>
      <c r="K128" s="1478"/>
      <c r="L128" s="2193">
        <f t="shared" si="28"/>
        <v>0.53959700028895197</v>
      </c>
      <c r="M128" s="2194"/>
      <c r="N128" s="1478"/>
      <c r="O128" s="2195">
        <f t="shared" si="29"/>
        <v>0.55681294833828043</v>
      </c>
      <c r="P128" s="2192"/>
      <c r="Q128" s="1478"/>
      <c r="R128" s="1169">
        <v>1965.5</v>
      </c>
      <c r="U128" s="4"/>
      <c r="Z128" s="4"/>
    </row>
    <row r="129" spans="1:31" hidden="1" outlineLevel="1" x14ac:dyDescent="0.25">
      <c r="A129" s="1077">
        <v>9</v>
      </c>
      <c r="B129" s="1078" t="s">
        <v>752</v>
      </c>
      <c r="C129" s="2191">
        <f t="shared" si="25"/>
        <v>1.120168088427886</v>
      </c>
      <c r="D129" s="2192"/>
      <c r="E129" s="1478"/>
      <c r="F129" s="2193">
        <f t="shared" si="26"/>
        <v>3.0693508975215336</v>
      </c>
      <c r="G129" s="2194"/>
      <c r="H129" s="1478"/>
      <c r="I129" s="2195">
        <f t="shared" si="27"/>
        <v>4.1854784966202727</v>
      </c>
      <c r="J129" s="2192"/>
      <c r="K129" s="1478"/>
      <c r="L129" s="2193">
        <f t="shared" si="28"/>
        <v>93.465036352008937</v>
      </c>
      <c r="M129" s="2194"/>
      <c r="N129" s="1478"/>
      <c r="O129" s="2195">
        <f t="shared" si="29"/>
        <v>96.447056654944504</v>
      </c>
      <c r="P129" s="2192"/>
      <c r="Q129" s="1478"/>
      <c r="R129" s="1169">
        <v>340449.5</v>
      </c>
      <c r="Z129" s="4"/>
    </row>
    <row r="130" spans="1:31" s="1" customFormat="1" collapsed="1" x14ac:dyDescent="0.25">
      <c r="A130" s="1170"/>
      <c r="B130" s="1171" t="s">
        <v>757</v>
      </c>
      <c r="C130" s="2186">
        <f>SUM(C121:C129)</f>
        <v>3.9905631362446456</v>
      </c>
      <c r="D130" s="2187"/>
      <c r="E130" s="1479"/>
      <c r="F130" s="2188">
        <f>SUM(F121:F129)</f>
        <v>10.934464809686798</v>
      </c>
      <c r="G130" s="2189"/>
      <c r="H130" s="1479"/>
      <c r="I130" s="2190">
        <f>SUM(I121:I129)</f>
        <v>14.910633831391085</v>
      </c>
      <c r="J130" s="2187"/>
      <c r="K130" s="1479"/>
      <c r="L130" s="2188">
        <f>SUM(L121:L129)</f>
        <v>332.96621502363405</v>
      </c>
      <c r="M130" s="2189"/>
      <c r="N130" s="1479"/>
      <c r="O130" s="2190">
        <f>SUM(O121:O129)</f>
        <v>343.58956737169893</v>
      </c>
      <c r="P130" s="2187"/>
      <c r="Q130" s="1479"/>
      <c r="R130" s="1172">
        <f>SUM(R121:R129)</f>
        <v>1212840.5</v>
      </c>
      <c r="S130" s="3"/>
      <c r="T130" s="6"/>
      <c r="U130" s="6"/>
      <c r="V130" s="6"/>
      <c r="W130" s="6"/>
      <c r="X130" s="6"/>
      <c r="Y130" s="6"/>
      <c r="Z130" s="6"/>
      <c r="AA130" s="4"/>
      <c r="AB130" s="4"/>
      <c r="AC130" s="4"/>
      <c r="AD130" s="4"/>
      <c r="AE130" s="4"/>
    </row>
    <row r="131" spans="1:31" s="1" customFormat="1" x14ac:dyDescent="0.25">
      <c r="A131" s="1137"/>
      <c r="B131" s="1138" t="s">
        <v>176</v>
      </c>
      <c r="C131" s="2181">
        <f>C77+C107+C119+C130</f>
        <v>28.720443134583782</v>
      </c>
      <c r="D131" s="2182"/>
      <c r="E131" s="1480"/>
      <c r="F131" s="2183">
        <f>F77+F107+F119+F130</f>
        <v>78.696330330272559</v>
      </c>
      <c r="G131" s="2184"/>
      <c r="H131" s="1480"/>
      <c r="I131" s="2185">
        <f>I77+I107+I119+I130</f>
        <v>107.31317772309893</v>
      </c>
      <c r="J131" s="2182"/>
      <c r="K131" s="1480"/>
      <c r="L131" s="2183">
        <f>L77+L107+L119+L130</f>
        <v>1035.8652221194664</v>
      </c>
      <c r="M131" s="2184"/>
      <c r="N131" s="1480"/>
      <c r="O131" s="2185">
        <f>O77+O107+O119+O130</f>
        <v>1068.91470504944</v>
      </c>
      <c r="P131" s="2182"/>
      <c r="Q131" s="1480"/>
      <c r="R131" s="1139">
        <f>R77+R107+R119+R130</f>
        <v>8701278.0350000001</v>
      </c>
      <c r="S131" s="3"/>
      <c r="T131" s="6"/>
      <c r="U131" s="6"/>
      <c r="V131" s="6"/>
      <c r="W131" s="6"/>
      <c r="X131" s="6"/>
      <c r="Y131" s="6"/>
      <c r="Z131" s="6"/>
      <c r="AA131" s="4"/>
      <c r="AB131" s="4"/>
      <c r="AC131" s="4"/>
      <c r="AD131" s="4"/>
      <c r="AE131" s="4"/>
    </row>
    <row r="132" spans="1:31" s="1" customFormat="1" x14ac:dyDescent="0.25">
      <c r="A132" s="1175"/>
      <c r="B132" s="1173" t="s">
        <v>462</v>
      </c>
      <c r="C132" s="2176">
        <f>C31-C131</f>
        <v>19.137588147183344</v>
      </c>
      <c r="D132" s="2177"/>
      <c r="E132" s="1371"/>
      <c r="F132" s="2178">
        <f>F31-F131</f>
        <v>43.658856585615666</v>
      </c>
      <c r="G132" s="2179"/>
      <c r="H132" s="1371"/>
      <c r="I132" s="2180">
        <f>I31-I131</f>
        <v>59.891168071292952</v>
      </c>
      <c r="J132" s="2177"/>
      <c r="K132" s="1371"/>
      <c r="L132" s="2178">
        <f>L31-L131</f>
        <v>2987.515756440187</v>
      </c>
      <c r="M132" s="2179"/>
      <c r="N132" s="1371"/>
      <c r="O132" s="2180">
        <f>O31-O131</f>
        <v>2516.0385659785925</v>
      </c>
      <c r="P132" s="2177"/>
      <c r="Q132" s="1371"/>
      <c r="R132" s="487"/>
      <c r="S132" s="3"/>
      <c r="T132" s="6"/>
      <c r="U132" s="6"/>
      <c r="V132" s="6"/>
      <c r="W132" s="6"/>
      <c r="X132" s="6"/>
      <c r="Y132" s="6"/>
      <c r="Z132" s="4"/>
      <c r="AA132" s="4"/>
      <c r="AB132" s="4"/>
      <c r="AC132" s="4"/>
      <c r="AD132" s="4"/>
      <c r="AE132" s="4"/>
    </row>
    <row r="133" spans="1:31" x14ac:dyDescent="0.25">
      <c r="A133" s="1176"/>
      <c r="B133" s="1174" t="s">
        <v>464</v>
      </c>
      <c r="C133" s="2171">
        <f>C21*C132</f>
        <v>5782747.5976699498</v>
      </c>
      <c r="D133" s="2172"/>
      <c r="E133" s="1481"/>
      <c r="F133" s="2173">
        <f>F21*F132</f>
        <v>436.58856585615666</v>
      </c>
      <c r="G133" s="2174"/>
      <c r="H133" s="1481"/>
      <c r="I133" s="2175">
        <f>I21*I132</f>
        <v>598.91168071292952</v>
      </c>
      <c r="J133" s="2172"/>
      <c r="K133" s="1481"/>
      <c r="L133" s="2173">
        <f>L21*L132</f>
        <v>29875.15756440187</v>
      </c>
      <c r="M133" s="2174"/>
      <c r="N133" s="1481"/>
      <c r="O133" s="2175">
        <f>O21*O132</f>
        <v>25160.385659785927</v>
      </c>
      <c r="P133" s="2172"/>
      <c r="Q133" s="1481"/>
      <c r="R133" s="1177">
        <f>SUM(C133:O133)</f>
        <v>5838818.6411407068</v>
      </c>
      <c r="Z133" s="4"/>
    </row>
    <row r="134" spans="1:31" ht="15" thickBot="1" x14ac:dyDescent="0.3">
      <c r="A134" s="1189"/>
      <c r="B134" s="1190" t="s">
        <v>463</v>
      </c>
      <c r="C134" s="2166">
        <f>C133/(C21*C23)</f>
        <v>1.6173501383813356E-2</v>
      </c>
      <c r="D134" s="2167"/>
      <c r="E134" s="1482"/>
      <c r="F134" s="2168">
        <f>F133/(F21*F23)</f>
        <v>1.3465604621980312E-2</v>
      </c>
      <c r="G134" s="2169"/>
      <c r="H134" s="1482"/>
      <c r="I134" s="2170">
        <f>I133/(I21*I23)</f>
        <v>1.3546207084261906E-2</v>
      </c>
      <c r="J134" s="2167"/>
      <c r="K134" s="1482"/>
      <c r="L134" s="2168">
        <f>L133/(L21*L23)</f>
        <v>3.0259452612581658E-2</v>
      </c>
      <c r="M134" s="2169"/>
      <c r="N134" s="1482"/>
      <c r="O134" s="2170">
        <f>O133/(O21*O23)</f>
        <v>2.4696098998612019E-2</v>
      </c>
      <c r="P134" s="2167"/>
      <c r="Q134" s="1482"/>
      <c r="R134" s="1188">
        <f>R133/(C21*C23+F21*F23+I21*I23+L21*L23+O21*O23)</f>
        <v>1.6235748954436892E-2</v>
      </c>
      <c r="T134" s="4"/>
    </row>
    <row r="135" spans="1:31" s="1" customFormat="1" x14ac:dyDescent="0.25">
      <c r="A135" s="476" t="s">
        <v>86</v>
      </c>
      <c r="B135" s="2144" t="s">
        <v>763</v>
      </c>
      <c r="C135" s="2144"/>
      <c r="D135" s="2144"/>
      <c r="E135" s="2144"/>
      <c r="F135" s="2144"/>
      <c r="G135" s="2144"/>
      <c r="H135" s="2144"/>
      <c r="I135" s="2144"/>
      <c r="J135" s="2144"/>
      <c r="K135" s="2144"/>
      <c r="L135" s="2144"/>
      <c r="M135" s="2144"/>
      <c r="N135" s="2144"/>
      <c r="O135" s="2144"/>
      <c r="P135" s="2145"/>
      <c r="Q135" s="1507"/>
      <c r="R135" s="1191">
        <f>(85976-94512)*68</f>
        <v>-580448</v>
      </c>
      <c r="S135" s="156"/>
      <c r="T135" s="4"/>
      <c r="U135" s="6"/>
      <c r="V135" s="6"/>
      <c r="W135" s="6"/>
      <c r="X135" s="6"/>
      <c r="Y135" s="6"/>
      <c r="Z135" s="6"/>
      <c r="AA135" s="4"/>
      <c r="AB135" s="4"/>
      <c r="AC135" s="4"/>
      <c r="AD135" s="4"/>
      <c r="AE135" s="4"/>
    </row>
    <row r="136" spans="1:31" s="1" customFormat="1" ht="15" thickBot="1" x14ac:dyDescent="0.3">
      <c r="A136" s="1282" t="s">
        <v>552</v>
      </c>
      <c r="B136" s="2146" t="s">
        <v>465</v>
      </c>
      <c r="C136" s="2146"/>
      <c r="D136" s="2146"/>
      <c r="E136" s="2146"/>
      <c r="F136" s="2146"/>
      <c r="G136" s="2146"/>
      <c r="H136" s="2146"/>
      <c r="I136" s="2146"/>
      <c r="J136" s="2146"/>
      <c r="K136" s="2146"/>
      <c r="L136" s="2146"/>
      <c r="M136" s="2146"/>
      <c r="N136" s="2146"/>
      <c r="O136" s="2146"/>
      <c r="P136" s="2147"/>
      <c r="Q136" s="1508"/>
      <c r="R136" s="1283">
        <f>R133+R135</f>
        <v>5258370.6411407068</v>
      </c>
      <c r="S136" s="156"/>
      <c r="T136" s="4"/>
      <c r="U136" s="6"/>
      <c r="V136" s="6"/>
      <c r="W136" s="6"/>
      <c r="X136" s="6"/>
      <c r="Y136" s="6"/>
      <c r="Z136" s="6"/>
      <c r="AA136" s="4"/>
      <c r="AB136" s="4"/>
      <c r="AC136" s="4"/>
      <c r="AD136" s="4"/>
      <c r="AE136" s="4"/>
    </row>
    <row r="137" spans="1:31" x14ac:dyDescent="0.3">
      <c r="V137" s="4"/>
      <c r="W137" s="4"/>
    </row>
    <row r="138" spans="1:31" x14ac:dyDescent="0.3">
      <c r="U138" s="4"/>
      <c r="V138" s="4"/>
      <c r="W138" s="4"/>
    </row>
    <row r="139" spans="1:31" x14ac:dyDescent="0.3">
      <c r="T139" s="4"/>
      <c r="U139" s="4"/>
      <c r="V139" s="4"/>
      <c r="W139" s="4"/>
    </row>
    <row r="140" spans="1:31" x14ac:dyDescent="0.3">
      <c r="R140" s="486"/>
      <c r="T140" s="4"/>
      <c r="U140" s="4"/>
    </row>
    <row r="142" spans="1:31" x14ac:dyDescent="0.3">
      <c r="V142" s="4"/>
      <c r="W142" s="4"/>
    </row>
    <row r="143" spans="1:31" x14ac:dyDescent="0.3">
      <c r="U143" s="4"/>
      <c r="V143" s="4"/>
      <c r="W143" s="4"/>
    </row>
    <row r="144" spans="1:31" x14ac:dyDescent="0.3">
      <c r="U144" s="4"/>
    </row>
  </sheetData>
  <mergeCells count="587">
    <mergeCell ref="F7:H7"/>
    <mergeCell ref="C23:E23"/>
    <mergeCell ref="F23:H23"/>
    <mergeCell ref="I23:K23"/>
    <mergeCell ref="L27:M27"/>
    <mergeCell ref="O27:P27"/>
    <mergeCell ref="C1:R1"/>
    <mergeCell ref="O2:R2"/>
    <mergeCell ref="O25:P25"/>
    <mergeCell ref="C26:D26"/>
    <mergeCell ref="F26:G26"/>
    <mergeCell ref="I26:J26"/>
    <mergeCell ref="L26:M26"/>
    <mergeCell ref="O26:P26"/>
    <mergeCell ref="C24:D24"/>
    <mergeCell ref="C25:D25"/>
    <mergeCell ref="F25:G25"/>
    <mergeCell ref="I25:J25"/>
    <mergeCell ref="L25:M25"/>
    <mergeCell ref="I7:J7"/>
    <mergeCell ref="L7:M7"/>
    <mergeCell ref="O7:P7"/>
    <mergeCell ref="C22:D22"/>
    <mergeCell ref="F22:G22"/>
    <mergeCell ref="I22:J22"/>
    <mergeCell ref="L22:M22"/>
    <mergeCell ref="O22:P22"/>
    <mergeCell ref="C7:E7"/>
    <mergeCell ref="C30:D30"/>
    <mergeCell ref="F30:G30"/>
    <mergeCell ref="I30:J30"/>
    <mergeCell ref="L30:M30"/>
    <mergeCell ref="O30:P30"/>
    <mergeCell ref="O23:P23"/>
    <mergeCell ref="L23:M23"/>
    <mergeCell ref="F24:G24"/>
    <mergeCell ref="I24:J24"/>
    <mergeCell ref="L24:M24"/>
    <mergeCell ref="O24:P24"/>
    <mergeCell ref="C29:D29"/>
    <mergeCell ref="F29:G29"/>
    <mergeCell ref="I29:J29"/>
    <mergeCell ref="L29:M29"/>
    <mergeCell ref="O29:P29"/>
    <mergeCell ref="C28:D28"/>
    <mergeCell ref="F28:G28"/>
    <mergeCell ref="I28:J28"/>
    <mergeCell ref="L28:M28"/>
    <mergeCell ref="O28:P28"/>
    <mergeCell ref="C27:D27"/>
    <mergeCell ref="F27:G27"/>
    <mergeCell ref="I27:J27"/>
    <mergeCell ref="C32:D32"/>
    <mergeCell ref="F32:G32"/>
    <mergeCell ref="I32:J32"/>
    <mergeCell ref="L32:M32"/>
    <mergeCell ref="O32:P32"/>
    <mergeCell ref="C31:D31"/>
    <mergeCell ref="F31:G31"/>
    <mergeCell ref="I31:J31"/>
    <mergeCell ref="L31:M31"/>
    <mergeCell ref="O31:P31"/>
    <mergeCell ref="C34:D34"/>
    <mergeCell ref="F34:G34"/>
    <mergeCell ref="I34:J34"/>
    <mergeCell ref="L34:M34"/>
    <mergeCell ref="O34:P34"/>
    <mergeCell ref="C33:D33"/>
    <mergeCell ref="F33:G33"/>
    <mergeCell ref="I33:J33"/>
    <mergeCell ref="L33:M33"/>
    <mergeCell ref="O33:P33"/>
    <mergeCell ref="C36:D36"/>
    <mergeCell ref="F36:G36"/>
    <mergeCell ref="I36:J36"/>
    <mergeCell ref="L36:M36"/>
    <mergeCell ref="O36:P36"/>
    <mergeCell ref="C35:D35"/>
    <mergeCell ref="F35:G35"/>
    <mergeCell ref="I35:J35"/>
    <mergeCell ref="L35:M35"/>
    <mergeCell ref="O35:P35"/>
    <mergeCell ref="C38:D38"/>
    <mergeCell ref="F38:G38"/>
    <mergeCell ref="I38:J38"/>
    <mergeCell ref="L38:M38"/>
    <mergeCell ref="O38:P38"/>
    <mergeCell ref="C37:D37"/>
    <mergeCell ref="F37:G37"/>
    <mergeCell ref="I37:J37"/>
    <mergeCell ref="L37:M37"/>
    <mergeCell ref="O37:P37"/>
    <mergeCell ref="C40:D40"/>
    <mergeCell ref="F40:G40"/>
    <mergeCell ref="I40:J40"/>
    <mergeCell ref="L40:M40"/>
    <mergeCell ref="O40:P40"/>
    <mergeCell ref="C39:D39"/>
    <mergeCell ref="F39:G39"/>
    <mergeCell ref="I39:J39"/>
    <mergeCell ref="L39:M39"/>
    <mergeCell ref="O39:P39"/>
    <mergeCell ref="C42:D42"/>
    <mergeCell ref="F42:G42"/>
    <mergeCell ref="I42:J42"/>
    <mergeCell ref="L42:M42"/>
    <mergeCell ref="O42:P42"/>
    <mergeCell ref="C41:D41"/>
    <mergeCell ref="F41:G41"/>
    <mergeCell ref="I41:J41"/>
    <mergeCell ref="L41:M41"/>
    <mergeCell ref="O41:P41"/>
    <mergeCell ref="C44:D44"/>
    <mergeCell ref="F44:G44"/>
    <mergeCell ref="I44:J44"/>
    <mergeCell ref="L44:M44"/>
    <mergeCell ref="O44:P44"/>
    <mergeCell ref="C43:D43"/>
    <mergeCell ref="F43:G43"/>
    <mergeCell ref="I43:J43"/>
    <mergeCell ref="L43:M43"/>
    <mergeCell ref="O43:P43"/>
    <mergeCell ref="C46:D46"/>
    <mergeCell ref="F46:G46"/>
    <mergeCell ref="I46:J46"/>
    <mergeCell ref="L46:M46"/>
    <mergeCell ref="O46:P46"/>
    <mergeCell ref="C45:D45"/>
    <mergeCell ref="F45:G45"/>
    <mergeCell ref="I45:J45"/>
    <mergeCell ref="L45:M45"/>
    <mergeCell ref="O45:P45"/>
    <mergeCell ref="C48:D48"/>
    <mergeCell ref="F48:G48"/>
    <mergeCell ref="I48:J48"/>
    <mergeCell ref="L48:M48"/>
    <mergeCell ref="O48:P48"/>
    <mergeCell ref="C47:D47"/>
    <mergeCell ref="F47:G47"/>
    <mergeCell ref="I47:J47"/>
    <mergeCell ref="L47:M47"/>
    <mergeCell ref="O47:P47"/>
    <mergeCell ref="C50:D50"/>
    <mergeCell ref="F50:G50"/>
    <mergeCell ref="I50:J50"/>
    <mergeCell ref="L50:M50"/>
    <mergeCell ref="O50:P50"/>
    <mergeCell ref="C49:D49"/>
    <mergeCell ref="F49:G49"/>
    <mergeCell ref="I49:J49"/>
    <mergeCell ref="L49:M49"/>
    <mergeCell ref="O49:P49"/>
    <mergeCell ref="C52:D52"/>
    <mergeCell ref="F52:G52"/>
    <mergeCell ref="I52:J52"/>
    <mergeCell ref="L52:M52"/>
    <mergeCell ref="O52:P52"/>
    <mergeCell ref="C51:D51"/>
    <mergeCell ref="F51:G51"/>
    <mergeCell ref="I51:J51"/>
    <mergeCell ref="L51:M51"/>
    <mergeCell ref="O51:P51"/>
    <mergeCell ref="C54:D54"/>
    <mergeCell ref="F54:G54"/>
    <mergeCell ref="I54:J54"/>
    <mergeCell ref="L54:M54"/>
    <mergeCell ref="O54:P54"/>
    <mergeCell ref="C53:D53"/>
    <mergeCell ref="F53:G53"/>
    <mergeCell ref="I53:J53"/>
    <mergeCell ref="L53:M53"/>
    <mergeCell ref="O53:P53"/>
    <mergeCell ref="C56:D56"/>
    <mergeCell ref="F56:G56"/>
    <mergeCell ref="I56:J56"/>
    <mergeCell ref="L56:M56"/>
    <mergeCell ref="O56:P56"/>
    <mergeCell ref="C55:D55"/>
    <mergeCell ref="F55:G55"/>
    <mergeCell ref="I55:J55"/>
    <mergeCell ref="L55:M55"/>
    <mergeCell ref="O55:P55"/>
    <mergeCell ref="C58:D58"/>
    <mergeCell ref="F58:G58"/>
    <mergeCell ref="I58:J58"/>
    <mergeCell ref="L58:M58"/>
    <mergeCell ref="O58:P58"/>
    <mergeCell ref="C57:D57"/>
    <mergeCell ref="F57:G57"/>
    <mergeCell ref="I57:J57"/>
    <mergeCell ref="L57:M57"/>
    <mergeCell ref="O57:P57"/>
    <mergeCell ref="C60:D60"/>
    <mergeCell ref="F60:G60"/>
    <mergeCell ref="I60:J60"/>
    <mergeCell ref="L60:M60"/>
    <mergeCell ref="O60:P60"/>
    <mergeCell ref="C59:D59"/>
    <mergeCell ref="F59:G59"/>
    <mergeCell ref="I59:J59"/>
    <mergeCell ref="L59:M59"/>
    <mergeCell ref="O59:P59"/>
    <mergeCell ref="C62:D62"/>
    <mergeCell ref="F62:G62"/>
    <mergeCell ref="I62:J62"/>
    <mergeCell ref="L62:M62"/>
    <mergeCell ref="O62:P62"/>
    <mergeCell ref="C61:D61"/>
    <mergeCell ref="F61:G61"/>
    <mergeCell ref="I61:J61"/>
    <mergeCell ref="L61:M61"/>
    <mergeCell ref="O61:P61"/>
    <mergeCell ref="C64:D64"/>
    <mergeCell ref="F64:G64"/>
    <mergeCell ref="I64:J64"/>
    <mergeCell ref="L64:M64"/>
    <mergeCell ref="O64:P64"/>
    <mergeCell ref="C63:D63"/>
    <mergeCell ref="F63:G63"/>
    <mergeCell ref="I63:J63"/>
    <mergeCell ref="L63:M63"/>
    <mergeCell ref="O63:P63"/>
    <mergeCell ref="C66:D66"/>
    <mergeCell ref="F66:G66"/>
    <mergeCell ref="I66:J66"/>
    <mergeCell ref="L66:M66"/>
    <mergeCell ref="O66:P66"/>
    <mergeCell ref="C65:D65"/>
    <mergeCell ref="F65:G65"/>
    <mergeCell ref="I65:J65"/>
    <mergeCell ref="L65:M65"/>
    <mergeCell ref="O65:P65"/>
    <mergeCell ref="C68:D68"/>
    <mergeCell ref="F68:G68"/>
    <mergeCell ref="I68:J68"/>
    <mergeCell ref="L68:M68"/>
    <mergeCell ref="O68:P68"/>
    <mergeCell ref="C67:D67"/>
    <mergeCell ref="F67:G67"/>
    <mergeCell ref="I67:J67"/>
    <mergeCell ref="L67:M67"/>
    <mergeCell ref="O67:P67"/>
    <mergeCell ref="C70:D70"/>
    <mergeCell ref="F70:G70"/>
    <mergeCell ref="I70:J70"/>
    <mergeCell ref="L70:M70"/>
    <mergeCell ref="O70:P70"/>
    <mergeCell ref="C69:D69"/>
    <mergeCell ref="F69:G69"/>
    <mergeCell ref="I69:J69"/>
    <mergeCell ref="L69:M69"/>
    <mergeCell ref="O69:P69"/>
    <mergeCell ref="C72:D72"/>
    <mergeCell ref="F72:G72"/>
    <mergeCell ref="I72:J72"/>
    <mergeCell ref="L72:M72"/>
    <mergeCell ref="O72:P72"/>
    <mergeCell ref="C71:D71"/>
    <mergeCell ref="F71:G71"/>
    <mergeCell ref="I71:J71"/>
    <mergeCell ref="L71:M71"/>
    <mergeCell ref="O71:P71"/>
    <mergeCell ref="C74:D74"/>
    <mergeCell ref="F74:G74"/>
    <mergeCell ref="I74:J74"/>
    <mergeCell ref="L74:M74"/>
    <mergeCell ref="O74:P74"/>
    <mergeCell ref="C73:D73"/>
    <mergeCell ref="F73:G73"/>
    <mergeCell ref="I73:J73"/>
    <mergeCell ref="L73:M73"/>
    <mergeCell ref="O73:P73"/>
    <mergeCell ref="C76:D76"/>
    <mergeCell ref="F76:G76"/>
    <mergeCell ref="I76:J76"/>
    <mergeCell ref="L76:M76"/>
    <mergeCell ref="O76:P76"/>
    <mergeCell ref="C75:D75"/>
    <mergeCell ref="F75:G75"/>
    <mergeCell ref="I75:J75"/>
    <mergeCell ref="L75:M75"/>
    <mergeCell ref="O75:P75"/>
    <mergeCell ref="C78:D78"/>
    <mergeCell ref="F78:G78"/>
    <mergeCell ref="I78:J78"/>
    <mergeCell ref="L78:M78"/>
    <mergeCell ref="O78:P78"/>
    <mergeCell ref="C77:D77"/>
    <mergeCell ref="F77:G77"/>
    <mergeCell ref="I77:J77"/>
    <mergeCell ref="L77:M77"/>
    <mergeCell ref="O77:P77"/>
    <mergeCell ref="C80:D80"/>
    <mergeCell ref="F80:G80"/>
    <mergeCell ref="I80:J80"/>
    <mergeCell ref="L80:M80"/>
    <mergeCell ref="O80:P80"/>
    <mergeCell ref="C79:D79"/>
    <mergeCell ref="F79:G79"/>
    <mergeCell ref="I79:J79"/>
    <mergeCell ref="L79:M79"/>
    <mergeCell ref="O79:P79"/>
    <mergeCell ref="C82:D82"/>
    <mergeCell ref="F82:G82"/>
    <mergeCell ref="I82:J82"/>
    <mergeCell ref="L82:M82"/>
    <mergeCell ref="O82:P82"/>
    <mergeCell ref="C81:D81"/>
    <mergeCell ref="F81:G81"/>
    <mergeCell ref="I81:J81"/>
    <mergeCell ref="L81:M81"/>
    <mergeCell ref="O81:P81"/>
    <mergeCell ref="C84:D84"/>
    <mergeCell ref="F84:G84"/>
    <mergeCell ref="I84:J84"/>
    <mergeCell ref="L84:M84"/>
    <mergeCell ref="O84:P84"/>
    <mergeCell ref="C83:D83"/>
    <mergeCell ref="F83:G83"/>
    <mergeCell ref="I83:J83"/>
    <mergeCell ref="L83:M83"/>
    <mergeCell ref="O83:P83"/>
    <mergeCell ref="C86:D86"/>
    <mergeCell ref="F86:G86"/>
    <mergeCell ref="I86:J86"/>
    <mergeCell ref="L86:M86"/>
    <mergeCell ref="O86:P86"/>
    <mergeCell ref="C85:D85"/>
    <mergeCell ref="F85:G85"/>
    <mergeCell ref="I85:J85"/>
    <mergeCell ref="L85:M85"/>
    <mergeCell ref="O85:P85"/>
    <mergeCell ref="C88:D88"/>
    <mergeCell ref="F88:G88"/>
    <mergeCell ref="I88:J88"/>
    <mergeCell ref="L88:M88"/>
    <mergeCell ref="O88:P88"/>
    <mergeCell ref="C87:D87"/>
    <mergeCell ref="F87:G87"/>
    <mergeCell ref="I87:J87"/>
    <mergeCell ref="L87:M87"/>
    <mergeCell ref="O87:P87"/>
    <mergeCell ref="C90:D90"/>
    <mergeCell ref="F90:G90"/>
    <mergeCell ref="I90:J90"/>
    <mergeCell ref="L90:M90"/>
    <mergeCell ref="O90:P90"/>
    <mergeCell ref="C89:D89"/>
    <mergeCell ref="F89:G89"/>
    <mergeCell ref="I89:J89"/>
    <mergeCell ref="L89:M89"/>
    <mergeCell ref="O89:P89"/>
    <mergeCell ref="C92:D92"/>
    <mergeCell ref="F92:G92"/>
    <mergeCell ref="I92:J92"/>
    <mergeCell ref="L92:M92"/>
    <mergeCell ref="O92:P92"/>
    <mergeCell ref="C91:D91"/>
    <mergeCell ref="F91:G91"/>
    <mergeCell ref="I91:J91"/>
    <mergeCell ref="L91:M91"/>
    <mergeCell ref="O91:P91"/>
    <mergeCell ref="C94:D94"/>
    <mergeCell ref="F94:G94"/>
    <mergeCell ref="I94:J94"/>
    <mergeCell ref="L94:M94"/>
    <mergeCell ref="O94:P94"/>
    <mergeCell ref="C93:D93"/>
    <mergeCell ref="F93:G93"/>
    <mergeCell ref="I93:J93"/>
    <mergeCell ref="L93:M93"/>
    <mergeCell ref="O93:P93"/>
    <mergeCell ref="C96:D96"/>
    <mergeCell ref="F96:G96"/>
    <mergeCell ref="I96:J96"/>
    <mergeCell ref="L96:M96"/>
    <mergeCell ref="O96:P96"/>
    <mergeCell ref="C95:D95"/>
    <mergeCell ref="F95:G95"/>
    <mergeCell ref="I95:J95"/>
    <mergeCell ref="L95:M95"/>
    <mergeCell ref="O95:P95"/>
    <mergeCell ref="C98:D98"/>
    <mergeCell ref="F98:G98"/>
    <mergeCell ref="I98:J98"/>
    <mergeCell ref="L98:M98"/>
    <mergeCell ref="O98:P98"/>
    <mergeCell ref="C97:D97"/>
    <mergeCell ref="F97:G97"/>
    <mergeCell ref="I97:J97"/>
    <mergeCell ref="L97:M97"/>
    <mergeCell ref="O97:P97"/>
    <mergeCell ref="C100:D100"/>
    <mergeCell ref="F100:G100"/>
    <mergeCell ref="I100:J100"/>
    <mergeCell ref="L100:M100"/>
    <mergeCell ref="O100:P100"/>
    <mergeCell ref="C99:D99"/>
    <mergeCell ref="F99:G99"/>
    <mergeCell ref="I99:J99"/>
    <mergeCell ref="L99:M99"/>
    <mergeCell ref="O99:P99"/>
    <mergeCell ref="C102:D102"/>
    <mergeCell ref="F102:G102"/>
    <mergeCell ref="I102:J102"/>
    <mergeCell ref="L102:M102"/>
    <mergeCell ref="O102:P102"/>
    <mergeCell ref="C101:D101"/>
    <mergeCell ref="F101:G101"/>
    <mergeCell ref="I101:J101"/>
    <mergeCell ref="L101:M101"/>
    <mergeCell ref="O101:P101"/>
    <mergeCell ref="C104:D104"/>
    <mergeCell ref="F104:G104"/>
    <mergeCell ref="I104:J104"/>
    <mergeCell ref="L104:M104"/>
    <mergeCell ref="O104:P104"/>
    <mergeCell ref="C103:D103"/>
    <mergeCell ref="F103:G103"/>
    <mergeCell ref="I103:J103"/>
    <mergeCell ref="L103:M103"/>
    <mergeCell ref="O103:P103"/>
    <mergeCell ref="C106:D106"/>
    <mergeCell ref="F106:G106"/>
    <mergeCell ref="I106:J106"/>
    <mergeCell ref="L106:M106"/>
    <mergeCell ref="O106:P106"/>
    <mergeCell ref="C105:D105"/>
    <mergeCell ref="F105:G105"/>
    <mergeCell ref="I105:J105"/>
    <mergeCell ref="L105:M105"/>
    <mergeCell ref="O105:P105"/>
    <mergeCell ref="C108:D108"/>
    <mergeCell ref="F108:G108"/>
    <mergeCell ref="I108:J108"/>
    <mergeCell ref="L108:M108"/>
    <mergeCell ref="O108:P108"/>
    <mergeCell ref="C107:D107"/>
    <mergeCell ref="F107:G107"/>
    <mergeCell ref="I107:J107"/>
    <mergeCell ref="L107:M107"/>
    <mergeCell ref="O107:P107"/>
    <mergeCell ref="C110:D110"/>
    <mergeCell ref="F110:G110"/>
    <mergeCell ref="I110:J110"/>
    <mergeCell ref="L110:M110"/>
    <mergeCell ref="O110:P110"/>
    <mergeCell ref="C109:D109"/>
    <mergeCell ref="F109:G109"/>
    <mergeCell ref="I109:J109"/>
    <mergeCell ref="L109:M109"/>
    <mergeCell ref="O109:P109"/>
    <mergeCell ref="C112:D112"/>
    <mergeCell ref="F112:G112"/>
    <mergeCell ref="I112:J112"/>
    <mergeCell ref="L112:M112"/>
    <mergeCell ref="O112:P112"/>
    <mergeCell ref="C111:D111"/>
    <mergeCell ref="F111:G111"/>
    <mergeCell ref="I111:J111"/>
    <mergeCell ref="L111:M111"/>
    <mergeCell ref="O111:P111"/>
    <mergeCell ref="C114:D114"/>
    <mergeCell ref="F114:G114"/>
    <mergeCell ref="I114:J114"/>
    <mergeCell ref="L114:M114"/>
    <mergeCell ref="O114:P114"/>
    <mergeCell ref="C113:D113"/>
    <mergeCell ref="F113:G113"/>
    <mergeCell ref="I113:J113"/>
    <mergeCell ref="L113:M113"/>
    <mergeCell ref="O113:P113"/>
    <mergeCell ref="C116:D116"/>
    <mergeCell ref="F116:G116"/>
    <mergeCell ref="I116:J116"/>
    <mergeCell ref="L116:M116"/>
    <mergeCell ref="O116:P116"/>
    <mergeCell ref="C115:D115"/>
    <mergeCell ref="F115:G115"/>
    <mergeCell ref="I115:J115"/>
    <mergeCell ref="L115:M115"/>
    <mergeCell ref="O115:P115"/>
    <mergeCell ref="C118:D118"/>
    <mergeCell ref="F118:G118"/>
    <mergeCell ref="I118:J118"/>
    <mergeCell ref="L118:M118"/>
    <mergeCell ref="O118:P118"/>
    <mergeCell ref="C117:D117"/>
    <mergeCell ref="F117:G117"/>
    <mergeCell ref="I117:J117"/>
    <mergeCell ref="L117:M117"/>
    <mergeCell ref="O117:P117"/>
    <mergeCell ref="C120:D120"/>
    <mergeCell ref="F120:G120"/>
    <mergeCell ref="I120:J120"/>
    <mergeCell ref="L120:M120"/>
    <mergeCell ref="O120:P120"/>
    <mergeCell ref="C119:D119"/>
    <mergeCell ref="F119:G119"/>
    <mergeCell ref="I119:J119"/>
    <mergeCell ref="L119:M119"/>
    <mergeCell ref="O119:P119"/>
    <mergeCell ref="C122:D122"/>
    <mergeCell ref="F122:G122"/>
    <mergeCell ref="I122:J122"/>
    <mergeCell ref="L122:M122"/>
    <mergeCell ref="O122:P122"/>
    <mergeCell ref="C121:D121"/>
    <mergeCell ref="F121:G121"/>
    <mergeCell ref="I121:J121"/>
    <mergeCell ref="L121:M121"/>
    <mergeCell ref="O121:P121"/>
    <mergeCell ref="C124:D124"/>
    <mergeCell ref="F124:G124"/>
    <mergeCell ref="I124:J124"/>
    <mergeCell ref="L124:M124"/>
    <mergeCell ref="O124:P124"/>
    <mergeCell ref="C123:D123"/>
    <mergeCell ref="F123:G123"/>
    <mergeCell ref="I123:J123"/>
    <mergeCell ref="L123:M123"/>
    <mergeCell ref="O123:P123"/>
    <mergeCell ref="C126:D126"/>
    <mergeCell ref="F126:G126"/>
    <mergeCell ref="I126:J126"/>
    <mergeCell ref="L126:M126"/>
    <mergeCell ref="O126:P126"/>
    <mergeCell ref="C125:D125"/>
    <mergeCell ref="F125:G125"/>
    <mergeCell ref="I125:J125"/>
    <mergeCell ref="L125:M125"/>
    <mergeCell ref="O125:P125"/>
    <mergeCell ref="C128:D128"/>
    <mergeCell ref="F128:G128"/>
    <mergeCell ref="I128:J128"/>
    <mergeCell ref="L128:M128"/>
    <mergeCell ref="O128:P128"/>
    <mergeCell ref="C127:D127"/>
    <mergeCell ref="F127:G127"/>
    <mergeCell ref="I127:J127"/>
    <mergeCell ref="L127:M127"/>
    <mergeCell ref="O127:P127"/>
    <mergeCell ref="C130:D130"/>
    <mergeCell ref="F130:G130"/>
    <mergeCell ref="I130:J130"/>
    <mergeCell ref="L130:M130"/>
    <mergeCell ref="O130:P130"/>
    <mergeCell ref="C129:D129"/>
    <mergeCell ref="F129:G129"/>
    <mergeCell ref="I129:J129"/>
    <mergeCell ref="L129:M129"/>
    <mergeCell ref="O129:P129"/>
    <mergeCell ref="O133:P133"/>
    <mergeCell ref="C132:D132"/>
    <mergeCell ref="F132:G132"/>
    <mergeCell ref="I132:J132"/>
    <mergeCell ref="L132:M132"/>
    <mergeCell ref="O132:P132"/>
    <mergeCell ref="C131:D131"/>
    <mergeCell ref="F131:G131"/>
    <mergeCell ref="I131:J131"/>
    <mergeCell ref="L131:M131"/>
    <mergeCell ref="O131:P131"/>
    <mergeCell ref="B135:P135"/>
    <mergeCell ref="B136:P136"/>
    <mergeCell ref="C2:G2"/>
    <mergeCell ref="C3:G3"/>
    <mergeCell ref="C4:G4"/>
    <mergeCell ref="C5:G5"/>
    <mergeCell ref="C6:M6"/>
    <mergeCell ref="O6:P6"/>
    <mergeCell ref="O3:P3"/>
    <mergeCell ref="O4:P4"/>
    <mergeCell ref="O5:P5"/>
    <mergeCell ref="I2:M2"/>
    <mergeCell ref="I3:M3"/>
    <mergeCell ref="I4:M4"/>
    <mergeCell ref="I5:M5"/>
    <mergeCell ref="C134:D134"/>
    <mergeCell ref="F134:G134"/>
    <mergeCell ref="I134:J134"/>
    <mergeCell ref="L134:M134"/>
    <mergeCell ref="O134:P134"/>
    <mergeCell ref="C133:D133"/>
    <mergeCell ref="F133:G133"/>
    <mergeCell ref="I133:J133"/>
    <mergeCell ref="L133:M13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11"/>
  <sheetViews>
    <sheetView workbookViewId="0">
      <selection activeCell="J14" sqref="J14"/>
    </sheetView>
  </sheetViews>
  <sheetFormatPr defaultRowHeight="14.4" x14ac:dyDescent="0.3"/>
  <cols>
    <col min="1" max="1" width="34.6640625" style="6" bestFit="1" customWidth="1"/>
    <col min="2" max="6" width="8.88671875" style="6"/>
  </cols>
  <sheetData>
    <row r="1" spans="1:6" s="1" customFormat="1" x14ac:dyDescent="0.3">
      <c r="A1" s="1512" t="s">
        <v>902</v>
      </c>
      <c r="B1" s="1513" t="s">
        <v>535</v>
      </c>
      <c r="C1" s="1513" t="s">
        <v>655</v>
      </c>
      <c r="D1" s="1514" t="s">
        <v>537</v>
      </c>
      <c r="E1" s="4"/>
      <c r="F1" s="4"/>
    </row>
    <row r="2" spans="1:6" x14ac:dyDescent="0.25">
      <c r="A2" s="1515" t="s">
        <v>684</v>
      </c>
      <c r="B2" s="1510">
        <v>1200</v>
      </c>
      <c r="C2" s="1511">
        <v>3300</v>
      </c>
      <c r="D2" s="1516">
        <v>4500</v>
      </c>
    </row>
    <row r="3" spans="1:6" x14ac:dyDescent="0.25">
      <c r="A3" s="1515" t="s">
        <v>944</v>
      </c>
      <c r="B3" s="1510">
        <v>1200</v>
      </c>
      <c r="C3" s="1511">
        <v>3300</v>
      </c>
      <c r="D3" s="1516">
        <v>4500</v>
      </c>
    </row>
    <row r="4" spans="1:6" x14ac:dyDescent="0.25">
      <c r="A4" s="1517" t="s">
        <v>682</v>
      </c>
      <c r="B4" s="1510">
        <v>1190</v>
      </c>
      <c r="C4" s="1511">
        <v>3272.5</v>
      </c>
      <c r="D4" s="1516">
        <v>4462.5</v>
      </c>
    </row>
    <row r="5" spans="1:6" x14ac:dyDescent="0.25">
      <c r="A5" s="1517" t="s">
        <v>945</v>
      </c>
      <c r="B5" s="1510">
        <v>1190</v>
      </c>
      <c r="C5" s="1511">
        <v>3272.5</v>
      </c>
      <c r="D5" s="1516">
        <v>4462.5</v>
      </c>
    </row>
    <row r="6" spans="1:6" x14ac:dyDescent="0.25">
      <c r="A6" s="1518" t="s">
        <v>681</v>
      </c>
      <c r="B6" s="1510">
        <v>1160</v>
      </c>
      <c r="C6" s="1511">
        <v>3190</v>
      </c>
      <c r="D6" s="1516">
        <v>4350</v>
      </c>
    </row>
    <row r="7" spans="1:6" x14ac:dyDescent="0.25">
      <c r="A7" s="1519" t="s">
        <v>683</v>
      </c>
      <c r="B7" s="1510">
        <v>1170</v>
      </c>
      <c r="C7" s="1511">
        <v>3217.5</v>
      </c>
      <c r="D7" s="1516">
        <v>4387.5</v>
      </c>
    </row>
    <row r="8" spans="1:6" x14ac:dyDescent="0.25">
      <c r="A8" s="1519" t="s">
        <v>946</v>
      </c>
      <c r="B8" s="1510">
        <v>1170</v>
      </c>
      <c r="C8" s="1511">
        <v>3217.5</v>
      </c>
      <c r="D8" s="1516">
        <v>4387.5</v>
      </c>
    </row>
    <row r="9" spans="1:6" x14ac:dyDescent="0.25">
      <c r="A9" s="1520" t="s">
        <v>859</v>
      </c>
      <c r="B9" s="1510">
        <v>1170</v>
      </c>
      <c r="C9" s="1511">
        <v>3217.5</v>
      </c>
      <c r="D9" s="1516">
        <v>4387.5</v>
      </c>
    </row>
    <row r="10" spans="1:6" x14ac:dyDescent="0.25">
      <c r="A10" s="1521" t="s">
        <v>935</v>
      </c>
      <c r="B10" s="1510">
        <v>1180</v>
      </c>
      <c r="C10" s="1511">
        <v>3245</v>
      </c>
      <c r="D10" s="1516">
        <v>4425</v>
      </c>
    </row>
    <row r="11" spans="1:6" ht="15" thickBot="1" x14ac:dyDescent="0.3">
      <c r="A11" s="1522" t="s">
        <v>941</v>
      </c>
      <c r="B11" s="1523">
        <v>1160</v>
      </c>
      <c r="C11" s="1524">
        <v>3190</v>
      </c>
      <c r="D11" s="1525">
        <v>4350</v>
      </c>
    </row>
  </sheetData>
  <pageMargins left="0.7" right="0.7" top="0.75" bottom="0.75" header="0.3" footer="0.3"/>
  <pageSetup scale="180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H1" workbookViewId="0">
      <selection activeCell="O21" sqref="O21"/>
    </sheetView>
  </sheetViews>
  <sheetFormatPr defaultColWidth="10" defaultRowHeight="14.4" x14ac:dyDescent="0.3"/>
  <cols>
    <col min="1" max="1" width="9.33203125" style="1274" bestFit="1" customWidth="1"/>
    <col min="2" max="2" width="32.44140625" style="1274" bestFit="1" customWidth="1"/>
    <col min="3" max="4" width="10" style="1248"/>
    <col min="5" max="6" width="10" style="1275"/>
    <col min="7" max="16384" width="10" style="1248"/>
  </cols>
  <sheetData>
    <row r="1" spans="1:32" ht="28.5" customHeight="1" x14ac:dyDescent="0.3">
      <c r="A1" s="1247" t="s">
        <v>902</v>
      </c>
      <c r="B1" s="1247"/>
      <c r="C1" s="2314" t="s">
        <v>903</v>
      </c>
      <c r="D1" s="2315"/>
      <c r="E1" s="2316" t="s">
        <v>904</v>
      </c>
      <c r="F1" s="2317"/>
      <c r="G1" s="2316" t="s">
        <v>1</v>
      </c>
      <c r="H1" s="2317"/>
      <c r="I1" s="2318" t="s">
        <v>553</v>
      </c>
      <c r="J1" s="2319"/>
      <c r="K1" s="2318" t="s">
        <v>905</v>
      </c>
      <c r="L1" s="2319"/>
      <c r="M1" s="2318" t="s">
        <v>2</v>
      </c>
      <c r="N1" s="2319"/>
      <c r="O1" s="2321" t="s">
        <v>554</v>
      </c>
      <c r="P1" s="2325"/>
      <c r="Q1" s="2326" t="s">
        <v>555</v>
      </c>
      <c r="R1" s="2327"/>
      <c r="S1" s="2314" t="s">
        <v>906</v>
      </c>
      <c r="T1" s="2315"/>
      <c r="U1" s="2314" t="s">
        <v>907</v>
      </c>
      <c r="V1" s="2315"/>
      <c r="W1" s="2314" t="s">
        <v>908</v>
      </c>
      <c r="X1" s="2315"/>
      <c r="Y1" s="2314" t="s">
        <v>909</v>
      </c>
      <c r="Z1" s="2315"/>
      <c r="AA1" s="2314" t="s">
        <v>910</v>
      </c>
      <c r="AB1" s="2315"/>
      <c r="AC1" s="2320" t="s">
        <v>911</v>
      </c>
      <c r="AD1" s="2320"/>
      <c r="AE1" s="2320" t="s">
        <v>912</v>
      </c>
      <c r="AF1" s="2320"/>
    </row>
    <row r="2" spans="1:32" ht="15.75" customHeight="1" x14ac:dyDescent="0.3">
      <c r="A2" s="1249"/>
      <c r="B2" s="1250"/>
      <c r="C2" s="2321" t="s">
        <v>179</v>
      </c>
      <c r="D2" s="2322"/>
      <c r="E2" s="2321" t="s">
        <v>179</v>
      </c>
      <c r="F2" s="2322"/>
      <c r="G2" s="2323" t="s">
        <v>184</v>
      </c>
      <c r="H2" s="2324"/>
      <c r="I2" s="2323" t="s">
        <v>184</v>
      </c>
      <c r="J2" s="2324"/>
      <c r="K2" s="2323" t="s">
        <v>184</v>
      </c>
      <c r="L2" s="2324"/>
      <c r="M2" s="2321" t="s">
        <v>179</v>
      </c>
      <c r="N2" s="2322"/>
      <c r="O2" s="2321" t="s">
        <v>179</v>
      </c>
      <c r="P2" s="2322"/>
      <c r="Q2" s="2323" t="s">
        <v>184</v>
      </c>
      <c r="R2" s="2324"/>
      <c r="S2" s="2323" t="s">
        <v>184</v>
      </c>
      <c r="T2" s="2324"/>
      <c r="U2" s="2323" t="s">
        <v>184</v>
      </c>
      <c r="V2" s="2324"/>
      <c r="W2" s="2323" t="s">
        <v>184</v>
      </c>
      <c r="X2" s="2331"/>
      <c r="Y2" s="2323" t="s">
        <v>184</v>
      </c>
      <c r="Z2" s="2324"/>
      <c r="AA2" s="2320" t="s">
        <v>179</v>
      </c>
      <c r="AB2" s="2320"/>
      <c r="AC2" s="2320" t="s">
        <v>179</v>
      </c>
      <c r="AD2" s="2320"/>
      <c r="AE2" s="2320" t="s">
        <v>179</v>
      </c>
      <c r="AF2" s="2320"/>
    </row>
    <row r="3" spans="1:32" x14ac:dyDescent="0.3">
      <c r="A3" s="1251"/>
      <c r="B3" s="1252"/>
      <c r="C3" s="1253" t="s">
        <v>913</v>
      </c>
      <c r="D3" s="1253" t="s">
        <v>914</v>
      </c>
      <c r="E3" s="1254" t="s">
        <v>913</v>
      </c>
      <c r="F3" s="1254" t="s">
        <v>914</v>
      </c>
      <c r="G3" s="1253" t="s">
        <v>913</v>
      </c>
      <c r="H3" s="1253" t="s">
        <v>914</v>
      </c>
      <c r="I3" s="1253" t="s">
        <v>913</v>
      </c>
      <c r="J3" s="1253" t="s">
        <v>914</v>
      </c>
      <c r="K3" s="1253" t="s">
        <v>913</v>
      </c>
      <c r="L3" s="1253" t="s">
        <v>914</v>
      </c>
      <c r="M3" s="1253" t="s">
        <v>913</v>
      </c>
      <c r="N3" s="1253" t="s">
        <v>914</v>
      </c>
      <c r="O3" s="1253" t="s">
        <v>913</v>
      </c>
      <c r="P3" s="1253" t="s">
        <v>914</v>
      </c>
      <c r="Q3" s="1253" t="s">
        <v>913</v>
      </c>
      <c r="R3" s="1253" t="s">
        <v>914</v>
      </c>
      <c r="S3" s="1253" t="s">
        <v>913</v>
      </c>
      <c r="T3" s="1253" t="s">
        <v>914</v>
      </c>
      <c r="U3" s="1253" t="s">
        <v>913</v>
      </c>
      <c r="V3" s="1253" t="s">
        <v>914</v>
      </c>
      <c r="W3" s="1253" t="s">
        <v>913</v>
      </c>
      <c r="X3" s="1253" t="s">
        <v>914</v>
      </c>
      <c r="Y3" s="1253" t="s">
        <v>913</v>
      </c>
      <c r="Z3" s="1253" t="s">
        <v>914</v>
      </c>
      <c r="AA3" s="1253" t="s">
        <v>913</v>
      </c>
      <c r="AB3" s="1253" t="s">
        <v>914</v>
      </c>
      <c r="AC3" s="1253" t="s">
        <v>913</v>
      </c>
      <c r="AD3" s="1253" t="s">
        <v>914</v>
      </c>
      <c r="AE3" s="1253" t="s">
        <v>913</v>
      </c>
      <c r="AF3" s="1253" t="s">
        <v>914</v>
      </c>
    </row>
    <row r="4" spans="1:32" ht="15.6" x14ac:dyDescent="0.3">
      <c r="A4" s="2328" t="s">
        <v>546</v>
      </c>
      <c r="B4" s="1255" t="s">
        <v>10</v>
      </c>
      <c r="C4" s="1256">
        <v>1000</v>
      </c>
      <c r="D4" s="1257">
        <v>1320</v>
      </c>
      <c r="E4" s="1258">
        <v>1560</v>
      </c>
      <c r="F4" s="1276">
        <v>1250</v>
      </c>
      <c r="G4" s="1257">
        <v>1200</v>
      </c>
      <c r="H4" s="1277">
        <v>1265</v>
      </c>
      <c r="I4" s="1257">
        <v>1200</v>
      </c>
      <c r="J4" s="1277">
        <v>1265</v>
      </c>
      <c r="K4" s="1257">
        <v>1200</v>
      </c>
      <c r="L4" s="1277">
        <v>1242</v>
      </c>
      <c r="M4" s="1257"/>
      <c r="N4" s="1277">
        <v>1270</v>
      </c>
      <c r="O4" s="1257">
        <v>1200</v>
      </c>
      <c r="P4" s="1277">
        <v>1380</v>
      </c>
      <c r="Q4" s="1257">
        <v>1200</v>
      </c>
      <c r="R4" s="1257">
        <v>1350</v>
      </c>
      <c r="S4" s="1257">
        <v>800</v>
      </c>
      <c r="T4" s="1257">
        <v>1260</v>
      </c>
      <c r="U4" s="1257">
        <v>650</v>
      </c>
      <c r="V4" s="1257">
        <v>1260</v>
      </c>
      <c r="W4" s="1259">
        <v>850</v>
      </c>
      <c r="X4" s="1259">
        <v>1264</v>
      </c>
      <c r="Y4" s="1257">
        <v>1200</v>
      </c>
      <c r="Z4" s="1257">
        <v>1265</v>
      </c>
      <c r="AA4" s="1257">
        <v>800</v>
      </c>
      <c r="AB4" s="1257">
        <v>1385</v>
      </c>
      <c r="AC4" s="1260">
        <v>1000</v>
      </c>
      <c r="AD4" s="1260">
        <v>1250</v>
      </c>
      <c r="AE4" s="1260">
        <v>1205</v>
      </c>
      <c r="AF4" s="1261">
        <v>1260</v>
      </c>
    </row>
    <row r="5" spans="1:32" ht="15.6" x14ac:dyDescent="0.3">
      <c r="A5" s="2329"/>
      <c r="B5" s="1255" t="s">
        <v>4</v>
      </c>
      <c r="C5" s="1256"/>
      <c r="D5" s="1257"/>
      <c r="E5" s="1258"/>
      <c r="F5" s="1258"/>
      <c r="G5" s="1257"/>
      <c r="H5" s="1257"/>
      <c r="I5" s="1257"/>
      <c r="J5" s="1257">
        <v>30</v>
      </c>
      <c r="K5" s="1257"/>
      <c r="L5" s="1257"/>
      <c r="M5" s="1257"/>
      <c r="N5" s="1257">
        <v>15</v>
      </c>
      <c r="O5" s="1259"/>
      <c r="P5" s="1259">
        <v>20</v>
      </c>
      <c r="Q5" s="1257"/>
      <c r="R5" s="1257">
        <v>50</v>
      </c>
      <c r="S5" s="1257"/>
      <c r="T5" s="1257">
        <v>50</v>
      </c>
      <c r="U5" s="1257"/>
      <c r="V5" s="1257">
        <v>50</v>
      </c>
      <c r="W5" s="1257"/>
      <c r="X5" s="1257">
        <v>35</v>
      </c>
      <c r="Y5" s="1257"/>
      <c r="Z5" s="1257">
        <v>50</v>
      </c>
      <c r="AA5" s="1257"/>
      <c r="AB5" s="1257"/>
      <c r="AC5" s="1257"/>
      <c r="AD5" s="1257"/>
      <c r="AE5" s="1257"/>
      <c r="AF5" s="1262">
        <v>65</v>
      </c>
    </row>
    <row r="6" spans="1:32" ht="15.6" x14ac:dyDescent="0.3">
      <c r="A6" s="2329"/>
      <c r="B6" s="1255" t="s">
        <v>5</v>
      </c>
      <c r="C6" s="1256"/>
      <c r="D6" s="1257"/>
      <c r="E6" s="1258"/>
      <c r="F6" s="1258"/>
      <c r="G6" s="1257"/>
      <c r="H6" s="1257"/>
      <c r="I6" s="1257"/>
      <c r="J6" s="1257"/>
      <c r="K6" s="1257"/>
      <c r="L6" s="1257"/>
      <c r="M6" s="1257"/>
      <c r="N6" s="1257">
        <v>10</v>
      </c>
      <c r="O6" s="1259"/>
      <c r="P6" s="1259">
        <v>10</v>
      </c>
      <c r="Q6" s="1257"/>
      <c r="R6" s="1257"/>
      <c r="S6" s="1257"/>
      <c r="T6" s="1257"/>
      <c r="U6" s="1257"/>
      <c r="V6" s="1257">
        <v>10</v>
      </c>
      <c r="W6" s="1257"/>
      <c r="X6" s="1257"/>
      <c r="Y6" s="1257"/>
      <c r="Z6" s="1257"/>
      <c r="AA6" s="1257"/>
      <c r="AB6" s="1257"/>
      <c r="AC6" s="1257"/>
      <c r="AD6" s="1257">
        <v>30</v>
      </c>
      <c r="AE6" s="1257"/>
      <c r="AF6" s="1262"/>
    </row>
    <row r="7" spans="1:32" ht="15.6" x14ac:dyDescent="0.3">
      <c r="A7" s="2329"/>
      <c r="B7" s="1263" t="s">
        <v>915</v>
      </c>
      <c r="C7" s="1256"/>
      <c r="D7" s="1257"/>
      <c r="E7" s="1258"/>
      <c r="F7" s="1258">
        <v>10</v>
      </c>
      <c r="G7" s="1257"/>
      <c r="H7" s="1257">
        <v>20</v>
      </c>
      <c r="I7" s="1257"/>
      <c r="J7" s="1257">
        <v>10</v>
      </c>
      <c r="K7" s="1257"/>
      <c r="L7" s="1257"/>
      <c r="M7" s="1257"/>
      <c r="N7" s="1257"/>
      <c r="O7" s="1259"/>
      <c r="P7" s="1259"/>
      <c r="Q7" s="1257"/>
      <c r="R7" s="1257">
        <v>10</v>
      </c>
      <c r="S7" s="1257"/>
      <c r="T7" s="1257"/>
      <c r="U7" s="1257"/>
      <c r="V7" s="1257"/>
      <c r="W7" s="1257"/>
      <c r="X7" s="1257"/>
      <c r="Y7" s="1257"/>
      <c r="Z7" s="1257">
        <v>10</v>
      </c>
      <c r="AA7" s="1257"/>
      <c r="AB7" s="1257"/>
      <c r="AC7" s="1257"/>
      <c r="AD7" s="1257"/>
      <c r="AE7" s="1257"/>
      <c r="AF7" s="1257"/>
    </row>
    <row r="8" spans="1:32" ht="15.6" x14ac:dyDescent="0.3">
      <c r="A8" s="2329"/>
      <c r="B8" s="1255" t="s">
        <v>916</v>
      </c>
      <c r="C8" s="1256"/>
      <c r="D8" s="1257"/>
      <c r="E8" s="1258"/>
      <c r="F8" s="1258"/>
      <c r="G8" s="1257"/>
      <c r="H8" s="1257"/>
      <c r="I8" s="1257"/>
      <c r="J8" s="1257"/>
      <c r="K8" s="1257"/>
      <c r="L8" s="1257"/>
      <c r="M8" s="1257"/>
      <c r="N8" s="1257"/>
      <c r="O8" s="1259"/>
      <c r="P8" s="1259"/>
      <c r="Q8" s="1257"/>
      <c r="R8" s="1257"/>
      <c r="S8" s="1257"/>
      <c r="T8" s="1257"/>
      <c r="U8" s="1257"/>
      <c r="V8" s="1257"/>
      <c r="W8" s="1257"/>
      <c r="X8" s="1257"/>
      <c r="Y8" s="1257"/>
      <c r="Z8" s="1257"/>
      <c r="AA8" s="1257"/>
      <c r="AB8" s="1257"/>
      <c r="AC8" s="1257"/>
      <c r="AD8" s="1257"/>
      <c r="AE8" s="1257"/>
      <c r="AF8" s="1257"/>
    </row>
    <row r="9" spans="1:32" ht="15.6" x14ac:dyDescent="0.3">
      <c r="A9" s="2329"/>
      <c r="B9" s="1255" t="s">
        <v>6</v>
      </c>
      <c r="C9" s="1256"/>
      <c r="D9" s="1257"/>
      <c r="E9" s="1258"/>
      <c r="F9" s="1258"/>
      <c r="G9" s="1257"/>
      <c r="H9" s="1257"/>
      <c r="I9" s="1257"/>
      <c r="J9" s="1257"/>
      <c r="K9" s="1257"/>
      <c r="L9" s="1257"/>
      <c r="M9" s="1257"/>
      <c r="N9" s="1257"/>
      <c r="O9" s="1259"/>
      <c r="P9" s="1259"/>
      <c r="Q9" s="1257"/>
      <c r="R9" s="1257"/>
      <c r="S9" s="1257"/>
      <c r="T9" s="1257"/>
      <c r="U9" s="1257"/>
      <c r="V9" s="1257"/>
      <c r="W9" s="1257"/>
      <c r="X9" s="1257"/>
      <c r="Y9" s="1257"/>
      <c r="Z9" s="1257"/>
      <c r="AA9" s="1257"/>
      <c r="AB9" s="1257"/>
      <c r="AC9" s="1260"/>
      <c r="AD9" s="1260"/>
      <c r="AE9" s="1260"/>
      <c r="AF9" s="1260"/>
    </row>
    <row r="10" spans="1:32" ht="15.6" x14ac:dyDescent="0.3">
      <c r="A10" s="2329"/>
      <c r="B10" s="1255" t="s">
        <v>917</v>
      </c>
      <c r="C10" s="1256"/>
      <c r="D10" s="1257"/>
      <c r="E10" s="1258"/>
      <c r="F10" s="1258"/>
      <c r="G10" s="1257"/>
      <c r="H10" s="1257"/>
      <c r="I10" s="1257"/>
      <c r="J10" s="1257"/>
      <c r="K10" s="1257"/>
      <c r="L10" s="1257"/>
      <c r="M10" s="1257"/>
      <c r="N10" s="1257"/>
      <c r="O10" s="1257"/>
      <c r="P10" s="1257"/>
      <c r="Q10" s="1257"/>
      <c r="R10" s="1257"/>
      <c r="S10" s="1257"/>
      <c r="T10" s="1257"/>
      <c r="U10" s="1257"/>
      <c r="V10" s="1257"/>
      <c r="W10" s="1259"/>
      <c r="X10" s="1259">
        <v>15</v>
      </c>
      <c r="Y10" s="1257"/>
      <c r="Z10" s="1257"/>
      <c r="AA10" s="1257"/>
      <c r="AB10" s="1257"/>
      <c r="AC10" s="1260"/>
      <c r="AD10" s="1260"/>
      <c r="AE10" s="1260"/>
      <c r="AF10" s="1260"/>
    </row>
    <row r="11" spans="1:32" ht="15.6" x14ac:dyDescent="0.3">
      <c r="A11" s="2329"/>
      <c r="B11" s="1255" t="s">
        <v>918</v>
      </c>
      <c r="C11" s="1256"/>
      <c r="D11" s="1257"/>
      <c r="E11" s="1258"/>
      <c r="F11" s="1258"/>
      <c r="G11" s="1257"/>
      <c r="H11" s="1257"/>
      <c r="I11" s="1257"/>
      <c r="J11" s="1257"/>
      <c r="K11" s="1257"/>
      <c r="L11" s="1257"/>
      <c r="M11" s="1257"/>
      <c r="N11" s="1257">
        <v>10</v>
      </c>
      <c r="O11" s="1257"/>
      <c r="P11" s="1257">
        <v>10</v>
      </c>
      <c r="Q11" s="1257"/>
      <c r="R11" s="1257">
        <v>20</v>
      </c>
      <c r="S11" s="1257"/>
      <c r="T11" s="1257"/>
      <c r="U11" s="1257"/>
      <c r="V11" s="1257"/>
      <c r="W11" s="1259"/>
      <c r="X11" s="1259"/>
      <c r="Y11" s="1257"/>
      <c r="Z11" s="1257"/>
      <c r="AA11" s="1257"/>
      <c r="AB11" s="1257"/>
      <c r="AC11" s="1260"/>
      <c r="AD11" s="1260"/>
      <c r="AE11" s="1260"/>
      <c r="AF11" s="1260"/>
    </row>
    <row r="12" spans="1:32" ht="15.6" x14ac:dyDescent="0.3">
      <c r="A12" s="2329"/>
      <c r="B12" s="1255" t="s">
        <v>919</v>
      </c>
      <c r="C12" s="1264"/>
      <c r="D12" s="1265"/>
      <c r="E12" s="1266"/>
      <c r="F12" s="1266"/>
      <c r="G12" s="1265"/>
      <c r="H12" s="1265"/>
      <c r="I12" s="1265"/>
      <c r="J12" s="1265"/>
      <c r="K12" s="1265"/>
      <c r="L12" s="1265"/>
      <c r="M12" s="1265"/>
      <c r="N12" s="1265"/>
      <c r="O12" s="1265"/>
      <c r="P12" s="1265"/>
      <c r="Q12" s="1265"/>
      <c r="R12" s="1265"/>
      <c r="S12" s="1265"/>
      <c r="T12" s="1265"/>
      <c r="U12" s="1265"/>
      <c r="V12" s="1265"/>
      <c r="W12" s="1259"/>
      <c r="X12" s="1259"/>
      <c r="Y12" s="1265"/>
      <c r="Z12" s="1265"/>
      <c r="AA12" s="1259"/>
      <c r="AB12" s="1259"/>
      <c r="AC12" s="1267"/>
      <c r="AD12" s="1267"/>
      <c r="AE12" s="1267"/>
      <c r="AF12" s="1267"/>
    </row>
    <row r="13" spans="1:32" ht="15.6" x14ac:dyDescent="0.3">
      <c r="A13" s="2329"/>
      <c r="B13" s="1255" t="s">
        <v>920</v>
      </c>
      <c r="C13" s="1256"/>
      <c r="D13" s="1257"/>
      <c r="E13" s="1258"/>
      <c r="F13" s="1258">
        <v>25</v>
      </c>
      <c r="G13" s="1257"/>
      <c r="H13" s="1257">
        <v>80</v>
      </c>
      <c r="I13" s="1257"/>
      <c r="J13" s="1257">
        <v>30</v>
      </c>
      <c r="K13" s="1257"/>
      <c r="L13" s="1257">
        <v>20</v>
      </c>
      <c r="M13" s="1257"/>
      <c r="N13" s="1257">
        <v>30</v>
      </c>
      <c r="O13" s="1257"/>
      <c r="P13" s="1257">
        <v>5</v>
      </c>
      <c r="Q13" s="1257"/>
      <c r="R13" s="1257">
        <v>40</v>
      </c>
      <c r="S13" s="1257"/>
      <c r="T13" s="1257">
        <v>88</v>
      </c>
      <c r="U13" s="1257"/>
      <c r="V13" s="1257">
        <v>86</v>
      </c>
      <c r="W13" s="1259"/>
      <c r="X13" s="1259">
        <v>25</v>
      </c>
      <c r="Y13" s="1257"/>
      <c r="Z13" s="1257">
        <v>25</v>
      </c>
      <c r="AA13" s="1257"/>
      <c r="AB13" s="1257">
        <v>78</v>
      </c>
      <c r="AC13" s="1260"/>
      <c r="AD13" s="1260">
        <v>42</v>
      </c>
      <c r="AE13" s="1260"/>
      <c r="AF13" s="1260">
        <v>45</v>
      </c>
    </row>
    <row r="14" spans="1:32" ht="15.6" x14ac:dyDescent="0.3">
      <c r="A14" s="2329"/>
      <c r="B14" s="1255" t="s">
        <v>921</v>
      </c>
      <c r="C14" s="1256"/>
      <c r="D14" s="1268"/>
      <c r="E14" s="1258"/>
      <c r="F14" s="1258"/>
      <c r="G14" s="1257"/>
      <c r="H14" s="1257"/>
      <c r="I14" s="1257"/>
      <c r="J14" s="1257"/>
      <c r="K14" s="1257"/>
      <c r="L14" s="1257"/>
      <c r="M14" s="1257"/>
      <c r="N14" s="1257"/>
      <c r="O14" s="1257"/>
      <c r="P14" s="1257">
        <v>15</v>
      </c>
      <c r="Q14" s="1257"/>
      <c r="R14" s="1257"/>
      <c r="S14" s="1257"/>
      <c r="T14" s="1257"/>
      <c r="U14" s="1257"/>
      <c r="V14" s="1257">
        <v>15</v>
      </c>
      <c r="W14" s="1257"/>
      <c r="X14" s="1257"/>
      <c r="Y14" s="1257"/>
      <c r="Z14" s="1257">
        <v>25</v>
      </c>
      <c r="AA14" s="1257"/>
      <c r="AB14" s="1257">
        <v>63</v>
      </c>
      <c r="AC14" s="1260"/>
      <c r="AD14" s="1260"/>
      <c r="AE14" s="1260"/>
      <c r="AF14" s="1260"/>
    </row>
    <row r="15" spans="1:32" ht="15.6" x14ac:dyDescent="0.3">
      <c r="A15" s="2329"/>
      <c r="B15" s="1255" t="s">
        <v>922</v>
      </c>
      <c r="C15" s="1256"/>
      <c r="D15" s="1257"/>
      <c r="E15" s="1258"/>
      <c r="F15" s="1258"/>
      <c r="G15" s="1257"/>
      <c r="H15" s="1257"/>
      <c r="I15" s="1257"/>
      <c r="J15" s="1257"/>
      <c r="K15" s="1257"/>
      <c r="L15" s="1257"/>
      <c r="M15" s="1257"/>
      <c r="N15" s="1257"/>
      <c r="O15" s="1257"/>
      <c r="P15" s="1257"/>
      <c r="Q15" s="1257"/>
      <c r="R15" s="1257"/>
      <c r="S15" s="1257"/>
      <c r="T15" s="1257"/>
      <c r="U15" s="1257"/>
      <c r="V15" s="1257"/>
      <c r="W15" s="1257"/>
      <c r="X15" s="1257"/>
      <c r="Y15" s="1257"/>
      <c r="Z15" s="1257"/>
      <c r="AA15" s="1257"/>
      <c r="AB15" s="1257"/>
      <c r="AC15" s="1269"/>
      <c r="AD15" s="1269"/>
      <c r="AE15" s="1269"/>
      <c r="AF15" s="1269"/>
    </row>
    <row r="16" spans="1:32" ht="15.6" x14ac:dyDescent="0.3">
      <c r="A16" s="2329"/>
      <c r="B16" s="1255" t="s">
        <v>7</v>
      </c>
      <c r="C16" s="1256"/>
      <c r="D16" s="1257"/>
      <c r="E16" s="1258"/>
      <c r="F16" s="1258">
        <v>15</v>
      </c>
      <c r="G16" s="1257"/>
      <c r="H16" s="1257">
        <v>10</v>
      </c>
      <c r="I16" s="1257"/>
      <c r="J16" s="1257"/>
      <c r="K16" s="1257"/>
      <c r="L16" s="1257"/>
      <c r="M16" s="1257"/>
      <c r="N16" s="1257"/>
      <c r="O16" s="1257"/>
      <c r="P16" s="1257"/>
      <c r="Q16" s="1257"/>
      <c r="R16" s="1257"/>
      <c r="S16" s="1257"/>
      <c r="T16" s="1257"/>
      <c r="U16" s="1257"/>
      <c r="V16" s="1257"/>
      <c r="W16" s="1257"/>
      <c r="X16" s="1257"/>
      <c r="Y16" s="1257"/>
      <c r="Z16" s="1257"/>
      <c r="AA16" s="1257"/>
      <c r="AB16" s="1257"/>
      <c r="AC16" s="1269"/>
      <c r="AD16" s="1269"/>
      <c r="AE16" s="1269"/>
      <c r="AF16" s="1269"/>
    </row>
    <row r="17" spans="1:32" ht="15.6" x14ac:dyDescent="0.3">
      <c r="A17" s="2329"/>
      <c r="B17" s="1255" t="s">
        <v>8</v>
      </c>
      <c r="C17" s="1256">
        <f t="shared" ref="C17:M17" si="0">SUM(C5:C16)</f>
        <v>0</v>
      </c>
      <c r="D17" s="1256">
        <f t="shared" si="0"/>
        <v>0</v>
      </c>
      <c r="E17" s="1270">
        <f t="shared" si="0"/>
        <v>0</v>
      </c>
      <c r="F17" s="1270">
        <f t="shared" si="0"/>
        <v>50</v>
      </c>
      <c r="G17" s="1256">
        <f t="shared" si="0"/>
        <v>0</v>
      </c>
      <c r="H17" s="1256">
        <f t="shared" si="0"/>
        <v>110</v>
      </c>
      <c r="I17" s="1256">
        <f t="shared" si="0"/>
        <v>0</v>
      </c>
      <c r="J17" s="1256">
        <f t="shared" si="0"/>
        <v>70</v>
      </c>
      <c r="K17" s="1256">
        <f t="shared" si="0"/>
        <v>0</v>
      </c>
      <c r="L17" s="1256">
        <f t="shared" si="0"/>
        <v>20</v>
      </c>
      <c r="M17" s="1256">
        <f t="shared" si="0"/>
        <v>0</v>
      </c>
      <c r="N17" s="1256">
        <v>87</v>
      </c>
      <c r="O17" s="1256">
        <f t="shared" ref="O17:AF17" si="1">SUM(O5:O16)</f>
        <v>0</v>
      </c>
      <c r="P17" s="1256">
        <f t="shared" si="1"/>
        <v>60</v>
      </c>
      <c r="Q17" s="1256">
        <f t="shared" si="1"/>
        <v>0</v>
      </c>
      <c r="R17" s="1256">
        <f t="shared" si="1"/>
        <v>120</v>
      </c>
      <c r="S17" s="1256">
        <f t="shared" si="1"/>
        <v>0</v>
      </c>
      <c r="T17" s="1256">
        <f t="shared" si="1"/>
        <v>138</v>
      </c>
      <c r="U17" s="1256">
        <f t="shared" si="1"/>
        <v>0</v>
      </c>
      <c r="V17" s="1256">
        <f t="shared" si="1"/>
        <v>161</v>
      </c>
      <c r="W17" s="1256">
        <f t="shared" si="1"/>
        <v>0</v>
      </c>
      <c r="X17" s="1256">
        <f t="shared" si="1"/>
        <v>75</v>
      </c>
      <c r="Y17" s="1256">
        <f t="shared" si="1"/>
        <v>0</v>
      </c>
      <c r="Z17" s="1256">
        <f t="shared" si="1"/>
        <v>110</v>
      </c>
      <c r="AA17" s="1256">
        <f t="shared" si="1"/>
        <v>0</v>
      </c>
      <c r="AB17" s="1256">
        <f t="shared" si="1"/>
        <v>141</v>
      </c>
      <c r="AC17" s="1256">
        <f t="shared" si="1"/>
        <v>0</v>
      </c>
      <c r="AD17" s="1256">
        <f t="shared" si="1"/>
        <v>72</v>
      </c>
      <c r="AE17" s="1256">
        <f t="shared" si="1"/>
        <v>0</v>
      </c>
      <c r="AF17" s="1256">
        <f t="shared" si="1"/>
        <v>110</v>
      </c>
    </row>
    <row r="18" spans="1:32" ht="15.6" x14ac:dyDescent="0.3">
      <c r="A18" s="2330"/>
      <c r="B18" s="1271" t="s">
        <v>9</v>
      </c>
      <c r="C18" s="1272">
        <f t="shared" ref="C18:V18" si="2">C4-C17</f>
        <v>1000</v>
      </c>
      <c r="D18" s="1272">
        <f t="shared" si="2"/>
        <v>1320</v>
      </c>
      <c r="E18" s="1273">
        <f t="shared" si="2"/>
        <v>1560</v>
      </c>
      <c r="F18" s="1273">
        <f t="shared" si="2"/>
        <v>1200</v>
      </c>
      <c r="G18" s="1272">
        <f t="shared" si="2"/>
        <v>1200</v>
      </c>
      <c r="H18" s="1272">
        <f t="shared" si="2"/>
        <v>1155</v>
      </c>
      <c r="I18" s="1272">
        <f t="shared" si="2"/>
        <v>1200</v>
      </c>
      <c r="J18" s="1272">
        <f t="shared" si="2"/>
        <v>1195</v>
      </c>
      <c r="K18" s="1272">
        <f t="shared" si="2"/>
        <v>1200</v>
      </c>
      <c r="L18" s="1272">
        <f t="shared" si="2"/>
        <v>1222</v>
      </c>
      <c r="M18" s="1272">
        <f t="shared" si="2"/>
        <v>0</v>
      </c>
      <c r="N18" s="1272">
        <f t="shared" si="2"/>
        <v>1183</v>
      </c>
      <c r="O18" s="1272">
        <f t="shared" si="2"/>
        <v>1200</v>
      </c>
      <c r="P18" s="1272">
        <f t="shared" si="2"/>
        <v>1320</v>
      </c>
      <c r="Q18" s="1272">
        <f t="shared" si="2"/>
        <v>1200</v>
      </c>
      <c r="R18" s="1272">
        <f t="shared" si="2"/>
        <v>1230</v>
      </c>
      <c r="S18" s="1272">
        <f t="shared" si="2"/>
        <v>800</v>
      </c>
      <c r="T18" s="1272">
        <f t="shared" si="2"/>
        <v>1122</v>
      </c>
      <c r="U18" s="1272">
        <f t="shared" si="2"/>
        <v>650</v>
      </c>
      <c r="V18" s="1272">
        <f t="shared" si="2"/>
        <v>1099</v>
      </c>
      <c r="W18" s="1272">
        <f t="shared" ref="W18:AF18" si="3">W4-W17</f>
        <v>850</v>
      </c>
      <c r="X18" s="1272">
        <f t="shared" si="3"/>
        <v>1189</v>
      </c>
      <c r="Y18" s="1272">
        <f t="shared" si="3"/>
        <v>1200</v>
      </c>
      <c r="Z18" s="1272">
        <f t="shared" si="3"/>
        <v>1155</v>
      </c>
      <c r="AA18" s="1272">
        <f t="shared" si="3"/>
        <v>800</v>
      </c>
      <c r="AB18" s="1272">
        <f t="shared" si="3"/>
        <v>1244</v>
      </c>
      <c r="AC18" s="1272">
        <f t="shared" si="3"/>
        <v>1000</v>
      </c>
      <c r="AD18" s="1272">
        <f t="shared" si="3"/>
        <v>1178</v>
      </c>
      <c r="AE18" s="1272">
        <f t="shared" si="3"/>
        <v>1205</v>
      </c>
      <c r="AF18" s="1272">
        <f t="shared" si="3"/>
        <v>1150</v>
      </c>
    </row>
    <row r="19" spans="1:32" ht="15.6" x14ac:dyDescent="0.3">
      <c r="D19" s="1278"/>
      <c r="E19" s="1278"/>
      <c r="F19" s="1278">
        <f t="shared" ref="F19:AF19" si="4">F18</f>
        <v>1200</v>
      </c>
      <c r="G19" s="1278"/>
      <c r="H19" s="1278">
        <f t="shared" si="4"/>
        <v>1155</v>
      </c>
      <c r="I19" s="1278"/>
      <c r="J19" s="1278">
        <f t="shared" si="4"/>
        <v>1195</v>
      </c>
      <c r="K19" s="1278"/>
      <c r="L19" s="1278">
        <f t="shared" si="4"/>
        <v>1222</v>
      </c>
      <c r="M19" s="1278"/>
      <c r="N19" s="1278">
        <f t="shared" si="4"/>
        <v>1183</v>
      </c>
      <c r="O19" s="1278"/>
      <c r="P19" s="1278">
        <f t="shared" si="4"/>
        <v>1320</v>
      </c>
      <c r="Q19" s="1278"/>
      <c r="R19" s="1278">
        <f t="shared" si="4"/>
        <v>1230</v>
      </c>
      <c r="S19" s="1278"/>
      <c r="T19" s="1278">
        <f t="shared" si="4"/>
        <v>1122</v>
      </c>
      <c r="U19" s="1278"/>
      <c r="V19" s="1278">
        <f t="shared" si="4"/>
        <v>1099</v>
      </c>
      <c r="W19" s="1278"/>
      <c r="X19" s="1278">
        <f t="shared" si="4"/>
        <v>1189</v>
      </c>
      <c r="Y19" s="1278"/>
      <c r="Z19" s="1278">
        <f t="shared" si="4"/>
        <v>1155</v>
      </c>
      <c r="AA19" s="1278"/>
      <c r="AB19" s="1278">
        <f t="shared" si="4"/>
        <v>1244</v>
      </c>
      <c r="AC19" s="1278"/>
      <c r="AD19" s="1278">
        <f t="shared" si="4"/>
        <v>1178</v>
      </c>
      <c r="AE19" s="1278"/>
      <c r="AF19" s="1278">
        <f t="shared" si="4"/>
        <v>1150</v>
      </c>
    </row>
  </sheetData>
  <mergeCells count="31">
    <mergeCell ref="A4:A18"/>
    <mergeCell ref="C2:D2"/>
    <mergeCell ref="AA2:AB2"/>
    <mergeCell ref="AC2:AD2"/>
    <mergeCell ref="AE2:AF2"/>
    <mergeCell ref="W2:X2"/>
    <mergeCell ref="Y2:Z2"/>
    <mergeCell ref="S2:T2"/>
    <mergeCell ref="U2:V2"/>
    <mergeCell ref="O2:P2"/>
    <mergeCell ref="Q2:R2"/>
    <mergeCell ref="K2:L2"/>
    <mergeCell ref="M2:N2"/>
    <mergeCell ref="I2:J2"/>
    <mergeCell ref="AA1:AB1"/>
    <mergeCell ref="AC1:AD1"/>
    <mergeCell ref="AE1:AF1"/>
    <mergeCell ref="E2:F2"/>
    <mergeCell ref="G2:H2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102"/>
  <sheetViews>
    <sheetView topLeftCell="A40" workbookViewId="0">
      <selection activeCell="I61" sqref="I61"/>
    </sheetView>
  </sheetViews>
  <sheetFormatPr defaultRowHeight="14.4" x14ac:dyDescent="0.3"/>
  <cols>
    <col min="1" max="1" width="5.44140625" style="309" bestFit="1" customWidth="1"/>
    <col min="2" max="2" width="44.77734375" style="312" bestFit="1" customWidth="1"/>
    <col min="3" max="3" width="12" style="310" customWidth="1"/>
    <col min="4" max="5" width="12" style="310" bestFit="1" customWidth="1"/>
  </cols>
  <sheetData>
    <row r="1" spans="1:5" x14ac:dyDescent="0.3">
      <c r="B1" s="313" t="s">
        <v>694</v>
      </c>
      <c r="C1" s="313"/>
      <c r="D1" s="313"/>
      <c r="E1" s="313"/>
    </row>
    <row r="2" spans="1:5" x14ac:dyDescent="0.3">
      <c r="A2" s="1112"/>
      <c r="B2" s="313" t="s">
        <v>695</v>
      </c>
      <c r="C2" s="313"/>
      <c r="D2" s="313"/>
      <c r="E2" s="313"/>
    </row>
    <row r="3" spans="1:5" x14ac:dyDescent="0.3">
      <c r="B3" s="311"/>
      <c r="C3" s="318"/>
      <c r="D3" s="318"/>
      <c r="E3" s="318"/>
    </row>
    <row r="4" spans="1:5" x14ac:dyDescent="0.3">
      <c r="A4" s="1112"/>
    </row>
    <row r="5" spans="1:5" ht="17.399999999999999" customHeight="1" x14ac:dyDescent="0.3">
      <c r="A5" s="309" t="s">
        <v>16</v>
      </c>
      <c r="B5" s="313" t="s">
        <v>755</v>
      </c>
      <c r="C5" s="314" t="s">
        <v>696</v>
      </c>
      <c r="D5" s="309" t="s">
        <v>697</v>
      </c>
      <c r="E5" s="309" t="s">
        <v>753</v>
      </c>
    </row>
    <row r="6" spans="1:5" x14ac:dyDescent="0.3">
      <c r="A6" s="392" t="s">
        <v>31</v>
      </c>
      <c r="B6" s="313" t="s">
        <v>754</v>
      </c>
      <c r="C6" s="314"/>
      <c r="D6" s="314"/>
      <c r="E6" s="314"/>
    </row>
    <row r="7" spans="1:5" x14ac:dyDescent="0.3">
      <c r="A7" s="372">
        <v>1</v>
      </c>
      <c r="B7" s="400" t="s">
        <v>698</v>
      </c>
      <c r="C7" s="401">
        <v>33533</v>
      </c>
      <c r="D7" s="401">
        <v>12595</v>
      </c>
      <c r="E7" s="401">
        <f>(C7+D7)/2</f>
        <v>23064</v>
      </c>
    </row>
    <row r="8" spans="1:5" x14ac:dyDescent="0.3">
      <c r="A8" s="372">
        <v>2</v>
      </c>
      <c r="B8" s="400" t="s">
        <v>699</v>
      </c>
      <c r="C8" s="401">
        <v>28334.59</v>
      </c>
      <c r="D8" s="401">
        <v>27160</v>
      </c>
      <c r="E8" s="401">
        <f t="shared" ref="E8:E71" si="0">(C8+D8)/2</f>
        <v>27747.294999999998</v>
      </c>
    </row>
    <row r="9" spans="1:5" x14ac:dyDescent="0.3">
      <c r="A9" s="372">
        <v>3</v>
      </c>
      <c r="B9" s="400" t="s">
        <v>700</v>
      </c>
      <c r="C9" s="401">
        <v>13688.39</v>
      </c>
      <c r="D9" s="401">
        <v>18601.75</v>
      </c>
      <c r="E9" s="401">
        <f t="shared" si="0"/>
        <v>16145.07</v>
      </c>
    </row>
    <row r="10" spans="1:5" x14ac:dyDescent="0.3">
      <c r="A10" s="372">
        <v>4</v>
      </c>
      <c r="B10" s="400" t="s">
        <v>701</v>
      </c>
      <c r="C10" s="401">
        <v>11742</v>
      </c>
      <c r="D10" s="401">
        <v>8239</v>
      </c>
      <c r="E10" s="401">
        <f t="shared" si="0"/>
        <v>9990.5</v>
      </c>
    </row>
    <row r="11" spans="1:5" x14ac:dyDescent="0.3">
      <c r="A11" s="372">
        <v>5</v>
      </c>
      <c r="B11" s="400" t="s">
        <v>702</v>
      </c>
      <c r="C11" s="401">
        <v>2850</v>
      </c>
      <c r="D11" s="401">
        <v>9090</v>
      </c>
      <c r="E11" s="401">
        <f t="shared" si="0"/>
        <v>5970</v>
      </c>
    </row>
    <row r="12" spans="1:5" x14ac:dyDescent="0.3">
      <c r="A12" s="372">
        <v>6</v>
      </c>
      <c r="B12" s="400" t="s">
        <v>703</v>
      </c>
      <c r="C12" s="401">
        <v>45300</v>
      </c>
      <c r="D12" s="401">
        <v>44500</v>
      </c>
      <c r="E12" s="401">
        <f t="shared" si="0"/>
        <v>44900</v>
      </c>
    </row>
    <row r="13" spans="1:5" x14ac:dyDescent="0.3">
      <c r="A13" s="372">
        <v>7</v>
      </c>
      <c r="B13" s="400" t="s">
        <v>704</v>
      </c>
      <c r="C13" s="401">
        <v>103442.49</v>
      </c>
      <c r="D13" s="401">
        <v>33741</v>
      </c>
      <c r="E13" s="401">
        <f t="shared" si="0"/>
        <v>68591.744999999995</v>
      </c>
    </row>
    <row r="14" spans="1:5" x14ac:dyDescent="0.3">
      <c r="A14" s="372">
        <v>8</v>
      </c>
      <c r="B14" s="400" t="s">
        <v>705</v>
      </c>
      <c r="C14" s="401">
        <v>17586.21</v>
      </c>
      <c r="D14" s="401">
        <v>25427.87</v>
      </c>
      <c r="E14" s="401">
        <f t="shared" si="0"/>
        <v>21507.040000000001</v>
      </c>
    </row>
    <row r="15" spans="1:5" x14ac:dyDescent="0.3">
      <c r="A15" s="372">
        <v>9</v>
      </c>
      <c r="B15" s="400" t="s">
        <v>706</v>
      </c>
      <c r="C15" s="401">
        <f>573194+252343</f>
        <v>825537</v>
      </c>
      <c r="D15" s="401">
        <f>394347+247972</f>
        <v>642319</v>
      </c>
      <c r="E15" s="401">
        <f t="shared" si="0"/>
        <v>733928</v>
      </c>
    </row>
    <row r="16" spans="1:5" x14ac:dyDescent="0.3">
      <c r="A16" s="372">
        <v>10</v>
      </c>
      <c r="B16" s="400" t="s">
        <v>707</v>
      </c>
      <c r="C16" s="401">
        <v>375</v>
      </c>
      <c r="D16" s="401">
        <v>13848.89</v>
      </c>
      <c r="E16" s="401">
        <f t="shared" si="0"/>
        <v>7111.9449999999997</v>
      </c>
    </row>
    <row r="17" spans="1:5" x14ac:dyDescent="0.3">
      <c r="A17" s="372">
        <v>11</v>
      </c>
      <c r="B17" s="400" t="s">
        <v>708</v>
      </c>
      <c r="C17" s="401">
        <v>16000</v>
      </c>
      <c r="D17" s="401">
        <v>0</v>
      </c>
      <c r="E17" s="401">
        <f t="shared" si="0"/>
        <v>8000</v>
      </c>
    </row>
    <row r="18" spans="1:5" x14ac:dyDescent="0.3">
      <c r="A18" s="372">
        <v>12</v>
      </c>
      <c r="B18" s="400" t="s">
        <v>709</v>
      </c>
      <c r="C18" s="401">
        <v>454951</v>
      </c>
      <c r="D18" s="401">
        <v>454951</v>
      </c>
      <c r="E18" s="401">
        <f t="shared" si="0"/>
        <v>454951</v>
      </c>
    </row>
    <row r="19" spans="1:5" x14ac:dyDescent="0.3">
      <c r="A19" s="372">
        <v>13</v>
      </c>
      <c r="B19" s="400" t="s">
        <v>710</v>
      </c>
      <c r="C19" s="401">
        <v>49887.5</v>
      </c>
      <c r="D19" s="401">
        <v>9781</v>
      </c>
      <c r="E19" s="401">
        <f t="shared" si="0"/>
        <v>29834.25</v>
      </c>
    </row>
    <row r="20" spans="1:5" x14ac:dyDescent="0.3">
      <c r="A20" s="372">
        <v>14</v>
      </c>
      <c r="B20" s="400" t="s">
        <v>711</v>
      </c>
      <c r="C20" s="401">
        <v>378652</v>
      </c>
      <c r="D20" s="401">
        <v>346787</v>
      </c>
      <c r="E20" s="401">
        <f t="shared" si="0"/>
        <v>362719.5</v>
      </c>
    </row>
    <row r="21" spans="1:5" x14ac:dyDescent="0.3">
      <c r="A21" s="372">
        <v>15</v>
      </c>
      <c r="B21" s="400" t="s">
        <v>712</v>
      </c>
      <c r="C21" s="401">
        <v>36869</v>
      </c>
      <c r="D21" s="401">
        <v>890</v>
      </c>
      <c r="E21" s="401">
        <f t="shared" si="0"/>
        <v>18879.5</v>
      </c>
    </row>
    <row r="22" spans="1:5" x14ac:dyDescent="0.3">
      <c r="A22" s="372">
        <v>16</v>
      </c>
      <c r="B22" s="400" t="s">
        <v>713</v>
      </c>
      <c r="C22" s="401">
        <v>528</v>
      </c>
      <c r="D22" s="401">
        <v>0</v>
      </c>
      <c r="E22" s="401">
        <f t="shared" si="0"/>
        <v>264</v>
      </c>
    </row>
    <row r="23" spans="1:5" x14ac:dyDescent="0.3">
      <c r="A23" s="372">
        <v>17</v>
      </c>
      <c r="B23" s="400" t="s">
        <v>714</v>
      </c>
      <c r="C23" s="401">
        <v>18148.66</v>
      </c>
      <c r="D23" s="401">
        <v>13200</v>
      </c>
      <c r="E23" s="401">
        <f t="shared" si="0"/>
        <v>15674.33</v>
      </c>
    </row>
    <row r="24" spans="1:5" x14ac:dyDescent="0.3">
      <c r="A24" s="372">
        <v>18</v>
      </c>
      <c r="B24" s="400" t="s">
        <v>715</v>
      </c>
      <c r="C24" s="401">
        <v>11350</v>
      </c>
      <c r="D24" s="401">
        <v>39295</v>
      </c>
      <c r="E24" s="401">
        <f t="shared" si="0"/>
        <v>25322.5</v>
      </c>
    </row>
    <row r="25" spans="1:5" x14ac:dyDescent="0.3">
      <c r="A25" s="372">
        <v>19</v>
      </c>
      <c r="B25" s="400" t="s">
        <v>716</v>
      </c>
      <c r="C25" s="401">
        <v>660</v>
      </c>
      <c r="D25" s="401">
        <v>120</v>
      </c>
      <c r="E25" s="401">
        <f t="shared" si="0"/>
        <v>390</v>
      </c>
    </row>
    <row r="26" spans="1:5" x14ac:dyDescent="0.3">
      <c r="A26" s="372">
        <v>20</v>
      </c>
      <c r="B26" s="400" t="s">
        <v>717</v>
      </c>
      <c r="C26" s="401">
        <v>11830</v>
      </c>
      <c r="D26" s="401">
        <v>74620</v>
      </c>
      <c r="E26" s="401">
        <f t="shared" si="0"/>
        <v>43225</v>
      </c>
    </row>
    <row r="27" spans="1:5" x14ac:dyDescent="0.3">
      <c r="A27" s="372">
        <v>21</v>
      </c>
      <c r="B27" s="400" t="s">
        <v>718</v>
      </c>
      <c r="C27" s="401">
        <v>39520</v>
      </c>
      <c r="D27" s="401">
        <v>234920</v>
      </c>
      <c r="E27" s="401">
        <f t="shared" si="0"/>
        <v>137220</v>
      </c>
    </row>
    <row r="28" spans="1:5" x14ac:dyDescent="0.3">
      <c r="A28" s="372">
        <v>22</v>
      </c>
      <c r="B28" s="400" t="s">
        <v>719</v>
      </c>
      <c r="C28" s="401">
        <v>190</v>
      </c>
      <c r="D28" s="401">
        <v>822</v>
      </c>
      <c r="E28" s="401">
        <f t="shared" si="0"/>
        <v>506</v>
      </c>
    </row>
    <row r="29" spans="1:5" x14ac:dyDescent="0.3">
      <c r="A29" s="372">
        <v>23</v>
      </c>
      <c r="B29" s="403" t="s">
        <v>720</v>
      </c>
      <c r="C29" s="404">
        <v>500</v>
      </c>
      <c r="D29" s="404">
        <v>500</v>
      </c>
      <c r="E29" s="404">
        <f t="shared" si="0"/>
        <v>500</v>
      </c>
    </row>
    <row r="30" spans="1:5" x14ac:dyDescent="0.3">
      <c r="A30" s="372">
        <v>24</v>
      </c>
      <c r="B30" s="403" t="s">
        <v>721</v>
      </c>
      <c r="C30" s="404">
        <v>117179</v>
      </c>
      <c r="D30" s="404">
        <v>53392</v>
      </c>
      <c r="E30" s="404">
        <f t="shared" si="0"/>
        <v>85285.5</v>
      </c>
    </row>
    <row r="31" spans="1:5" x14ac:dyDescent="0.3">
      <c r="A31" s="372">
        <v>25</v>
      </c>
      <c r="B31" s="400" t="s">
        <v>722</v>
      </c>
      <c r="C31" s="401">
        <v>32000</v>
      </c>
      <c r="D31" s="401">
        <v>32000</v>
      </c>
      <c r="E31" s="401">
        <f t="shared" si="0"/>
        <v>32000</v>
      </c>
    </row>
    <row r="32" spans="1:5" x14ac:dyDescent="0.3">
      <c r="A32" s="372">
        <v>26</v>
      </c>
      <c r="B32" s="403" t="s">
        <v>723</v>
      </c>
      <c r="C32" s="404">
        <v>6000</v>
      </c>
      <c r="D32" s="404">
        <v>4000</v>
      </c>
      <c r="E32" s="404">
        <f t="shared" si="0"/>
        <v>5000</v>
      </c>
    </row>
    <row r="33" spans="1:5" x14ac:dyDescent="0.3">
      <c r="A33" s="372">
        <v>27</v>
      </c>
      <c r="B33" s="403" t="s">
        <v>724</v>
      </c>
      <c r="C33" s="404">
        <v>16272</v>
      </c>
      <c r="D33" s="404">
        <v>11268</v>
      </c>
      <c r="E33" s="404">
        <f t="shared" si="0"/>
        <v>13770</v>
      </c>
    </row>
    <row r="34" spans="1:5" x14ac:dyDescent="0.3">
      <c r="A34" s="372">
        <v>28</v>
      </c>
      <c r="B34" s="403" t="s">
        <v>725</v>
      </c>
      <c r="C34" s="415">
        <f>2367417-703187</f>
        <v>1664230</v>
      </c>
      <c r="D34" s="415">
        <v>1689287</v>
      </c>
      <c r="E34" s="415">
        <f t="shared" si="0"/>
        <v>1676758.5</v>
      </c>
    </row>
    <row r="35" spans="1:5" x14ac:dyDescent="0.3">
      <c r="A35" s="372">
        <v>29</v>
      </c>
      <c r="B35" s="403" t="s">
        <v>726</v>
      </c>
      <c r="C35" s="404">
        <v>21686</v>
      </c>
      <c r="D35" s="404">
        <v>22476</v>
      </c>
      <c r="E35" s="404">
        <f t="shared" si="0"/>
        <v>22081</v>
      </c>
    </row>
    <row r="36" spans="1:5" x14ac:dyDescent="0.3">
      <c r="A36" s="372">
        <v>30</v>
      </c>
      <c r="B36" s="403" t="s">
        <v>727</v>
      </c>
      <c r="C36" s="404">
        <v>9104</v>
      </c>
      <c r="D36" s="404">
        <v>13314</v>
      </c>
      <c r="E36" s="404">
        <f t="shared" si="0"/>
        <v>11209</v>
      </c>
    </row>
    <row r="37" spans="1:5" x14ac:dyDescent="0.3">
      <c r="A37" s="372">
        <v>31</v>
      </c>
      <c r="B37" s="403" t="s">
        <v>728</v>
      </c>
      <c r="C37" s="404">
        <v>0</v>
      </c>
      <c r="D37" s="404">
        <v>2439</v>
      </c>
      <c r="E37" s="404">
        <f t="shared" si="0"/>
        <v>1219.5</v>
      </c>
    </row>
    <row r="38" spans="1:5" x14ac:dyDescent="0.3">
      <c r="A38" s="372">
        <v>32</v>
      </c>
      <c r="B38" s="403" t="s">
        <v>729</v>
      </c>
      <c r="C38" s="404">
        <v>63302</v>
      </c>
      <c r="D38" s="404">
        <v>28181</v>
      </c>
      <c r="E38" s="404">
        <f t="shared" si="0"/>
        <v>45741.5</v>
      </c>
    </row>
    <row r="39" spans="1:5" x14ac:dyDescent="0.3">
      <c r="A39" s="372">
        <v>33</v>
      </c>
      <c r="B39" s="403" t="s">
        <v>730</v>
      </c>
      <c r="C39" s="404">
        <v>34444</v>
      </c>
      <c r="D39" s="404">
        <v>34546</v>
      </c>
      <c r="E39" s="404">
        <f t="shared" si="0"/>
        <v>34495</v>
      </c>
    </row>
    <row r="40" spans="1:5" x14ac:dyDescent="0.3">
      <c r="A40" s="372">
        <v>34</v>
      </c>
      <c r="B40" s="403" t="s">
        <v>731</v>
      </c>
      <c r="C40" s="404">
        <v>177762</v>
      </c>
      <c r="D40" s="404">
        <v>203048</v>
      </c>
      <c r="E40" s="404">
        <f t="shared" si="0"/>
        <v>190405</v>
      </c>
    </row>
    <row r="41" spans="1:5" x14ac:dyDescent="0.3">
      <c r="A41" s="372">
        <v>35</v>
      </c>
      <c r="B41" s="403" t="s">
        <v>732</v>
      </c>
      <c r="C41" s="404"/>
      <c r="D41" s="404">
        <v>22000</v>
      </c>
      <c r="E41" s="404">
        <f t="shared" si="0"/>
        <v>11000</v>
      </c>
    </row>
    <row r="42" spans="1:5" x14ac:dyDescent="0.3">
      <c r="A42" s="372">
        <v>36</v>
      </c>
      <c r="B42" s="403" t="s">
        <v>733</v>
      </c>
      <c r="C42" s="404">
        <v>20193</v>
      </c>
      <c r="D42" s="404">
        <v>383906.25</v>
      </c>
      <c r="E42" s="404">
        <f t="shared" si="0"/>
        <v>202049.625</v>
      </c>
    </row>
    <row r="43" spans="1:5" x14ac:dyDescent="0.3">
      <c r="A43" s="372">
        <v>37</v>
      </c>
      <c r="B43" s="403" t="s">
        <v>734</v>
      </c>
      <c r="C43" s="404">
        <v>2500</v>
      </c>
      <c r="D43" s="404">
        <v>3000</v>
      </c>
      <c r="E43" s="404">
        <f t="shared" si="0"/>
        <v>2750</v>
      </c>
    </row>
    <row r="44" spans="1:5" x14ac:dyDescent="0.3">
      <c r="A44" s="372">
        <v>38</v>
      </c>
      <c r="B44" s="403" t="s">
        <v>735</v>
      </c>
      <c r="C44" s="404">
        <v>3000</v>
      </c>
      <c r="D44" s="404">
        <v>2100</v>
      </c>
      <c r="E44" s="404">
        <f t="shared" si="0"/>
        <v>2550</v>
      </c>
    </row>
    <row r="45" spans="1:5" x14ac:dyDescent="0.3">
      <c r="A45" s="372">
        <v>39</v>
      </c>
      <c r="B45" s="403" t="s">
        <v>736</v>
      </c>
      <c r="C45" s="404">
        <v>356398.5</v>
      </c>
      <c r="D45" s="404">
        <v>712798</v>
      </c>
      <c r="E45" s="404">
        <f t="shared" si="0"/>
        <v>534598.25</v>
      </c>
    </row>
    <row r="46" spans="1:5" x14ac:dyDescent="0.3">
      <c r="A46" s="372">
        <v>40</v>
      </c>
      <c r="B46" s="403" t="s">
        <v>737</v>
      </c>
      <c r="C46" s="404">
        <v>1500</v>
      </c>
      <c r="D46" s="404">
        <v>0</v>
      </c>
      <c r="E46" s="404">
        <f t="shared" si="0"/>
        <v>750</v>
      </c>
    </row>
    <row r="47" spans="1:5" ht="15" thickBot="1" x14ac:dyDescent="0.35">
      <c r="A47" s="392"/>
      <c r="B47" s="398" t="s">
        <v>456</v>
      </c>
      <c r="C47" s="1111">
        <f>SUM(C7:C46)</f>
        <v>4627045.34</v>
      </c>
      <c r="D47" s="1111">
        <f>SUM(D7:D46)</f>
        <v>5229163.76</v>
      </c>
      <c r="E47" s="1111">
        <f t="shared" si="0"/>
        <v>4928104.55</v>
      </c>
    </row>
    <row r="48" spans="1:5" ht="15" thickTop="1" x14ac:dyDescent="0.3">
      <c r="A48" s="309" t="s">
        <v>38</v>
      </c>
      <c r="B48" s="313" t="s">
        <v>65</v>
      </c>
      <c r="C48" s="314"/>
      <c r="D48" s="314"/>
      <c r="E48" s="314">
        <f t="shared" si="0"/>
        <v>0</v>
      </c>
    </row>
    <row r="49" spans="1:5" x14ac:dyDescent="0.3">
      <c r="A49" s="1110">
        <v>1</v>
      </c>
      <c r="B49" s="311" t="s">
        <v>701</v>
      </c>
      <c r="C49" s="318">
        <v>1350</v>
      </c>
      <c r="D49" s="318">
        <v>1140</v>
      </c>
      <c r="E49" s="318">
        <f t="shared" si="0"/>
        <v>1245</v>
      </c>
    </row>
    <row r="50" spans="1:5" x14ac:dyDescent="0.3">
      <c r="A50" s="1110">
        <v>2</v>
      </c>
      <c r="B50" s="311" t="s">
        <v>738</v>
      </c>
      <c r="C50" s="318">
        <v>23000</v>
      </c>
      <c r="D50" s="318">
        <v>67900</v>
      </c>
      <c r="E50" s="318">
        <f t="shared" si="0"/>
        <v>45450</v>
      </c>
    </row>
    <row r="51" spans="1:5" x14ac:dyDescent="0.3">
      <c r="A51" s="1110">
        <v>3</v>
      </c>
      <c r="B51" s="311" t="s">
        <v>739</v>
      </c>
      <c r="C51" s="318"/>
      <c r="D51" s="318">
        <v>131425</v>
      </c>
      <c r="E51" s="318">
        <f t="shared" si="0"/>
        <v>65712.5</v>
      </c>
    </row>
    <row r="52" spans="1:5" x14ac:dyDescent="0.3">
      <c r="A52" s="1110">
        <v>4</v>
      </c>
      <c r="B52" s="311" t="s">
        <v>740</v>
      </c>
      <c r="C52" s="318"/>
      <c r="D52" s="318">
        <v>13704</v>
      </c>
      <c r="E52" s="318">
        <f t="shared" si="0"/>
        <v>6852</v>
      </c>
    </row>
    <row r="53" spans="1:5" x14ac:dyDescent="0.3">
      <c r="A53" s="1110">
        <v>5</v>
      </c>
      <c r="B53" s="311" t="s">
        <v>699</v>
      </c>
      <c r="C53" s="318">
        <v>364.79</v>
      </c>
      <c r="D53" s="318">
        <v>6372.14</v>
      </c>
      <c r="E53" s="318">
        <f t="shared" si="0"/>
        <v>3368.4650000000001</v>
      </c>
    </row>
    <row r="54" spans="1:5" x14ac:dyDescent="0.3">
      <c r="A54" s="1110">
        <v>6</v>
      </c>
      <c r="B54" s="311" t="s">
        <v>715</v>
      </c>
      <c r="C54" s="318">
        <v>180</v>
      </c>
      <c r="D54" s="318">
        <v>220</v>
      </c>
      <c r="E54" s="318">
        <f t="shared" si="0"/>
        <v>200</v>
      </c>
    </row>
    <row r="55" spans="1:5" x14ac:dyDescent="0.3">
      <c r="A55" s="1110">
        <v>7</v>
      </c>
      <c r="B55" s="408" t="s">
        <v>741</v>
      </c>
      <c r="C55" s="409"/>
      <c r="D55" s="409">
        <v>2250</v>
      </c>
      <c r="E55" s="409">
        <f t="shared" si="0"/>
        <v>1125</v>
      </c>
    </row>
    <row r="56" spans="1:5" x14ac:dyDescent="0.3">
      <c r="A56" s="1110">
        <v>8</v>
      </c>
      <c r="B56" s="408" t="s">
        <v>721</v>
      </c>
      <c r="C56" s="409">
        <v>11090</v>
      </c>
      <c r="D56" s="409"/>
      <c r="E56" s="409">
        <f t="shared" si="0"/>
        <v>5545</v>
      </c>
    </row>
    <row r="57" spans="1:5" x14ac:dyDescent="0.3">
      <c r="A57" s="1110">
        <v>9</v>
      </c>
      <c r="B57" s="408" t="s">
        <v>742</v>
      </c>
      <c r="C57" s="409">
        <v>29753</v>
      </c>
      <c r="D57" s="409">
        <v>24267</v>
      </c>
      <c r="E57" s="409">
        <f t="shared" si="0"/>
        <v>27010</v>
      </c>
    </row>
    <row r="58" spans="1:5" x14ac:dyDescent="0.3">
      <c r="A58" s="1110">
        <v>10</v>
      </c>
      <c r="B58" s="408" t="s">
        <v>734</v>
      </c>
      <c r="C58" s="409"/>
      <c r="D58" s="409">
        <v>109322</v>
      </c>
      <c r="E58" s="409">
        <f t="shared" si="0"/>
        <v>54661</v>
      </c>
    </row>
    <row r="59" spans="1:5" x14ac:dyDescent="0.3">
      <c r="A59" s="1110">
        <v>11</v>
      </c>
      <c r="B59" s="408" t="s">
        <v>705</v>
      </c>
      <c r="C59" s="409">
        <v>13526.469999999998</v>
      </c>
      <c r="D59" s="409">
        <v>2220.1</v>
      </c>
      <c r="E59" s="409">
        <f t="shared" si="0"/>
        <v>7873.2849999999989</v>
      </c>
    </row>
    <row r="60" spans="1:5" x14ac:dyDescent="0.3">
      <c r="A60" s="1110">
        <v>12</v>
      </c>
      <c r="B60" s="408" t="s">
        <v>723</v>
      </c>
      <c r="C60" s="409"/>
      <c r="D60" s="409"/>
      <c r="E60" s="409">
        <f t="shared" si="0"/>
        <v>0</v>
      </c>
    </row>
    <row r="61" spans="1:5" x14ac:dyDescent="0.3">
      <c r="A61" s="1110">
        <v>13</v>
      </c>
      <c r="B61" s="408" t="s">
        <v>719</v>
      </c>
      <c r="C61" s="409">
        <v>1550</v>
      </c>
      <c r="D61" s="409">
        <v>280</v>
      </c>
      <c r="E61" s="409">
        <f t="shared" si="0"/>
        <v>915</v>
      </c>
    </row>
    <row r="62" spans="1:5" x14ac:dyDescent="0.3">
      <c r="A62" s="1110">
        <v>14</v>
      </c>
      <c r="B62" s="408" t="s">
        <v>712</v>
      </c>
      <c r="C62" s="409">
        <v>3000</v>
      </c>
      <c r="D62" s="409">
        <v>10800</v>
      </c>
      <c r="E62" s="409">
        <f t="shared" si="0"/>
        <v>6900</v>
      </c>
    </row>
    <row r="63" spans="1:5" x14ac:dyDescent="0.3">
      <c r="A63" s="1110">
        <v>15</v>
      </c>
      <c r="B63" s="408" t="s">
        <v>698</v>
      </c>
      <c r="C63" s="409">
        <v>10350</v>
      </c>
      <c r="D63" s="409">
        <v>8300</v>
      </c>
      <c r="E63" s="409">
        <f t="shared" si="0"/>
        <v>9325</v>
      </c>
    </row>
    <row r="64" spans="1:5" x14ac:dyDescent="0.3">
      <c r="A64" s="1110">
        <v>16</v>
      </c>
      <c r="B64" s="408" t="s">
        <v>725</v>
      </c>
      <c r="C64" s="409">
        <v>377749</v>
      </c>
      <c r="D64" s="409">
        <v>479781</v>
      </c>
      <c r="E64" s="409">
        <f t="shared" si="0"/>
        <v>428765</v>
      </c>
    </row>
    <row r="65" spans="1:5" x14ac:dyDescent="0.3">
      <c r="A65" s="1110">
        <v>17</v>
      </c>
      <c r="B65" s="408" t="s">
        <v>703</v>
      </c>
      <c r="C65" s="409">
        <v>73701</v>
      </c>
      <c r="D65" s="409">
        <v>29300</v>
      </c>
      <c r="E65" s="409">
        <f t="shared" si="0"/>
        <v>51500.5</v>
      </c>
    </row>
    <row r="66" spans="1:5" x14ac:dyDescent="0.3">
      <c r="A66" s="1110">
        <v>18</v>
      </c>
      <c r="B66" s="408" t="s">
        <v>729</v>
      </c>
      <c r="C66" s="409"/>
      <c r="D66" s="409">
        <v>15641</v>
      </c>
      <c r="E66" s="409">
        <f t="shared" si="0"/>
        <v>7820.5</v>
      </c>
    </row>
    <row r="67" spans="1:5" x14ac:dyDescent="0.3">
      <c r="A67" s="1110">
        <v>19</v>
      </c>
      <c r="B67" s="408" t="s">
        <v>727</v>
      </c>
      <c r="C67" s="409">
        <v>6859</v>
      </c>
      <c r="D67" s="409"/>
      <c r="E67" s="409">
        <f t="shared" si="0"/>
        <v>3429.5</v>
      </c>
    </row>
    <row r="68" spans="1:5" x14ac:dyDescent="0.3">
      <c r="A68" s="1110">
        <v>20</v>
      </c>
      <c r="B68" s="408" t="s">
        <v>700</v>
      </c>
      <c r="C68" s="409"/>
      <c r="D68" s="409">
        <v>9350</v>
      </c>
      <c r="E68" s="409">
        <f t="shared" si="0"/>
        <v>4675</v>
      </c>
    </row>
    <row r="69" spans="1:5" x14ac:dyDescent="0.3">
      <c r="A69" s="1110">
        <v>21</v>
      </c>
      <c r="B69" s="408" t="s">
        <v>743</v>
      </c>
      <c r="C69" s="409">
        <v>119600</v>
      </c>
      <c r="D69" s="409">
        <v>119600</v>
      </c>
      <c r="E69" s="409">
        <f t="shared" si="0"/>
        <v>119600</v>
      </c>
    </row>
    <row r="70" spans="1:5" x14ac:dyDescent="0.3">
      <c r="A70" s="1110">
        <v>22</v>
      </c>
      <c r="B70" s="408" t="s">
        <v>730</v>
      </c>
      <c r="C70" s="409">
        <v>37174</v>
      </c>
      <c r="D70" s="409">
        <v>42898</v>
      </c>
      <c r="E70" s="409">
        <f t="shared" si="0"/>
        <v>40036</v>
      </c>
    </row>
    <row r="71" spans="1:5" x14ac:dyDescent="0.3">
      <c r="A71" s="1110">
        <v>23</v>
      </c>
      <c r="B71" s="408" t="s">
        <v>744</v>
      </c>
      <c r="C71" s="409"/>
      <c r="D71" s="409">
        <v>247065</v>
      </c>
      <c r="E71" s="409">
        <f t="shared" si="0"/>
        <v>123532.5</v>
      </c>
    </row>
    <row r="72" spans="1:5" x14ac:dyDescent="0.3">
      <c r="A72" s="1110">
        <v>24</v>
      </c>
      <c r="B72" s="408" t="s">
        <v>745</v>
      </c>
      <c r="C72" s="409"/>
      <c r="D72" s="409">
        <v>3896</v>
      </c>
      <c r="E72" s="409">
        <f t="shared" ref="E72:E99" si="1">(C72+D72)/2</f>
        <v>1948</v>
      </c>
    </row>
    <row r="73" spans="1:5" x14ac:dyDescent="0.3">
      <c r="A73" s="1110">
        <v>25</v>
      </c>
      <c r="B73" s="408" t="s">
        <v>731</v>
      </c>
      <c r="C73" s="409"/>
      <c r="D73" s="409">
        <v>13451</v>
      </c>
      <c r="E73" s="409">
        <f t="shared" si="1"/>
        <v>6725.5</v>
      </c>
    </row>
    <row r="74" spans="1:5" x14ac:dyDescent="0.3">
      <c r="A74" s="1110">
        <v>26</v>
      </c>
      <c r="B74" s="408" t="s">
        <v>746</v>
      </c>
      <c r="C74" s="409"/>
      <c r="D74" s="409">
        <v>10350</v>
      </c>
      <c r="E74" s="409">
        <f t="shared" si="1"/>
        <v>5175</v>
      </c>
    </row>
    <row r="75" spans="1:5" x14ac:dyDescent="0.3">
      <c r="A75" s="1110">
        <v>27</v>
      </c>
      <c r="B75" s="408" t="s">
        <v>717</v>
      </c>
      <c r="C75" s="409">
        <v>2064</v>
      </c>
      <c r="D75" s="409"/>
      <c r="E75" s="409">
        <f t="shared" si="1"/>
        <v>1032</v>
      </c>
    </row>
    <row r="76" spans="1:5" x14ac:dyDescent="0.3">
      <c r="A76" s="1110">
        <v>28</v>
      </c>
      <c r="B76" s="408" t="s">
        <v>747</v>
      </c>
      <c r="C76" s="409">
        <v>9534</v>
      </c>
      <c r="D76" s="409"/>
      <c r="E76" s="409">
        <f t="shared" si="1"/>
        <v>4767</v>
      </c>
    </row>
    <row r="77" spans="1:5" ht="15" thickBot="1" x14ac:dyDescent="0.35">
      <c r="B77" s="313" t="s">
        <v>756</v>
      </c>
      <c r="C77" s="1111">
        <f>SUM(C49:C76)</f>
        <v>720845.26</v>
      </c>
      <c r="D77" s="1111">
        <f t="shared" ref="D77:E77" si="2">SUM(D49:D76)</f>
        <v>1349532.24</v>
      </c>
      <c r="E77" s="1111">
        <f t="shared" si="2"/>
        <v>1035188.75</v>
      </c>
    </row>
    <row r="78" spans="1:5" ht="15" thickTop="1" x14ac:dyDescent="0.3">
      <c r="A78" s="309" t="s">
        <v>40</v>
      </c>
      <c r="B78" s="313" t="s">
        <v>748</v>
      </c>
      <c r="C78" s="314"/>
      <c r="D78" s="314"/>
      <c r="E78" s="314">
        <f t="shared" si="1"/>
        <v>0</v>
      </c>
    </row>
    <row r="79" spans="1:5" x14ac:dyDescent="0.3">
      <c r="A79" s="1110">
        <v>1</v>
      </c>
      <c r="B79" s="311" t="s">
        <v>701</v>
      </c>
      <c r="C79" s="318"/>
      <c r="D79" s="318">
        <v>1952</v>
      </c>
      <c r="E79" s="318">
        <f t="shared" si="1"/>
        <v>976</v>
      </c>
    </row>
    <row r="80" spans="1:5" x14ac:dyDescent="0.3">
      <c r="A80" s="1110">
        <v>2</v>
      </c>
      <c r="B80" s="311" t="s">
        <v>719</v>
      </c>
      <c r="C80" s="318"/>
      <c r="D80" s="318">
        <v>3260</v>
      </c>
      <c r="E80" s="318">
        <f t="shared" si="1"/>
        <v>1630</v>
      </c>
    </row>
    <row r="81" spans="1:5" x14ac:dyDescent="0.3">
      <c r="A81" s="1110">
        <v>3</v>
      </c>
      <c r="B81" s="311" t="s">
        <v>705</v>
      </c>
      <c r="C81" s="318"/>
      <c r="D81" s="318">
        <v>600</v>
      </c>
      <c r="E81" s="318">
        <f t="shared" si="1"/>
        <v>300</v>
      </c>
    </row>
    <row r="82" spans="1:5" x14ac:dyDescent="0.3">
      <c r="A82" s="1110">
        <v>4</v>
      </c>
      <c r="B82" s="311" t="s">
        <v>699</v>
      </c>
      <c r="C82" s="318"/>
      <c r="D82" s="318">
        <v>815</v>
      </c>
      <c r="E82" s="318">
        <f t="shared" si="1"/>
        <v>407.5</v>
      </c>
    </row>
    <row r="83" spans="1:5" x14ac:dyDescent="0.3">
      <c r="A83" s="1110">
        <v>5</v>
      </c>
      <c r="B83" s="408" t="s">
        <v>733</v>
      </c>
      <c r="C83" s="409">
        <v>475172.5</v>
      </c>
      <c r="D83" s="409">
        <v>29171.97</v>
      </c>
      <c r="E83" s="409">
        <f t="shared" si="1"/>
        <v>252172.23499999999</v>
      </c>
    </row>
    <row r="84" spans="1:5" x14ac:dyDescent="0.3">
      <c r="A84" s="1110">
        <v>6</v>
      </c>
      <c r="B84" s="408" t="s">
        <v>749</v>
      </c>
      <c r="C84" s="409"/>
      <c r="D84" s="409">
        <v>1974</v>
      </c>
      <c r="E84" s="409">
        <f t="shared" si="1"/>
        <v>987</v>
      </c>
    </row>
    <row r="85" spans="1:5" x14ac:dyDescent="0.3">
      <c r="A85" s="1110">
        <v>7</v>
      </c>
      <c r="B85" s="408" t="s">
        <v>725</v>
      </c>
      <c r="C85" s="409">
        <v>1068000</v>
      </c>
      <c r="D85" s="409">
        <v>1131923</v>
      </c>
      <c r="E85" s="409">
        <f t="shared" si="1"/>
        <v>1099961.5</v>
      </c>
    </row>
    <row r="86" spans="1:5" x14ac:dyDescent="0.3">
      <c r="A86" s="1110">
        <v>8</v>
      </c>
      <c r="B86" s="408" t="s">
        <v>735</v>
      </c>
      <c r="C86" s="409"/>
      <c r="D86" s="409">
        <v>400</v>
      </c>
      <c r="E86" s="409">
        <f t="shared" si="1"/>
        <v>200</v>
      </c>
    </row>
    <row r="87" spans="1:5" x14ac:dyDescent="0.3">
      <c r="A87" s="1110">
        <v>10</v>
      </c>
      <c r="B87" s="408" t="s">
        <v>750</v>
      </c>
      <c r="C87" s="409"/>
      <c r="D87" s="409">
        <v>337020</v>
      </c>
      <c r="E87" s="409">
        <f t="shared" si="1"/>
        <v>168510</v>
      </c>
    </row>
    <row r="88" spans="1:5" x14ac:dyDescent="0.3">
      <c r="A88" s="1110">
        <v>11</v>
      </c>
      <c r="B88" s="408" t="s">
        <v>751</v>
      </c>
      <c r="C88" s="409"/>
      <c r="D88" s="409">
        <f>18845*0</f>
        <v>0</v>
      </c>
      <c r="E88" s="409">
        <f t="shared" si="1"/>
        <v>0</v>
      </c>
    </row>
    <row r="89" spans="1:5" ht="15" thickBot="1" x14ac:dyDescent="0.35">
      <c r="B89" s="313" t="s">
        <v>758</v>
      </c>
      <c r="C89" s="1111">
        <f>SUM(C79:C88)</f>
        <v>1543172.5</v>
      </c>
      <c r="D89" s="1111">
        <f>SUM(D79:D88)</f>
        <v>1507115.97</v>
      </c>
      <c r="E89" s="1111">
        <f>SUM(E79:E88)</f>
        <v>1525144.2349999999</v>
      </c>
    </row>
    <row r="90" spans="1:5" ht="15" thickTop="1" x14ac:dyDescent="0.3">
      <c r="A90" s="309" t="s">
        <v>41</v>
      </c>
      <c r="B90" s="313" t="s">
        <v>433</v>
      </c>
      <c r="C90" s="314"/>
      <c r="D90" s="314"/>
      <c r="E90" s="314">
        <f t="shared" si="1"/>
        <v>0</v>
      </c>
    </row>
    <row r="91" spans="1:5" x14ac:dyDescent="0.3">
      <c r="A91" s="1110">
        <v>1</v>
      </c>
      <c r="B91" s="311" t="s">
        <v>717</v>
      </c>
      <c r="C91" s="318">
        <v>56020</v>
      </c>
      <c r="D91" s="318">
        <v>124110</v>
      </c>
      <c r="E91" s="318">
        <f t="shared" si="1"/>
        <v>90065</v>
      </c>
    </row>
    <row r="92" spans="1:5" x14ac:dyDescent="0.3">
      <c r="A92" s="1110">
        <v>2</v>
      </c>
      <c r="B92" s="311" t="s">
        <v>714</v>
      </c>
      <c r="C92" s="318"/>
      <c r="D92" s="318"/>
      <c r="E92" s="318">
        <f t="shared" si="1"/>
        <v>0</v>
      </c>
    </row>
    <row r="93" spans="1:5" x14ac:dyDescent="0.3">
      <c r="A93" s="1110">
        <v>3</v>
      </c>
      <c r="B93" s="311" t="s">
        <v>715</v>
      </c>
      <c r="C93" s="318">
        <v>300</v>
      </c>
      <c r="D93" s="318"/>
      <c r="E93" s="318">
        <f t="shared" si="1"/>
        <v>150</v>
      </c>
    </row>
    <row r="94" spans="1:5" x14ac:dyDescent="0.3">
      <c r="A94" s="1110">
        <v>4</v>
      </c>
      <c r="B94" s="311" t="s">
        <v>733</v>
      </c>
      <c r="C94" s="318">
        <v>94320</v>
      </c>
      <c r="D94" s="318">
        <v>125560</v>
      </c>
      <c r="E94" s="318">
        <f t="shared" si="1"/>
        <v>109940</v>
      </c>
    </row>
    <row r="95" spans="1:5" x14ac:dyDescent="0.3">
      <c r="A95" s="1110">
        <v>5</v>
      </c>
      <c r="B95" s="311" t="s">
        <v>718</v>
      </c>
      <c r="C95" s="318">
        <v>6000</v>
      </c>
      <c r="D95" s="318">
        <v>2000</v>
      </c>
      <c r="E95" s="318">
        <f t="shared" si="1"/>
        <v>4000</v>
      </c>
    </row>
    <row r="96" spans="1:5" x14ac:dyDescent="0.3">
      <c r="A96" s="1110">
        <v>6</v>
      </c>
      <c r="B96" s="311" t="s">
        <v>703</v>
      </c>
      <c r="C96" s="318">
        <v>25600</v>
      </c>
      <c r="D96" s="318">
        <v>8830</v>
      </c>
      <c r="E96" s="318">
        <f t="shared" si="1"/>
        <v>17215</v>
      </c>
    </row>
    <row r="97" spans="1:5" x14ac:dyDescent="0.3">
      <c r="A97" s="1110">
        <v>7</v>
      </c>
      <c r="B97" s="311" t="s">
        <v>725</v>
      </c>
      <c r="C97" s="318">
        <v>628784</v>
      </c>
      <c r="D97" s="318">
        <v>669327</v>
      </c>
      <c r="E97" s="318">
        <f t="shared" si="1"/>
        <v>649055.5</v>
      </c>
    </row>
    <row r="98" spans="1:5" x14ac:dyDescent="0.3">
      <c r="A98" s="1110">
        <v>8</v>
      </c>
      <c r="B98" s="311" t="s">
        <v>729</v>
      </c>
      <c r="C98" s="318"/>
      <c r="D98" s="318">
        <v>3931</v>
      </c>
      <c r="E98" s="318">
        <f t="shared" si="1"/>
        <v>1965.5</v>
      </c>
    </row>
    <row r="99" spans="1:5" x14ac:dyDescent="0.3">
      <c r="A99" s="1110">
        <v>9</v>
      </c>
      <c r="B99" s="311" t="s">
        <v>752</v>
      </c>
      <c r="C99" s="318">
        <v>291536</v>
      </c>
      <c r="D99" s="318">
        <v>389363</v>
      </c>
      <c r="E99" s="318">
        <f t="shared" si="1"/>
        <v>340449.5</v>
      </c>
    </row>
    <row r="100" spans="1:5" s="1" customFormat="1" ht="15" thickBot="1" x14ac:dyDescent="0.35">
      <c r="A100" s="309"/>
      <c r="B100" s="313" t="s">
        <v>757</v>
      </c>
      <c r="C100" s="1111">
        <f>SUM(C91:C99)</f>
        <v>1102560</v>
      </c>
      <c r="D100" s="1111">
        <f>SUM(D91:D99)</f>
        <v>1323121</v>
      </c>
      <c r="E100" s="1111">
        <f>SUM(E91:E99)</f>
        <v>1212840.5</v>
      </c>
    </row>
    <row r="101" spans="1:5" ht="15" thickTop="1" x14ac:dyDescent="0.3"/>
    <row r="102" spans="1:5" x14ac:dyDescent="0.3">
      <c r="E102" s="314">
        <f>E47+E77+E89+E100</f>
        <v>8701278.0350000001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S49"/>
  <sheetViews>
    <sheetView zoomScale="102" zoomScaleNormal="102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A33" sqref="AA33"/>
    </sheetView>
  </sheetViews>
  <sheetFormatPr defaultRowHeight="14.4" outlineLevelRow="1" outlineLevelCol="1" x14ac:dyDescent="0.25"/>
  <cols>
    <col min="1" max="1" width="25.77734375" style="164" customWidth="1"/>
    <col min="2" max="2" width="4.5546875" style="974" customWidth="1"/>
    <col min="3" max="3" width="4.6640625" style="974" customWidth="1" outlineLevel="1"/>
    <col min="4" max="4" width="4.5546875" style="974" customWidth="1" outlineLevel="1"/>
    <col min="5" max="5" width="4.5546875" style="975" customWidth="1" outlineLevel="1"/>
    <col min="6" max="7" width="4.5546875" style="974" customWidth="1" outlineLevel="1"/>
    <col min="8" max="8" width="5" style="974" customWidth="1" outlineLevel="1"/>
    <col min="9" max="9" width="4.5546875" style="974" customWidth="1" outlineLevel="1"/>
    <col min="10" max="10" width="4.6640625" style="974" customWidth="1" outlineLevel="1"/>
    <col min="11" max="11" width="4.44140625" style="974" bestFit="1" customWidth="1"/>
    <col min="12" max="12" width="4.21875" style="975" customWidth="1" outlineLevel="1"/>
    <col min="13" max="14" width="4.21875" style="974" customWidth="1" outlineLevel="1"/>
    <col min="15" max="15" width="5" style="974" customWidth="1" outlineLevel="1"/>
    <col min="16" max="18" width="5.21875" style="974" customWidth="1" outlineLevel="1"/>
    <col min="19" max="19" width="5.21875" style="975" customWidth="1" outlineLevel="1"/>
    <col min="20" max="20" width="5.21875" style="974" customWidth="1" outlineLevel="1"/>
    <col min="21" max="21" width="5.21875" style="974" bestFit="1" customWidth="1"/>
    <col min="22" max="22" width="5.21875" style="976" customWidth="1" outlineLevel="1"/>
    <col min="23" max="25" width="5.21875" style="974" customWidth="1" outlineLevel="1"/>
    <col min="26" max="26" width="5.88671875" style="975" bestFit="1" customWidth="1" outlineLevel="1"/>
    <col min="27" max="27" width="5.21875" style="977" customWidth="1" outlineLevel="1"/>
    <col min="28" max="29" width="5.21875" style="974" customWidth="1" outlineLevel="1"/>
    <col min="30" max="30" width="6.21875" style="974" bestFit="1" customWidth="1" outlineLevel="1"/>
    <col min="31" max="31" width="4.6640625" style="974" bestFit="1" customWidth="1" outlineLevel="1"/>
    <col min="32" max="33" width="5.44140625" style="184" bestFit="1" customWidth="1"/>
    <col min="34" max="34" width="5.5546875" style="164" bestFit="1" customWidth="1"/>
    <col min="35" max="35" width="1.44140625" style="164" customWidth="1"/>
    <col min="36" max="36" width="15" style="164" hidden="1" customWidth="1"/>
    <col min="37" max="37" width="19.88671875" style="164" hidden="1" customWidth="1"/>
    <col min="38" max="38" width="9.44140625" style="164" hidden="1" customWidth="1"/>
    <col min="39" max="39" width="12.44140625" style="164" hidden="1" customWidth="1"/>
    <col min="40" max="40" width="9.21875" style="164" hidden="1" customWidth="1"/>
    <col min="41" max="41" width="12.109375" style="164" hidden="1" customWidth="1"/>
    <col min="42" max="42" width="17.109375" style="6" hidden="1" customWidth="1"/>
    <col min="43" max="43" width="31.33203125" style="6" hidden="1" customWidth="1"/>
    <col min="44" max="44" width="5.33203125" style="6" hidden="1" customWidth="1"/>
    <col min="45" max="45" width="11.88671875" style="6" hidden="1" customWidth="1"/>
  </cols>
  <sheetData>
    <row r="1" spans="1:45" ht="20.399999999999999" x14ac:dyDescent="0.35">
      <c r="A1" s="161" t="s">
        <v>30</v>
      </c>
      <c r="B1" s="971"/>
      <c r="C1" s="971"/>
      <c r="D1" s="971"/>
      <c r="E1" s="972"/>
      <c r="F1" s="971"/>
      <c r="G1" s="971"/>
      <c r="H1" s="973"/>
      <c r="I1" s="971"/>
      <c r="J1" s="971"/>
      <c r="K1" s="971"/>
      <c r="L1" s="972"/>
      <c r="M1" s="971"/>
      <c r="N1" s="971"/>
      <c r="O1" s="971"/>
      <c r="P1" s="971"/>
      <c r="Q1" s="971"/>
      <c r="R1" s="971"/>
      <c r="S1" s="972"/>
      <c r="T1" s="971"/>
      <c r="U1" s="971"/>
      <c r="V1" s="971"/>
      <c r="W1" s="971"/>
      <c r="X1" s="971"/>
      <c r="Y1" s="971"/>
      <c r="Z1" s="972"/>
      <c r="AA1" s="972"/>
      <c r="AB1" s="971"/>
      <c r="AC1" s="971"/>
      <c r="AD1" s="971"/>
      <c r="AE1" s="971"/>
      <c r="AF1" s="183"/>
      <c r="AG1" s="183"/>
      <c r="AH1" s="162"/>
      <c r="AI1" s="162"/>
      <c r="AJ1" s="162"/>
      <c r="AK1" s="162"/>
      <c r="AL1" s="162"/>
      <c r="AM1" s="162"/>
      <c r="AN1" s="162"/>
      <c r="AO1" s="162"/>
    </row>
    <row r="2" spans="1:45" x14ac:dyDescent="0.25">
      <c r="A2" s="564" t="s">
        <v>654</v>
      </c>
      <c r="B2" s="974">
        <v>1</v>
      </c>
      <c r="AM2" s="558"/>
      <c r="AN2" s="558"/>
      <c r="AO2" s="558"/>
    </row>
    <row r="3" spans="1:45" ht="15" thickBot="1" x14ac:dyDescent="0.35">
      <c r="A3" s="550" t="s">
        <v>198</v>
      </c>
      <c r="B3" s="978"/>
      <c r="C3" s="978"/>
      <c r="D3" s="978"/>
      <c r="E3" s="979"/>
      <c r="F3" s="978"/>
      <c r="G3" s="980"/>
      <c r="H3" s="981"/>
      <c r="I3" s="978"/>
      <c r="J3" s="978"/>
      <c r="K3" s="978"/>
      <c r="L3" s="979"/>
      <c r="M3" s="978"/>
      <c r="N3" s="978"/>
      <c r="O3" s="978"/>
      <c r="P3" s="978"/>
      <c r="Q3" s="978"/>
      <c r="R3" s="978"/>
      <c r="S3" s="979"/>
      <c r="T3" s="978"/>
      <c r="U3" s="978"/>
      <c r="V3" s="982"/>
      <c r="W3" s="978"/>
      <c r="X3" s="978"/>
      <c r="Y3" s="978"/>
      <c r="Z3" s="979"/>
      <c r="AA3" s="983"/>
      <c r="AB3" s="978"/>
      <c r="AC3" s="978"/>
      <c r="AD3" s="978"/>
      <c r="AE3" s="978"/>
      <c r="AF3" s="721">
        <v>102</v>
      </c>
      <c r="AG3" s="721"/>
      <c r="AH3" s="652"/>
      <c r="AI3" s="652"/>
      <c r="AJ3" s="715"/>
      <c r="AK3" s="725"/>
      <c r="AL3" s="726"/>
      <c r="AM3" s="652"/>
      <c r="AN3" s="652"/>
      <c r="AO3" s="652"/>
      <c r="AP3" s="128"/>
    </row>
    <row r="4" spans="1:45" x14ac:dyDescent="0.3">
      <c r="A4" s="1816" t="s">
        <v>199</v>
      </c>
      <c r="B4" s="984">
        <v>1</v>
      </c>
      <c r="C4" s="878">
        <v>2</v>
      </c>
      <c r="D4" s="878">
        <v>3</v>
      </c>
      <c r="E4" s="985">
        <v>4</v>
      </c>
      <c r="F4" s="878">
        <v>5</v>
      </c>
      <c r="G4" s="878">
        <v>6</v>
      </c>
      <c r="H4" s="878">
        <v>7</v>
      </c>
      <c r="I4" s="878">
        <v>8</v>
      </c>
      <c r="J4" s="878">
        <v>9</v>
      </c>
      <c r="K4" s="878">
        <v>10</v>
      </c>
      <c r="L4" s="985">
        <v>11</v>
      </c>
      <c r="M4" s="878">
        <v>12</v>
      </c>
      <c r="N4" s="878">
        <v>13</v>
      </c>
      <c r="O4" s="878">
        <v>14</v>
      </c>
      <c r="P4" s="878">
        <v>15</v>
      </c>
      <c r="Q4" s="878">
        <v>16</v>
      </c>
      <c r="R4" s="985">
        <v>17</v>
      </c>
      <c r="S4" s="985">
        <v>18</v>
      </c>
      <c r="T4" s="985">
        <v>19</v>
      </c>
      <c r="U4" s="878">
        <v>20</v>
      </c>
      <c r="V4" s="878">
        <v>21</v>
      </c>
      <c r="W4" s="878">
        <v>22</v>
      </c>
      <c r="X4" s="878">
        <v>23</v>
      </c>
      <c r="Y4" s="878">
        <v>24</v>
      </c>
      <c r="Z4" s="985">
        <v>25</v>
      </c>
      <c r="AA4" s="985">
        <v>26</v>
      </c>
      <c r="AB4" s="878">
        <v>27</v>
      </c>
      <c r="AC4" s="878">
        <v>28</v>
      </c>
      <c r="AD4" s="878">
        <v>29</v>
      </c>
      <c r="AE4" s="878">
        <v>30</v>
      </c>
      <c r="AF4" s="878">
        <v>31</v>
      </c>
      <c r="AG4" s="714"/>
      <c r="AH4" s="1818" t="s">
        <v>0</v>
      </c>
      <c r="AI4" s="636"/>
      <c r="AJ4" s="715"/>
      <c r="AK4" s="715"/>
      <c r="AL4" s="636"/>
      <c r="AM4" s="716"/>
      <c r="AN4" s="716"/>
      <c r="AO4" s="716"/>
      <c r="AP4" s="128"/>
    </row>
    <row r="5" spans="1:45" ht="15" thickBot="1" x14ac:dyDescent="0.35">
      <c r="A5" s="1817"/>
      <c r="B5" s="986" t="s">
        <v>206</v>
      </c>
      <c r="C5" s="879" t="s">
        <v>200</v>
      </c>
      <c r="D5" s="879" t="s">
        <v>201</v>
      </c>
      <c r="E5" s="987" t="s">
        <v>202</v>
      </c>
      <c r="F5" s="879" t="s">
        <v>203</v>
      </c>
      <c r="G5" s="879" t="s">
        <v>204</v>
      </c>
      <c r="H5" s="879" t="s">
        <v>205</v>
      </c>
      <c r="I5" s="879" t="s">
        <v>206</v>
      </c>
      <c r="J5" s="879" t="s">
        <v>200</v>
      </c>
      <c r="K5" s="879" t="s">
        <v>201</v>
      </c>
      <c r="L5" s="987" t="s">
        <v>202</v>
      </c>
      <c r="M5" s="879" t="s">
        <v>203</v>
      </c>
      <c r="N5" s="879" t="s">
        <v>204</v>
      </c>
      <c r="O5" s="879" t="s">
        <v>205</v>
      </c>
      <c r="P5" s="879" t="s">
        <v>206</v>
      </c>
      <c r="Q5" s="879" t="s">
        <v>200</v>
      </c>
      <c r="R5" s="987" t="s">
        <v>201</v>
      </c>
      <c r="S5" s="987" t="s">
        <v>202</v>
      </c>
      <c r="T5" s="987" t="s">
        <v>203</v>
      </c>
      <c r="U5" s="879" t="s">
        <v>204</v>
      </c>
      <c r="V5" s="879" t="s">
        <v>205</v>
      </c>
      <c r="W5" s="879" t="s">
        <v>206</v>
      </c>
      <c r="X5" s="879" t="s">
        <v>200</v>
      </c>
      <c r="Y5" s="879" t="s">
        <v>201</v>
      </c>
      <c r="Z5" s="987" t="s">
        <v>202</v>
      </c>
      <c r="AA5" s="987" t="s">
        <v>203</v>
      </c>
      <c r="AB5" s="879" t="s">
        <v>204</v>
      </c>
      <c r="AC5" s="879" t="s">
        <v>205</v>
      </c>
      <c r="AD5" s="879" t="s">
        <v>206</v>
      </c>
      <c r="AE5" s="879" t="s">
        <v>200</v>
      </c>
      <c r="AF5" s="879" t="s">
        <v>201</v>
      </c>
      <c r="AG5" s="720"/>
      <c r="AH5" s="1819"/>
      <c r="AI5" s="636"/>
      <c r="AJ5" s="636"/>
      <c r="AK5" s="636"/>
      <c r="AL5" s="752"/>
      <c r="AM5" s="752"/>
      <c r="AN5" s="752"/>
      <c r="AO5" s="752"/>
      <c r="AP5" s="128"/>
    </row>
    <row r="6" spans="1:45" hidden="1" outlineLevel="1" x14ac:dyDescent="0.25">
      <c r="A6" s="490" t="s">
        <v>207</v>
      </c>
      <c r="B6" s="988"/>
      <c r="C6" s="880"/>
      <c r="D6" s="880"/>
      <c r="E6" s="989"/>
      <c r="F6" s="880"/>
      <c r="G6" s="880"/>
      <c r="H6" s="880"/>
      <c r="I6" s="880"/>
      <c r="J6" s="880"/>
      <c r="K6" s="880"/>
      <c r="L6" s="989"/>
      <c r="M6" s="880"/>
      <c r="N6" s="880"/>
      <c r="O6" s="880"/>
      <c r="P6" s="880"/>
      <c r="Q6" s="880"/>
      <c r="R6" s="989"/>
      <c r="S6" s="989"/>
      <c r="T6" s="989"/>
      <c r="U6" s="880"/>
      <c r="V6" s="880"/>
      <c r="W6" s="880"/>
      <c r="X6" s="880"/>
      <c r="Y6" s="880"/>
      <c r="Z6" s="989"/>
      <c r="AA6" s="989"/>
      <c r="AB6" s="880"/>
      <c r="AC6" s="880"/>
      <c r="AD6" s="880"/>
      <c r="AE6" s="880"/>
      <c r="AF6" s="880"/>
      <c r="AG6" s="594"/>
      <c r="AH6" s="171"/>
      <c r="AI6" s="167"/>
      <c r="AJ6" s="550"/>
      <c r="AK6" s="551"/>
      <c r="AL6" s="551"/>
      <c r="AM6" s="654"/>
      <c r="AN6" s="551"/>
      <c r="AO6" s="551"/>
    </row>
    <row r="7" spans="1:45" hidden="1" outlineLevel="1" x14ac:dyDescent="0.25">
      <c r="A7" s="178" t="s">
        <v>208</v>
      </c>
      <c r="B7" s="990"/>
      <c r="C7" s="991"/>
      <c r="D7" s="991"/>
      <c r="E7" s="992"/>
      <c r="F7" s="881"/>
      <c r="G7" s="881"/>
      <c r="H7" s="881"/>
      <c r="I7" s="881"/>
      <c r="J7" s="881"/>
      <c r="K7" s="881"/>
      <c r="L7" s="992"/>
      <c r="M7" s="881"/>
      <c r="N7" s="881"/>
      <c r="O7" s="881"/>
      <c r="P7" s="881"/>
      <c r="Q7" s="881"/>
      <c r="R7" s="991"/>
      <c r="S7" s="992"/>
      <c r="T7" s="991"/>
      <c r="U7" s="881"/>
      <c r="V7" s="993"/>
      <c r="W7" s="881"/>
      <c r="X7" s="881"/>
      <c r="Y7" s="881"/>
      <c r="Z7" s="992"/>
      <c r="AA7" s="991"/>
      <c r="AB7" s="881"/>
      <c r="AC7" s="881"/>
      <c r="AD7" s="881"/>
      <c r="AE7" s="881"/>
      <c r="AF7" s="881"/>
      <c r="AG7" s="595"/>
      <c r="AH7" s="172">
        <f t="shared" ref="AH7:AH13" si="0">SUM(B7:AF7)</f>
        <v>0</v>
      </c>
      <c r="AI7" s="173"/>
      <c r="AJ7" s="733"/>
      <c r="AK7" s="733"/>
      <c r="AL7" s="200"/>
      <c r="AM7" s="733"/>
      <c r="AN7" s="733"/>
      <c r="AO7" s="733"/>
      <c r="AP7" s="214"/>
    </row>
    <row r="8" spans="1:45" hidden="1" outlineLevel="1" x14ac:dyDescent="0.25">
      <c r="A8" s="178" t="s">
        <v>209</v>
      </c>
      <c r="B8" s="990"/>
      <c r="C8" s="991"/>
      <c r="D8" s="991"/>
      <c r="E8" s="992"/>
      <c r="F8" s="881"/>
      <c r="G8" s="881"/>
      <c r="H8" s="881"/>
      <c r="I8" s="881"/>
      <c r="J8" s="881"/>
      <c r="K8" s="881"/>
      <c r="L8" s="992"/>
      <c r="M8" s="881"/>
      <c r="N8" s="881"/>
      <c r="O8" s="881"/>
      <c r="P8" s="881"/>
      <c r="Q8" s="881"/>
      <c r="R8" s="991"/>
      <c r="S8" s="992"/>
      <c r="T8" s="991"/>
      <c r="U8" s="881"/>
      <c r="V8" s="993"/>
      <c r="W8" s="881"/>
      <c r="X8" s="881"/>
      <c r="Y8" s="881"/>
      <c r="Z8" s="992"/>
      <c r="AA8" s="991"/>
      <c r="AB8" s="881"/>
      <c r="AC8" s="881"/>
      <c r="AD8" s="881"/>
      <c r="AE8" s="881"/>
      <c r="AF8" s="881"/>
      <c r="AG8" s="595"/>
      <c r="AH8" s="172">
        <f t="shared" si="0"/>
        <v>0</v>
      </c>
      <c r="AI8" s="173"/>
      <c r="AJ8" s="733"/>
      <c r="AK8" s="733"/>
      <c r="AL8" s="200"/>
      <c r="AM8" s="733"/>
      <c r="AN8" s="733"/>
      <c r="AO8" s="733"/>
      <c r="AP8" s="214"/>
    </row>
    <row r="9" spans="1:45" hidden="1" outlineLevel="1" x14ac:dyDescent="0.25">
      <c r="A9" s="178" t="s">
        <v>210</v>
      </c>
      <c r="B9" s="990"/>
      <c r="C9" s="991"/>
      <c r="D9" s="991"/>
      <c r="E9" s="992"/>
      <c r="F9" s="881"/>
      <c r="G9" s="881"/>
      <c r="H9" s="881"/>
      <c r="I9" s="881"/>
      <c r="J9" s="881"/>
      <c r="K9" s="881"/>
      <c r="L9" s="992"/>
      <c r="M9" s="881"/>
      <c r="N9" s="881"/>
      <c r="O9" s="881"/>
      <c r="P9" s="881"/>
      <c r="Q9" s="881"/>
      <c r="R9" s="991"/>
      <c r="S9" s="992"/>
      <c r="T9" s="991"/>
      <c r="U9" s="881"/>
      <c r="V9" s="993"/>
      <c r="W9" s="881"/>
      <c r="X9" s="881"/>
      <c r="Y9" s="881"/>
      <c r="Z9" s="992"/>
      <c r="AA9" s="991"/>
      <c r="AB9" s="881"/>
      <c r="AC9" s="881"/>
      <c r="AD9" s="881"/>
      <c r="AE9" s="881"/>
      <c r="AF9" s="881"/>
      <c r="AG9" s="595"/>
      <c r="AH9" s="172">
        <f t="shared" si="0"/>
        <v>0</v>
      </c>
      <c r="AI9" s="173"/>
      <c r="AJ9" s="733"/>
      <c r="AK9" s="733"/>
      <c r="AL9" s="200"/>
      <c r="AM9" s="733"/>
      <c r="AN9" s="733"/>
      <c r="AO9" s="733"/>
      <c r="AP9" s="214"/>
    </row>
    <row r="10" spans="1:45" hidden="1" outlineLevel="1" x14ac:dyDescent="0.25">
      <c r="A10" s="178" t="s">
        <v>144</v>
      </c>
      <c r="B10" s="990"/>
      <c r="C10" s="991"/>
      <c r="D10" s="991"/>
      <c r="E10" s="992"/>
      <c r="F10" s="881"/>
      <c r="G10" s="881"/>
      <c r="H10" s="881"/>
      <c r="I10" s="881"/>
      <c r="J10" s="881"/>
      <c r="K10" s="881"/>
      <c r="L10" s="992"/>
      <c r="M10" s="881"/>
      <c r="N10" s="881"/>
      <c r="O10" s="881"/>
      <c r="P10" s="881"/>
      <c r="Q10" s="881"/>
      <c r="R10" s="991"/>
      <c r="S10" s="992"/>
      <c r="T10" s="991"/>
      <c r="U10" s="881"/>
      <c r="V10" s="993"/>
      <c r="W10" s="881"/>
      <c r="X10" s="881"/>
      <c r="Y10" s="881"/>
      <c r="Z10" s="992"/>
      <c r="AA10" s="991"/>
      <c r="AB10" s="881"/>
      <c r="AC10" s="881"/>
      <c r="AD10" s="881"/>
      <c r="AE10" s="881"/>
      <c r="AF10" s="881"/>
      <c r="AG10" s="595"/>
      <c r="AH10" s="172">
        <f t="shared" si="0"/>
        <v>0</v>
      </c>
      <c r="AI10" s="173"/>
      <c r="AJ10" s="733"/>
      <c r="AK10" s="733"/>
      <c r="AL10" s="200"/>
      <c r="AM10" s="733"/>
      <c r="AN10" s="733"/>
      <c r="AO10" s="733"/>
      <c r="AP10" s="214"/>
    </row>
    <row r="11" spans="1:45" hidden="1" outlineLevel="1" x14ac:dyDescent="0.25">
      <c r="A11" s="178" t="s">
        <v>172</v>
      </c>
      <c r="B11" s="994"/>
      <c r="C11" s="881"/>
      <c r="D11" s="881"/>
      <c r="E11" s="992"/>
      <c r="F11" s="881"/>
      <c r="G11" s="881"/>
      <c r="H11" s="881"/>
      <c r="I11" s="881"/>
      <c r="J11" s="881"/>
      <c r="K11" s="881"/>
      <c r="L11" s="992"/>
      <c r="M11" s="881"/>
      <c r="N11" s="881"/>
      <c r="O11" s="881"/>
      <c r="P11" s="881"/>
      <c r="Q11" s="881"/>
      <c r="R11" s="991"/>
      <c r="S11" s="992"/>
      <c r="T11" s="991"/>
      <c r="U11" s="881"/>
      <c r="V11" s="993"/>
      <c r="W11" s="881"/>
      <c r="X11" s="881"/>
      <c r="Y11" s="881"/>
      <c r="Z11" s="992"/>
      <c r="AA11" s="991"/>
      <c r="AB11" s="881"/>
      <c r="AC11" s="881"/>
      <c r="AD11" s="881"/>
      <c r="AE11" s="881"/>
      <c r="AF11" s="881"/>
      <c r="AG11" s="595"/>
      <c r="AH11" s="172">
        <f t="shared" si="0"/>
        <v>0</v>
      </c>
      <c r="AI11" s="173"/>
      <c r="AJ11" s="733"/>
      <c r="AK11" s="733"/>
      <c r="AL11" s="200"/>
      <c r="AM11" s="733"/>
      <c r="AN11" s="733"/>
      <c r="AO11" s="733"/>
      <c r="AP11" s="214"/>
    </row>
    <row r="12" spans="1:45" hidden="1" outlineLevel="1" x14ac:dyDescent="0.25">
      <c r="A12" s="491" t="s">
        <v>211</v>
      </c>
      <c r="B12" s="882">
        <f>(B7*12+B8*33+B9*45)/1000+B10+B11</f>
        <v>0</v>
      </c>
      <c r="C12" s="882">
        <f t="shared" ref="C12:AF12" si="1">(C7*12+C8*33+C9*45)/1000+C10+C11</f>
        <v>0</v>
      </c>
      <c r="D12" s="882">
        <f t="shared" si="1"/>
        <v>0</v>
      </c>
      <c r="E12" s="995">
        <f t="shared" si="1"/>
        <v>0</v>
      </c>
      <c r="F12" s="882">
        <f t="shared" si="1"/>
        <v>0</v>
      </c>
      <c r="G12" s="882">
        <f t="shared" si="1"/>
        <v>0</v>
      </c>
      <c r="H12" s="882">
        <f t="shared" si="1"/>
        <v>0</v>
      </c>
      <c r="I12" s="882">
        <f t="shared" si="1"/>
        <v>0</v>
      </c>
      <c r="J12" s="882">
        <f t="shared" si="1"/>
        <v>0</v>
      </c>
      <c r="K12" s="882">
        <f t="shared" si="1"/>
        <v>0</v>
      </c>
      <c r="L12" s="995">
        <f t="shared" si="1"/>
        <v>0</v>
      </c>
      <c r="M12" s="882">
        <f t="shared" si="1"/>
        <v>0</v>
      </c>
      <c r="N12" s="882">
        <f t="shared" si="1"/>
        <v>0</v>
      </c>
      <c r="O12" s="882">
        <f t="shared" si="1"/>
        <v>0</v>
      </c>
      <c r="P12" s="882">
        <f t="shared" si="1"/>
        <v>0</v>
      </c>
      <c r="Q12" s="882">
        <f t="shared" si="1"/>
        <v>0</v>
      </c>
      <c r="R12" s="995">
        <f t="shared" si="1"/>
        <v>0</v>
      </c>
      <c r="S12" s="995">
        <f t="shared" si="1"/>
        <v>0</v>
      </c>
      <c r="T12" s="995">
        <f t="shared" si="1"/>
        <v>0</v>
      </c>
      <c r="U12" s="882">
        <f t="shared" si="1"/>
        <v>0</v>
      </c>
      <c r="V12" s="882">
        <f t="shared" si="1"/>
        <v>0</v>
      </c>
      <c r="W12" s="882">
        <f t="shared" si="1"/>
        <v>0</v>
      </c>
      <c r="X12" s="882">
        <f t="shared" si="1"/>
        <v>0</v>
      </c>
      <c r="Y12" s="882">
        <f t="shared" si="1"/>
        <v>0</v>
      </c>
      <c r="Z12" s="995">
        <f t="shared" si="1"/>
        <v>0</v>
      </c>
      <c r="AA12" s="995">
        <f t="shared" si="1"/>
        <v>0</v>
      </c>
      <c r="AB12" s="882">
        <f t="shared" si="1"/>
        <v>0</v>
      </c>
      <c r="AC12" s="882">
        <f t="shared" si="1"/>
        <v>0</v>
      </c>
      <c r="AD12" s="882">
        <f t="shared" si="1"/>
        <v>0</v>
      </c>
      <c r="AE12" s="882">
        <f t="shared" si="1"/>
        <v>0</v>
      </c>
      <c r="AF12" s="882">
        <f t="shared" si="1"/>
        <v>0</v>
      </c>
      <c r="AG12" s="596"/>
      <c r="AH12" s="647">
        <f t="shared" si="0"/>
        <v>0</v>
      </c>
      <c r="AI12" s="549"/>
      <c r="AJ12" s="552"/>
      <c r="AK12" s="552"/>
      <c r="AL12" s="552"/>
      <c r="AM12" s="552"/>
      <c r="AN12" s="552"/>
      <c r="AO12" s="552"/>
      <c r="AP12" s="214"/>
    </row>
    <row r="13" spans="1:45" ht="15" hidden="1" outlineLevel="1" thickBot="1" x14ac:dyDescent="0.35">
      <c r="A13" s="180" t="s">
        <v>480</v>
      </c>
      <c r="B13" s="587">
        <f>B7*'NLPG Price1005'!$C$23+Cash_Apr22V1!B8*'NLPG Price1005'!$F$23+Cash_Apr22V1!B9*'NLPG Price1005'!$I$23+Cash_Apr22V1!B10*'NLPG Price1005'!$L$23+Cash_Apr22V1!B11*'NLPG Price1005'!$O$23</f>
        <v>0</v>
      </c>
      <c r="C13" s="587">
        <f>C7*'NLPG Price1005'!$C$23+Cash_Apr22V1!C8*'NLPG Price1005'!$F$23+Cash_Apr22V1!C9*'NLPG Price1005'!$I$23+Cash_Apr22V1!C10*'NLPG Price1005'!$L$23+Cash_Apr22V1!C11*'NLPG Price1005'!$O$23</f>
        <v>0</v>
      </c>
      <c r="D13" s="587">
        <f>D7*'NLPG Price1005'!$C$23+Cash_Apr22V1!D8*'NLPG Price1005'!$F$23+Cash_Apr22V1!D9*'NLPG Price1005'!$I$23+Cash_Apr22V1!D10*'NLPG Price1005'!$L$23+Cash_Apr22V1!D11*'NLPG Price1005'!$O$23</f>
        <v>0</v>
      </c>
      <c r="E13" s="588">
        <f>E7*'NLPG Price1005'!$C$23+Cash_Apr22V1!E8*'NLPG Price1005'!$F$23+Cash_Apr22V1!E9*'NLPG Price1005'!$I$23+Cash_Apr22V1!E10*'NLPG Price1005'!$L$23+Cash_Apr22V1!E11*'NLPG Price1005'!$O$23</f>
        <v>0</v>
      </c>
      <c r="F13" s="587">
        <f>F7*'NLPG Price1005'!$C$23+Cash_Apr22V1!F8*'NLPG Price1005'!$F$23+Cash_Apr22V1!F9*'NLPG Price1005'!$I$23+Cash_Apr22V1!F10*'NLPG Price1005'!$L$23+Cash_Apr22V1!F11*'NLPG Price1005'!$O$23</f>
        <v>0</v>
      </c>
      <c r="G13" s="587">
        <f>G7*'NLPG Price1005'!$C$23+Cash_Apr22V1!G8*'NLPG Price1005'!$F$23+Cash_Apr22V1!G9*'NLPG Price1005'!$I$23+Cash_Apr22V1!G10*'NLPG Price1005'!$L$23+Cash_Apr22V1!G11*'NLPG Price1005'!$O$23</f>
        <v>0</v>
      </c>
      <c r="H13" s="587">
        <f>H7*'NLPG Price1005'!$C$23+Cash_Apr22V1!H8*'NLPG Price1005'!$F$23+Cash_Apr22V1!H9*'NLPG Price1005'!$I$23+Cash_Apr22V1!H10*'NLPG Price1005'!$L$23+Cash_Apr22V1!H11*'NLPG Price1005'!$O$23</f>
        <v>0</v>
      </c>
      <c r="I13" s="587">
        <f>I7*'NLPG Price1005'!$C$23+Cash_Apr22V1!I8*'NLPG Price1005'!$F$23+Cash_Apr22V1!I9*'NLPG Price1005'!$I$23+Cash_Apr22V1!I10*'NLPG Price1005'!$L$23+Cash_Apr22V1!I11*'NLPG Price1005'!$O$23</f>
        <v>0</v>
      </c>
      <c r="J13" s="587">
        <f>J7*'NLPG Price1005'!$C$23+Cash_Apr22V1!J8*'NLPG Price1005'!$F$23+Cash_Apr22V1!J9*'NLPG Price1005'!$I$23+Cash_Apr22V1!J10*'NLPG Price1005'!$L$23+Cash_Apr22V1!J11*'NLPG Price1005'!$O$23</f>
        <v>0</v>
      </c>
      <c r="K13" s="587">
        <f>K7*'NLPG Price1005'!$C$23+Cash_Apr22V1!K8*'NLPG Price1005'!$F$23+Cash_Apr22V1!K9*'NLPG Price1005'!$I$23+Cash_Apr22V1!K10*'NLPG Price1005'!$L$23+Cash_Apr22V1!K11*'NLPG Price1005'!$O$23</f>
        <v>0</v>
      </c>
      <c r="L13" s="588">
        <f>L7*'NLPG Price1005'!$C$23+Cash_Apr22V1!L8*'NLPG Price1005'!$F$23+Cash_Apr22V1!L9*'NLPG Price1005'!$I$23+Cash_Apr22V1!L10*'NLPG Price1005'!$L$23+Cash_Apr22V1!L11*'NLPG Price1005'!$O$23</f>
        <v>0</v>
      </c>
      <c r="M13" s="587">
        <f>M7*'NLPG Price1005'!$C$23+Cash_Apr22V1!M8*'NLPG Price1005'!$F$23+Cash_Apr22V1!M9*'NLPG Price1005'!$I$23+Cash_Apr22V1!M10*'NLPG Price1005'!$L$23+Cash_Apr22V1!M11*'NLPG Price1005'!$O$23</f>
        <v>0</v>
      </c>
      <c r="N13" s="587">
        <f>N7*'NLPG Price1005'!$C$23+Cash_Apr22V1!N8*'NLPG Price1005'!$F$23+Cash_Apr22V1!N9*'NLPG Price1005'!$I$23+Cash_Apr22V1!N10*'NLPG Price1005'!$L$23+Cash_Apr22V1!N11*'NLPG Price1005'!$O$23</f>
        <v>0</v>
      </c>
      <c r="O13" s="587">
        <f>O7*'NLPG Price1005'!$C$23+Cash_Apr22V1!O8*'NLPG Price1005'!$F$23+Cash_Apr22V1!O9*'NLPG Price1005'!$I$23+Cash_Apr22V1!O10*'NLPG Price1005'!$L$23+Cash_Apr22V1!O11*'NLPG Price1005'!$O$23</f>
        <v>0</v>
      </c>
      <c r="P13" s="587">
        <f>P7*'NLPG Price1005'!$C$23+Cash_Apr22V1!P8*'NLPG Price1005'!$F$23+Cash_Apr22V1!P9*'NLPG Price1005'!$I$23+Cash_Apr22V1!P10*'NLPG Price1005'!$L$23+Cash_Apr22V1!P11*'NLPG Price1005'!$O$23</f>
        <v>0</v>
      </c>
      <c r="Q13" s="587">
        <f>Q7*'NLPG Price1005'!$C$23+Cash_Apr22V1!Q8*'NLPG Price1005'!$F$23+Cash_Apr22V1!Q9*'NLPG Price1005'!$I$23+Cash_Apr22V1!Q10*'NLPG Price1005'!$L$23+Cash_Apr22V1!Q11*'NLPG Price1005'!$O$23</f>
        <v>0</v>
      </c>
      <c r="R13" s="588">
        <f>R7*'NLPG Price1005'!$C$23+Cash_Apr22V1!R8*'NLPG Price1005'!$F$23+Cash_Apr22V1!R9*'NLPG Price1005'!$I$23+Cash_Apr22V1!R10*'NLPG Price1005'!$L$23+Cash_Apr22V1!R11*'NLPG Price1005'!$O$23</f>
        <v>0</v>
      </c>
      <c r="S13" s="588">
        <f>S7*'NLPG Price1005'!$C$23+Cash_Apr22V1!S8*'NLPG Price1005'!$F$23+Cash_Apr22V1!S9*'NLPG Price1005'!$I$23+Cash_Apr22V1!S10*'NLPG Price1005'!$L$23+Cash_Apr22V1!S11*'NLPG Price1005'!$O$23</f>
        <v>0</v>
      </c>
      <c r="T13" s="588">
        <f>T7*'NLPG Price1005'!$C$23+Cash_Apr22V1!T8*'NLPG Price1005'!$F$23+Cash_Apr22V1!T9*'NLPG Price1005'!$I$23+Cash_Apr22V1!T10*'NLPG Price1005'!$L$23+Cash_Apr22V1!T11*'NLPG Price1005'!$O$23</f>
        <v>0</v>
      </c>
      <c r="U13" s="587">
        <f>U7*'NLPG Price1005'!$C$23+Cash_Apr22V1!U8*'NLPG Price1005'!$F$23+Cash_Apr22V1!U9*'NLPG Price1005'!$I$23+Cash_Apr22V1!U10*'NLPG Price1005'!$L$23+Cash_Apr22V1!U11*'NLPG Price1005'!$O$23</f>
        <v>0</v>
      </c>
      <c r="V13" s="587">
        <f>V7*'NLPG Price1005'!$C$23+Cash_Apr22V1!V8*'NLPG Price1005'!$F$23+Cash_Apr22V1!V9*'NLPG Price1005'!$I$23+Cash_Apr22V1!V10*'NLPG Price1005'!$L$23+Cash_Apr22V1!V11*'NLPG Price1005'!$O$23</f>
        <v>0</v>
      </c>
      <c r="W13" s="587">
        <f>W7*'NLPG Price1005'!$C$23+Cash_Apr22V1!W8*'NLPG Price1005'!$F$23+Cash_Apr22V1!W9*'NLPG Price1005'!$I$23+Cash_Apr22V1!W10*'NLPG Price1005'!$L$23+Cash_Apr22V1!W11*'NLPG Price1005'!$O$23</f>
        <v>0</v>
      </c>
      <c r="X13" s="587">
        <f>X7*'NLPG Price1005'!$C$23+Cash_Apr22V1!X8*'NLPG Price1005'!$F$23+Cash_Apr22V1!X9*'NLPG Price1005'!$I$23+Cash_Apr22V1!X10*'NLPG Price1005'!$L$23+Cash_Apr22V1!X11*'NLPG Price1005'!$O$23</f>
        <v>0</v>
      </c>
      <c r="Y13" s="587">
        <f>Y7*'NLPG Price1005'!$C$23+Cash_Apr22V1!Y8*'NLPG Price1005'!$F$23+Cash_Apr22V1!Y9*'NLPG Price1005'!$I$23+Cash_Apr22V1!Y10*'NLPG Price1005'!$L$23+Cash_Apr22V1!Y11*'NLPG Price1005'!$O$23</f>
        <v>0</v>
      </c>
      <c r="Z13" s="588">
        <f>Z7*'NLPG Price1005'!$C$23+Cash_Apr22V1!Z8*'NLPG Price1005'!$F$23+Cash_Apr22V1!Z9*'NLPG Price1005'!$I$23+Cash_Apr22V1!Z10*'NLPG Price1005'!$L$23+Cash_Apr22V1!Z11*'NLPG Price1005'!$O$23</f>
        <v>0</v>
      </c>
      <c r="AA13" s="588">
        <f>AA7*'NLPG Price1005'!$C$23+Cash_Apr22V1!AA8*'NLPG Price1005'!$F$23+Cash_Apr22V1!AA9*'NLPG Price1005'!$I$23+Cash_Apr22V1!AA10*'NLPG Price1005'!$L$23+Cash_Apr22V1!AA11*'NLPG Price1005'!$O$23</f>
        <v>0</v>
      </c>
      <c r="AB13" s="587">
        <f>AB7*'NLPG Price1005'!$C$23+Cash_Apr22V1!AB8*'NLPG Price1005'!$F$23+Cash_Apr22V1!AB9*'NLPG Price1005'!$I$23+Cash_Apr22V1!AB10*'NLPG Price1005'!$L$23+Cash_Apr22V1!AB11*'NLPG Price1005'!$O$23</f>
        <v>0</v>
      </c>
      <c r="AC13" s="587">
        <f>AC7*'NLPG Price1005'!$C$23+Cash_Apr22V1!AC8*'NLPG Price1005'!$F$23+Cash_Apr22V1!AC9*'NLPG Price1005'!$I$23+Cash_Apr22V1!AC10*'NLPG Price1005'!$L$23+Cash_Apr22V1!AC11*'NLPG Price1005'!$O$23</f>
        <v>0</v>
      </c>
      <c r="AD13" s="587">
        <f>AD7*'NLPG Price1005'!$C$23+Cash_Apr22V1!AD8*'NLPG Price1005'!$F$23+Cash_Apr22V1!AD9*'NLPG Price1005'!$I$23+Cash_Apr22V1!AD10*'NLPG Price1005'!$L$23+Cash_Apr22V1!AD11*'NLPG Price1005'!$O$23</f>
        <v>0</v>
      </c>
      <c r="AE13" s="587">
        <f>AE7*'NLPG Price1005'!$C$23+Cash_Apr22V1!AE8*'NLPG Price1005'!$F$23+Cash_Apr22V1!AE9*'NLPG Price1005'!$I$23+Cash_Apr22V1!AE10*'NLPG Price1005'!$L$23+Cash_Apr22V1!AE11*'NLPG Price1005'!$O$23</f>
        <v>0</v>
      </c>
      <c r="AF13" s="587">
        <f>AF7*'NLPG Price1005'!$C$23+Cash_Apr22V1!AF8*'NLPG Price1005'!$F$23+Cash_Apr22V1!AF9*'NLPG Price1005'!$I$23+Cash_Apr22V1!AF10*'NLPG Price1005'!$L$23+Cash_Apr22V1!AF11*'NLPG Price1005'!$O$23</f>
        <v>0</v>
      </c>
      <c r="AG13" s="597"/>
      <c r="AH13" s="562">
        <f t="shared" si="0"/>
        <v>0</v>
      </c>
      <c r="AI13" s="175"/>
      <c r="AJ13" s="614"/>
      <c r="AK13" s="614"/>
      <c r="AL13" s="614"/>
      <c r="AM13" s="614"/>
      <c r="AN13" s="614"/>
      <c r="AO13" s="196"/>
      <c r="AP13" s="485"/>
    </row>
    <row r="14" spans="1:45" ht="15" hidden="1" outlineLevel="1" thickBot="1" x14ac:dyDescent="0.3">
      <c r="A14" s="209"/>
      <c r="B14" s="522"/>
      <c r="C14" s="522"/>
      <c r="D14" s="523"/>
      <c r="E14" s="211"/>
      <c r="F14" s="522"/>
      <c r="G14" s="522"/>
      <c r="H14" s="522"/>
      <c r="I14" s="522"/>
      <c r="J14" s="522"/>
      <c r="K14" s="523"/>
      <c r="L14" s="211"/>
      <c r="M14" s="522"/>
      <c r="N14" s="522"/>
      <c r="O14" s="522"/>
      <c r="P14" s="522"/>
      <c r="Q14" s="523"/>
      <c r="R14" s="524"/>
      <c r="S14" s="211"/>
      <c r="T14" s="211"/>
      <c r="U14" s="522"/>
      <c r="V14" s="522"/>
      <c r="W14" s="522"/>
      <c r="X14" s="522"/>
      <c r="Y14" s="523"/>
      <c r="Z14" s="524"/>
      <c r="AA14" s="211"/>
      <c r="AB14" s="522"/>
      <c r="AC14" s="522"/>
      <c r="AD14" s="522"/>
      <c r="AE14" s="522"/>
      <c r="AF14" s="522"/>
      <c r="AG14" s="522"/>
      <c r="AH14" s="210"/>
      <c r="AI14" s="212"/>
      <c r="AL14" s="2332">
        <v>44614</v>
      </c>
      <c r="AM14" s="2332"/>
      <c r="AN14" s="2332">
        <v>44621</v>
      </c>
      <c r="AO14" s="2332"/>
      <c r="AP14" s="485"/>
    </row>
    <row r="15" spans="1:45" collapsed="1" x14ac:dyDescent="0.3">
      <c r="A15" s="693" t="s">
        <v>212</v>
      </c>
      <c r="B15" s="996">
        <v>11172583.5</v>
      </c>
      <c r="C15" s="883">
        <f t="shared" ref="C15:AG15" si="2">B20-B30</f>
        <v>11172583.5</v>
      </c>
      <c r="D15" s="883">
        <f t="shared" si="2"/>
        <v>11172583.5</v>
      </c>
      <c r="E15" s="997">
        <f t="shared" si="2"/>
        <v>11172583.5</v>
      </c>
      <c r="F15" s="883">
        <f t="shared" si="2"/>
        <v>11172583.5</v>
      </c>
      <c r="G15" s="883">
        <f t="shared" si="2"/>
        <v>11172583.5</v>
      </c>
      <c r="H15" s="883">
        <f t="shared" si="2"/>
        <v>11172583.5</v>
      </c>
      <c r="I15" s="883">
        <f t="shared" si="2"/>
        <v>11172583.5</v>
      </c>
      <c r="J15" s="883">
        <f t="shared" si="2"/>
        <v>11172583.5</v>
      </c>
      <c r="K15" s="883">
        <f t="shared" si="2"/>
        <v>11172583.5</v>
      </c>
      <c r="L15" s="997">
        <f t="shared" si="2"/>
        <v>11172583.5</v>
      </c>
      <c r="M15" s="883">
        <f t="shared" si="2"/>
        <v>11172583.5</v>
      </c>
      <c r="N15" s="883">
        <f t="shared" si="2"/>
        <v>11172583.5</v>
      </c>
      <c r="O15" s="883">
        <f t="shared" si="2"/>
        <v>11172583.5</v>
      </c>
      <c r="P15" s="883">
        <f t="shared" si="2"/>
        <v>11172583.5</v>
      </c>
      <c r="Q15" s="883">
        <f t="shared" si="2"/>
        <v>11172583.5</v>
      </c>
      <c r="R15" s="998">
        <f t="shared" si="2"/>
        <v>11172583.5</v>
      </c>
      <c r="S15" s="997">
        <f t="shared" si="2"/>
        <v>11172583.5</v>
      </c>
      <c r="T15" s="998">
        <f t="shared" si="2"/>
        <v>11172583.5</v>
      </c>
      <c r="U15" s="883">
        <f t="shared" si="2"/>
        <v>11172583.5</v>
      </c>
      <c r="V15" s="883">
        <f t="shared" si="2"/>
        <v>11172583.5</v>
      </c>
      <c r="W15" s="883">
        <f>V20-V30</f>
        <v>11172583.5</v>
      </c>
      <c r="X15" s="883">
        <f t="shared" si="2"/>
        <v>11172583.5</v>
      </c>
      <c r="Y15" s="883">
        <f t="shared" si="2"/>
        <v>11172583.5</v>
      </c>
      <c r="Z15" s="997">
        <f t="shared" si="2"/>
        <v>11172583.5</v>
      </c>
      <c r="AA15" s="998">
        <f t="shared" si="2"/>
        <v>11172583.5</v>
      </c>
      <c r="AB15" s="883">
        <f t="shared" si="2"/>
        <v>11172583.5</v>
      </c>
      <c r="AC15" s="883">
        <f t="shared" si="2"/>
        <v>11172583.5</v>
      </c>
      <c r="AD15" s="883">
        <f t="shared" si="2"/>
        <v>11172583.5</v>
      </c>
      <c r="AE15" s="883">
        <f t="shared" si="2"/>
        <v>11172583.5</v>
      </c>
      <c r="AF15" s="883">
        <f t="shared" si="2"/>
        <v>11172583.5</v>
      </c>
      <c r="AG15" s="697">
        <f t="shared" si="2"/>
        <v>11172583.5</v>
      </c>
      <c r="AH15" s="698">
        <f>B15</f>
        <v>11172583.5</v>
      </c>
      <c r="AI15" s="652"/>
      <c r="AJ15" s="760" t="s">
        <v>17</v>
      </c>
      <c r="AK15" s="766"/>
      <c r="AL15" s="762" t="s">
        <v>469</v>
      </c>
      <c r="AM15" s="761" t="s">
        <v>467</v>
      </c>
      <c r="AN15" s="762" t="s">
        <v>469</v>
      </c>
      <c r="AO15" s="761" t="s">
        <v>467</v>
      </c>
      <c r="AP15" s="685"/>
      <c r="AQ15" s="952" t="s">
        <v>17</v>
      </c>
      <c r="AR15" s="762" t="s">
        <v>469</v>
      </c>
      <c r="AS15" s="761" t="s">
        <v>467</v>
      </c>
    </row>
    <row r="16" spans="1:45" x14ac:dyDescent="0.3">
      <c r="A16" s="699" t="s">
        <v>644</v>
      </c>
      <c r="B16" s="999"/>
      <c r="C16" s="999"/>
      <c r="D16" s="999"/>
      <c r="E16" s="1000"/>
      <c r="F16" s="999"/>
      <c r="G16" s="999"/>
      <c r="H16" s="999"/>
      <c r="I16" s="999"/>
      <c r="J16" s="999"/>
      <c r="K16" s="999"/>
      <c r="L16" s="1000"/>
      <c r="M16" s="999"/>
      <c r="N16" s="999"/>
      <c r="O16" s="999"/>
      <c r="P16" s="999"/>
      <c r="Q16" s="999"/>
      <c r="R16" s="1001"/>
      <c r="S16" s="1000"/>
      <c r="T16" s="1001"/>
      <c r="U16" s="999"/>
      <c r="V16" s="1002"/>
      <c r="W16" s="884"/>
      <c r="X16" s="884"/>
      <c r="Y16" s="884"/>
      <c r="Z16" s="1003"/>
      <c r="AA16" s="1004"/>
      <c r="AB16" s="884"/>
      <c r="AC16" s="884"/>
      <c r="AD16" s="884"/>
      <c r="AE16" s="884"/>
      <c r="AF16" s="884"/>
      <c r="AG16" s="892"/>
      <c r="AH16" s="664">
        <f>SUM(B16:AF16)</f>
        <v>0</v>
      </c>
      <c r="AI16" s="652"/>
      <c r="AJ16" s="758" t="s">
        <v>508</v>
      </c>
      <c r="AK16" s="767"/>
      <c r="AL16" s="771">
        <f>37+93+10.54</f>
        <v>140.54</v>
      </c>
      <c r="AM16" s="759">
        <f>(AL16*90000)-4000000</f>
        <v>8648600</v>
      </c>
      <c r="AN16" s="775">
        <f>AL16+298.39-SUM(W12:Z12)</f>
        <v>438.92999999999995</v>
      </c>
      <c r="AO16" s="759">
        <f>AN16*104089</f>
        <v>45687784.769999996</v>
      </c>
      <c r="AP16" s="748"/>
      <c r="AQ16" s="941" t="s">
        <v>642</v>
      </c>
      <c r="AR16" s="771">
        <v>203.91599999999994</v>
      </c>
      <c r="AS16" s="759">
        <f>AR16*104114</f>
        <v>21230510.423999995</v>
      </c>
    </row>
    <row r="17" spans="1:45" x14ac:dyDescent="0.3">
      <c r="A17" s="699" t="s">
        <v>526</v>
      </c>
      <c r="B17" s="999"/>
      <c r="C17" s="999"/>
      <c r="D17" s="999"/>
      <c r="E17" s="1000"/>
      <c r="F17" s="999"/>
      <c r="G17" s="999"/>
      <c r="H17" s="999"/>
      <c r="I17" s="999"/>
      <c r="J17" s="999"/>
      <c r="K17" s="999"/>
      <c r="L17" s="1000"/>
      <c r="M17" s="999"/>
      <c r="N17" s="999"/>
      <c r="O17" s="999"/>
      <c r="P17" s="999"/>
      <c r="Q17" s="999"/>
      <c r="R17" s="1001"/>
      <c r="S17" s="1000"/>
      <c r="T17" s="1001"/>
      <c r="U17" s="999"/>
      <c r="V17" s="1002"/>
      <c r="W17" s="1005"/>
      <c r="X17" s="884"/>
      <c r="Y17" s="884"/>
      <c r="Z17" s="1003"/>
      <c r="AA17" s="1004"/>
      <c r="AB17" s="884"/>
      <c r="AC17" s="884"/>
      <c r="AD17" s="884"/>
      <c r="AE17" s="884"/>
      <c r="AF17" s="884"/>
      <c r="AG17" s="892"/>
      <c r="AH17" s="664">
        <f>SUM(B17:AF17)</f>
        <v>0</v>
      </c>
      <c r="AI17" s="652"/>
      <c r="AJ17" s="753" t="s">
        <v>509</v>
      </c>
      <c r="AK17" s="768"/>
      <c r="AL17" s="772"/>
      <c r="AM17" s="756">
        <f>W15</f>
        <v>11172583.5</v>
      </c>
      <c r="AN17" s="763"/>
      <c r="AO17" s="756">
        <f>AG15</f>
        <v>11172583.5</v>
      </c>
      <c r="AP17" s="704"/>
      <c r="AQ17" s="942" t="s">
        <v>643</v>
      </c>
      <c r="AR17" s="772"/>
      <c r="AS17" s="756">
        <f>J15</f>
        <v>11172583.5</v>
      </c>
    </row>
    <row r="18" spans="1:45" x14ac:dyDescent="0.3">
      <c r="A18" s="699" t="s">
        <v>571</v>
      </c>
      <c r="B18" s="999"/>
      <c r="C18" s="999"/>
      <c r="D18" s="999"/>
      <c r="E18" s="1000"/>
      <c r="F18" s="999"/>
      <c r="G18" s="999"/>
      <c r="H18" s="999"/>
      <c r="I18" s="999"/>
      <c r="J18" s="999"/>
      <c r="K18" s="999"/>
      <c r="L18" s="1000"/>
      <c r="M18" s="999"/>
      <c r="N18" s="999"/>
      <c r="O18" s="999"/>
      <c r="P18" s="999"/>
      <c r="Q18" s="999"/>
      <c r="R18" s="1001"/>
      <c r="S18" s="1000"/>
      <c r="T18" s="1001"/>
      <c r="U18" s="999"/>
      <c r="V18" s="1002"/>
      <c r="W18" s="1006"/>
      <c r="X18" s="885"/>
      <c r="Y18" s="885"/>
      <c r="Z18" s="1007"/>
      <c r="AA18" s="1008"/>
      <c r="AB18" s="885"/>
      <c r="AC18" s="885"/>
      <c r="AD18" s="885"/>
      <c r="AE18" s="885"/>
      <c r="AF18" s="885"/>
      <c r="AG18" s="892"/>
      <c r="AH18" s="664">
        <f>SUM(B18:AF18)</f>
        <v>0</v>
      </c>
      <c r="AI18" s="652"/>
      <c r="AJ18" s="753"/>
      <c r="AK18" s="768"/>
      <c r="AL18" s="772"/>
      <c r="AM18" s="877"/>
      <c r="AN18" s="763"/>
      <c r="AO18" s="877"/>
      <c r="AP18" s="704"/>
      <c r="AQ18" s="950" t="s">
        <v>645</v>
      </c>
      <c r="AR18" s="947"/>
      <c r="AS18" s="777">
        <f>AS16+AS17</f>
        <v>32403093.923999995</v>
      </c>
    </row>
    <row r="19" spans="1:45" x14ac:dyDescent="0.25">
      <c r="A19" s="656" t="s">
        <v>572</v>
      </c>
      <c r="B19" s="885"/>
      <c r="C19" s="885"/>
      <c r="D19" s="885"/>
      <c r="E19" s="1008"/>
      <c r="F19" s="885"/>
      <c r="G19" s="885"/>
      <c r="H19" s="885"/>
      <c r="I19" s="885"/>
      <c r="J19" s="885"/>
      <c r="K19" s="885"/>
      <c r="L19" s="1008"/>
      <c r="M19" s="885"/>
      <c r="N19" s="885"/>
      <c r="O19" s="885"/>
      <c r="P19" s="885"/>
      <c r="Q19" s="885"/>
      <c r="R19" s="1008"/>
      <c r="S19" s="1008"/>
      <c r="T19" s="1008"/>
      <c r="U19" s="885"/>
      <c r="V19" s="885"/>
      <c r="W19" s="885"/>
      <c r="X19" s="885"/>
      <c r="Y19" s="953"/>
      <c r="Z19" s="1008"/>
      <c r="AA19" s="1008"/>
      <c r="AB19" s="885"/>
      <c r="AC19" s="885"/>
      <c r="AD19" s="885"/>
      <c r="AE19" s="885"/>
      <c r="AF19" s="953"/>
      <c r="AG19" s="707"/>
      <c r="AH19" s="664">
        <f>SUM(B19:AF19)</f>
        <v>0</v>
      </c>
      <c r="AI19" s="652"/>
      <c r="AJ19" s="754" t="s">
        <v>529</v>
      </c>
      <c r="AK19" s="769"/>
      <c r="AL19" s="772"/>
      <c r="AM19" s="777">
        <f>AM16+AM17</f>
        <v>19821183.5</v>
      </c>
      <c r="AN19" s="764"/>
      <c r="AO19" s="777">
        <f>AO16+AO17</f>
        <v>56860368.269999996</v>
      </c>
      <c r="AP19" s="128"/>
      <c r="AQ19" s="944" t="s">
        <v>646</v>
      </c>
      <c r="AR19" s="944"/>
      <c r="AS19" s="945">
        <f>5360000+3590000+2538000</f>
        <v>11488000</v>
      </c>
    </row>
    <row r="20" spans="1:45" ht="15" thickBot="1" x14ac:dyDescent="0.35">
      <c r="A20" s="687" t="s">
        <v>213</v>
      </c>
      <c r="B20" s="886">
        <f>SUM(B15:B19)</f>
        <v>11172583.5</v>
      </c>
      <c r="C20" s="886">
        <f t="shared" ref="C20:H20" si="3">SUM(C15:C19)</f>
        <v>11172583.5</v>
      </c>
      <c r="D20" s="886">
        <f t="shared" si="3"/>
        <v>11172583.5</v>
      </c>
      <c r="E20" s="1009">
        <f t="shared" si="3"/>
        <v>11172583.5</v>
      </c>
      <c r="F20" s="886">
        <f t="shared" si="3"/>
        <v>11172583.5</v>
      </c>
      <c r="G20" s="886">
        <f t="shared" si="3"/>
        <v>11172583.5</v>
      </c>
      <c r="H20" s="886">
        <f t="shared" si="3"/>
        <v>11172583.5</v>
      </c>
      <c r="I20" s="886">
        <f>SUM(I15:I19)</f>
        <v>11172583.5</v>
      </c>
      <c r="J20" s="886">
        <f t="shared" ref="J20:AF20" si="4">SUM(J15:J19)</f>
        <v>11172583.5</v>
      </c>
      <c r="K20" s="886">
        <f t="shared" si="4"/>
        <v>11172583.5</v>
      </c>
      <c r="L20" s="1009">
        <f t="shared" si="4"/>
        <v>11172583.5</v>
      </c>
      <c r="M20" s="886">
        <f t="shared" si="4"/>
        <v>11172583.5</v>
      </c>
      <c r="N20" s="886">
        <f t="shared" si="4"/>
        <v>11172583.5</v>
      </c>
      <c r="O20" s="886">
        <f>SUM(O15:O19)</f>
        <v>11172583.5</v>
      </c>
      <c r="P20" s="886">
        <f t="shared" si="4"/>
        <v>11172583.5</v>
      </c>
      <c r="Q20" s="886">
        <f t="shared" si="4"/>
        <v>11172583.5</v>
      </c>
      <c r="R20" s="1009">
        <f t="shared" si="4"/>
        <v>11172583.5</v>
      </c>
      <c r="S20" s="1009">
        <f t="shared" si="4"/>
        <v>11172583.5</v>
      </c>
      <c r="T20" s="1009">
        <f t="shared" si="4"/>
        <v>11172583.5</v>
      </c>
      <c r="U20" s="1010">
        <f t="shared" si="4"/>
        <v>11172583.5</v>
      </c>
      <c r="V20" s="1010">
        <f t="shared" si="4"/>
        <v>11172583.5</v>
      </c>
      <c r="W20" s="886">
        <f t="shared" si="4"/>
        <v>11172583.5</v>
      </c>
      <c r="X20" s="886">
        <f t="shared" si="4"/>
        <v>11172583.5</v>
      </c>
      <c r="Y20" s="886">
        <f t="shared" si="4"/>
        <v>11172583.5</v>
      </c>
      <c r="Z20" s="1009">
        <f t="shared" si="4"/>
        <v>11172583.5</v>
      </c>
      <c r="AA20" s="1009">
        <f t="shared" si="4"/>
        <v>11172583.5</v>
      </c>
      <c r="AB20" s="886">
        <f t="shared" si="4"/>
        <v>11172583.5</v>
      </c>
      <c r="AC20" s="886">
        <f t="shared" si="4"/>
        <v>11172583.5</v>
      </c>
      <c r="AD20" s="886">
        <f t="shared" si="4"/>
        <v>11172583.5</v>
      </c>
      <c r="AE20" s="886">
        <f t="shared" si="4"/>
        <v>11172583.5</v>
      </c>
      <c r="AF20" s="886">
        <f t="shared" si="4"/>
        <v>11172583.5</v>
      </c>
      <c r="AG20" s="710"/>
      <c r="AH20" s="691">
        <f>SUM(AH15:AH19)</f>
        <v>11172583.5</v>
      </c>
      <c r="AI20" s="651"/>
      <c r="AJ20" s="753" t="s">
        <v>514</v>
      </c>
      <c r="AK20" s="769"/>
      <c r="AL20" s="773"/>
      <c r="AM20" s="776">
        <f>SUM(V23:W23)</f>
        <v>0</v>
      </c>
      <c r="AN20" s="763"/>
      <c r="AO20" s="776">
        <f>7741750/100*98.39</f>
        <v>7617107.8250000002</v>
      </c>
      <c r="AP20" s="128"/>
      <c r="AQ20" s="951" t="s">
        <v>647</v>
      </c>
      <c r="AR20" s="949"/>
      <c r="AS20" s="946">
        <f>AS18-AS19</f>
        <v>20915093.923999995</v>
      </c>
    </row>
    <row r="21" spans="1:45" x14ac:dyDescent="0.25">
      <c r="A21" s="181" t="s">
        <v>214</v>
      </c>
      <c r="B21" s="1011"/>
      <c r="C21" s="887"/>
      <c r="D21" s="887"/>
      <c r="E21" s="1012"/>
      <c r="F21" s="887"/>
      <c r="G21" s="887"/>
      <c r="H21" s="1013"/>
      <c r="I21" s="1013"/>
      <c r="J21" s="1013"/>
      <c r="K21" s="1013"/>
      <c r="L21" s="1014"/>
      <c r="M21" s="1013"/>
      <c r="N21" s="1013"/>
      <c r="O21" s="1013"/>
      <c r="P21" s="1013"/>
      <c r="Q21" s="1013"/>
      <c r="R21" s="1015"/>
      <c r="S21" s="1014"/>
      <c r="T21" s="1016"/>
      <c r="U21" s="887"/>
      <c r="V21" s="1017"/>
      <c r="W21" s="887"/>
      <c r="X21" s="887"/>
      <c r="Y21" s="887"/>
      <c r="Z21" s="1012"/>
      <c r="AA21" s="1016"/>
      <c r="AB21" s="887"/>
      <c r="AC21" s="887"/>
      <c r="AD21" s="887"/>
      <c r="AE21" s="887"/>
      <c r="AF21" s="887"/>
      <c r="AG21" s="600"/>
      <c r="AH21" s="182"/>
      <c r="AJ21" s="755" t="s">
        <v>505</v>
      </c>
      <c r="AK21" s="770"/>
      <c r="AL21" s="774"/>
      <c r="AM21" s="757">
        <f>AM19-AM20</f>
        <v>19821183.5</v>
      </c>
      <c r="AN21" s="765"/>
      <c r="AO21" s="757">
        <f>AO19-AO20</f>
        <v>49243260.444999993</v>
      </c>
      <c r="AQ21" s="941" t="s">
        <v>514</v>
      </c>
      <c r="AR21" s="948"/>
      <c r="AS21" s="776">
        <f>(7617107-7741750)</f>
        <v>-124643</v>
      </c>
    </row>
    <row r="22" spans="1:45" x14ac:dyDescent="0.25">
      <c r="A22" s="656" t="s">
        <v>221</v>
      </c>
      <c r="B22" s="889"/>
      <c r="C22" s="1018"/>
      <c r="D22" s="1018"/>
      <c r="E22" s="1019"/>
      <c r="F22" s="1018"/>
      <c r="G22" s="889"/>
      <c r="H22" s="889"/>
      <c r="I22" s="1018"/>
      <c r="J22" s="888"/>
      <c r="K22" s="888"/>
      <c r="L22" s="1020"/>
      <c r="M22" s="889"/>
      <c r="N22" s="889"/>
      <c r="O22" s="889"/>
      <c r="P22" s="889"/>
      <c r="Q22" s="889"/>
      <c r="R22" s="1021"/>
      <c r="S22" s="1020"/>
      <c r="T22" s="1022"/>
      <c r="U22" s="888"/>
      <c r="V22" s="1023"/>
      <c r="W22" s="888"/>
      <c r="X22" s="888"/>
      <c r="Y22" s="889"/>
      <c r="Z22" s="1024"/>
      <c r="AA22" s="969"/>
      <c r="AB22" s="888"/>
      <c r="AC22" s="888"/>
      <c r="AD22" s="888"/>
      <c r="AE22" s="888"/>
      <c r="AF22" s="889"/>
      <c r="AG22" s="663"/>
      <c r="AH22" s="664">
        <f t="shared" ref="AH22:AH29" si="5">SUM(B22:AF22)</f>
        <v>0</v>
      </c>
      <c r="AI22" s="652"/>
      <c r="AJ22" s="652"/>
      <c r="AK22" s="652"/>
      <c r="AL22" s="652"/>
      <c r="AM22" s="652"/>
      <c r="AN22" s="652"/>
      <c r="AO22" s="652"/>
      <c r="AP22" s="128"/>
      <c r="AQ22" s="943" t="s">
        <v>505</v>
      </c>
      <c r="AR22" s="774"/>
      <c r="AS22" s="757">
        <f>AS20-AS21</f>
        <v>21039736.923999995</v>
      </c>
    </row>
    <row r="23" spans="1:45" x14ac:dyDescent="0.3">
      <c r="A23" s="656" t="s">
        <v>182</v>
      </c>
      <c r="B23" s="888"/>
      <c r="C23" s="888"/>
      <c r="D23" s="888"/>
      <c r="E23" s="1024"/>
      <c r="F23" s="888"/>
      <c r="G23" s="888"/>
      <c r="H23" s="888"/>
      <c r="I23" s="888"/>
      <c r="J23" s="888"/>
      <c r="K23" s="888"/>
      <c r="L23" s="1024"/>
      <c r="M23" s="888"/>
      <c r="N23" s="888"/>
      <c r="O23" s="1024"/>
      <c r="P23" s="888"/>
      <c r="Q23" s="888"/>
      <c r="R23" s="969"/>
      <c r="S23" s="1024"/>
      <c r="T23" s="969"/>
      <c r="U23" s="888"/>
      <c r="V23" s="1025"/>
      <c r="W23" s="888"/>
      <c r="X23" s="888"/>
      <c r="Y23" s="888"/>
      <c r="Z23" s="1024"/>
      <c r="AA23" s="969"/>
      <c r="AB23" s="888"/>
      <c r="AC23" s="890"/>
      <c r="AD23" s="890"/>
      <c r="AE23" s="890"/>
      <c r="AF23" s="890"/>
      <c r="AG23" s="665"/>
      <c r="AH23" s="664">
        <f t="shared" si="5"/>
        <v>0</v>
      </c>
      <c r="AI23" s="652"/>
      <c r="AJ23" s="727" t="s">
        <v>524</v>
      </c>
      <c r="AK23" s="728"/>
      <c r="AL23" s="786" t="s">
        <v>520</v>
      </c>
      <c r="AM23" s="778" t="s">
        <v>521</v>
      </c>
      <c r="AN23" s="778" t="s">
        <v>530</v>
      </c>
      <c r="AO23" s="749"/>
      <c r="AP23" s="128"/>
    </row>
    <row r="24" spans="1:45" x14ac:dyDescent="0.3">
      <c r="A24" s="656" t="s">
        <v>468</v>
      </c>
      <c r="B24" s="1026"/>
      <c r="C24" s="1027"/>
      <c r="D24" s="888"/>
      <c r="E24" s="1024"/>
      <c r="F24" s="888"/>
      <c r="G24" s="1028"/>
      <c r="H24" s="884"/>
      <c r="I24" s="884"/>
      <c r="J24" s="884"/>
      <c r="K24" s="884"/>
      <c r="L24" s="1003"/>
      <c r="M24" s="884"/>
      <c r="N24" s="884"/>
      <c r="O24" s="1003"/>
      <c r="P24" s="884"/>
      <c r="Q24" s="884"/>
      <c r="R24" s="1004"/>
      <c r="S24" s="1003"/>
      <c r="T24" s="969"/>
      <c r="U24" s="1018"/>
      <c r="V24" s="1029"/>
      <c r="W24" s="888"/>
      <c r="X24" s="1028"/>
      <c r="Y24" s="888"/>
      <c r="Z24" s="1024"/>
      <c r="AA24" s="969"/>
      <c r="AB24" s="888"/>
      <c r="AC24" s="888"/>
      <c r="AD24" s="888"/>
      <c r="AE24" s="888"/>
      <c r="AF24" s="888"/>
      <c r="AG24" s="671"/>
      <c r="AH24" s="664">
        <f t="shared" si="5"/>
        <v>0</v>
      </c>
      <c r="AI24" s="652"/>
      <c r="AJ24" s="729" t="s">
        <v>528</v>
      </c>
      <c r="AK24" s="653"/>
      <c r="AL24" s="787">
        <v>837</v>
      </c>
      <c r="AM24" s="779">
        <f>AJ12</f>
        <v>0</v>
      </c>
      <c r="AN24" s="779">
        <f>AH12</f>
        <v>0</v>
      </c>
      <c r="AO24" s="672"/>
      <c r="AP24" s="128"/>
      <c r="AQ24" s="485"/>
      <c r="AS24" s="196">
        <v>19536</v>
      </c>
    </row>
    <row r="25" spans="1:45" x14ac:dyDescent="0.3">
      <c r="A25" s="656" t="s">
        <v>215</v>
      </c>
      <c r="B25" s="1018"/>
      <c r="C25" s="888"/>
      <c r="D25" s="888"/>
      <c r="E25" s="1024"/>
      <c r="F25" s="888"/>
      <c r="G25" s="888"/>
      <c r="H25" s="884"/>
      <c r="I25" s="884"/>
      <c r="J25" s="1030"/>
      <c r="K25" s="884"/>
      <c r="L25" s="1003"/>
      <c r="M25" s="884"/>
      <c r="N25" s="884"/>
      <c r="O25" s="1003"/>
      <c r="P25" s="884"/>
      <c r="Q25" s="884"/>
      <c r="R25" s="1004"/>
      <c r="S25" s="1003"/>
      <c r="T25" s="969"/>
      <c r="U25" s="888"/>
      <c r="V25" s="1023"/>
      <c r="W25" s="888"/>
      <c r="X25" s="888"/>
      <c r="Y25" s="888"/>
      <c r="Z25" s="1024"/>
      <c r="AA25" s="969"/>
      <c r="AB25" s="888"/>
      <c r="AC25" s="888"/>
      <c r="AD25" s="888"/>
      <c r="AE25" s="888"/>
      <c r="AF25" s="969"/>
      <c r="AG25" s="671"/>
      <c r="AH25" s="664">
        <f t="shared" si="5"/>
        <v>0</v>
      </c>
      <c r="AI25" s="652"/>
      <c r="AJ25" s="729" t="s">
        <v>525</v>
      </c>
      <c r="AK25" s="619"/>
      <c r="AL25" s="788">
        <v>550</v>
      </c>
      <c r="AM25" s="779">
        <f>AL16</f>
        <v>140.54</v>
      </c>
      <c r="AN25" s="779">
        <f>AN16</f>
        <v>438.92999999999995</v>
      </c>
      <c r="AO25" s="674"/>
      <c r="AP25" s="128"/>
      <c r="AQ25" s="485"/>
      <c r="AS25" s="196">
        <f>26000*12</f>
        <v>312000</v>
      </c>
    </row>
    <row r="26" spans="1:45" x14ac:dyDescent="0.3">
      <c r="A26" s="675" t="s">
        <v>216</v>
      </c>
      <c r="B26" s="1026"/>
      <c r="C26" s="1027"/>
      <c r="D26" s="888"/>
      <c r="E26" s="1024"/>
      <c r="F26" s="1027"/>
      <c r="G26" s="888"/>
      <c r="H26" s="884"/>
      <c r="I26" s="884"/>
      <c r="J26" s="884"/>
      <c r="K26" s="884"/>
      <c r="L26" s="1003"/>
      <c r="M26" s="884"/>
      <c r="N26" s="884"/>
      <c r="O26" s="1003"/>
      <c r="P26" s="884"/>
      <c r="Q26" s="884"/>
      <c r="R26" s="1004"/>
      <c r="S26" s="1003"/>
      <c r="T26" s="969"/>
      <c r="U26" s="888"/>
      <c r="V26" s="1023"/>
      <c r="W26" s="888"/>
      <c r="X26" s="888"/>
      <c r="Y26" s="888"/>
      <c r="Z26" s="1024"/>
      <c r="AA26" s="969"/>
      <c r="AB26" s="888"/>
      <c r="AC26" s="888"/>
      <c r="AD26" s="888"/>
      <c r="AE26" s="888"/>
      <c r="AF26" s="888"/>
      <c r="AG26" s="671"/>
      <c r="AH26" s="664">
        <f t="shared" si="5"/>
        <v>0</v>
      </c>
      <c r="AI26" s="676"/>
      <c r="AJ26" s="791" t="s">
        <v>522</v>
      </c>
      <c r="AK26" s="792"/>
      <c r="AL26" s="789">
        <v>1200</v>
      </c>
      <c r="AM26" s="780">
        <v>1000</v>
      </c>
      <c r="AN26" s="780">
        <v>0</v>
      </c>
      <c r="AO26" s="672"/>
      <c r="AP26" s="128"/>
      <c r="AS26" s="196">
        <f>AS25/1000</f>
        <v>312</v>
      </c>
    </row>
    <row r="27" spans="1:45" x14ac:dyDescent="0.3">
      <c r="A27" s="675" t="s">
        <v>527</v>
      </c>
      <c r="B27" s="1026"/>
      <c r="C27" s="1027"/>
      <c r="D27" s="888"/>
      <c r="E27" s="1024"/>
      <c r="F27" s="1027"/>
      <c r="G27" s="888"/>
      <c r="H27" s="884"/>
      <c r="I27" s="884"/>
      <c r="J27" s="884"/>
      <c r="K27" s="884"/>
      <c r="L27" s="1003"/>
      <c r="M27" s="884"/>
      <c r="N27" s="888"/>
      <c r="O27" s="1024"/>
      <c r="P27" s="888"/>
      <c r="Q27" s="888"/>
      <c r="R27" s="1004"/>
      <c r="S27" s="1003"/>
      <c r="T27" s="969"/>
      <c r="U27" s="888"/>
      <c r="V27" s="1023"/>
      <c r="W27" s="888"/>
      <c r="X27" s="888"/>
      <c r="Y27" s="888"/>
      <c r="Z27" s="1024"/>
      <c r="AA27" s="969"/>
      <c r="AB27" s="1031"/>
      <c r="AC27" s="1031"/>
      <c r="AD27" s="1031"/>
      <c r="AE27" s="1031"/>
      <c r="AF27" s="888"/>
      <c r="AG27" s="671"/>
      <c r="AH27" s="664">
        <f t="shared" si="5"/>
        <v>0</v>
      </c>
      <c r="AI27" s="676"/>
      <c r="AJ27" s="727" t="s">
        <v>523</v>
      </c>
      <c r="AK27" s="732"/>
      <c r="AL27" s="793">
        <f>SUM(AL24:AL26)</f>
        <v>2587</v>
      </c>
      <c r="AM27" s="794">
        <f>SUM(AM24:AM26)</f>
        <v>1140.54</v>
      </c>
      <c r="AN27" s="794">
        <f>SUM(AN24:AN26)</f>
        <v>438.92999999999995</v>
      </c>
      <c r="AO27" s="672"/>
      <c r="AP27" s="128"/>
      <c r="AS27" s="196">
        <f>AS24*12</f>
        <v>234432</v>
      </c>
    </row>
    <row r="28" spans="1:45" x14ac:dyDescent="0.3">
      <c r="A28" s="656" t="s">
        <v>217</v>
      </c>
      <c r="B28" s="1026"/>
      <c r="C28" s="1027"/>
      <c r="D28" s="888"/>
      <c r="E28" s="1024"/>
      <c r="F28" s="1027"/>
      <c r="G28" s="888"/>
      <c r="H28" s="884"/>
      <c r="I28" s="884"/>
      <c r="J28" s="884"/>
      <c r="K28" s="884"/>
      <c r="L28" s="1003"/>
      <c r="M28" s="884"/>
      <c r="N28" s="884"/>
      <c r="O28" s="884"/>
      <c r="P28" s="884"/>
      <c r="Q28" s="884"/>
      <c r="R28" s="1004"/>
      <c r="S28" s="1003"/>
      <c r="T28" s="969"/>
      <c r="U28" s="888"/>
      <c r="V28" s="1023"/>
      <c r="W28" s="888"/>
      <c r="X28" s="888"/>
      <c r="Y28" s="888"/>
      <c r="Z28" s="1024"/>
      <c r="AA28" s="969"/>
      <c r="AB28" s="888"/>
      <c r="AC28" s="888"/>
      <c r="AD28" s="888"/>
      <c r="AE28" s="888"/>
      <c r="AF28" s="888"/>
      <c r="AG28" s="671"/>
      <c r="AH28" s="664">
        <f t="shared" si="5"/>
        <v>0</v>
      </c>
      <c r="AI28" s="652"/>
      <c r="AJ28" s="791" t="s">
        <v>519</v>
      </c>
      <c r="AK28" s="792"/>
      <c r="AL28" s="789">
        <v>100</v>
      </c>
      <c r="AM28" s="780">
        <v>99</v>
      </c>
      <c r="AN28" s="782">
        <f>AN16</f>
        <v>438.92999999999995</v>
      </c>
      <c r="AO28" s="677"/>
      <c r="AP28" s="128"/>
      <c r="AQ28" s="968">
        <f>AS21/77417.5</f>
        <v>-1.6100106565053121</v>
      </c>
    </row>
    <row r="29" spans="1:45" x14ac:dyDescent="0.3">
      <c r="A29" s="656" t="s">
        <v>466</v>
      </c>
      <c r="B29" s="1026"/>
      <c r="C29" s="1032"/>
      <c r="D29" s="888"/>
      <c r="E29" s="1024"/>
      <c r="F29" s="888"/>
      <c r="G29" s="888"/>
      <c r="H29" s="1032"/>
      <c r="I29" s="1032"/>
      <c r="J29" s="884"/>
      <c r="K29" s="1032"/>
      <c r="L29" s="1003"/>
      <c r="M29" s="884"/>
      <c r="N29" s="884"/>
      <c r="O29" s="884"/>
      <c r="P29" s="884"/>
      <c r="Q29" s="884"/>
      <c r="R29" s="1004"/>
      <c r="S29" s="1003"/>
      <c r="T29" s="969"/>
      <c r="U29" s="888"/>
      <c r="V29" s="1023"/>
      <c r="W29" s="888"/>
      <c r="X29" s="888"/>
      <c r="Y29" s="888"/>
      <c r="Z29" s="1024"/>
      <c r="AA29" s="969"/>
      <c r="AB29" s="888"/>
      <c r="AC29" s="888"/>
      <c r="AD29" s="888"/>
      <c r="AE29" s="888"/>
      <c r="AF29" s="888"/>
      <c r="AG29" s="671"/>
      <c r="AH29" s="664">
        <f t="shared" si="5"/>
        <v>0</v>
      </c>
      <c r="AI29" s="652"/>
      <c r="AJ29" s="652"/>
      <c r="AK29" s="652"/>
      <c r="AL29" s="652"/>
      <c r="AM29" s="652"/>
      <c r="AN29" s="685"/>
      <c r="AO29" s="685"/>
      <c r="AP29" s="128"/>
    </row>
    <row r="30" spans="1:45" ht="15" thickBot="1" x14ac:dyDescent="0.35">
      <c r="A30" s="687" t="s">
        <v>218</v>
      </c>
      <c r="B30" s="891">
        <f t="shared" ref="B30:AF30" si="6">SUM(B22:B29)</f>
        <v>0</v>
      </c>
      <c r="C30" s="891">
        <f t="shared" si="6"/>
        <v>0</v>
      </c>
      <c r="D30" s="891">
        <f t="shared" si="6"/>
        <v>0</v>
      </c>
      <c r="E30" s="1033">
        <f t="shared" si="6"/>
        <v>0</v>
      </c>
      <c r="F30" s="891">
        <f t="shared" si="6"/>
        <v>0</v>
      </c>
      <c r="G30" s="891">
        <f t="shared" si="6"/>
        <v>0</v>
      </c>
      <c r="H30" s="891">
        <f t="shared" si="6"/>
        <v>0</v>
      </c>
      <c r="I30" s="891">
        <f t="shared" si="6"/>
        <v>0</v>
      </c>
      <c r="J30" s="891">
        <f t="shared" si="6"/>
        <v>0</v>
      </c>
      <c r="K30" s="891">
        <f t="shared" si="6"/>
        <v>0</v>
      </c>
      <c r="L30" s="1033">
        <f t="shared" si="6"/>
        <v>0</v>
      </c>
      <c r="M30" s="891">
        <f t="shared" si="6"/>
        <v>0</v>
      </c>
      <c r="N30" s="891">
        <f t="shared" si="6"/>
        <v>0</v>
      </c>
      <c r="O30" s="891">
        <f t="shared" si="6"/>
        <v>0</v>
      </c>
      <c r="P30" s="891">
        <f t="shared" si="6"/>
        <v>0</v>
      </c>
      <c r="Q30" s="891">
        <f t="shared" si="6"/>
        <v>0</v>
      </c>
      <c r="R30" s="1033">
        <f t="shared" si="6"/>
        <v>0</v>
      </c>
      <c r="S30" s="1033">
        <f t="shared" si="6"/>
        <v>0</v>
      </c>
      <c r="T30" s="1033">
        <f t="shared" si="6"/>
        <v>0</v>
      </c>
      <c r="U30" s="891">
        <f t="shared" si="6"/>
        <v>0</v>
      </c>
      <c r="V30" s="891">
        <f>SUM(V22:V29)</f>
        <v>0</v>
      </c>
      <c r="W30" s="891">
        <f t="shared" si="6"/>
        <v>0</v>
      </c>
      <c r="X30" s="891">
        <f t="shared" si="6"/>
        <v>0</v>
      </c>
      <c r="Y30" s="891">
        <f t="shared" si="6"/>
        <v>0</v>
      </c>
      <c r="Z30" s="1033">
        <f t="shared" si="6"/>
        <v>0</v>
      </c>
      <c r="AA30" s="1033">
        <f t="shared" si="6"/>
        <v>0</v>
      </c>
      <c r="AB30" s="891">
        <f t="shared" si="6"/>
        <v>0</v>
      </c>
      <c r="AC30" s="891">
        <f t="shared" si="6"/>
        <v>0</v>
      </c>
      <c r="AD30" s="891">
        <f t="shared" si="6"/>
        <v>0</v>
      </c>
      <c r="AE30" s="891">
        <f t="shared" si="6"/>
        <v>0</v>
      </c>
      <c r="AF30" s="891">
        <f t="shared" si="6"/>
        <v>0</v>
      </c>
      <c r="AG30" s="690"/>
      <c r="AH30" s="691">
        <f>SUM(AH22:AH29)</f>
        <v>0</v>
      </c>
      <c r="AI30" s="651"/>
      <c r="AJ30" s="692"/>
      <c r="AK30" s="784"/>
      <c r="AL30" s="785"/>
      <c r="AM30" s="785"/>
      <c r="AN30" s="692"/>
      <c r="AO30" s="692"/>
      <c r="AP30" s="128"/>
    </row>
    <row r="31" spans="1:45" x14ac:dyDescent="0.25">
      <c r="AJ31" s="617"/>
      <c r="AK31" s="619"/>
      <c r="AL31" s="649"/>
      <c r="AM31" s="617"/>
      <c r="AN31" s="617"/>
      <c r="AO31" s="733"/>
    </row>
    <row r="32" spans="1:45" ht="28.2" x14ac:dyDescent="0.3">
      <c r="A32" s="955" t="s">
        <v>648</v>
      </c>
      <c r="B32" s="1034" t="s">
        <v>649</v>
      </c>
      <c r="AF32" s="196"/>
      <c r="AJ32" s="618"/>
      <c r="AK32" s="622"/>
      <c r="AL32" s="650"/>
      <c r="AM32" s="650"/>
      <c r="AN32" s="627"/>
      <c r="AO32" s="627"/>
    </row>
    <row r="33" spans="1:41" x14ac:dyDescent="0.3">
      <c r="A33" s="954">
        <v>44562</v>
      </c>
      <c r="B33" s="1035">
        <f>AD29*0.002</f>
        <v>0</v>
      </c>
      <c r="AF33" s="196"/>
      <c r="AJ33" s="618"/>
      <c r="AK33" s="622"/>
      <c r="AL33" s="650"/>
      <c r="AM33" s="650"/>
      <c r="AN33" s="627"/>
      <c r="AO33" s="627"/>
    </row>
    <row r="34" spans="1:41" x14ac:dyDescent="0.3">
      <c r="A34" s="954">
        <v>44593</v>
      </c>
      <c r="B34" s="1035">
        <f>AE29*0.002</f>
        <v>0</v>
      </c>
      <c r="D34" s="1036"/>
      <c r="E34" s="1037"/>
      <c r="F34" s="1036"/>
      <c r="G34" s="1036"/>
      <c r="H34" s="1036"/>
      <c r="I34" s="1036"/>
      <c r="J34" s="1036"/>
      <c r="K34" s="1036"/>
      <c r="L34" s="1037"/>
      <c r="M34" s="1036"/>
      <c r="N34" s="1036"/>
      <c r="O34" s="1036"/>
      <c r="P34" s="1036"/>
      <c r="Q34" s="1036"/>
      <c r="R34" s="1036"/>
      <c r="AF34" s="196"/>
      <c r="AJ34" s="617"/>
      <c r="AK34" s="620"/>
      <c r="AL34" s="620"/>
      <c r="AM34" s="649"/>
      <c r="AN34" s="618"/>
      <c r="AO34" s="618"/>
    </row>
    <row r="35" spans="1:41" x14ac:dyDescent="0.3">
      <c r="A35" s="552" t="s">
        <v>0</v>
      </c>
      <c r="B35" s="1038">
        <f>B33+B34</f>
        <v>0</v>
      </c>
      <c r="AF35" s="196"/>
      <c r="AJ35" s="617"/>
      <c r="AK35" s="620"/>
      <c r="AL35" s="620"/>
      <c r="AM35" s="617"/>
      <c r="AN35" s="617"/>
      <c r="AO35" s="617"/>
    </row>
    <row r="36" spans="1:41" x14ac:dyDescent="0.3">
      <c r="A36" s="956" t="s">
        <v>650</v>
      </c>
      <c r="AF36" s="196"/>
      <c r="AJ36" s="618"/>
      <c r="AK36" s="622"/>
      <c r="AL36" s="622"/>
      <c r="AM36" s="650"/>
      <c r="AN36" s="620"/>
    </row>
    <row r="37" spans="1:41" x14ac:dyDescent="0.3">
      <c r="A37" s="200"/>
      <c r="AF37" s="196"/>
      <c r="AJ37" s="618"/>
      <c r="AK37" s="622"/>
      <c r="AL37" s="622"/>
      <c r="AM37" s="618"/>
      <c r="AN37" s="620"/>
    </row>
    <row r="38" spans="1:41" x14ac:dyDescent="0.25">
      <c r="AF38" s="970"/>
      <c r="AM38" s="200"/>
    </row>
    <row r="39" spans="1:41" x14ac:dyDescent="0.3">
      <c r="A39" s="200"/>
      <c r="AF39" s="196"/>
      <c r="AG39" s="970"/>
      <c r="AH39" s="200"/>
      <c r="AM39" s="200"/>
    </row>
    <row r="40" spans="1:41" x14ac:dyDescent="0.25">
      <c r="A40" s="200"/>
      <c r="AF40" s="970"/>
    </row>
    <row r="41" spans="1:41" x14ac:dyDescent="0.25">
      <c r="A41" s="200"/>
    </row>
    <row r="42" spans="1:41" x14ac:dyDescent="0.3">
      <c r="A42" s="200"/>
      <c r="AF42" s="196"/>
    </row>
    <row r="43" spans="1:41" x14ac:dyDescent="0.25">
      <c r="A43" s="200"/>
    </row>
    <row r="44" spans="1:41" x14ac:dyDescent="0.3">
      <c r="A44" s="196"/>
    </row>
    <row r="45" spans="1:41" x14ac:dyDescent="0.3">
      <c r="A45" s="196"/>
    </row>
    <row r="46" spans="1:41" x14ac:dyDescent="0.25">
      <c r="A46" s="200"/>
    </row>
    <row r="47" spans="1:41" x14ac:dyDescent="0.25">
      <c r="A47" s="200"/>
    </row>
    <row r="48" spans="1:41" x14ac:dyDescent="0.25">
      <c r="A48" s="200"/>
    </row>
    <row r="49" spans="1:1" x14ac:dyDescent="0.25">
      <c r="A49" s="200"/>
    </row>
  </sheetData>
  <mergeCells count="4">
    <mergeCell ref="A4:A5"/>
    <mergeCell ref="AH4:AH5"/>
    <mergeCell ref="AL14:AM14"/>
    <mergeCell ref="AN14:AO14"/>
  </mergeCells>
  <pageMargins left="0.7" right="0.7" top="0.75" bottom="0.75" header="0.3" footer="0.3"/>
  <pageSetup scale="51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8" sqref="F18"/>
    </sheetView>
  </sheetViews>
  <sheetFormatPr defaultRowHeight="14.4" x14ac:dyDescent="0.3"/>
  <cols>
    <col min="1" max="1" width="35.6640625" style="1041" customWidth="1"/>
    <col min="2" max="2" width="8.88671875" style="1041" bestFit="1" customWidth="1"/>
    <col min="3" max="3" width="29.109375" style="1041" bestFit="1" customWidth="1"/>
    <col min="4" max="4" width="8.88671875" style="1041" bestFit="1" customWidth="1"/>
    <col min="5" max="5" width="8.88671875" style="1041"/>
    <col min="6" max="16384" width="8.88671875" style="1042"/>
  </cols>
  <sheetData>
    <row r="1" spans="1:5" ht="17.399999999999999" x14ac:dyDescent="0.3">
      <c r="A1" s="1040" t="s">
        <v>663</v>
      </c>
    </row>
    <row r="3" spans="1:5" x14ac:dyDescent="0.3">
      <c r="A3" s="2333" t="s">
        <v>30</v>
      </c>
      <c r="B3" s="2334"/>
      <c r="C3" s="2333" t="s">
        <v>664</v>
      </c>
      <c r="D3" s="2335"/>
    </row>
    <row r="4" spans="1:5" s="1047" customFormat="1" x14ac:dyDescent="0.3">
      <c r="A4" s="1043" t="s">
        <v>17</v>
      </c>
      <c r="B4" s="1044" t="s">
        <v>653</v>
      </c>
      <c r="C4" s="1043" t="s">
        <v>17</v>
      </c>
      <c r="D4" s="1045" t="s">
        <v>653</v>
      </c>
      <c r="E4" s="1046"/>
    </row>
    <row r="5" spans="1:5" x14ac:dyDescent="0.3">
      <c r="A5" s="1048" t="s">
        <v>665</v>
      </c>
      <c r="B5" s="1049">
        <f>89827.5*8</f>
        <v>718620</v>
      </c>
      <c r="C5" s="1048" t="s">
        <v>666</v>
      </c>
      <c r="D5" s="1050">
        <v>1.96</v>
      </c>
    </row>
    <row r="6" spans="1:5" x14ac:dyDescent="0.3">
      <c r="A6" s="1051" t="s">
        <v>667</v>
      </c>
      <c r="B6" s="1052">
        <v>24000</v>
      </c>
      <c r="C6" s="1051" t="s">
        <v>668</v>
      </c>
      <c r="D6" s="1053">
        <v>64.78</v>
      </c>
    </row>
    <row r="7" spans="1:5" x14ac:dyDescent="0.3">
      <c r="A7" s="1051" t="s">
        <v>669</v>
      </c>
      <c r="B7" s="1052">
        <f>8*4145</f>
        <v>33160</v>
      </c>
      <c r="C7" s="1051" t="s">
        <v>670</v>
      </c>
      <c r="D7" s="1053">
        <f>D5*D6</f>
        <v>126.9688</v>
      </c>
    </row>
    <row r="8" spans="1:5" x14ac:dyDescent="0.3">
      <c r="A8" s="1054" t="s">
        <v>671</v>
      </c>
      <c r="B8" s="1055">
        <f>B5+B6+B7</f>
        <v>775780</v>
      </c>
      <c r="C8" s="1051" t="s">
        <v>672</v>
      </c>
      <c r="D8" s="1053">
        <f>D5*2</f>
        <v>3.92</v>
      </c>
    </row>
    <row r="9" spans="1:5" x14ac:dyDescent="0.3">
      <c r="A9" s="1051" t="s">
        <v>673</v>
      </c>
      <c r="B9" s="1052">
        <f>B8*0.05</f>
        <v>38789</v>
      </c>
      <c r="C9" s="1056" t="s">
        <v>674</v>
      </c>
      <c r="D9" s="1057">
        <f>D7-D8</f>
        <v>123.0488</v>
      </c>
    </row>
    <row r="10" spans="1:5" x14ac:dyDescent="0.3">
      <c r="A10" s="1051" t="s">
        <v>675</v>
      </c>
      <c r="B10" s="1052">
        <f>B8+B9</f>
        <v>814569</v>
      </c>
      <c r="C10" s="1054" t="s">
        <v>676</v>
      </c>
      <c r="D10" s="1058">
        <f>D9*8000</f>
        <v>984390.4</v>
      </c>
    </row>
    <row r="11" spans="1:5" x14ac:dyDescent="0.3">
      <c r="A11" s="1051" t="s">
        <v>677</v>
      </c>
      <c r="B11" s="1052">
        <f>B10*0.07</f>
        <v>57019.830000000009</v>
      </c>
      <c r="C11" s="1054" t="s">
        <v>665</v>
      </c>
      <c r="D11" s="1058">
        <f>B12</f>
        <v>871588.83</v>
      </c>
    </row>
    <row r="12" spans="1:5" x14ac:dyDescent="0.3">
      <c r="A12" s="1054" t="s">
        <v>678</v>
      </c>
      <c r="B12" s="1055">
        <f>B10+B11</f>
        <v>871588.83</v>
      </c>
      <c r="C12" s="1051" t="s">
        <v>679</v>
      </c>
      <c r="D12" s="1059">
        <f>D10-D11</f>
        <v>112801.57000000007</v>
      </c>
    </row>
    <row r="13" spans="1:5" x14ac:dyDescent="0.3">
      <c r="A13" s="1060" t="s">
        <v>680</v>
      </c>
      <c r="B13" s="1061">
        <f>B12/8</f>
        <v>108948.60374999999</v>
      </c>
      <c r="C13" s="1060"/>
      <c r="D13" s="1062"/>
    </row>
    <row r="14" spans="1:5" x14ac:dyDescent="0.3">
      <c r="B14" s="1063"/>
    </row>
    <row r="15" spans="1:5" x14ac:dyDescent="0.3">
      <c r="D15" s="1063"/>
    </row>
  </sheetData>
  <mergeCells count="2">
    <mergeCell ref="A3:B3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W45"/>
  <sheetViews>
    <sheetView tabSelected="1" zoomScale="110" zoomScaleNormal="11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K17" sqref="AK17"/>
    </sheetView>
  </sheetViews>
  <sheetFormatPr defaultRowHeight="14.4" outlineLevelCol="1" x14ac:dyDescent="0.3"/>
  <cols>
    <col min="1" max="1" width="5" style="134" customWidth="1"/>
    <col min="2" max="2" width="17.33203125" style="5" bestFit="1" customWidth="1"/>
    <col min="3" max="3" width="8.88671875" style="5" bestFit="1" customWidth="1"/>
    <col min="4" max="4" width="6.88671875" style="5" customWidth="1"/>
    <col min="5" max="5" width="12.44140625" style="5" customWidth="1"/>
    <col min="6" max="6" width="11.44140625" style="5" hidden="1" customWidth="1" outlineLevel="1"/>
    <col min="7" max="7" width="12.44140625" style="5" hidden="1" customWidth="1" outlineLevel="1"/>
    <col min="8" max="8" width="8.88671875" style="5" hidden="1" customWidth="1" outlineLevel="1"/>
    <col min="9" max="9" width="9.109375" style="5" hidden="1" customWidth="1" outlineLevel="1"/>
    <col min="10" max="10" width="12.44140625" style="5" hidden="1" customWidth="1" outlineLevel="1"/>
    <col min="11" max="11" width="11.44140625" style="5" hidden="1" customWidth="1" outlineLevel="1"/>
    <col min="12" max="12" width="6.33203125" style="5" hidden="1" customWidth="1" outlineLevel="1"/>
    <col min="13" max="14" width="10.44140625" style="5" hidden="1" customWidth="1" outlineLevel="1"/>
    <col min="15" max="15" width="6" style="5" customWidth="1" collapsed="1"/>
    <col min="16" max="16" width="6.88671875" style="5" bestFit="1" customWidth="1"/>
    <col min="17" max="17" width="6.88671875" style="5" customWidth="1"/>
    <col min="18" max="18" width="7.88671875" style="5" bestFit="1" customWidth="1"/>
    <col min="19" max="19" width="10.44140625" style="5" bestFit="1" customWidth="1"/>
    <col min="20" max="20" width="8.88671875" style="5" hidden="1" customWidth="1" outlineLevel="1"/>
    <col min="21" max="21" width="10.44140625" style="5" hidden="1" customWidth="1" outlineLevel="1"/>
    <col min="22" max="22" width="7.88671875" style="5" hidden="1" customWidth="1" outlineLevel="1"/>
    <col min="23" max="25" width="10.44140625" style="5" hidden="1" customWidth="1" outlineLevel="1"/>
    <col min="26" max="26" width="6.33203125" style="5" hidden="1" customWidth="1" outlineLevel="1"/>
    <col min="27" max="28" width="8.88671875" style="5" hidden="1" customWidth="1" outlineLevel="1"/>
    <col min="29" max="29" width="7.88671875" style="5" customWidth="1" collapsed="1"/>
    <col min="30" max="30" width="6" style="5" customWidth="1"/>
    <col min="31" max="31" width="14.109375" style="5" bestFit="1" customWidth="1"/>
    <col min="32" max="33" width="10.44140625" style="5" bestFit="1" customWidth="1"/>
    <col min="34" max="34" width="5.77734375" style="5" bestFit="1" customWidth="1"/>
    <col min="35" max="35" width="6.88671875" style="5" bestFit="1" customWidth="1"/>
    <col min="36" max="39" width="8.88671875" style="6"/>
  </cols>
  <sheetData>
    <row r="1" spans="1:39" ht="18" x14ac:dyDescent="0.3">
      <c r="A1" s="1103" t="s">
        <v>30</v>
      </c>
      <c r="B1" s="110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9" ht="15" thickBot="1" x14ac:dyDescent="0.35">
      <c r="A2" s="1108" t="s">
        <v>972</v>
      </c>
      <c r="B2" s="14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9" x14ac:dyDescent="0.3">
      <c r="A3" s="2535" t="s">
        <v>157</v>
      </c>
      <c r="B3" s="2536"/>
      <c r="C3" s="2537" t="s">
        <v>154</v>
      </c>
      <c r="D3" s="2537" t="s">
        <v>153</v>
      </c>
      <c r="E3" s="253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9" x14ac:dyDescent="0.3">
      <c r="A4" s="2539" t="s">
        <v>162</v>
      </c>
      <c r="B4" s="2540"/>
      <c r="C4" s="2541">
        <v>0.3</v>
      </c>
      <c r="D4" s="2542">
        <v>750</v>
      </c>
      <c r="E4" s="2543">
        <f>C4*D4</f>
        <v>225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9" x14ac:dyDescent="0.3">
      <c r="A5" s="2539" t="s">
        <v>163</v>
      </c>
      <c r="B5" s="2540"/>
      <c r="C5" s="2541">
        <v>0.7</v>
      </c>
      <c r="D5" s="2542">
        <v>750</v>
      </c>
      <c r="E5" s="2543">
        <f>C5*D5</f>
        <v>525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9" x14ac:dyDescent="0.3">
      <c r="A6" s="2539" t="s">
        <v>152</v>
      </c>
      <c r="B6" s="2540"/>
      <c r="C6" s="2541"/>
      <c r="D6" s="2542"/>
      <c r="E6" s="2543">
        <v>120</v>
      </c>
      <c r="H6" s="6"/>
      <c r="I6" s="6"/>
      <c r="J6" s="6"/>
      <c r="K6" s="6"/>
      <c r="L6" s="6"/>
      <c r="M6" s="6"/>
      <c r="N6" s="6"/>
      <c r="O6" s="6"/>
      <c r="P6" s="6"/>
      <c r="Q6" s="6"/>
      <c r="R6" s="2534">
        <v>50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9" ht="15" thickBot="1" x14ac:dyDescent="0.35">
      <c r="A7" s="2544" t="s">
        <v>161</v>
      </c>
      <c r="B7" s="2545"/>
      <c r="C7" s="2545"/>
      <c r="D7" s="2546">
        <v>94</v>
      </c>
      <c r="E7" s="2547">
        <f>SUM(E4:E6)*D7</f>
        <v>81780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9" ht="15" thickBot="1" x14ac:dyDescent="0.35">
      <c r="A8" s="1736" t="s">
        <v>16</v>
      </c>
      <c r="B8" s="1744" t="s">
        <v>173</v>
      </c>
      <c r="C8" s="2413" t="s">
        <v>208</v>
      </c>
      <c r="D8" s="2412"/>
      <c r="E8" s="2412"/>
      <c r="F8" s="2412"/>
      <c r="G8" s="2412"/>
      <c r="H8" s="2412"/>
      <c r="I8" s="2412"/>
      <c r="J8" s="2412"/>
      <c r="K8" s="2412"/>
      <c r="L8" s="2412"/>
      <c r="M8" s="2412"/>
      <c r="N8" s="2412"/>
      <c r="O8" s="2412"/>
      <c r="P8" s="2495"/>
      <c r="Q8" s="2471" t="s">
        <v>209</v>
      </c>
      <c r="R8" s="2464"/>
      <c r="S8" s="2464"/>
      <c r="T8" s="2464"/>
      <c r="U8" s="2464"/>
      <c r="V8" s="2464"/>
      <c r="W8" s="2464"/>
      <c r="X8" s="2464"/>
      <c r="Y8" s="2464"/>
      <c r="Z8" s="2464"/>
      <c r="AA8" s="2464"/>
      <c r="AB8" s="2464"/>
      <c r="AC8" s="2464"/>
      <c r="AD8" s="2472"/>
      <c r="AE8" s="2556" t="s">
        <v>0</v>
      </c>
      <c r="AF8" s="2465"/>
      <c r="AG8" s="2465"/>
      <c r="AH8" s="2465"/>
      <c r="AI8" s="2466"/>
    </row>
    <row r="9" spans="1:39" s="129" customFormat="1" ht="26.4" x14ac:dyDescent="0.3">
      <c r="A9" s="2511" t="s">
        <v>31</v>
      </c>
      <c r="B9" s="2488" t="s">
        <v>174</v>
      </c>
      <c r="C9" s="2496" t="s">
        <v>995</v>
      </c>
      <c r="D9" s="2461" t="s">
        <v>947</v>
      </c>
      <c r="E9" s="2461" t="s">
        <v>996</v>
      </c>
      <c r="F9" s="2461" t="s">
        <v>143</v>
      </c>
      <c r="G9" s="2461" t="s">
        <v>147</v>
      </c>
      <c r="H9" s="2461" t="s">
        <v>997</v>
      </c>
      <c r="I9" s="2461" t="s">
        <v>998</v>
      </c>
      <c r="J9" s="2461" t="s">
        <v>671</v>
      </c>
      <c r="K9" s="2461" t="s">
        <v>1003</v>
      </c>
      <c r="L9" s="2461" t="s">
        <v>1004</v>
      </c>
      <c r="M9" s="2461" t="s">
        <v>993</v>
      </c>
      <c r="N9" s="2461" t="s">
        <v>1005</v>
      </c>
      <c r="O9" s="2461" t="s">
        <v>1006</v>
      </c>
      <c r="P9" s="2497" t="s">
        <v>469</v>
      </c>
      <c r="Q9" s="2473" t="s">
        <v>995</v>
      </c>
      <c r="R9" s="2462" t="s">
        <v>947</v>
      </c>
      <c r="S9" s="2462" t="s">
        <v>996</v>
      </c>
      <c r="T9" s="2462" t="s">
        <v>143</v>
      </c>
      <c r="U9" s="2462" t="s">
        <v>147</v>
      </c>
      <c r="V9" s="2462" t="s">
        <v>997</v>
      </c>
      <c r="W9" s="2462" t="s">
        <v>998</v>
      </c>
      <c r="X9" s="2462" t="s">
        <v>671</v>
      </c>
      <c r="Y9" s="2462" t="s">
        <v>1003</v>
      </c>
      <c r="Z9" s="2462" t="s">
        <v>1004</v>
      </c>
      <c r="AA9" s="2462" t="s">
        <v>993</v>
      </c>
      <c r="AB9" s="2462" t="s">
        <v>1005</v>
      </c>
      <c r="AC9" s="2462" t="s">
        <v>1006</v>
      </c>
      <c r="AD9" s="2474" t="s">
        <v>469</v>
      </c>
      <c r="AE9" s="2467" t="s">
        <v>145</v>
      </c>
      <c r="AF9" s="2467" t="s">
        <v>993</v>
      </c>
      <c r="AG9" s="2463" t="s">
        <v>1005</v>
      </c>
      <c r="AH9" s="2557" t="s">
        <v>1006</v>
      </c>
      <c r="AI9" s="2512" t="s">
        <v>469</v>
      </c>
      <c r="AJ9" s="128"/>
      <c r="AK9" s="128"/>
      <c r="AL9" s="128"/>
      <c r="AM9" s="128"/>
    </row>
    <row r="10" spans="1:39" s="129" customFormat="1" x14ac:dyDescent="0.3">
      <c r="A10" s="2564"/>
      <c r="B10" s="2565"/>
      <c r="C10" s="2566"/>
      <c r="D10" s="2456"/>
      <c r="E10" s="2456"/>
      <c r="F10" s="2456"/>
      <c r="G10" s="2456"/>
      <c r="H10" s="2456"/>
      <c r="I10" s="2456"/>
      <c r="J10" s="2456"/>
      <c r="K10" s="2456"/>
      <c r="L10" s="2456"/>
      <c r="M10" s="2456"/>
      <c r="N10" s="2456"/>
      <c r="O10" s="2456"/>
      <c r="P10" s="2567"/>
      <c r="Q10" s="2568"/>
      <c r="R10" s="2457"/>
      <c r="S10" s="2457"/>
      <c r="T10" s="2457"/>
      <c r="U10" s="2457"/>
      <c r="V10" s="2457"/>
      <c r="W10" s="2457"/>
      <c r="X10" s="2457"/>
      <c r="Y10" s="2457"/>
      <c r="Z10" s="2457"/>
      <c r="AA10" s="2457"/>
      <c r="AB10" s="2457"/>
      <c r="AC10" s="2457"/>
      <c r="AD10" s="2569"/>
      <c r="AE10" s="2570"/>
      <c r="AF10" s="2570"/>
      <c r="AG10" s="2458"/>
      <c r="AH10" s="2571"/>
      <c r="AI10" s="2572"/>
      <c r="AJ10" s="128"/>
      <c r="AK10" s="128"/>
      <c r="AL10" s="128"/>
      <c r="AM10" s="128"/>
    </row>
    <row r="11" spans="1:39" x14ac:dyDescent="0.25">
      <c r="A11" s="2513">
        <v>1</v>
      </c>
      <c r="B11" s="2489" t="s">
        <v>777</v>
      </c>
      <c r="C11" s="2498">
        <v>8000</v>
      </c>
      <c r="D11" s="2438">
        <v>1120</v>
      </c>
      <c r="E11" s="2438">
        <f>C11*D11</f>
        <v>8960000</v>
      </c>
      <c r="F11" s="2438">
        <f>E11*0.07/1.07</f>
        <v>586168.22429906554</v>
      </c>
      <c r="G11" s="2438">
        <f>$E$7/1000*12*C11</f>
        <v>7850880</v>
      </c>
      <c r="H11" s="2438">
        <f>C11*1.86</f>
        <v>14880</v>
      </c>
      <c r="I11" s="2438">
        <f>C11*0.98</f>
        <v>7840</v>
      </c>
      <c r="J11" s="2438">
        <f>SUM(F11:I11)</f>
        <v>8459768.2242990658</v>
      </c>
      <c r="K11" s="2438">
        <f>E11-J11</f>
        <v>500231.77570093423</v>
      </c>
      <c r="L11" s="2439">
        <f>K11/(E11-F11)</f>
        <v>5.9737499999999964E-2</v>
      </c>
      <c r="M11" s="2440">
        <f>$AF$40/($E$40+$S$40)*E11</f>
        <v>343164.77100208163</v>
      </c>
      <c r="N11" s="2440">
        <f>K11-M11</f>
        <v>157067.0046988526</v>
      </c>
      <c r="O11" s="2441">
        <f>N11/(E11-F11)</f>
        <v>1.8756885605778158E-2</v>
      </c>
      <c r="P11" s="2499">
        <f>C11*12/1000</f>
        <v>96</v>
      </c>
      <c r="Q11" s="2475">
        <v>1</v>
      </c>
      <c r="R11" s="2442">
        <f>(D11/12*33)-R6</f>
        <v>3030</v>
      </c>
      <c r="S11" s="2442">
        <f>Q11*R11</f>
        <v>3030</v>
      </c>
      <c r="T11" s="2442">
        <f>S11*0.07/1.07</f>
        <v>198.22429906542058</v>
      </c>
      <c r="U11" s="2442">
        <f>$E$7/1000*33*Q11</f>
        <v>2698.7400000000002</v>
      </c>
      <c r="V11" s="2442">
        <f>Q11*1.86/12*33</f>
        <v>5.1150000000000002</v>
      </c>
      <c r="W11" s="2442">
        <f>Q11*0.98</f>
        <v>0.98</v>
      </c>
      <c r="X11" s="2442">
        <f>SUM(T11:W11)</f>
        <v>2903.0592990654204</v>
      </c>
      <c r="Y11" s="2442">
        <f>S11-X11</f>
        <v>126.94070093457958</v>
      </c>
      <c r="Z11" s="2443">
        <f>Y11/S11</f>
        <v>4.1894620770488313E-2</v>
      </c>
      <c r="AA11" s="2444">
        <f>$AF$40/($E$40+$S$40)*S11</f>
        <v>116.04790805092715</v>
      </c>
      <c r="AB11" s="2442">
        <f>Y11-AA11</f>
        <v>10.892792883652433</v>
      </c>
      <c r="AC11" s="2526">
        <f>AB11/S11</f>
        <v>3.5949811497202749E-3</v>
      </c>
      <c r="AD11" s="2476">
        <f>Q11*33/1000</f>
        <v>3.3000000000000002E-2</v>
      </c>
      <c r="AE11" s="1084">
        <f>E11+S11</f>
        <v>8963030</v>
      </c>
      <c r="AF11" s="1084">
        <f>M11+AA11</f>
        <v>343280.81891013257</v>
      </c>
      <c r="AG11" s="1065">
        <f>N11+AB11</f>
        <v>157077.89749173625</v>
      </c>
      <c r="AH11" s="2558">
        <f>AG11/(AE11-F11-T11)</f>
        <v>1.8751845114448776E-2</v>
      </c>
      <c r="AI11" s="2514">
        <f>P11+AD11</f>
        <v>96.033000000000001</v>
      </c>
    </row>
    <row r="12" spans="1:39" x14ac:dyDescent="0.25">
      <c r="A12" s="1734">
        <v>2</v>
      </c>
      <c r="B12" s="815" t="s">
        <v>980</v>
      </c>
      <c r="C12" s="2414">
        <v>5500</v>
      </c>
      <c r="D12" s="1554">
        <v>1122</v>
      </c>
      <c r="E12" s="1554">
        <f t="shared" ref="E12:E38" si="0">C12*D12</f>
        <v>6171000</v>
      </c>
      <c r="F12" s="1554">
        <f t="shared" ref="F12:F38" si="1">E12*0.07/1.07</f>
        <v>403710.2803738318</v>
      </c>
      <c r="G12" s="1554">
        <f>$E$7/1000*12*C12</f>
        <v>5397480</v>
      </c>
      <c r="H12" s="1554">
        <f t="shared" ref="H12:H38" si="2">C12*1.86</f>
        <v>10230</v>
      </c>
      <c r="I12" s="1554">
        <f t="shared" ref="I12:I38" si="3">C12*0.98</f>
        <v>5390</v>
      </c>
      <c r="J12" s="1554">
        <f t="shared" ref="J12:J38" si="4">SUM(F12:I12)</f>
        <v>5816810.2803738322</v>
      </c>
      <c r="K12" s="1554">
        <f t="shared" ref="K12:K38" si="5">E12-J12</f>
        <v>354189.71962616779</v>
      </c>
      <c r="L12" s="2416">
        <f t="shared" ref="L12:L40" si="6">K12/(E12-F12)</f>
        <v>6.1413547237076579E-2</v>
      </c>
      <c r="M12" s="2417">
        <f>$AF$40/($E$40+$S$40)*E12</f>
        <v>236347.07609975955</v>
      </c>
      <c r="N12" s="2417">
        <f t="shared" ref="N12:N38" si="7">K12-M12</f>
        <v>117842.64352640824</v>
      </c>
      <c r="O12" s="2418">
        <f t="shared" ref="O12:O40" si="8">N12/(E12-F12)</f>
        <v>2.0432932842854776E-2</v>
      </c>
      <c r="P12" s="2500">
        <f t="shared" ref="P12:P39" si="9">C12*12/1000</f>
        <v>66</v>
      </c>
      <c r="Q12" s="2477">
        <v>1</v>
      </c>
      <c r="R12" s="2419">
        <f>(D12/12*33)-R6</f>
        <v>3035.5</v>
      </c>
      <c r="S12" s="2419">
        <f t="shared" ref="S12:S38" si="10">Q12*R12</f>
        <v>3035.5</v>
      </c>
      <c r="T12" s="2419">
        <f t="shared" ref="T12:T38" si="11">S12*0.07/1.07</f>
        <v>198.5841121495327</v>
      </c>
      <c r="U12" s="2419">
        <f>$E$7/1000*33*Q12</f>
        <v>2698.7400000000002</v>
      </c>
      <c r="V12" s="2419">
        <f t="shared" ref="V12:V38" si="12">Q12*1.86/12*33</f>
        <v>5.1150000000000002</v>
      </c>
      <c r="W12" s="2419">
        <f t="shared" ref="W12:W38" si="13">Q12*0.98</f>
        <v>0.98</v>
      </c>
      <c r="X12" s="2419">
        <f t="shared" ref="X12:X38" si="14">SUM(T12:W12)</f>
        <v>2903.4191121495328</v>
      </c>
      <c r="Y12" s="2419">
        <f t="shared" ref="Y12:Y38" si="15">S12-X12</f>
        <v>132.08088785046721</v>
      </c>
      <c r="Z12" s="2420">
        <f t="shared" ref="Z12:Z40" si="16">Y12/S12</f>
        <v>4.3512069790962678E-2</v>
      </c>
      <c r="AA12" s="2421">
        <f>$AF$40/($E$40+$S$40)*S12</f>
        <v>116.25855606884137</v>
      </c>
      <c r="AB12" s="2419">
        <f t="shared" ref="AB12:AB38" si="17">Y12-AA12</f>
        <v>15.822331781625834</v>
      </c>
      <c r="AC12" s="2527">
        <f t="shared" ref="AC12:AC40" si="18">AB12/S12</f>
        <v>5.2124301701946419E-3</v>
      </c>
      <c r="AD12" s="2478">
        <f t="shared" ref="AD12:AD38" si="19">Q12*33/1000</f>
        <v>3.3000000000000002E-2</v>
      </c>
      <c r="AE12" s="1086">
        <f t="shared" ref="AE12:AE39" si="20">E12+S12</f>
        <v>6174035.5</v>
      </c>
      <c r="AF12" s="1086">
        <f t="shared" ref="AF12:AF39" si="21">M12+AA12</f>
        <v>236463.3346558284</v>
      </c>
      <c r="AG12" s="1066">
        <f t="shared" ref="AG12:AG25" si="22">N12+AB12</f>
        <v>117858.46585818987</v>
      </c>
      <c r="AH12" s="2559">
        <f t="shared" ref="AH12:AH40" si="23">AG12/(AE12-F12-T12)</f>
        <v>2.0425628985817002E-2</v>
      </c>
      <c r="AI12" s="2515">
        <f t="shared" ref="AI12:AI39" si="24">P12+AD12</f>
        <v>66.033000000000001</v>
      </c>
    </row>
    <row r="13" spans="1:39" x14ac:dyDescent="0.25">
      <c r="A13" s="1734">
        <v>3</v>
      </c>
      <c r="B13" s="2422" t="s">
        <v>981</v>
      </c>
      <c r="C13" s="2414">
        <v>6000</v>
      </c>
      <c r="D13" s="1554">
        <v>1125</v>
      </c>
      <c r="E13" s="1554">
        <f t="shared" si="0"/>
        <v>6750000</v>
      </c>
      <c r="F13" s="1554">
        <f t="shared" si="1"/>
        <v>441588.78504672903</v>
      </c>
      <c r="G13" s="1554">
        <f>$E$7/1000*12*C13</f>
        <v>5888160</v>
      </c>
      <c r="H13" s="1554">
        <f t="shared" si="2"/>
        <v>11160</v>
      </c>
      <c r="I13" s="1554">
        <f t="shared" si="3"/>
        <v>5880</v>
      </c>
      <c r="J13" s="1554">
        <f t="shared" si="4"/>
        <v>6346788.7850467293</v>
      </c>
      <c r="K13" s="1554">
        <f t="shared" si="5"/>
        <v>403211.21495327074</v>
      </c>
      <c r="L13" s="2416">
        <f t="shared" si="6"/>
        <v>6.3916444444444401E-2</v>
      </c>
      <c r="M13" s="2417">
        <f>$AF$40/($E$40+$S$40)*E13</f>
        <v>258522.56744018424</v>
      </c>
      <c r="N13" s="2417">
        <f t="shared" si="7"/>
        <v>144688.6475130865</v>
      </c>
      <c r="O13" s="2418">
        <f t="shared" si="8"/>
        <v>2.2935830050222601E-2</v>
      </c>
      <c r="P13" s="2500">
        <f t="shared" si="9"/>
        <v>72</v>
      </c>
      <c r="Q13" s="2477">
        <v>1</v>
      </c>
      <c r="R13" s="2419">
        <f>(D13/12*33)-R6</f>
        <v>3043.75</v>
      </c>
      <c r="S13" s="2419">
        <f t="shared" si="10"/>
        <v>3043.75</v>
      </c>
      <c r="T13" s="2419">
        <f t="shared" si="11"/>
        <v>199.12383177570095</v>
      </c>
      <c r="U13" s="2419">
        <f>$E$7/1000*33*Q13</f>
        <v>2698.7400000000002</v>
      </c>
      <c r="V13" s="2419">
        <f t="shared" si="12"/>
        <v>5.1150000000000002</v>
      </c>
      <c r="W13" s="2419">
        <f t="shared" si="13"/>
        <v>0.98</v>
      </c>
      <c r="X13" s="2419">
        <f t="shared" si="14"/>
        <v>2903.9588317757011</v>
      </c>
      <c r="Y13" s="2419">
        <f t="shared" si="15"/>
        <v>139.79116822429887</v>
      </c>
      <c r="Z13" s="2420">
        <f t="shared" si="16"/>
        <v>4.5927283194841517E-2</v>
      </c>
      <c r="AA13" s="2421">
        <f>$AF$40/($E$40+$S$40)*S13</f>
        <v>116.57452809571271</v>
      </c>
      <c r="AB13" s="2419">
        <f t="shared" si="17"/>
        <v>23.216640128586164</v>
      </c>
      <c r="AC13" s="2527">
        <f t="shared" si="18"/>
        <v>7.6276435740734831E-3</v>
      </c>
      <c r="AD13" s="2478">
        <f t="shared" si="19"/>
        <v>3.3000000000000002E-2</v>
      </c>
      <c r="AE13" s="1086">
        <f t="shared" si="20"/>
        <v>6753043.75</v>
      </c>
      <c r="AF13" s="1086">
        <f t="shared" si="21"/>
        <v>258639.14196827996</v>
      </c>
      <c r="AG13" s="1066">
        <f t="shared" si="22"/>
        <v>144711.86415321508</v>
      </c>
      <c r="AH13" s="2559">
        <f t="shared" si="23"/>
        <v>2.2929170959974921E-2</v>
      </c>
      <c r="AI13" s="2515">
        <f t="shared" si="24"/>
        <v>72.033000000000001</v>
      </c>
    </row>
    <row r="14" spans="1:39" s="1" customFormat="1" x14ac:dyDescent="0.25">
      <c r="A14" s="2516"/>
      <c r="B14" s="2490" t="s">
        <v>777</v>
      </c>
      <c r="C14" s="2501">
        <f>SUM(C11:C13)</f>
        <v>19500</v>
      </c>
      <c r="D14" s="2415">
        <f>E14/C14</f>
        <v>1122.1025641025642</v>
      </c>
      <c r="E14" s="2415">
        <f t="shared" ref="E14:K14" si="25">SUM(E11:E13)</f>
        <v>21881000</v>
      </c>
      <c r="F14" s="2415">
        <f t="shared" si="25"/>
        <v>1431467.2897196263</v>
      </c>
      <c r="G14" s="2415">
        <f t="shared" si="25"/>
        <v>19136520</v>
      </c>
      <c r="H14" s="2415">
        <f t="shared" si="25"/>
        <v>36270</v>
      </c>
      <c r="I14" s="2415">
        <f t="shared" si="25"/>
        <v>19110</v>
      </c>
      <c r="J14" s="2415">
        <f t="shared" si="25"/>
        <v>20623367.289719626</v>
      </c>
      <c r="K14" s="2415">
        <f t="shared" si="25"/>
        <v>1257632.7102803728</v>
      </c>
      <c r="L14" s="2445">
        <f t="shared" si="6"/>
        <v>6.1499337324619478E-2</v>
      </c>
      <c r="M14" s="2446">
        <f>$AF$40/($E$40+$S$40)*E14</f>
        <v>838034.41454202542</v>
      </c>
      <c r="N14" s="2446">
        <f>SUM(N11:N13)</f>
        <v>419598.29573834734</v>
      </c>
      <c r="O14" s="2447">
        <f t="shared" si="8"/>
        <v>2.0518722930397682E-2</v>
      </c>
      <c r="P14" s="2502">
        <f t="shared" si="9"/>
        <v>234</v>
      </c>
      <c r="Q14" s="2479">
        <f>SUM(Q11:Q13)</f>
        <v>3</v>
      </c>
      <c r="R14" s="2448">
        <f>S14/Q14</f>
        <v>3036.4166666666665</v>
      </c>
      <c r="S14" s="2448">
        <f t="shared" ref="S14:Y14" si="26">SUM(S11:S13)</f>
        <v>9109.25</v>
      </c>
      <c r="T14" s="2448">
        <f t="shared" si="26"/>
        <v>595.93224299065423</v>
      </c>
      <c r="U14" s="2448">
        <f t="shared" si="26"/>
        <v>8096.2200000000012</v>
      </c>
      <c r="V14" s="2448">
        <f t="shared" si="26"/>
        <v>15.345000000000001</v>
      </c>
      <c r="W14" s="2448">
        <f t="shared" si="26"/>
        <v>2.94</v>
      </c>
      <c r="X14" s="2448">
        <f t="shared" si="26"/>
        <v>8710.4372429906543</v>
      </c>
      <c r="Y14" s="2448">
        <f t="shared" si="26"/>
        <v>398.81275700934566</v>
      </c>
      <c r="Z14" s="2449">
        <f t="shared" si="16"/>
        <v>4.3781074952311733E-2</v>
      </c>
      <c r="AA14" s="2450">
        <f>$AF$40/($E$40+$S$40)*S14</f>
        <v>348.88099221548123</v>
      </c>
      <c r="AB14" s="2448">
        <f t="shared" si="17"/>
        <v>49.931764793864431</v>
      </c>
      <c r="AC14" s="2528">
        <f t="shared" si="18"/>
        <v>5.4814353315436977E-3</v>
      </c>
      <c r="AD14" s="2480">
        <f t="shared" si="19"/>
        <v>9.9000000000000005E-2</v>
      </c>
      <c r="AE14" s="2468">
        <f t="shared" si="20"/>
        <v>21890109.25</v>
      </c>
      <c r="AF14" s="2468">
        <f t="shared" si="21"/>
        <v>838383.2955342409</v>
      </c>
      <c r="AG14" s="2451">
        <f>SUM(AG11:AG13)</f>
        <v>419648.22750314121</v>
      </c>
      <c r="AH14" s="2560">
        <f t="shared" si="23"/>
        <v>2.0512625053635176E-2</v>
      </c>
      <c r="AI14" s="2517">
        <f t="shared" si="24"/>
        <v>234.09899999999999</v>
      </c>
      <c r="AJ14" s="4"/>
      <c r="AK14" s="4"/>
      <c r="AL14" s="4"/>
      <c r="AM14" s="4"/>
    </row>
    <row r="15" spans="1:39" x14ac:dyDescent="0.25">
      <c r="A15" s="2513">
        <v>4</v>
      </c>
      <c r="B15" s="2491" t="s">
        <v>982</v>
      </c>
      <c r="C15" s="2498">
        <v>5000</v>
      </c>
      <c r="D15" s="2438">
        <v>1129</v>
      </c>
      <c r="E15" s="2438">
        <f t="shared" si="0"/>
        <v>5645000</v>
      </c>
      <c r="F15" s="2438">
        <f t="shared" si="1"/>
        <v>369299.06542056077</v>
      </c>
      <c r="G15" s="2438">
        <f>$E$7/1000*12*C15</f>
        <v>4906800</v>
      </c>
      <c r="H15" s="2438">
        <f t="shared" si="2"/>
        <v>9300</v>
      </c>
      <c r="I15" s="2438">
        <f t="shared" si="3"/>
        <v>4900</v>
      </c>
      <c r="J15" s="2438">
        <f t="shared" si="4"/>
        <v>5290299.0654205605</v>
      </c>
      <c r="K15" s="2438">
        <f t="shared" si="5"/>
        <v>354700.93457943946</v>
      </c>
      <c r="L15" s="2439">
        <f t="shared" si="6"/>
        <v>6.7232949512843254E-2</v>
      </c>
      <c r="M15" s="2440">
        <f>$AF$40/($E$40+$S$40)*E15</f>
        <v>216201.46565923558</v>
      </c>
      <c r="N15" s="2440">
        <f t="shared" si="7"/>
        <v>138499.46892020389</v>
      </c>
      <c r="O15" s="2441">
        <f t="shared" si="8"/>
        <v>2.6252335118621462E-2</v>
      </c>
      <c r="P15" s="2499">
        <f t="shared" si="9"/>
        <v>60</v>
      </c>
      <c r="Q15" s="2475">
        <v>1</v>
      </c>
      <c r="R15" s="2442">
        <f>(D15/12*33)-R6</f>
        <v>3054.75</v>
      </c>
      <c r="S15" s="2442">
        <f t="shared" si="10"/>
        <v>3054.75</v>
      </c>
      <c r="T15" s="2442">
        <f t="shared" si="11"/>
        <v>199.84345794392524</v>
      </c>
      <c r="U15" s="2442">
        <f>$E$7/1000*33*Q15</f>
        <v>2698.7400000000002</v>
      </c>
      <c r="V15" s="2442">
        <f t="shared" si="12"/>
        <v>5.1150000000000002</v>
      </c>
      <c r="W15" s="2442">
        <f t="shared" si="13"/>
        <v>0.98</v>
      </c>
      <c r="X15" s="2442">
        <f t="shared" si="14"/>
        <v>2904.6784579439254</v>
      </c>
      <c r="Y15" s="2442">
        <f t="shared" si="15"/>
        <v>150.07154205607458</v>
      </c>
      <c r="Z15" s="2443">
        <f t="shared" si="16"/>
        <v>4.9127274590743786E-2</v>
      </c>
      <c r="AA15" s="2444">
        <f>$AF$40/($E$40+$S$40)*S15</f>
        <v>116.99582413154117</v>
      </c>
      <c r="AB15" s="2442">
        <f t="shared" si="17"/>
        <v>33.075717924533407</v>
      </c>
      <c r="AC15" s="2526">
        <f t="shared" si="18"/>
        <v>1.0827634969975745E-2</v>
      </c>
      <c r="AD15" s="2476">
        <f t="shared" si="19"/>
        <v>3.3000000000000002E-2</v>
      </c>
      <c r="AE15" s="1084">
        <f t="shared" si="20"/>
        <v>5648054.75</v>
      </c>
      <c r="AF15" s="1084">
        <f t="shared" si="21"/>
        <v>216318.46148336711</v>
      </c>
      <c r="AG15" s="1065">
        <f t="shared" si="22"/>
        <v>138532.54463812843</v>
      </c>
      <c r="AH15" s="2558">
        <f t="shared" si="23"/>
        <v>2.6244402599460887E-2</v>
      </c>
      <c r="AI15" s="2514">
        <f t="shared" si="24"/>
        <v>60.033000000000001</v>
      </c>
    </row>
    <row r="16" spans="1:39" x14ac:dyDescent="0.25">
      <c r="A16" s="1734">
        <v>5</v>
      </c>
      <c r="B16" s="2424" t="s">
        <v>686</v>
      </c>
      <c r="C16" s="2414">
        <f>8220.00200487854-275</f>
        <v>7945.0020048785409</v>
      </c>
      <c r="D16" s="1554">
        <v>1135</v>
      </c>
      <c r="E16" s="1554">
        <f t="shared" si="0"/>
        <v>9017577.2755371444</v>
      </c>
      <c r="F16" s="1554">
        <f t="shared" si="1"/>
        <v>589934.96195102821</v>
      </c>
      <c r="G16" s="1554">
        <f>$E$7/1000*12*C16</f>
        <v>7796907.1675076047</v>
      </c>
      <c r="H16" s="1554">
        <f t="shared" si="2"/>
        <v>14777.703729074086</v>
      </c>
      <c r="I16" s="1554">
        <f t="shared" si="3"/>
        <v>7786.1019647809699</v>
      </c>
      <c r="J16" s="1554">
        <f t="shared" si="4"/>
        <v>8409405.9351524878</v>
      </c>
      <c r="K16" s="1554">
        <f t="shared" si="5"/>
        <v>608171.34038465656</v>
      </c>
      <c r="L16" s="2416">
        <f t="shared" si="6"/>
        <v>7.2163876651982456E-2</v>
      </c>
      <c r="M16" s="2417">
        <f>$AF$40/($E$40+$S$40)*E16</f>
        <v>345369.95990549988</v>
      </c>
      <c r="N16" s="2417">
        <f t="shared" si="7"/>
        <v>262801.38047915668</v>
      </c>
      <c r="O16" s="2418">
        <f t="shared" si="8"/>
        <v>3.1183262257760663E-2</v>
      </c>
      <c r="P16" s="2500">
        <f t="shared" si="9"/>
        <v>95.340024058542497</v>
      </c>
      <c r="Q16" s="2477">
        <v>100</v>
      </c>
      <c r="R16" s="2419">
        <f>(D16/12*33)-$R$6</f>
        <v>3071.25</v>
      </c>
      <c r="S16" s="2419">
        <f t="shared" si="10"/>
        <v>307125</v>
      </c>
      <c r="T16" s="2419">
        <f t="shared" si="11"/>
        <v>20092.289719626169</v>
      </c>
      <c r="U16" s="2419">
        <f>$E$7/1000*33*Q16</f>
        <v>269874</v>
      </c>
      <c r="V16" s="2419">
        <f t="shared" si="12"/>
        <v>511.5</v>
      </c>
      <c r="W16" s="2419">
        <f t="shared" si="13"/>
        <v>98</v>
      </c>
      <c r="X16" s="2419">
        <f t="shared" si="14"/>
        <v>290575.78971962619</v>
      </c>
      <c r="Y16" s="2419">
        <f t="shared" si="15"/>
        <v>16549.210280373809</v>
      </c>
      <c r="Z16" s="2420">
        <f t="shared" si="16"/>
        <v>5.3884282557179676E-2</v>
      </c>
      <c r="AA16" s="2421">
        <f>$AF$40/($E$40+$S$40)*S16</f>
        <v>11762.776818528384</v>
      </c>
      <c r="AB16" s="2419">
        <f t="shared" si="17"/>
        <v>4786.433461845425</v>
      </c>
      <c r="AC16" s="2527">
        <f t="shared" si="18"/>
        <v>1.558464293641164E-2</v>
      </c>
      <c r="AD16" s="2478">
        <f t="shared" si="19"/>
        <v>3.3</v>
      </c>
      <c r="AE16" s="1086">
        <f t="shared" si="20"/>
        <v>9324702.2755371444</v>
      </c>
      <c r="AF16" s="1086">
        <f t="shared" si="21"/>
        <v>357132.73672402825</v>
      </c>
      <c r="AG16" s="1066">
        <f t="shared" si="22"/>
        <v>267587.81394100212</v>
      </c>
      <c r="AH16" s="2559">
        <f t="shared" si="23"/>
        <v>3.0705426560161037E-2</v>
      </c>
      <c r="AI16" s="2515">
        <f t="shared" si="24"/>
        <v>98.640024058542494</v>
      </c>
    </row>
    <row r="17" spans="1:39" x14ac:dyDescent="0.25">
      <c r="A17" s="1734">
        <v>6</v>
      </c>
      <c r="B17" s="2423" t="s">
        <v>1002</v>
      </c>
      <c r="C17" s="2414">
        <v>6000</v>
      </c>
      <c r="D17" s="1554">
        <v>1129</v>
      </c>
      <c r="E17" s="1554">
        <f t="shared" si="0"/>
        <v>6774000</v>
      </c>
      <c r="F17" s="1554">
        <f t="shared" si="1"/>
        <v>443158.8785046729</v>
      </c>
      <c r="G17" s="1554">
        <f>$E$7/1000*12*C17</f>
        <v>5888160</v>
      </c>
      <c r="H17" s="1554">
        <f t="shared" si="2"/>
        <v>11160</v>
      </c>
      <c r="I17" s="1554">
        <f t="shared" si="3"/>
        <v>5880</v>
      </c>
      <c r="J17" s="1554">
        <f t="shared" si="4"/>
        <v>6348358.878504673</v>
      </c>
      <c r="K17" s="1554">
        <f t="shared" si="5"/>
        <v>425641.12149532698</v>
      </c>
      <c r="L17" s="2416">
        <f t="shared" si="6"/>
        <v>6.7232949512843213E-2</v>
      </c>
      <c r="M17" s="2417">
        <f>$AF$40/($E$40+$S$40)*E17</f>
        <v>259441.75879108268</v>
      </c>
      <c r="N17" s="2417">
        <f t="shared" si="7"/>
        <v>166199.3627042443</v>
      </c>
      <c r="O17" s="2418">
        <f t="shared" si="8"/>
        <v>2.6252335118621406E-2</v>
      </c>
      <c r="P17" s="2500">
        <f t="shared" si="9"/>
        <v>72</v>
      </c>
      <c r="Q17" s="2477">
        <v>1</v>
      </c>
      <c r="R17" s="2419">
        <f t="shared" ref="R17:R18" si="27">(D17/12*33)-$R$6</f>
        <v>3054.75</v>
      </c>
      <c r="S17" s="2419">
        <f t="shared" si="10"/>
        <v>3054.75</v>
      </c>
      <c r="T17" s="2419">
        <f t="shared" si="11"/>
        <v>199.84345794392524</v>
      </c>
      <c r="U17" s="2419">
        <f>$E$7/1000*33*Q17</f>
        <v>2698.7400000000002</v>
      </c>
      <c r="V17" s="2419">
        <f t="shared" si="12"/>
        <v>5.1150000000000002</v>
      </c>
      <c r="W17" s="2419">
        <f t="shared" si="13"/>
        <v>0.98</v>
      </c>
      <c r="X17" s="2419">
        <f t="shared" si="14"/>
        <v>2904.6784579439254</v>
      </c>
      <c r="Y17" s="2419">
        <f t="shared" si="15"/>
        <v>150.07154205607458</v>
      </c>
      <c r="Z17" s="2420">
        <f t="shared" si="16"/>
        <v>4.9127274590743786E-2</v>
      </c>
      <c r="AA17" s="2421">
        <f>$AF$40/($E$40+$S$40)*S17</f>
        <v>116.99582413154117</v>
      </c>
      <c r="AB17" s="2419">
        <f t="shared" si="17"/>
        <v>33.075717924533407</v>
      </c>
      <c r="AC17" s="2527">
        <f t="shared" si="18"/>
        <v>1.0827634969975745E-2</v>
      </c>
      <c r="AD17" s="2478">
        <f t="shared" si="19"/>
        <v>3.3000000000000002E-2</v>
      </c>
      <c r="AE17" s="1086">
        <f t="shared" si="20"/>
        <v>6777054.75</v>
      </c>
      <c r="AF17" s="1086">
        <f t="shared" si="21"/>
        <v>259558.75461521422</v>
      </c>
      <c r="AG17" s="1066">
        <f t="shared" si="22"/>
        <v>166232.43842216884</v>
      </c>
      <c r="AH17" s="2559">
        <f t="shared" si="23"/>
        <v>2.6245724090058539E-2</v>
      </c>
      <c r="AI17" s="2515">
        <f t="shared" si="24"/>
        <v>72.033000000000001</v>
      </c>
    </row>
    <row r="18" spans="1:39" x14ac:dyDescent="0.25">
      <c r="A18" s="1734">
        <v>7</v>
      </c>
      <c r="B18" s="2422" t="s">
        <v>859</v>
      </c>
      <c r="C18" s="2414">
        <f>11000-200</f>
        <v>10800</v>
      </c>
      <c r="D18" s="1554">
        <v>1125</v>
      </c>
      <c r="E18" s="1554">
        <f t="shared" si="0"/>
        <v>12150000</v>
      </c>
      <c r="F18" s="1554">
        <f t="shared" si="1"/>
        <v>794859.81308411225</v>
      </c>
      <c r="G18" s="1554">
        <f>$E$7/1000*12*C18</f>
        <v>10598688</v>
      </c>
      <c r="H18" s="1554">
        <f t="shared" si="2"/>
        <v>20088</v>
      </c>
      <c r="I18" s="1554">
        <f t="shared" si="3"/>
        <v>10584</v>
      </c>
      <c r="J18" s="1554">
        <f t="shared" si="4"/>
        <v>11424219.813084112</v>
      </c>
      <c r="K18" s="1554">
        <f t="shared" si="5"/>
        <v>725780.18691588752</v>
      </c>
      <c r="L18" s="2416">
        <f t="shared" si="6"/>
        <v>6.3916444444444415E-2</v>
      </c>
      <c r="M18" s="2417">
        <f>$AF$40/($E$40+$S$40)*E18</f>
        <v>465340.62139233167</v>
      </c>
      <c r="N18" s="2417">
        <f t="shared" si="7"/>
        <v>260439.56552355585</v>
      </c>
      <c r="O18" s="2418">
        <f t="shared" si="8"/>
        <v>2.2935830050222615E-2</v>
      </c>
      <c r="P18" s="2500">
        <f t="shared" si="9"/>
        <v>129.6</v>
      </c>
      <c r="Q18" s="2477">
        <v>200</v>
      </c>
      <c r="R18" s="2419">
        <f t="shared" si="27"/>
        <v>3043.75</v>
      </c>
      <c r="S18" s="2419">
        <f t="shared" si="10"/>
        <v>608750</v>
      </c>
      <c r="T18" s="2419">
        <f t="shared" si="11"/>
        <v>39824.766355140193</v>
      </c>
      <c r="U18" s="2419">
        <f>$E$7/1000*33*Q18</f>
        <v>539748</v>
      </c>
      <c r="V18" s="2419">
        <f t="shared" si="12"/>
        <v>1023</v>
      </c>
      <c r="W18" s="2419">
        <f t="shared" si="13"/>
        <v>196</v>
      </c>
      <c r="X18" s="2419">
        <f t="shared" si="14"/>
        <v>580791.76635514013</v>
      </c>
      <c r="Y18" s="2419">
        <f t="shared" si="15"/>
        <v>27958.233644859865</v>
      </c>
      <c r="Z18" s="2420">
        <f t="shared" si="16"/>
        <v>4.592728319484167E-2</v>
      </c>
      <c r="AA18" s="2421">
        <f>$AF$40/($E$40+$S$40)*S18</f>
        <v>23314.905619142544</v>
      </c>
      <c r="AB18" s="2419">
        <f t="shared" si="17"/>
        <v>4643.328025717321</v>
      </c>
      <c r="AC18" s="2527">
        <f t="shared" si="18"/>
        <v>7.627643574073628E-3</v>
      </c>
      <c r="AD18" s="2478">
        <f t="shared" si="19"/>
        <v>6.6</v>
      </c>
      <c r="AE18" s="1086">
        <f t="shared" si="20"/>
        <v>12758750</v>
      </c>
      <c r="AF18" s="1086">
        <f t="shared" si="21"/>
        <v>488655.52701147419</v>
      </c>
      <c r="AG18" s="1066">
        <f t="shared" si="22"/>
        <v>265082.8935492732</v>
      </c>
      <c r="AH18" s="2559">
        <f t="shared" si="23"/>
        <v>2.2230915732162033E-2</v>
      </c>
      <c r="AI18" s="2515">
        <f t="shared" si="24"/>
        <v>136.19999999999999</v>
      </c>
    </row>
    <row r="19" spans="1:39" s="1" customFormat="1" x14ac:dyDescent="0.25">
      <c r="A19" s="2516"/>
      <c r="B19" s="2490" t="s">
        <v>686</v>
      </c>
      <c r="C19" s="2501">
        <f>SUM(C15:C18)</f>
        <v>29745.002004878541</v>
      </c>
      <c r="D19" s="2415">
        <f>E19/C19</f>
        <v>1129.1502777518233</v>
      </c>
      <c r="E19" s="2415">
        <f t="shared" ref="E19:K19" si="28">SUM(E15:E18)</f>
        <v>33586577.275537148</v>
      </c>
      <c r="F19" s="2415">
        <f t="shared" si="28"/>
        <v>2197252.7189603741</v>
      </c>
      <c r="G19" s="2415">
        <f t="shared" si="28"/>
        <v>29190555.167507604</v>
      </c>
      <c r="H19" s="2415">
        <f t="shared" si="28"/>
        <v>55325.703729074085</v>
      </c>
      <c r="I19" s="2415">
        <f t="shared" si="28"/>
        <v>29150.10196478097</v>
      </c>
      <c r="J19" s="2415">
        <f t="shared" si="28"/>
        <v>31472283.692161836</v>
      </c>
      <c r="K19" s="2415">
        <f t="shared" si="28"/>
        <v>2114293.5833753105</v>
      </c>
      <c r="L19" s="2445">
        <f t="shared" si="6"/>
        <v>6.7357090770286052E-2</v>
      </c>
      <c r="M19" s="2446">
        <f>$AF$40/($E$40+$S$40)*E19</f>
        <v>1286353.80574815</v>
      </c>
      <c r="N19" s="2446">
        <f>SUM(N15:N18)</f>
        <v>827939.77762716077</v>
      </c>
      <c r="O19" s="2447">
        <f t="shared" si="8"/>
        <v>2.6376476376064252E-2</v>
      </c>
      <c r="P19" s="2502">
        <f t="shared" si="9"/>
        <v>356.94002405854252</v>
      </c>
      <c r="Q19" s="2479">
        <f>SUM(Q15:Q18)</f>
        <v>302</v>
      </c>
      <c r="R19" s="2448">
        <f>S19/Q19</f>
        <v>3052.9288079470198</v>
      </c>
      <c r="S19" s="2448">
        <f t="shared" ref="S19:AD19" si="29">SUM(S15:S18)</f>
        <v>921984.5</v>
      </c>
      <c r="T19" s="2448">
        <f t="shared" si="29"/>
        <v>60316.742990654209</v>
      </c>
      <c r="U19" s="2448">
        <f t="shared" si="29"/>
        <v>815019.48</v>
      </c>
      <c r="V19" s="2448">
        <f t="shared" si="29"/>
        <v>1544.73</v>
      </c>
      <c r="W19" s="2448">
        <f t="shared" si="29"/>
        <v>295.96000000000004</v>
      </c>
      <c r="X19" s="2448">
        <f t="shared" si="29"/>
        <v>877176.91299065412</v>
      </c>
      <c r="Y19" s="2448">
        <f t="shared" si="29"/>
        <v>44807.587009345822</v>
      </c>
      <c r="Z19" s="2449">
        <f t="shared" si="16"/>
        <v>4.8599067564959957E-2</v>
      </c>
      <c r="AA19" s="2448">
        <f t="shared" si="29"/>
        <v>35311.674085934013</v>
      </c>
      <c r="AB19" s="2448">
        <f t="shared" si="29"/>
        <v>9495.9129234118136</v>
      </c>
      <c r="AC19" s="2528">
        <f t="shared" si="18"/>
        <v>1.0299427944191919E-2</v>
      </c>
      <c r="AD19" s="2480">
        <f t="shared" si="29"/>
        <v>9.9659999999999993</v>
      </c>
      <c r="AE19" s="2468">
        <f t="shared" si="20"/>
        <v>34508561.775537148</v>
      </c>
      <c r="AF19" s="2468">
        <f t="shared" si="21"/>
        <v>1321665.4798340839</v>
      </c>
      <c r="AG19" s="2451">
        <f>SUM(AG15:AG18)</f>
        <v>837435.6905505727</v>
      </c>
      <c r="AH19" s="2560">
        <f t="shared" si="23"/>
        <v>2.5966199191886346E-2</v>
      </c>
      <c r="AI19" s="2517">
        <f t="shared" si="24"/>
        <v>366.90602405854253</v>
      </c>
      <c r="AJ19" s="4"/>
      <c r="AK19" s="4"/>
      <c r="AL19" s="4"/>
      <c r="AM19" s="4"/>
    </row>
    <row r="20" spans="1:39" x14ac:dyDescent="0.25">
      <c r="A20" s="2513">
        <v>8</v>
      </c>
      <c r="B20" s="2492" t="s">
        <v>983</v>
      </c>
      <c r="C20" s="2498">
        <v>5000</v>
      </c>
      <c r="D20" s="2438">
        <v>1132</v>
      </c>
      <c r="E20" s="2438">
        <f t="shared" si="0"/>
        <v>5660000</v>
      </c>
      <c r="F20" s="2438">
        <f t="shared" si="1"/>
        <v>370280.37383177574</v>
      </c>
      <c r="G20" s="2438">
        <f>$E$7/1000*12*C20</f>
        <v>4906800</v>
      </c>
      <c r="H20" s="2438">
        <f t="shared" si="2"/>
        <v>9300</v>
      </c>
      <c r="I20" s="2438">
        <f t="shared" si="3"/>
        <v>4900</v>
      </c>
      <c r="J20" s="2438">
        <f t="shared" si="4"/>
        <v>5291280.373831776</v>
      </c>
      <c r="K20" s="2438">
        <f t="shared" si="5"/>
        <v>368719.62616822403</v>
      </c>
      <c r="L20" s="2439">
        <f t="shared" si="6"/>
        <v>6.9704946996466385E-2</v>
      </c>
      <c r="M20" s="2440">
        <f>$AF$40/($E$40+$S$40)*E20</f>
        <v>216775.96025354709</v>
      </c>
      <c r="N20" s="2440">
        <f t="shared" si="7"/>
        <v>151943.66591467694</v>
      </c>
      <c r="O20" s="2441">
        <f t="shared" si="8"/>
        <v>2.8724332602244582E-2</v>
      </c>
      <c r="P20" s="2499">
        <f t="shared" si="9"/>
        <v>60</v>
      </c>
      <c r="Q20" s="2475">
        <v>1</v>
      </c>
      <c r="R20" s="2442">
        <f>(D20/12*33)-R6</f>
        <v>3063</v>
      </c>
      <c r="S20" s="2442">
        <f t="shared" si="10"/>
        <v>3063</v>
      </c>
      <c r="T20" s="2442">
        <f t="shared" si="11"/>
        <v>200.38317757009347</v>
      </c>
      <c r="U20" s="2442">
        <f>$E$7/1000*33*Q20</f>
        <v>2698.7400000000002</v>
      </c>
      <c r="V20" s="2442">
        <f t="shared" si="12"/>
        <v>5.1150000000000002</v>
      </c>
      <c r="W20" s="2442">
        <f t="shared" si="13"/>
        <v>0.98</v>
      </c>
      <c r="X20" s="2442">
        <f t="shared" si="14"/>
        <v>2905.2181775700933</v>
      </c>
      <c r="Y20" s="2442">
        <f t="shared" si="15"/>
        <v>157.7818224299067</v>
      </c>
      <c r="Z20" s="2443">
        <f t="shared" si="16"/>
        <v>5.1512184926512147E-2</v>
      </c>
      <c r="AA20" s="2444">
        <f>$AF$40/($E$40+$S$40)*S20</f>
        <v>117.31179615841251</v>
      </c>
      <c r="AB20" s="2442">
        <f t="shared" si="17"/>
        <v>40.470026271494191</v>
      </c>
      <c r="AC20" s="2526">
        <f t="shared" si="18"/>
        <v>1.3212545305744105E-2</v>
      </c>
      <c r="AD20" s="2476">
        <f t="shared" si="19"/>
        <v>3.3000000000000002E-2</v>
      </c>
      <c r="AE20" s="1084">
        <f t="shared" si="20"/>
        <v>5663063</v>
      </c>
      <c r="AF20" s="1084">
        <f t="shared" si="21"/>
        <v>216893.2720497055</v>
      </c>
      <c r="AG20" s="1065">
        <f t="shared" si="22"/>
        <v>151984.13594094844</v>
      </c>
      <c r="AH20" s="2558">
        <f t="shared" si="23"/>
        <v>2.8716442931469213E-2</v>
      </c>
      <c r="AI20" s="2514">
        <f t="shared" si="24"/>
        <v>60.033000000000001</v>
      </c>
    </row>
    <row r="21" spans="1:39" x14ac:dyDescent="0.25">
      <c r="A21" s="1734">
        <v>9</v>
      </c>
      <c r="B21" s="2425" t="s">
        <v>984</v>
      </c>
      <c r="C21" s="2414">
        <v>6000</v>
      </c>
      <c r="D21" s="1554">
        <v>1130</v>
      </c>
      <c r="E21" s="1554">
        <f t="shared" si="0"/>
        <v>6780000</v>
      </c>
      <c r="F21" s="1554">
        <f t="shared" si="1"/>
        <v>443551.4018691589</v>
      </c>
      <c r="G21" s="1554">
        <f>$E$7/1000*12*C21</f>
        <v>5888160</v>
      </c>
      <c r="H21" s="1554">
        <f t="shared" si="2"/>
        <v>11160</v>
      </c>
      <c r="I21" s="1554">
        <f t="shared" si="3"/>
        <v>5880</v>
      </c>
      <c r="J21" s="1554">
        <f t="shared" si="4"/>
        <v>6348751.4018691592</v>
      </c>
      <c r="K21" s="1554">
        <f t="shared" si="5"/>
        <v>431248.59813084081</v>
      </c>
      <c r="L21" s="2416">
        <f t="shared" si="6"/>
        <v>6.8058407079645972E-2</v>
      </c>
      <c r="M21" s="2417">
        <f>$AF$40/($E$40+$S$40)*E21</f>
        <v>259671.5566288073</v>
      </c>
      <c r="N21" s="2417">
        <f t="shared" si="7"/>
        <v>171577.04150203351</v>
      </c>
      <c r="O21" s="2418">
        <f t="shared" si="8"/>
        <v>2.7077792685424169E-2</v>
      </c>
      <c r="P21" s="2500">
        <f t="shared" si="9"/>
        <v>72</v>
      </c>
      <c r="Q21" s="2477">
        <v>1</v>
      </c>
      <c r="R21" s="2419">
        <f>(D21/12*33)-$R$6</f>
        <v>3057.5</v>
      </c>
      <c r="S21" s="2419">
        <f t="shared" si="10"/>
        <v>3057.5</v>
      </c>
      <c r="T21" s="2419">
        <f t="shared" si="11"/>
        <v>200.02336448598132</v>
      </c>
      <c r="U21" s="2419">
        <f>$E$7/1000*33*Q21</f>
        <v>2698.7400000000002</v>
      </c>
      <c r="V21" s="2419">
        <f t="shared" si="12"/>
        <v>5.1150000000000002</v>
      </c>
      <c r="W21" s="2419">
        <f t="shared" si="13"/>
        <v>0.98</v>
      </c>
      <c r="X21" s="2419">
        <f t="shared" si="14"/>
        <v>2904.8583644859814</v>
      </c>
      <c r="Y21" s="2419">
        <f t="shared" si="15"/>
        <v>152.64163551401862</v>
      </c>
      <c r="Z21" s="2420">
        <f t="shared" si="16"/>
        <v>4.9923674738845007E-2</v>
      </c>
      <c r="AA21" s="2421">
        <f>$AF$40/($E$40+$S$40)*S21</f>
        <v>117.10114814049828</v>
      </c>
      <c r="AB21" s="2419">
        <f t="shared" si="17"/>
        <v>35.540487373520335</v>
      </c>
      <c r="AC21" s="2527">
        <f t="shared" si="18"/>
        <v>1.162403511807697E-2</v>
      </c>
      <c r="AD21" s="2478">
        <f t="shared" si="19"/>
        <v>3.3000000000000002E-2</v>
      </c>
      <c r="AE21" s="1086">
        <f t="shared" si="20"/>
        <v>6783057.5</v>
      </c>
      <c r="AF21" s="1086">
        <f t="shared" si="21"/>
        <v>259788.6577769478</v>
      </c>
      <c r="AG21" s="1066">
        <f t="shared" si="22"/>
        <v>171612.58198940702</v>
      </c>
      <c r="AH21" s="2559">
        <f t="shared" si="23"/>
        <v>2.7071193592073415E-2</v>
      </c>
      <c r="AI21" s="2515">
        <f t="shared" si="24"/>
        <v>72.033000000000001</v>
      </c>
    </row>
    <row r="22" spans="1:39" x14ac:dyDescent="0.25">
      <c r="A22" s="1734">
        <v>10</v>
      </c>
      <c r="B22" s="815" t="s">
        <v>549</v>
      </c>
      <c r="C22" s="2414">
        <v>3000</v>
      </c>
      <c r="D22" s="1554">
        <v>1122</v>
      </c>
      <c r="E22" s="1554">
        <f t="shared" si="0"/>
        <v>3366000</v>
      </c>
      <c r="F22" s="1554">
        <f t="shared" si="1"/>
        <v>220205.60747663552</v>
      </c>
      <c r="G22" s="1554">
        <f>$E$7/1000*12*C22</f>
        <v>2944080</v>
      </c>
      <c r="H22" s="1554">
        <f t="shared" si="2"/>
        <v>5580</v>
      </c>
      <c r="I22" s="1554">
        <f t="shared" si="3"/>
        <v>2940</v>
      </c>
      <c r="J22" s="1554">
        <f t="shared" si="4"/>
        <v>3172805.6074766354</v>
      </c>
      <c r="K22" s="1554">
        <f t="shared" si="5"/>
        <v>193194.39252336463</v>
      </c>
      <c r="L22" s="2416">
        <f t="shared" si="6"/>
        <v>6.141354723707669E-2</v>
      </c>
      <c r="M22" s="2417">
        <f>$AF$40/($E$40+$S$40)*E22</f>
        <v>128916.58696350521</v>
      </c>
      <c r="N22" s="2417">
        <f t="shared" si="7"/>
        <v>64277.805559859422</v>
      </c>
      <c r="O22" s="2418">
        <f t="shared" si="8"/>
        <v>2.0432932842854894E-2</v>
      </c>
      <c r="P22" s="2500">
        <f t="shared" si="9"/>
        <v>36</v>
      </c>
      <c r="Q22" s="2477">
        <v>1</v>
      </c>
      <c r="R22" s="2419">
        <f t="shared" ref="R22:R23" si="30">(D22/12*33)-$R$6</f>
        <v>3035.5</v>
      </c>
      <c r="S22" s="2419">
        <f t="shared" si="10"/>
        <v>3035.5</v>
      </c>
      <c r="T22" s="2419">
        <f t="shared" si="11"/>
        <v>198.5841121495327</v>
      </c>
      <c r="U22" s="2419">
        <f>$E$7/1000*33*Q22</f>
        <v>2698.7400000000002</v>
      </c>
      <c r="V22" s="2419">
        <f t="shared" si="12"/>
        <v>5.1150000000000002</v>
      </c>
      <c r="W22" s="2419">
        <f t="shared" si="13"/>
        <v>0.98</v>
      </c>
      <c r="X22" s="2419">
        <f t="shared" si="14"/>
        <v>2903.4191121495328</v>
      </c>
      <c r="Y22" s="2419">
        <f t="shared" si="15"/>
        <v>132.08088785046721</v>
      </c>
      <c r="Z22" s="2420">
        <f t="shared" si="16"/>
        <v>4.3512069790962678E-2</v>
      </c>
      <c r="AA22" s="2421">
        <f>$AF$40/($E$40+$S$40)*S22</f>
        <v>116.25855606884137</v>
      </c>
      <c r="AB22" s="2419">
        <f t="shared" si="17"/>
        <v>15.822331781625834</v>
      </c>
      <c r="AC22" s="2527">
        <f t="shared" si="18"/>
        <v>5.2124301701946419E-3</v>
      </c>
      <c r="AD22" s="2478">
        <f t="shared" si="19"/>
        <v>3.3000000000000002E-2</v>
      </c>
      <c r="AE22" s="1086">
        <f t="shared" si="20"/>
        <v>3369035.5</v>
      </c>
      <c r="AF22" s="1086">
        <f t="shared" si="21"/>
        <v>129032.84551957405</v>
      </c>
      <c r="AG22" s="1066">
        <f t="shared" si="22"/>
        <v>64293.627891641045</v>
      </c>
      <c r="AH22" s="2559">
        <f t="shared" si="23"/>
        <v>2.0419547922263186E-2</v>
      </c>
      <c r="AI22" s="2515">
        <f t="shared" si="24"/>
        <v>36.033000000000001</v>
      </c>
    </row>
    <row r="23" spans="1:39" x14ac:dyDescent="0.25">
      <c r="A23" s="1734">
        <v>11</v>
      </c>
      <c r="B23" s="1741" t="s">
        <v>546</v>
      </c>
      <c r="C23" s="2414">
        <v>12500</v>
      </c>
      <c r="D23" s="1554">
        <v>1128</v>
      </c>
      <c r="E23" s="1554">
        <f t="shared" si="0"/>
        <v>14100000</v>
      </c>
      <c r="F23" s="1554">
        <f t="shared" si="1"/>
        <v>922429.90654205612</v>
      </c>
      <c r="G23" s="1554">
        <f>$E$7/1000*12*C23</f>
        <v>12267000</v>
      </c>
      <c r="H23" s="1554">
        <f t="shared" si="2"/>
        <v>23250</v>
      </c>
      <c r="I23" s="1554">
        <f t="shared" si="3"/>
        <v>12250</v>
      </c>
      <c r="J23" s="1554">
        <f t="shared" si="4"/>
        <v>13224929.906542055</v>
      </c>
      <c r="K23" s="1554">
        <f t="shared" si="5"/>
        <v>875070.09345794469</v>
      </c>
      <c r="L23" s="2416">
        <f t="shared" si="6"/>
        <v>6.6406028368794376E-2</v>
      </c>
      <c r="M23" s="2417">
        <f>$AF$40/($E$40+$S$40)*E23</f>
        <v>540024.91865282936</v>
      </c>
      <c r="N23" s="2417">
        <f t="shared" si="7"/>
        <v>335045.17480511533</v>
      </c>
      <c r="O23" s="2418">
        <f t="shared" si="8"/>
        <v>2.542541397457258E-2</v>
      </c>
      <c r="P23" s="2500">
        <f t="shared" si="9"/>
        <v>150</v>
      </c>
      <c r="Q23" s="2477">
        <v>1</v>
      </c>
      <c r="R23" s="2419">
        <f t="shared" si="30"/>
        <v>3052</v>
      </c>
      <c r="S23" s="2419">
        <f t="shared" si="10"/>
        <v>3052</v>
      </c>
      <c r="T23" s="2419">
        <f t="shared" si="11"/>
        <v>199.66355140186917</v>
      </c>
      <c r="U23" s="2419">
        <f>$E$7/1000*33*Q23</f>
        <v>2698.7400000000002</v>
      </c>
      <c r="V23" s="2419">
        <f t="shared" si="12"/>
        <v>5.1150000000000002</v>
      </c>
      <c r="W23" s="2419">
        <f t="shared" si="13"/>
        <v>0.98</v>
      </c>
      <c r="X23" s="2419">
        <f t="shared" si="14"/>
        <v>2904.498551401869</v>
      </c>
      <c r="Y23" s="2419">
        <f t="shared" si="15"/>
        <v>147.50144859813099</v>
      </c>
      <c r="Z23" s="2420">
        <f t="shared" si="16"/>
        <v>4.8329439252336501E-2</v>
      </c>
      <c r="AA23" s="2421">
        <f>$AF$40/($E$40+$S$40)*S23</f>
        <v>116.89050012258404</v>
      </c>
      <c r="AB23" s="2419">
        <f t="shared" si="17"/>
        <v>30.610948475546948</v>
      </c>
      <c r="AC23" s="2527">
        <f t="shared" si="18"/>
        <v>1.0029799631568463E-2</v>
      </c>
      <c r="AD23" s="2478">
        <f t="shared" si="19"/>
        <v>3.3000000000000002E-2</v>
      </c>
      <c r="AE23" s="1086">
        <f t="shared" si="20"/>
        <v>14103052</v>
      </c>
      <c r="AF23" s="1086">
        <f t="shared" si="21"/>
        <v>540141.80915295193</v>
      </c>
      <c r="AG23" s="1066">
        <f t="shared" si="22"/>
        <v>335075.78575359087</v>
      </c>
      <c r="AH23" s="2559">
        <f t="shared" si="23"/>
        <v>2.5422234191318459E-2</v>
      </c>
      <c r="AI23" s="2515">
        <f t="shared" si="24"/>
        <v>150.03299999999999</v>
      </c>
    </row>
    <row r="24" spans="1:39" s="1" customFormat="1" x14ac:dyDescent="0.25">
      <c r="A24" s="2516"/>
      <c r="B24" s="2490" t="s">
        <v>994</v>
      </c>
      <c r="C24" s="2501">
        <f>SUM(C20:C23)</f>
        <v>26500</v>
      </c>
      <c r="D24" s="2415">
        <f>E24/C24</f>
        <v>1128.5283018867924</v>
      </c>
      <c r="E24" s="2415">
        <f t="shared" ref="E24:K24" si="31">SUM(E20:E23)</f>
        <v>29906000</v>
      </c>
      <c r="F24" s="2415">
        <f t="shared" si="31"/>
        <v>1956467.2897196263</v>
      </c>
      <c r="G24" s="2415">
        <f t="shared" si="31"/>
        <v>26006040</v>
      </c>
      <c r="H24" s="2415">
        <f t="shared" si="31"/>
        <v>49290</v>
      </c>
      <c r="I24" s="2415">
        <f t="shared" si="31"/>
        <v>25970</v>
      </c>
      <c r="J24" s="2415">
        <f t="shared" si="31"/>
        <v>28037767.289719626</v>
      </c>
      <c r="K24" s="2415">
        <f t="shared" si="31"/>
        <v>1868232.7102803742</v>
      </c>
      <c r="L24" s="2445">
        <f t="shared" si="6"/>
        <v>6.6843074968233815E-2</v>
      </c>
      <c r="M24" s="2446">
        <f>$AF$40/($E$40+$S$40)*E24</f>
        <v>1145389.0224986889</v>
      </c>
      <c r="N24" s="2446">
        <f>SUM(N20:N23)</f>
        <v>722843.68778168526</v>
      </c>
      <c r="O24" s="2447">
        <f t="shared" si="8"/>
        <v>2.5862460574012012E-2</v>
      </c>
      <c r="P24" s="2502">
        <f t="shared" si="9"/>
        <v>318</v>
      </c>
      <c r="Q24" s="2479">
        <f>SUM(Q20:Q23)</f>
        <v>4</v>
      </c>
      <c r="R24" s="2448">
        <f>S24/Q24</f>
        <v>3052</v>
      </c>
      <c r="S24" s="2448">
        <f t="shared" ref="S24:Y24" si="32">SUM(S20:S23)</f>
        <v>12208</v>
      </c>
      <c r="T24" s="2448">
        <f t="shared" si="32"/>
        <v>798.65420560747668</v>
      </c>
      <c r="U24" s="2448">
        <f t="shared" si="32"/>
        <v>10794.960000000001</v>
      </c>
      <c r="V24" s="2448">
        <f t="shared" si="32"/>
        <v>20.46</v>
      </c>
      <c r="W24" s="2448">
        <f t="shared" si="32"/>
        <v>3.92</v>
      </c>
      <c r="X24" s="2448">
        <f t="shared" si="32"/>
        <v>11617.994205607476</v>
      </c>
      <c r="Y24" s="2448">
        <f t="shared" si="32"/>
        <v>590.00579439252351</v>
      </c>
      <c r="Z24" s="2449">
        <f t="shared" si="16"/>
        <v>4.8329439252336459E-2</v>
      </c>
      <c r="AA24" s="2448">
        <f t="shared" ref="AA24" si="33">SUM(AA20:AA23)</f>
        <v>467.56200049033623</v>
      </c>
      <c r="AB24" s="2448">
        <f t="shared" ref="AB24" si="34">SUM(AB20:AB23)</f>
        <v>122.44379390218731</v>
      </c>
      <c r="AC24" s="2528">
        <f t="shared" si="18"/>
        <v>1.0029799631568423E-2</v>
      </c>
      <c r="AD24" s="2480">
        <f t="shared" ref="AD24" si="35">SUM(AD20:AD23)</f>
        <v>0.13200000000000001</v>
      </c>
      <c r="AE24" s="2468">
        <f t="shared" si="20"/>
        <v>29918208</v>
      </c>
      <c r="AF24" s="2468">
        <f t="shared" si="21"/>
        <v>1145856.5844991792</v>
      </c>
      <c r="AG24" s="2451">
        <f>SUM(AG20:AG23)</f>
        <v>722966.13157558744</v>
      </c>
      <c r="AH24" s="2560">
        <f t="shared" si="23"/>
        <v>2.5856286605998549E-2</v>
      </c>
      <c r="AI24" s="2517">
        <f t="shared" si="24"/>
        <v>318.13200000000001</v>
      </c>
      <c r="AJ24" s="4"/>
      <c r="AK24" s="4"/>
      <c r="AL24" s="4"/>
      <c r="AM24" s="4"/>
    </row>
    <row r="25" spans="1:39" x14ac:dyDescent="0.25">
      <c r="A25" s="2518">
        <v>12</v>
      </c>
      <c r="B25" s="2493" t="s">
        <v>810</v>
      </c>
      <c r="C25" s="2503">
        <f>17000-300</f>
        <v>16700</v>
      </c>
      <c r="D25" s="2430">
        <v>1130</v>
      </c>
      <c r="E25" s="2430">
        <f t="shared" si="0"/>
        <v>18871000</v>
      </c>
      <c r="F25" s="2430">
        <f t="shared" si="1"/>
        <v>1234551.401869159</v>
      </c>
      <c r="G25" s="2430">
        <f>$E$7/1000*12*C25</f>
        <v>16388712</v>
      </c>
      <c r="H25" s="2430">
        <f t="shared" si="2"/>
        <v>31062</v>
      </c>
      <c r="I25" s="2430">
        <f t="shared" si="3"/>
        <v>16366</v>
      </c>
      <c r="J25" s="2430">
        <f t="shared" si="4"/>
        <v>17670691.401869159</v>
      </c>
      <c r="K25" s="2430">
        <f t="shared" si="5"/>
        <v>1200308.5981308408</v>
      </c>
      <c r="L25" s="2431">
        <f t="shared" si="6"/>
        <v>6.8058407079645999E-2</v>
      </c>
      <c r="M25" s="2432">
        <f>$AF$40/($E$40+$S$40)*E25</f>
        <v>722752.49928351364</v>
      </c>
      <c r="N25" s="2432">
        <f t="shared" si="7"/>
        <v>477556.09884732717</v>
      </c>
      <c r="O25" s="2433">
        <f t="shared" si="8"/>
        <v>2.70777926854242E-2</v>
      </c>
      <c r="P25" s="2504">
        <f t="shared" si="9"/>
        <v>200.4</v>
      </c>
      <c r="Q25" s="2481">
        <v>300</v>
      </c>
      <c r="R25" s="2434">
        <f>(D25/12*33)-R6</f>
        <v>3057.5</v>
      </c>
      <c r="S25" s="2434">
        <f t="shared" si="10"/>
        <v>917250</v>
      </c>
      <c r="T25" s="2434">
        <f t="shared" si="11"/>
        <v>60007.009345794395</v>
      </c>
      <c r="U25" s="2434">
        <f>$E$7/1000*33*Q25</f>
        <v>809622.00000000012</v>
      </c>
      <c r="V25" s="2434">
        <f t="shared" si="12"/>
        <v>1534.5</v>
      </c>
      <c r="W25" s="2434">
        <f t="shared" si="13"/>
        <v>294</v>
      </c>
      <c r="X25" s="2434">
        <f t="shared" si="14"/>
        <v>871457.50934579456</v>
      </c>
      <c r="Y25" s="2434">
        <f t="shared" si="15"/>
        <v>45792.490654205438</v>
      </c>
      <c r="Z25" s="2435">
        <f t="shared" si="16"/>
        <v>4.9923674738844848E-2</v>
      </c>
      <c r="AA25" s="2436">
        <f>$AF$40/($E$40+$S$40)*S25</f>
        <v>35130.344442149486</v>
      </c>
      <c r="AB25" s="2434">
        <f t="shared" si="17"/>
        <v>10662.146212055952</v>
      </c>
      <c r="AC25" s="2529">
        <f t="shared" si="18"/>
        <v>1.1624035118076808E-2</v>
      </c>
      <c r="AD25" s="2482">
        <f t="shared" si="19"/>
        <v>9.9</v>
      </c>
      <c r="AE25" s="2469">
        <f t="shared" si="20"/>
        <v>19788250</v>
      </c>
      <c r="AF25" s="2469">
        <f t="shared" si="21"/>
        <v>757882.84372566314</v>
      </c>
      <c r="AG25" s="2437">
        <f t="shared" si="22"/>
        <v>488218.2450593831</v>
      </c>
      <c r="AH25" s="2561">
        <f t="shared" si="23"/>
        <v>2.6399177401414474E-2</v>
      </c>
      <c r="AI25" s="2519">
        <f t="shared" si="24"/>
        <v>210.3</v>
      </c>
    </row>
    <row r="26" spans="1:39" x14ac:dyDescent="0.25">
      <c r="A26" s="1734">
        <v>13</v>
      </c>
      <c r="B26" s="1741" t="s">
        <v>985</v>
      </c>
      <c r="C26" s="2414">
        <v>10000</v>
      </c>
      <c r="D26" s="1554">
        <v>1128</v>
      </c>
      <c r="E26" s="1554">
        <f t="shared" si="0"/>
        <v>11280000</v>
      </c>
      <c r="F26" s="1554">
        <f t="shared" si="1"/>
        <v>737943.9252336449</v>
      </c>
      <c r="G26" s="1554">
        <f>$E$7/1000*12*C26</f>
        <v>9813600</v>
      </c>
      <c r="H26" s="1554">
        <f t="shared" si="2"/>
        <v>18600</v>
      </c>
      <c r="I26" s="1554">
        <f t="shared" si="3"/>
        <v>9800</v>
      </c>
      <c r="J26" s="1554">
        <f t="shared" si="4"/>
        <v>10579943.925233645</v>
      </c>
      <c r="K26" s="1554">
        <f t="shared" si="5"/>
        <v>700056.07476635464</v>
      </c>
      <c r="L26" s="2416">
        <f t="shared" si="6"/>
        <v>6.6406028368794279E-2</v>
      </c>
      <c r="M26" s="2417">
        <f>$AF$40/($E$40+$S$40)*E26</f>
        <v>432019.93492226349</v>
      </c>
      <c r="N26" s="2417">
        <f t="shared" si="7"/>
        <v>268036.13984409114</v>
      </c>
      <c r="O26" s="2418">
        <f t="shared" si="8"/>
        <v>2.5425413974572476E-2</v>
      </c>
      <c r="P26" s="2500">
        <f t="shared" si="9"/>
        <v>120</v>
      </c>
      <c r="Q26" s="2477">
        <v>1</v>
      </c>
      <c r="R26" s="2419">
        <f>(D26/12*33)-$R$6</f>
        <v>3052</v>
      </c>
      <c r="S26" s="2419">
        <f t="shared" si="10"/>
        <v>3052</v>
      </c>
      <c r="T26" s="2419">
        <f t="shared" si="11"/>
        <v>199.66355140186917</v>
      </c>
      <c r="U26" s="2419">
        <f>$E$7/1000*33*Q26</f>
        <v>2698.7400000000002</v>
      </c>
      <c r="V26" s="2419">
        <f t="shared" si="12"/>
        <v>5.1150000000000002</v>
      </c>
      <c r="W26" s="2419">
        <f t="shared" si="13"/>
        <v>0.98</v>
      </c>
      <c r="X26" s="2419">
        <f t="shared" si="14"/>
        <v>2904.498551401869</v>
      </c>
      <c r="Y26" s="2419">
        <f t="shared" si="15"/>
        <v>147.50144859813099</v>
      </c>
      <c r="Z26" s="2420">
        <f t="shared" si="16"/>
        <v>4.8329439252336501E-2</v>
      </c>
      <c r="AA26" s="2421">
        <f>$AF$40/($E$40+$S$40)*S26</f>
        <v>116.89050012258404</v>
      </c>
      <c r="AB26" s="2419">
        <f t="shared" si="17"/>
        <v>30.610948475546948</v>
      </c>
      <c r="AC26" s="2527">
        <f t="shared" si="18"/>
        <v>1.0029799631568463E-2</v>
      </c>
      <c r="AD26" s="2478">
        <f t="shared" si="19"/>
        <v>3.3000000000000002E-2</v>
      </c>
      <c r="AE26" s="1086">
        <f t="shared" si="20"/>
        <v>11283052</v>
      </c>
      <c r="AF26" s="1086">
        <f t="shared" si="21"/>
        <v>432136.82542238606</v>
      </c>
      <c r="AG26" s="1066">
        <f>N26+AB26</f>
        <v>268066.75079256669</v>
      </c>
      <c r="AH26" s="2559">
        <f t="shared" si="23"/>
        <v>2.542143946053305E-2</v>
      </c>
      <c r="AI26" s="2515">
        <f t="shared" si="24"/>
        <v>120.033</v>
      </c>
    </row>
    <row r="27" spans="1:39" x14ac:dyDescent="0.25">
      <c r="A27" s="1734">
        <v>14</v>
      </c>
      <c r="B27" s="2555" t="s">
        <v>825</v>
      </c>
      <c r="C27" s="2414">
        <v>6000</v>
      </c>
      <c r="D27" s="1554">
        <v>1133</v>
      </c>
      <c r="E27" s="1554">
        <f t="shared" si="0"/>
        <v>6798000</v>
      </c>
      <c r="F27" s="1554">
        <f t="shared" si="1"/>
        <v>444728.97196261684</v>
      </c>
      <c r="G27" s="1554">
        <f>$E$7/1000*12*C27</f>
        <v>5888160</v>
      </c>
      <c r="H27" s="1554">
        <f t="shared" si="2"/>
        <v>11160</v>
      </c>
      <c r="I27" s="1554">
        <f t="shared" si="3"/>
        <v>5880</v>
      </c>
      <c r="J27" s="1554">
        <f t="shared" si="4"/>
        <v>6349928.9719626168</v>
      </c>
      <c r="K27" s="1554">
        <f t="shared" si="5"/>
        <v>448071.02803738322</v>
      </c>
      <c r="L27" s="2416">
        <f t="shared" si="6"/>
        <v>7.0526037069726391E-2</v>
      </c>
      <c r="M27" s="2417">
        <f>$AF$40/($E$40+$S$40)*E27</f>
        <v>260360.95014198113</v>
      </c>
      <c r="N27" s="2417">
        <f t="shared" si="7"/>
        <v>187710.07789540209</v>
      </c>
      <c r="O27" s="2418">
        <f t="shared" si="8"/>
        <v>2.9545422675504595E-2</v>
      </c>
      <c r="P27" s="2500">
        <f t="shared" si="9"/>
        <v>72</v>
      </c>
      <c r="Q27" s="2477">
        <v>1</v>
      </c>
      <c r="R27" s="2419">
        <f t="shared" ref="R27:R29" si="36">(D27/12*33)-$R$6</f>
        <v>3065.75</v>
      </c>
      <c r="S27" s="2419">
        <f t="shared" si="10"/>
        <v>3065.75</v>
      </c>
      <c r="T27" s="2419">
        <f t="shared" si="11"/>
        <v>200.56308411214954</v>
      </c>
      <c r="U27" s="2419">
        <f>$E$7/1000*33*Q27</f>
        <v>2698.7400000000002</v>
      </c>
      <c r="V27" s="2419">
        <f t="shared" si="12"/>
        <v>5.1150000000000002</v>
      </c>
      <c r="W27" s="2419">
        <f t="shared" si="13"/>
        <v>0.98</v>
      </c>
      <c r="X27" s="2419">
        <f t="shared" si="14"/>
        <v>2905.3980841121497</v>
      </c>
      <c r="Y27" s="2419">
        <f t="shared" si="15"/>
        <v>160.35191588785028</v>
      </c>
      <c r="Z27" s="2420">
        <f t="shared" si="16"/>
        <v>5.2304302662594893E-2</v>
      </c>
      <c r="AA27" s="2421">
        <f>$AF$40/($E$40+$S$40)*S27</f>
        <v>117.41712016736962</v>
      </c>
      <c r="AB27" s="2419">
        <f t="shared" si="17"/>
        <v>42.934795720480665</v>
      </c>
      <c r="AC27" s="2527">
        <f t="shared" si="18"/>
        <v>1.400466304182685E-2</v>
      </c>
      <c r="AD27" s="2478">
        <f t="shared" si="19"/>
        <v>3.3000000000000002E-2</v>
      </c>
      <c r="AE27" s="1086">
        <f t="shared" si="20"/>
        <v>6801065.75</v>
      </c>
      <c r="AF27" s="1086">
        <f t="shared" si="21"/>
        <v>260478.3672621485</v>
      </c>
      <c r="AG27" s="1066">
        <f t="shared" ref="AG27:AG38" si="37">N27+AB27</f>
        <v>187753.01269112257</v>
      </c>
      <c r="AH27" s="2559">
        <f t="shared" si="23"/>
        <v>2.9538859197104684E-2</v>
      </c>
      <c r="AI27" s="2515">
        <f t="shared" si="24"/>
        <v>72.033000000000001</v>
      </c>
    </row>
    <row r="28" spans="1:39" x14ac:dyDescent="0.25">
      <c r="A28" s="1734">
        <v>15</v>
      </c>
      <c r="B28" s="2425" t="s">
        <v>986</v>
      </c>
      <c r="C28" s="2414">
        <v>14000</v>
      </c>
      <c r="D28" s="1554">
        <v>1130</v>
      </c>
      <c r="E28" s="1554">
        <f t="shared" si="0"/>
        <v>15820000</v>
      </c>
      <c r="F28" s="1554">
        <f t="shared" si="1"/>
        <v>1034953.2710280373</v>
      </c>
      <c r="G28" s="1554">
        <f>$E$7/1000*12*C28</f>
        <v>13739040</v>
      </c>
      <c r="H28" s="1554">
        <f t="shared" si="2"/>
        <v>26040</v>
      </c>
      <c r="I28" s="1554">
        <f t="shared" si="3"/>
        <v>13720</v>
      </c>
      <c r="J28" s="1554">
        <f t="shared" si="4"/>
        <v>14813753.271028038</v>
      </c>
      <c r="K28" s="1554">
        <f t="shared" si="5"/>
        <v>1006246.7289719619</v>
      </c>
      <c r="L28" s="2416">
        <f t="shared" si="6"/>
        <v>6.8058407079645972E-2</v>
      </c>
      <c r="M28" s="2417">
        <f>$AF$40/($E$40+$S$40)*E28</f>
        <v>605900.2988005504</v>
      </c>
      <c r="N28" s="2417">
        <f t="shared" si="7"/>
        <v>400346.43017141148</v>
      </c>
      <c r="O28" s="2418">
        <f t="shared" si="8"/>
        <v>2.7077792685424165E-2</v>
      </c>
      <c r="P28" s="2500">
        <f t="shared" si="9"/>
        <v>168</v>
      </c>
      <c r="Q28" s="2477">
        <v>1</v>
      </c>
      <c r="R28" s="2419">
        <f t="shared" si="36"/>
        <v>3057.5</v>
      </c>
      <c r="S28" s="2419">
        <f t="shared" si="10"/>
        <v>3057.5</v>
      </c>
      <c r="T28" s="2419">
        <f t="shared" si="11"/>
        <v>200.02336448598132</v>
      </c>
      <c r="U28" s="2419">
        <f>$E$7/1000*33*Q28</f>
        <v>2698.7400000000002</v>
      </c>
      <c r="V28" s="2419">
        <f t="shared" si="12"/>
        <v>5.1150000000000002</v>
      </c>
      <c r="W28" s="2419">
        <f t="shared" si="13"/>
        <v>0.98</v>
      </c>
      <c r="X28" s="2419">
        <f t="shared" si="14"/>
        <v>2904.8583644859814</v>
      </c>
      <c r="Y28" s="2419">
        <f t="shared" si="15"/>
        <v>152.64163551401862</v>
      </c>
      <c r="Z28" s="2420">
        <f t="shared" si="16"/>
        <v>4.9923674738845007E-2</v>
      </c>
      <c r="AA28" s="2421">
        <f>$AF$40/($E$40+$S$40)*S28</f>
        <v>117.10114814049828</v>
      </c>
      <c r="AB28" s="2419">
        <f t="shared" si="17"/>
        <v>35.540487373520335</v>
      </c>
      <c r="AC28" s="2527">
        <f t="shared" si="18"/>
        <v>1.162403511807697E-2</v>
      </c>
      <c r="AD28" s="2478">
        <f t="shared" si="19"/>
        <v>3.3000000000000002E-2</v>
      </c>
      <c r="AE28" s="1086">
        <f t="shared" si="20"/>
        <v>15823057.5</v>
      </c>
      <c r="AF28" s="1086">
        <f t="shared" si="21"/>
        <v>606017.3999486909</v>
      </c>
      <c r="AG28" s="1066">
        <f t="shared" si="37"/>
        <v>400381.97065878502</v>
      </c>
      <c r="AH28" s="2559">
        <f t="shared" si="23"/>
        <v>2.7074963773904E-2</v>
      </c>
      <c r="AI28" s="2515">
        <f t="shared" si="24"/>
        <v>168.03299999999999</v>
      </c>
    </row>
    <row r="29" spans="1:39" x14ac:dyDescent="0.25">
      <c r="A29" s="1734">
        <v>16</v>
      </c>
      <c r="B29" s="2424" t="s">
        <v>987</v>
      </c>
      <c r="C29" s="2414">
        <f>7000-1000</f>
        <v>6000</v>
      </c>
      <c r="D29" s="1554">
        <v>1135</v>
      </c>
      <c r="E29" s="1554">
        <f t="shared" si="0"/>
        <v>6810000</v>
      </c>
      <c r="F29" s="1554">
        <f t="shared" si="1"/>
        <v>445514.01869158883</v>
      </c>
      <c r="G29" s="1554">
        <f>$E$7/1000*12*C29</f>
        <v>5888160</v>
      </c>
      <c r="H29" s="1554">
        <f t="shared" si="2"/>
        <v>11160</v>
      </c>
      <c r="I29" s="1554">
        <f t="shared" si="3"/>
        <v>5880</v>
      </c>
      <c r="J29" s="1554">
        <f t="shared" si="4"/>
        <v>6350714.0186915891</v>
      </c>
      <c r="K29" s="1554">
        <f t="shared" si="5"/>
        <v>459285.98130841088</v>
      </c>
      <c r="L29" s="2416">
        <f t="shared" si="6"/>
        <v>7.2163876651982331E-2</v>
      </c>
      <c r="M29" s="2417">
        <f>$AF$40/($E$40+$S$40)*E29</f>
        <v>260820.54581743033</v>
      </c>
      <c r="N29" s="2417">
        <f t="shared" si="7"/>
        <v>198465.43549098054</v>
      </c>
      <c r="O29" s="2418">
        <f t="shared" si="8"/>
        <v>3.1183262257760528E-2</v>
      </c>
      <c r="P29" s="2500">
        <f t="shared" si="9"/>
        <v>72</v>
      </c>
      <c r="Q29" s="2477">
        <v>1000</v>
      </c>
      <c r="R29" s="2419">
        <f t="shared" si="36"/>
        <v>3071.25</v>
      </c>
      <c r="S29" s="2419">
        <f t="shared" si="10"/>
        <v>3071250</v>
      </c>
      <c r="T29" s="2419">
        <f t="shared" si="11"/>
        <v>200922.89719626171</v>
      </c>
      <c r="U29" s="2419">
        <f>$E$7/1000*33*Q29</f>
        <v>2698740.0000000005</v>
      </c>
      <c r="V29" s="2419">
        <f t="shared" si="12"/>
        <v>5115</v>
      </c>
      <c r="W29" s="2419">
        <f t="shared" si="13"/>
        <v>980</v>
      </c>
      <c r="X29" s="2419">
        <f t="shared" si="14"/>
        <v>2905757.8971962621</v>
      </c>
      <c r="Y29" s="2419">
        <f t="shared" si="15"/>
        <v>165492.10280373786</v>
      </c>
      <c r="Z29" s="2420">
        <f t="shared" si="16"/>
        <v>5.3884282557179607E-2</v>
      </c>
      <c r="AA29" s="2421">
        <f>$AF$40/($E$40+$S$40)*S29</f>
        <v>117627.76818528383</v>
      </c>
      <c r="AB29" s="2419">
        <f t="shared" si="17"/>
        <v>47864.334618454028</v>
      </c>
      <c r="AC29" s="2527">
        <f t="shared" si="18"/>
        <v>1.5584642936411567E-2</v>
      </c>
      <c r="AD29" s="2478">
        <f t="shared" si="19"/>
        <v>33</v>
      </c>
      <c r="AE29" s="1086">
        <f t="shared" si="20"/>
        <v>9881250</v>
      </c>
      <c r="AF29" s="1086">
        <f t="shared" si="21"/>
        <v>378448.31400271418</v>
      </c>
      <c r="AG29" s="1066">
        <f t="shared" si="37"/>
        <v>246329.77010943455</v>
      </c>
      <c r="AH29" s="2559">
        <f t="shared" si="23"/>
        <v>2.6674039622223398E-2</v>
      </c>
      <c r="AI29" s="2515">
        <f t="shared" si="24"/>
        <v>105</v>
      </c>
    </row>
    <row r="30" spans="1:39" s="1" customFormat="1" x14ac:dyDescent="0.25">
      <c r="A30" s="2520"/>
      <c r="B30" s="2429" t="s">
        <v>550</v>
      </c>
      <c r="C30" s="2505">
        <f>SUM(C25:C29)</f>
        <v>52700</v>
      </c>
      <c r="D30" s="1555">
        <f>E30/C30</f>
        <v>1130.5313092979127</v>
      </c>
      <c r="E30" s="1555">
        <f t="shared" ref="E30:K30" si="38">SUM(E25:E29)</f>
        <v>59579000</v>
      </c>
      <c r="F30" s="1555">
        <f t="shared" si="38"/>
        <v>3897691.5887850467</v>
      </c>
      <c r="G30" s="1555">
        <f t="shared" si="38"/>
        <v>51717672</v>
      </c>
      <c r="H30" s="1555">
        <f t="shared" si="38"/>
        <v>98022</v>
      </c>
      <c r="I30" s="1555">
        <f t="shared" si="38"/>
        <v>51646</v>
      </c>
      <c r="J30" s="1555">
        <f t="shared" si="38"/>
        <v>55765031.588785045</v>
      </c>
      <c r="K30" s="1555">
        <f t="shared" si="38"/>
        <v>3813968.4112149514</v>
      </c>
      <c r="L30" s="2452">
        <f t="shared" si="6"/>
        <v>6.8496386310612764E-2</v>
      </c>
      <c r="M30" s="2453">
        <f>$AF$40/($E$40+$S$40)*E30</f>
        <v>2281854.2289657388</v>
      </c>
      <c r="N30" s="2453">
        <f>SUM(N25:N29)</f>
        <v>1532114.1822492124</v>
      </c>
      <c r="O30" s="2454">
        <f t="shared" si="8"/>
        <v>2.7515771916390964E-2</v>
      </c>
      <c r="P30" s="2506">
        <f t="shared" si="9"/>
        <v>632.4</v>
      </c>
      <c r="Q30" s="2483">
        <f>SUM(Q25:Q29)</f>
        <v>1303</v>
      </c>
      <c r="R30" s="2455">
        <f>S30/Q30</f>
        <v>3068.0546815042212</v>
      </c>
      <c r="S30" s="2455">
        <f t="shared" ref="S30:Y30" si="39">SUM(S25:S29)</f>
        <v>3997675.25</v>
      </c>
      <c r="T30" s="2455">
        <f t="shared" si="39"/>
        <v>261530.15654205612</v>
      </c>
      <c r="U30" s="2455">
        <f t="shared" si="39"/>
        <v>3516458.2200000007</v>
      </c>
      <c r="V30" s="2455">
        <f t="shared" si="39"/>
        <v>6664.8450000000003</v>
      </c>
      <c r="W30" s="2455">
        <f t="shared" si="39"/>
        <v>1276.94</v>
      </c>
      <c r="X30" s="2455">
        <f t="shared" si="39"/>
        <v>3785930.1615420566</v>
      </c>
      <c r="Y30" s="2455">
        <f t="shared" si="39"/>
        <v>211745.08845794329</v>
      </c>
      <c r="Z30" s="2459">
        <f t="shared" si="16"/>
        <v>5.296705590528978E-2</v>
      </c>
      <c r="AA30" s="2455">
        <f t="shared" ref="AA30" si="40">SUM(AA25:AA29)</f>
        <v>153109.52139586376</v>
      </c>
      <c r="AB30" s="2455">
        <f t="shared" ref="AB30" si="41">SUM(AB25:AB29)</f>
        <v>58635.567062079528</v>
      </c>
      <c r="AC30" s="2530">
        <f t="shared" si="18"/>
        <v>1.4667416284521742E-2</v>
      </c>
      <c r="AD30" s="2484">
        <f t="shared" ref="AD30" si="42">SUM(AD25:AD29)</f>
        <v>42.998999999999995</v>
      </c>
      <c r="AE30" s="2470">
        <f t="shared" si="20"/>
        <v>63576675.25</v>
      </c>
      <c r="AF30" s="2470">
        <f t="shared" si="21"/>
        <v>2434963.7503616028</v>
      </c>
      <c r="AG30" s="2460">
        <f>SUM(AG25:AG29)</f>
        <v>1590749.7493112921</v>
      </c>
      <c r="AH30" s="2562">
        <f t="shared" si="23"/>
        <v>2.6772432264977278E-2</v>
      </c>
      <c r="AI30" s="2521">
        <f t="shared" si="24"/>
        <v>675.399</v>
      </c>
      <c r="AJ30" s="4"/>
      <c r="AK30" s="4"/>
      <c r="AL30" s="4"/>
      <c r="AM30" s="4"/>
    </row>
    <row r="31" spans="1:39" x14ac:dyDescent="0.25">
      <c r="A31" s="2513">
        <v>17</v>
      </c>
      <c r="B31" s="2489" t="s">
        <v>988</v>
      </c>
      <c r="C31" s="2498">
        <f>12000-300</f>
        <v>11700</v>
      </c>
      <c r="D31" s="2438">
        <v>1128</v>
      </c>
      <c r="E31" s="2438">
        <f t="shared" si="0"/>
        <v>13197600</v>
      </c>
      <c r="F31" s="2438">
        <f t="shared" si="1"/>
        <v>863394.39252336451</v>
      </c>
      <c r="G31" s="2438">
        <f>$E$7/1000*12*C31</f>
        <v>11481912</v>
      </c>
      <c r="H31" s="2438">
        <f t="shared" si="2"/>
        <v>21762</v>
      </c>
      <c r="I31" s="2438">
        <f t="shared" si="3"/>
        <v>11466</v>
      </c>
      <c r="J31" s="2438">
        <f t="shared" si="4"/>
        <v>12378534.392523365</v>
      </c>
      <c r="K31" s="2438">
        <f t="shared" si="5"/>
        <v>819065.6074766349</v>
      </c>
      <c r="L31" s="2439">
        <f t="shared" si="6"/>
        <v>6.6406028368794279E-2</v>
      </c>
      <c r="M31" s="2440">
        <f>$AF$40/($E$40+$S$40)*E31</f>
        <v>505463.32385904825</v>
      </c>
      <c r="N31" s="2440">
        <f t="shared" si="7"/>
        <v>313602.28361758665</v>
      </c>
      <c r="O31" s="2441">
        <f t="shared" si="8"/>
        <v>2.5425413974572479E-2</v>
      </c>
      <c r="P31" s="2499">
        <f t="shared" si="9"/>
        <v>140.4</v>
      </c>
      <c r="Q31" s="2475">
        <v>300</v>
      </c>
      <c r="R31" s="2442">
        <f>(D31/12*33)-R6</f>
        <v>3052</v>
      </c>
      <c r="S31" s="2442">
        <f t="shared" si="10"/>
        <v>915600</v>
      </c>
      <c r="T31" s="2442">
        <f t="shared" si="11"/>
        <v>59899.06542056075</v>
      </c>
      <c r="U31" s="2442">
        <f>$E$7/1000*33*Q31</f>
        <v>809622.00000000012</v>
      </c>
      <c r="V31" s="2442">
        <f t="shared" si="12"/>
        <v>1534.5</v>
      </c>
      <c r="W31" s="2442">
        <f t="shared" si="13"/>
        <v>294</v>
      </c>
      <c r="X31" s="2442">
        <f t="shared" si="14"/>
        <v>871349.56542056089</v>
      </c>
      <c r="Y31" s="2442">
        <f t="shared" si="15"/>
        <v>44250.434579439112</v>
      </c>
      <c r="Z31" s="2443">
        <f t="shared" si="16"/>
        <v>4.8329439252336293E-2</v>
      </c>
      <c r="AA31" s="2444">
        <f>$AF$40/($E$40+$S$40)*S31</f>
        <v>35067.150036775216</v>
      </c>
      <c r="AB31" s="2442">
        <f t="shared" si="17"/>
        <v>9183.284542663896</v>
      </c>
      <c r="AC31" s="2526">
        <f t="shared" si="18"/>
        <v>1.0029799631568257E-2</v>
      </c>
      <c r="AD31" s="2476">
        <f t="shared" si="19"/>
        <v>9.9</v>
      </c>
      <c r="AE31" s="1084">
        <f t="shared" si="20"/>
        <v>14113200</v>
      </c>
      <c r="AF31" s="1084">
        <f t="shared" si="21"/>
        <v>540530.47389582347</v>
      </c>
      <c r="AG31" s="1065">
        <f t="shared" si="37"/>
        <v>322785.56816025055</v>
      </c>
      <c r="AH31" s="2558">
        <f t="shared" si="23"/>
        <v>2.4472164918761734E-2</v>
      </c>
      <c r="AI31" s="2514">
        <f t="shared" si="24"/>
        <v>150.30000000000001</v>
      </c>
    </row>
    <row r="32" spans="1:39" x14ac:dyDescent="0.25">
      <c r="A32" s="1734">
        <v>18</v>
      </c>
      <c r="B32" s="2424" t="s">
        <v>989</v>
      </c>
      <c r="C32" s="2414">
        <f>5000-500</f>
        <v>4500</v>
      </c>
      <c r="D32" s="1554">
        <v>1135</v>
      </c>
      <c r="E32" s="1554">
        <f t="shared" si="0"/>
        <v>5107500</v>
      </c>
      <c r="F32" s="1554">
        <f t="shared" si="1"/>
        <v>334135.51401869161</v>
      </c>
      <c r="G32" s="1554">
        <f>$E$7/1000*12*C32</f>
        <v>4416120</v>
      </c>
      <c r="H32" s="1554">
        <f t="shared" si="2"/>
        <v>8370</v>
      </c>
      <c r="I32" s="1554">
        <f t="shared" si="3"/>
        <v>4410</v>
      </c>
      <c r="J32" s="1554">
        <f t="shared" si="4"/>
        <v>4763035.5140186921</v>
      </c>
      <c r="K32" s="1554">
        <f t="shared" si="5"/>
        <v>344464.48598130792</v>
      </c>
      <c r="L32" s="2416">
        <f t="shared" si="6"/>
        <v>7.2163876651982289E-2</v>
      </c>
      <c r="M32" s="2417">
        <f>$AF$40/($E$40+$S$40)*E32</f>
        <v>195615.40936307274</v>
      </c>
      <c r="N32" s="2417">
        <f t="shared" si="7"/>
        <v>148849.07661823518</v>
      </c>
      <c r="O32" s="2418">
        <f t="shared" si="8"/>
        <v>3.1183262257760483E-2</v>
      </c>
      <c r="P32" s="2500">
        <f t="shared" si="9"/>
        <v>54</v>
      </c>
      <c r="Q32" s="2477">
        <v>500</v>
      </c>
      <c r="R32" s="2419">
        <f>(D32/12*33)-$R$6</f>
        <v>3071.25</v>
      </c>
      <c r="S32" s="2419">
        <f t="shared" si="10"/>
        <v>1535625</v>
      </c>
      <c r="T32" s="2419">
        <f t="shared" si="11"/>
        <v>100461.44859813085</v>
      </c>
      <c r="U32" s="2419">
        <f>$E$7/1000*33*Q32</f>
        <v>1349370.0000000002</v>
      </c>
      <c r="V32" s="2419">
        <f t="shared" si="12"/>
        <v>2557.5</v>
      </c>
      <c r="W32" s="2419">
        <f t="shared" si="13"/>
        <v>490</v>
      </c>
      <c r="X32" s="2419">
        <f t="shared" si="14"/>
        <v>1452878.9485981311</v>
      </c>
      <c r="Y32" s="2419">
        <f t="shared" si="15"/>
        <v>82746.051401868928</v>
      </c>
      <c r="Z32" s="2420">
        <f t="shared" si="16"/>
        <v>5.3884282557179607E-2</v>
      </c>
      <c r="AA32" s="2421">
        <f>$AF$40/($E$40+$S$40)*S32</f>
        <v>58813.884092641914</v>
      </c>
      <c r="AB32" s="2419">
        <f t="shared" si="17"/>
        <v>23932.167309227014</v>
      </c>
      <c r="AC32" s="2527">
        <f t="shared" si="18"/>
        <v>1.5584642936411567E-2</v>
      </c>
      <c r="AD32" s="2478">
        <f t="shared" si="19"/>
        <v>16.5</v>
      </c>
      <c r="AE32" s="1086">
        <f t="shared" si="20"/>
        <v>6643125</v>
      </c>
      <c r="AF32" s="1086">
        <f t="shared" si="21"/>
        <v>254429.29345571465</v>
      </c>
      <c r="AG32" s="1066">
        <f t="shared" si="37"/>
        <v>172781.2439274622</v>
      </c>
      <c r="AH32" s="2559">
        <f t="shared" si="23"/>
        <v>2.7829663148350295E-2</v>
      </c>
      <c r="AI32" s="2515">
        <f t="shared" si="24"/>
        <v>70.5</v>
      </c>
    </row>
    <row r="33" spans="1:39" x14ac:dyDescent="0.25">
      <c r="A33" s="1734">
        <v>19</v>
      </c>
      <c r="B33" s="2425" t="s">
        <v>990</v>
      </c>
      <c r="C33" s="2414">
        <f>13000-200</f>
        <v>12800</v>
      </c>
      <c r="D33" s="1554">
        <v>1130</v>
      </c>
      <c r="E33" s="1554">
        <f t="shared" si="0"/>
        <v>14464000</v>
      </c>
      <c r="F33" s="1554">
        <f t="shared" si="1"/>
        <v>946242.99065420567</v>
      </c>
      <c r="G33" s="1554">
        <f>$E$7/1000*12*C33</f>
        <v>12561408</v>
      </c>
      <c r="H33" s="1554">
        <f t="shared" si="2"/>
        <v>23808</v>
      </c>
      <c r="I33" s="1554">
        <f t="shared" si="3"/>
        <v>12544</v>
      </c>
      <c r="J33" s="1554">
        <f t="shared" si="4"/>
        <v>13544002.990654206</v>
      </c>
      <c r="K33" s="1554">
        <f t="shared" si="5"/>
        <v>919997.0093457941</v>
      </c>
      <c r="L33" s="2416">
        <f t="shared" si="6"/>
        <v>6.8058407079645999E-2</v>
      </c>
      <c r="M33" s="2417">
        <f>$AF$40/($E$40+$S$40)*E33</f>
        <v>553965.98747478891</v>
      </c>
      <c r="N33" s="2417">
        <f t="shared" si="7"/>
        <v>366031.02187100518</v>
      </c>
      <c r="O33" s="2418">
        <f t="shared" si="8"/>
        <v>2.7077792685424196E-2</v>
      </c>
      <c r="P33" s="2500">
        <f t="shared" si="9"/>
        <v>153.6</v>
      </c>
      <c r="Q33" s="2477">
        <v>200</v>
      </c>
      <c r="R33" s="2419">
        <f>(D33/12*33)-$R$6</f>
        <v>3057.5</v>
      </c>
      <c r="S33" s="2419">
        <f t="shared" si="10"/>
        <v>611500</v>
      </c>
      <c r="T33" s="2419">
        <f t="shared" si="11"/>
        <v>40004.672897196266</v>
      </c>
      <c r="U33" s="2419">
        <f>$E$7/1000*33*Q33</f>
        <v>539748</v>
      </c>
      <c r="V33" s="2419">
        <f t="shared" si="12"/>
        <v>1023</v>
      </c>
      <c r="W33" s="2419">
        <f t="shared" si="13"/>
        <v>196</v>
      </c>
      <c r="X33" s="2419">
        <f t="shared" si="14"/>
        <v>580971.67289719626</v>
      </c>
      <c r="Y33" s="2419">
        <f t="shared" si="15"/>
        <v>30528.327102803742</v>
      </c>
      <c r="Z33" s="2420">
        <f t="shared" si="16"/>
        <v>4.9923674738845042E-2</v>
      </c>
      <c r="AA33" s="2421">
        <f>$AF$40/($E$40+$S$40)*S33</f>
        <v>23420.229628099656</v>
      </c>
      <c r="AB33" s="2419">
        <f t="shared" si="17"/>
        <v>7108.0974747040855</v>
      </c>
      <c r="AC33" s="2527">
        <f t="shared" si="18"/>
        <v>1.1624035118076999E-2</v>
      </c>
      <c r="AD33" s="2478">
        <f t="shared" si="19"/>
        <v>6.6</v>
      </c>
      <c r="AE33" s="1086">
        <f t="shared" si="20"/>
        <v>15075500</v>
      </c>
      <c r="AF33" s="1086">
        <f t="shared" si="21"/>
        <v>577386.21710288862</v>
      </c>
      <c r="AG33" s="1066">
        <f t="shared" si="37"/>
        <v>373139.11934570927</v>
      </c>
      <c r="AH33" s="2559">
        <f t="shared" si="23"/>
        <v>2.6483954608464654E-2</v>
      </c>
      <c r="AI33" s="2515">
        <f t="shared" si="24"/>
        <v>160.19999999999999</v>
      </c>
    </row>
    <row r="34" spans="1:39" s="1" customFormat="1" x14ac:dyDescent="0.25">
      <c r="A34" s="2516"/>
      <c r="B34" s="2490" t="s">
        <v>547</v>
      </c>
      <c r="C34" s="2501">
        <f>SUM(C31:C33)</f>
        <v>29000</v>
      </c>
      <c r="D34" s="2415">
        <f>E34/C34</f>
        <v>1129.9689655172415</v>
      </c>
      <c r="E34" s="2415">
        <f t="shared" ref="E34:K34" si="43">SUM(E31:E33)</f>
        <v>32769100</v>
      </c>
      <c r="F34" s="2415">
        <f t="shared" si="43"/>
        <v>2143772.8971962621</v>
      </c>
      <c r="G34" s="2415">
        <f t="shared" si="43"/>
        <v>28459440</v>
      </c>
      <c r="H34" s="2415">
        <f t="shared" si="43"/>
        <v>53940</v>
      </c>
      <c r="I34" s="2415">
        <f t="shared" si="43"/>
        <v>28420</v>
      </c>
      <c r="J34" s="2415">
        <f t="shared" si="43"/>
        <v>30685572.897196263</v>
      </c>
      <c r="K34" s="2415">
        <f t="shared" si="43"/>
        <v>2083527.1028037369</v>
      </c>
      <c r="L34" s="2445">
        <f t="shared" si="6"/>
        <v>6.80328113985431E-2</v>
      </c>
      <c r="M34" s="2446">
        <f>$AF$40/($E$40+$S$40)*E34</f>
        <v>1255044.7206969098</v>
      </c>
      <c r="N34" s="2446">
        <f>SUM(N31:N33)</f>
        <v>828482.38210682699</v>
      </c>
      <c r="O34" s="2447">
        <f t="shared" si="8"/>
        <v>2.7052197004321293E-2</v>
      </c>
      <c r="P34" s="2502">
        <f t="shared" si="9"/>
        <v>348</v>
      </c>
      <c r="Q34" s="2479">
        <f>SUM(Q31:Q33)</f>
        <v>1000</v>
      </c>
      <c r="R34" s="2448">
        <f>S34/Q34</f>
        <v>3062.7249999999999</v>
      </c>
      <c r="S34" s="2448">
        <f t="shared" ref="S34:Y34" si="44">SUM(S31:S33)</f>
        <v>3062725</v>
      </c>
      <c r="T34" s="2448">
        <f t="shared" si="44"/>
        <v>200365.18691588787</v>
      </c>
      <c r="U34" s="2448">
        <f t="shared" si="44"/>
        <v>2698740.0000000005</v>
      </c>
      <c r="V34" s="2448">
        <f t="shared" si="44"/>
        <v>5115</v>
      </c>
      <c r="W34" s="2448">
        <f t="shared" si="44"/>
        <v>980</v>
      </c>
      <c r="X34" s="2448">
        <f t="shared" si="44"/>
        <v>2905200.1869158885</v>
      </c>
      <c r="Y34" s="2448">
        <f t="shared" si="44"/>
        <v>157524.81308411178</v>
      </c>
      <c r="Z34" s="2449">
        <f t="shared" si="16"/>
        <v>5.1432894916818121E-2</v>
      </c>
      <c r="AA34" s="2448">
        <f t="shared" ref="AA34" si="45">SUM(AA31:AA33)</f>
        <v>117301.26375751678</v>
      </c>
      <c r="AB34" s="2448">
        <f t="shared" ref="AB34" si="46">SUM(AB31:AB33)</f>
        <v>40223.549326594992</v>
      </c>
      <c r="AC34" s="2528">
        <f t="shared" si="18"/>
        <v>1.3133255296050084E-2</v>
      </c>
      <c r="AD34" s="2480">
        <f t="shared" ref="AD34" si="47">SUM(AD31:AD33)</f>
        <v>33</v>
      </c>
      <c r="AE34" s="2468">
        <f t="shared" si="20"/>
        <v>35831825</v>
      </c>
      <c r="AF34" s="2468">
        <f t="shared" si="21"/>
        <v>1372345.9844544267</v>
      </c>
      <c r="AG34" s="2451">
        <f>SUM(AG31:AG33)</f>
        <v>868705.93143342203</v>
      </c>
      <c r="AH34" s="2560">
        <f t="shared" si="23"/>
        <v>2.5941055099307993E-2</v>
      </c>
      <c r="AI34" s="2517">
        <f t="shared" si="24"/>
        <v>381</v>
      </c>
      <c r="AJ34" s="4"/>
      <c r="AK34" s="4"/>
      <c r="AL34" s="4"/>
      <c r="AM34" s="4"/>
    </row>
    <row r="35" spans="1:39" x14ac:dyDescent="0.25">
      <c r="A35" s="2518">
        <v>20</v>
      </c>
      <c r="B35" s="2494" t="s">
        <v>991</v>
      </c>
      <c r="C35" s="2503">
        <v>8006.1482941825107</v>
      </c>
      <c r="D35" s="2430">
        <v>1116</v>
      </c>
      <c r="E35" s="2430">
        <f t="shared" si="0"/>
        <v>8934861.4963076822</v>
      </c>
      <c r="F35" s="2430">
        <f t="shared" si="1"/>
        <v>584523.64929115679</v>
      </c>
      <c r="G35" s="2430">
        <f>$E$7/1000*12*C35</f>
        <v>7856913.6899789488</v>
      </c>
      <c r="H35" s="2430">
        <f t="shared" si="2"/>
        <v>14891.43582717947</v>
      </c>
      <c r="I35" s="2430">
        <f t="shared" si="3"/>
        <v>7846.0253282988606</v>
      </c>
      <c r="J35" s="2430">
        <f t="shared" si="4"/>
        <v>8464174.8004255835</v>
      </c>
      <c r="K35" s="2430">
        <f t="shared" si="5"/>
        <v>470686.69588209875</v>
      </c>
      <c r="L35" s="2431">
        <f t="shared" si="6"/>
        <v>5.6367383512544875E-2</v>
      </c>
      <c r="M35" s="2432">
        <f>$AF$40/($E$40+$S$40)*E35</f>
        <v>342201.97537006048</v>
      </c>
      <c r="N35" s="2432">
        <f t="shared" si="7"/>
        <v>128484.72051203827</v>
      </c>
      <c r="O35" s="2433">
        <f t="shared" si="8"/>
        <v>1.5386769118323075E-2</v>
      </c>
      <c r="P35" s="2504">
        <f t="shared" si="9"/>
        <v>96.073779530190137</v>
      </c>
      <c r="Q35" s="2481">
        <v>1</v>
      </c>
      <c r="R35" s="2434">
        <f>(D35/12*33)-R6</f>
        <v>3019</v>
      </c>
      <c r="S35" s="2434">
        <f t="shared" si="10"/>
        <v>3019</v>
      </c>
      <c r="T35" s="2434">
        <f t="shared" si="11"/>
        <v>197.50467289719626</v>
      </c>
      <c r="U35" s="2434">
        <f>$E$7/1000*33*Q35</f>
        <v>2698.7400000000002</v>
      </c>
      <c r="V35" s="2434">
        <f t="shared" si="12"/>
        <v>5.1150000000000002</v>
      </c>
      <c r="W35" s="2434">
        <f t="shared" si="13"/>
        <v>0.98</v>
      </c>
      <c r="X35" s="2434">
        <f t="shared" si="14"/>
        <v>2902.3396728971961</v>
      </c>
      <c r="Y35" s="2434">
        <f t="shared" si="15"/>
        <v>116.66032710280388</v>
      </c>
      <c r="Z35" s="2435">
        <f t="shared" si="16"/>
        <v>3.8642042763432881E-2</v>
      </c>
      <c r="AA35" s="2436">
        <f>$AF$40/($E$40+$S$40)*S35</f>
        <v>115.6266120150987</v>
      </c>
      <c r="AB35" s="2434">
        <f t="shared" si="17"/>
        <v>1.0337150877051755</v>
      </c>
      <c r="AC35" s="2529">
        <f t="shared" si="18"/>
        <v>3.4240314266484778E-4</v>
      </c>
      <c r="AD35" s="2482">
        <f t="shared" si="19"/>
        <v>3.3000000000000002E-2</v>
      </c>
      <c r="AE35" s="2469">
        <f t="shared" si="20"/>
        <v>8937880.4963076822</v>
      </c>
      <c r="AF35" s="2469">
        <f t="shared" si="21"/>
        <v>342317.6019820756</v>
      </c>
      <c r="AG35" s="2437">
        <f t="shared" si="37"/>
        <v>128485.75422712597</v>
      </c>
      <c r="AH35" s="2561">
        <f t="shared" si="23"/>
        <v>1.53816955910094E-2</v>
      </c>
      <c r="AI35" s="2519">
        <f t="shared" si="24"/>
        <v>96.106779530190138</v>
      </c>
    </row>
    <row r="36" spans="1:39" x14ac:dyDescent="0.25">
      <c r="A36" s="1734">
        <v>21</v>
      </c>
      <c r="B36" s="2426" t="s">
        <v>992</v>
      </c>
      <c r="C36" s="2414">
        <f>11000-150</f>
        <v>10850</v>
      </c>
      <c r="D36" s="1554">
        <v>1110</v>
      </c>
      <c r="E36" s="1554">
        <f t="shared" si="0"/>
        <v>12043500</v>
      </c>
      <c r="F36" s="1554">
        <f t="shared" si="1"/>
        <v>787892.52336448606</v>
      </c>
      <c r="G36" s="1554">
        <f>$E$7/1000*12*C36</f>
        <v>10647756</v>
      </c>
      <c r="H36" s="1554">
        <f t="shared" si="2"/>
        <v>20181</v>
      </c>
      <c r="I36" s="1554">
        <f t="shared" si="3"/>
        <v>10633</v>
      </c>
      <c r="J36" s="1554">
        <f t="shared" si="4"/>
        <v>11466462.523364486</v>
      </c>
      <c r="K36" s="1554">
        <f t="shared" si="5"/>
        <v>577037.47663551383</v>
      </c>
      <c r="L36" s="2416">
        <f t="shared" si="6"/>
        <v>5.1266666666666648E-2</v>
      </c>
      <c r="M36" s="2417">
        <f>$AF$40/($E$40+$S$40)*E36</f>
        <v>461261.70977271989</v>
      </c>
      <c r="N36" s="2417">
        <f t="shared" si="7"/>
        <v>115775.76686279394</v>
      </c>
      <c r="O36" s="2418">
        <f t="shared" si="8"/>
        <v>1.0286052272444847E-2</v>
      </c>
      <c r="P36" s="2500">
        <f t="shared" si="9"/>
        <v>130.19999999999999</v>
      </c>
      <c r="Q36" s="2477">
        <v>150</v>
      </c>
      <c r="R36" s="2419">
        <f>(D36/12*33)-$R$6</f>
        <v>3002.5</v>
      </c>
      <c r="S36" s="2419">
        <f t="shared" si="10"/>
        <v>450375</v>
      </c>
      <c r="T36" s="2419">
        <f t="shared" si="11"/>
        <v>29463.785046728975</v>
      </c>
      <c r="U36" s="2419">
        <f>$E$7/1000*33*Q36</f>
        <v>404811.00000000006</v>
      </c>
      <c r="V36" s="2419">
        <f t="shared" si="12"/>
        <v>767.25</v>
      </c>
      <c r="W36" s="2419">
        <f t="shared" si="13"/>
        <v>147</v>
      </c>
      <c r="X36" s="2419">
        <f t="shared" si="14"/>
        <v>435189.03504672903</v>
      </c>
      <c r="Y36" s="2419">
        <f t="shared" si="15"/>
        <v>15185.964953270974</v>
      </c>
      <c r="Z36" s="2420">
        <f t="shared" si="16"/>
        <v>3.3718490043343818E-2</v>
      </c>
      <c r="AA36" s="2421">
        <f>$AF$40/($E$40+$S$40)*S36</f>
        <v>17249.200194203404</v>
      </c>
      <c r="AB36" s="2419">
        <f t="shared" si="17"/>
        <v>-2063.2352409324303</v>
      </c>
      <c r="AC36" s="2527">
        <f t="shared" si="18"/>
        <v>-4.581149577424214E-3</v>
      </c>
      <c r="AD36" s="2478">
        <f t="shared" si="19"/>
        <v>4.95</v>
      </c>
      <c r="AE36" s="1086">
        <f t="shared" si="20"/>
        <v>12493875</v>
      </c>
      <c r="AF36" s="1086">
        <f t="shared" si="21"/>
        <v>478510.9099669233</v>
      </c>
      <c r="AG36" s="1066">
        <f t="shared" si="37"/>
        <v>113712.5316218615</v>
      </c>
      <c r="AH36" s="2559">
        <f t="shared" si="23"/>
        <v>9.7385646034870536E-3</v>
      </c>
      <c r="AI36" s="2515">
        <f t="shared" si="24"/>
        <v>135.14999999999998</v>
      </c>
    </row>
    <row r="37" spans="1:39" x14ac:dyDescent="0.25">
      <c r="A37" s="1734">
        <v>22</v>
      </c>
      <c r="B37" s="2427" t="s">
        <v>683</v>
      </c>
      <c r="C37" s="2414">
        <v>13000</v>
      </c>
      <c r="D37" s="1554">
        <v>1114</v>
      </c>
      <c r="E37" s="1554">
        <f t="shared" si="0"/>
        <v>14482000</v>
      </c>
      <c r="F37" s="1554">
        <f t="shared" si="1"/>
        <v>947420.56074766361</v>
      </c>
      <c r="G37" s="1554">
        <f>$E$7/1000*12*C37</f>
        <v>12757680</v>
      </c>
      <c r="H37" s="1554">
        <f t="shared" si="2"/>
        <v>24180</v>
      </c>
      <c r="I37" s="1554">
        <f t="shared" si="3"/>
        <v>12740</v>
      </c>
      <c r="J37" s="1554">
        <f t="shared" si="4"/>
        <v>13742020.560747664</v>
      </c>
      <c r="K37" s="1554">
        <f t="shared" si="5"/>
        <v>739979.43925233558</v>
      </c>
      <c r="L37" s="2416">
        <f t="shared" si="6"/>
        <v>5.4673249551166904E-2</v>
      </c>
      <c r="M37" s="2417">
        <f>$AF$40/($E$40+$S$40)*E37</f>
        <v>554655.38098796271</v>
      </c>
      <c r="N37" s="2417">
        <f t="shared" si="7"/>
        <v>185324.05826437287</v>
      </c>
      <c r="O37" s="2418">
        <f t="shared" si="8"/>
        <v>1.3692635156945103E-2</v>
      </c>
      <c r="P37" s="2500">
        <f t="shared" si="9"/>
        <v>156</v>
      </c>
      <c r="Q37" s="2477">
        <v>1</v>
      </c>
      <c r="R37" s="2419">
        <f t="shared" ref="R37:R38" si="48">(D37/12*33)-$R$6</f>
        <v>3013.5</v>
      </c>
      <c r="S37" s="2419">
        <f t="shared" si="10"/>
        <v>3013.5</v>
      </c>
      <c r="T37" s="2419">
        <f t="shared" si="11"/>
        <v>197.14485981308411</v>
      </c>
      <c r="U37" s="2419">
        <f>$E$7/1000*33*Q37</f>
        <v>2698.7400000000002</v>
      </c>
      <c r="V37" s="2419">
        <f t="shared" si="12"/>
        <v>5.1150000000000002</v>
      </c>
      <c r="W37" s="2419">
        <f t="shared" si="13"/>
        <v>0.98</v>
      </c>
      <c r="X37" s="2419">
        <f t="shared" si="14"/>
        <v>2901.9798598130842</v>
      </c>
      <c r="Y37" s="2419">
        <f t="shared" si="15"/>
        <v>111.5201401869158</v>
      </c>
      <c r="Z37" s="2420">
        <f t="shared" si="16"/>
        <v>3.7006849240722013E-2</v>
      </c>
      <c r="AA37" s="2421">
        <f>$AF$40/($E$40+$S$40)*S37</f>
        <v>115.41596399718448</v>
      </c>
      <c r="AB37" s="2419">
        <f t="shared" si="17"/>
        <v>-3.8958238102686806</v>
      </c>
      <c r="AC37" s="2527">
        <f t="shared" si="18"/>
        <v>-1.2927903800460199E-3</v>
      </c>
      <c r="AD37" s="2478">
        <f t="shared" si="19"/>
        <v>3.3000000000000002E-2</v>
      </c>
      <c r="AE37" s="1086">
        <f t="shared" si="20"/>
        <v>14485013.5</v>
      </c>
      <c r="AF37" s="1086">
        <f t="shared" si="21"/>
        <v>554770.79695195984</v>
      </c>
      <c r="AG37" s="1066">
        <f t="shared" si="37"/>
        <v>185320.16244056259</v>
      </c>
      <c r="AH37" s="2559">
        <f t="shared" si="23"/>
        <v>1.3689498723035501E-2</v>
      </c>
      <c r="AI37" s="2515">
        <f t="shared" si="24"/>
        <v>156.03299999999999</v>
      </c>
    </row>
    <row r="38" spans="1:39" x14ac:dyDescent="0.25">
      <c r="A38" s="1734">
        <v>23</v>
      </c>
      <c r="B38" s="2428" t="s">
        <v>681</v>
      </c>
      <c r="C38" s="2414">
        <v>12000</v>
      </c>
      <c r="D38" s="1554">
        <v>1112</v>
      </c>
      <c r="E38" s="1554">
        <f t="shared" si="0"/>
        <v>13344000</v>
      </c>
      <c r="F38" s="1554">
        <f t="shared" si="1"/>
        <v>872971.96261682245</v>
      </c>
      <c r="G38" s="1554">
        <f>$E$7/1000*12*C38</f>
        <v>11776320</v>
      </c>
      <c r="H38" s="1554">
        <f t="shared" si="2"/>
        <v>22320</v>
      </c>
      <c r="I38" s="1554">
        <f t="shared" si="3"/>
        <v>11760</v>
      </c>
      <c r="J38" s="1554">
        <f t="shared" si="4"/>
        <v>12683371.962616822</v>
      </c>
      <c r="K38" s="1554">
        <f t="shared" si="5"/>
        <v>660628.03738317825</v>
      </c>
      <c r="L38" s="2416">
        <f t="shared" si="6"/>
        <v>5.2973021582733863E-2</v>
      </c>
      <c r="M38" s="2417">
        <f>$AF$40/($E$40+$S$40)*E38</f>
        <v>511070.3910995287</v>
      </c>
      <c r="N38" s="2417">
        <f t="shared" si="7"/>
        <v>149557.64628364955</v>
      </c>
      <c r="O38" s="2418">
        <f t="shared" si="8"/>
        <v>1.1992407188512065E-2</v>
      </c>
      <c r="P38" s="2500">
        <f t="shared" si="9"/>
        <v>144</v>
      </c>
      <c r="Q38" s="2477">
        <v>1</v>
      </c>
      <c r="R38" s="2419">
        <f t="shared" si="48"/>
        <v>3008</v>
      </c>
      <c r="S38" s="2419">
        <f t="shared" si="10"/>
        <v>3008</v>
      </c>
      <c r="T38" s="2419">
        <f t="shared" si="11"/>
        <v>196.78504672897199</v>
      </c>
      <c r="U38" s="2419">
        <f>$E$7/1000*33*Q38</f>
        <v>2698.7400000000002</v>
      </c>
      <c r="V38" s="2419">
        <f t="shared" si="12"/>
        <v>5.1150000000000002</v>
      </c>
      <c r="W38" s="2419">
        <f t="shared" si="13"/>
        <v>0.98</v>
      </c>
      <c r="X38" s="2419">
        <f t="shared" si="14"/>
        <v>2901.6200467289718</v>
      </c>
      <c r="Y38" s="2419">
        <f t="shared" si="15"/>
        <v>106.37995327102817</v>
      </c>
      <c r="Z38" s="2420">
        <f t="shared" si="16"/>
        <v>3.5365675954464153E-2</v>
      </c>
      <c r="AA38" s="2421">
        <f>$AF$40/($E$40+$S$40)*S38</f>
        <v>115.20531597927025</v>
      </c>
      <c r="AB38" s="2419">
        <f t="shared" si="17"/>
        <v>-8.825362708242082</v>
      </c>
      <c r="AC38" s="2527">
        <f t="shared" si="18"/>
        <v>-2.9339636663038835E-3</v>
      </c>
      <c r="AD38" s="2478">
        <f t="shared" si="19"/>
        <v>3.3000000000000002E-2</v>
      </c>
      <c r="AE38" s="1086">
        <f t="shared" si="20"/>
        <v>13347008</v>
      </c>
      <c r="AF38" s="1086">
        <f t="shared" si="21"/>
        <v>511185.59641550796</v>
      </c>
      <c r="AG38" s="1066">
        <f t="shared" si="37"/>
        <v>149548.8209209413</v>
      </c>
      <c r="AH38" s="2559">
        <f t="shared" si="23"/>
        <v>1.1988996963619649E-2</v>
      </c>
      <c r="AI38" s="2515">
        <f t="shared" si="24"/>
        <v>144.03299999999999</v>
      </c>
    </row>
    <row r="39" spans="1:39" s="1" customFormat="1" x14ac:dyDescent="0.25">
      <c r="A39" s="2520"/>
      <c r="B39" s="2429" t="s">
        <v>545</v>
      </c>
      <c r="C39" s="2505">
        <f>SUM(C35:C38)</f>
        <v>43856.148294182509</v>
      </c>
      <c r="D39" s="1555">
        <f>E39/C39</f>
        <v>1112.8282668357713</v>
      </c>
      <c r="E39" s="1555">
        <f t="shared" ref="E39:K39" si="49">SUM(E35:E38)</f>
        <v>48804361.496307686</v>
      </c>
      <c r="F39" s="1555">
        <f t="shared" si="49"/>
        <v>3192808.6960201291</v>
      </c>
      <c r="G39" s="1555">
        <f t="shared" si="49"/>
        <v>43038669.68997895</v>
      </c>
      <c r="H39" s="1555">
        <f t="shared" si="49"/>
        <v>81572.435827179463</v>
      </c>
      <c r="I39" s="1555">
        <f t="shared" si="49"/>
        <v>42979.025328298856</v>
      </c>
      <c r="J39" s="1555">
        <f t="shared" si="49"/>
        <v>46356029.847154558</v>
      </c>
      <c r="K39" s="1555">
        <f t="shared" si="49"/>
        <v>2448331.6491531264</v>
      </c>
      <c r="L39" s="2452">
        <f t="shared" si="6"/>
        <v>5.3677884194674709E-2</v>
      </c>
      <c r="M39" s="2453">
        <f>$AF$40/($E$40+$S$40)*E39</f>
        <v>1869189.457230272</v>
      </c>
      <c r="N39" s="2453">
        <f>SUM(N35:N38)</f>
        <v>579142.19192285463</v>
      </c>
      <c r="O39" s="2454">
        <f t="shared" si="8"/>
        <v>1.2697269800452911E-2</v>
      </c>
      <c r="P39" s="2506">
        <f t="shared" si="9"/>
        <v>526.27377953019015</v>
      </c>
      <c r="Q39" s="2483">
        <f>SUM(Q35:Q38)</f>
        <v>153</v>
      </c>
      <c r="R39" s="2455">
        <f>S39/Q39</f>
        <v>3002.7156862745096</v>
      </c>
      <c r="S39" s="2455">
        <f t="shared" ref="S39:Y39" si="50">SUM(S35:S38)</f>
        <v>459415.5</v>
      </c>
      <c r="T39" s="2455">
        <f t="shared" si="50"/>
        <v>30055.219626168229</v>
      </c>
      <c r="U39" s="2455">
        <f t="shared" si="50"/>
        <v>412907.22000000003</v>
      </c>
      <c r="V39" s="2455">
        <f t="shared" si="50"/>
        <v>782.59500000000003</v>
      </c>
      <c r="W39" s="2448">
        <f t="shared" si="50"/>
        <v>149.93999999999997</v>
      </c>
      <c r="X39" s="2448">
        <f t="shared" si="50"/>
        <v>443894.97462616826</v>
      </c>
      <c r="Y39" s="2448">
        <f t="shared" si="50"/>
        <v>15520.525373831722</v>
      </c>
      <c r="Z39" s="2449">
        <f t="shared" si="16"/>
        <v>3.3783199247373503E-2</v>
      </c>
      <c r="AA39" s="2450">
        <f>$AF$40/($E$40+$S$40)*S39</f>
        <v>17595.44808619496</v>
      </c>
      <c r="AB39" s="2448">
        <f t="shared" ref="AB39" si="51">SUM(AB35:AB38)</f>
        <v>-2074.9227123632359</v>
      </c>
      <c r="AC39" s="2528">
        <f t="shared" ref="AC39:AD40" si="52">SUM(AC35:AC38)</f>
        <v>-8.4655004811092695E-3</v>
      </c>
      <c r="AD39" s="2484">
        <f t="shared" si="52"/>
        <v>5.0490000000000013</v>
      </c>
      <c r="AE39" s="2470">
        <f t="shared" si="20"/>
        <v>49263776.996307686</v>
      </c>
      <c r="AF39" s="2470">
        <f t="shared" si="21"/>
        <v>1886784.9053164669</v>
      </c>
      <c r="AG39" s="2460">
        <f>SUM(AG35:AG38)</f>
        <v>577067.26921049133</v>
      </c>
      <c r="AH39" s="2562">
        <f t="shared" si="23"/>
        <v>1.2533792894148257E-2</v>
      </c>
      <c r="AI39" s="2521">
        <f t="shared" si="24"/>
        <v>531.32277953019013</v>
      </c>
      <c r="AJ39" s="4"/>
      <c r="AK39" s="4"/>
      <c r="AL39" s="4"/>
      <c r="AM39" s="4"/>
    </row>
    <row r="40" spans="1:39" s="1" customFormat="1" ht="15" thickBot="1" x14ac:dyDescent="0.3">
      <c r="A40" s="2522"/>
      <c r="B40" s="2523" t="s">
        <v>689</v>
      </c>
      <c r="C40" s="2507">
        <f>C14+C19+C24+C30+C34+C39</f>
        <v>201301.15029906103</v>
      </c>
      <c r="D40" s="2508">
        <f>E40/C40</f>
        <v>1125.3092117720573</v>
      </c>
      <c r="E40" s="2508">
        <f>E14+E19+E24+E30+E34+E39</f>
        <v>226526038.7718448</v>
      </c>
      <c r="F40" s="2508">
        <f>F14+F19+F24+F30+F34+F39</f>
        <v>14819460.480401065</v>
      </c>
      <c r="G40" s="2508">
        <f>G14+G19+G24+G30+G34+G39</f>
        <v>197548896.85748655</v>
      </c>
      <c r="H40" s="2508">
        <f>H14+H19+H24+H30+H34+H39</f>
        <v>374420.13955625356</v>
      </c>
      <c r="I40" s="2508">
        <f>I14+I19+I24+I30+I34+I39</f>
        <v>197275.12729307983</v>
      </c>
      <c r="J40" s="2508">
        <f>J14+J19+J24+J30+J34+J39</f>
        <v>212940052.60473695</v>
      </c>
      <c r="K40" s="2508">
        <f>K14+K19+K24+K30+K34+K39</f>
        <v>13585986.167107873</v>
      </c>
      <c r="L40" s="2531">
        <f t="shared" si="6"/>
        <v>6.4173660907243329E-2</v>
      </c>
      <c r="M40" s="2508">
        <f>M14+M19+M24+M30+M34+M39</f>
        <v>8675865.6496817842</v>
      </c>
      <c r="N40" s="2509">
        <f>K40-M40</f>
        <v>4910120.5174260885</v>
      </c>
      <c r="O40" s="2532">
        <f t="shared" si="8"/>
        <v>2.319304651302153E-2</v>
      </c>
      <c r="P40" s="2510">
        <f>P14+P19+P24+P30+P34+P39</f>
        <v>2415.6138035887325</v>
      </c>
      <c r="Q40" s="2485">
        <f>Q14+Q19+Q24+Q30+Q34+Q39</f>
        <v>2765</v>
      </c>
      <c r="R40" s="2486">
        <f>S40/Q40</f>
        <v>3060.8019891500903</v>
      </c>
      <c r="S40" s="2486">
        <f>S14+S19+S24+S30+S34+S39</f>
        <v>8463117.5</v>
      </c>
      <c r="T40" s="2486">
        <f>T14+T19+T24+T30+T34+T39</f>
        <v>553661.89252336451</v>
      </c>
      <c r="U40" s="2486">
        <f>U14+U19+U24+U30+U34+U39</f>
        <v>7462016.1000000006</v>
      </c>
      <c r="V40" s="2486">
        <f>V14+V19+V24+V30+V34+V39</f>
        <v>14142.975</v>
      </c>
      <c r="W40" s="2573">
        <f>W14+W19+W24+W30+W34+W39</f>
        <v>2709.7000000000003</v>
      </c>
      <c r="X40" s="2573">
        <f>X14+X19+X24+X30+X34+X39</f>
        <v>8032530.6675233664</v>
      </c>
      <c r="Y40" s="2573">
        <f>Y14+Y19+Y24+Y30+Y34+Y39</f>
        <v>430586.83247663453</v>
      </c>
      <c r="Z40" s="2574">
        <f t="shared" si="16"/>
        <v>5.0878040211143769E-2</v>
      </c>
      <c r="AA40" s="2573">
        <f>AA14+AA19+AA24+AA30+AA34+AA39</f>
        <v>324134.35031821538</v>
      </c>
      <c r="AB40" s="2573">
        <f>AB14+AB19+AB24+AB30+AB34+AB39</f>
        <v>106452.48215841915</v>
      </c>
      <c r="AC40" s="2575">
        <f t="shared" si="18"/>
        <v>1.2578400590375727E-2</v>
      </c>
      <c r="AD40" s="2487">
        <f>AD14+AD19+AD24+AD30+AD34+AD39</f>
        <v>91.245000000000005</v>
      </c>
      <c r="AE40" s="2533">
        <f>AE14+AE19+AE24+AE30+AE34+AE39</f>
        <v>234989156.2718448</v>
      </c>
      <c r="AF40" s="2533">
        <v>9000000</v>
      </c>
      <c r="AG40" s="2524">
        <f>AG14+AG19+AG24+AG30+AG34+AG39</f>
        <v>5016572.9995845072</v>
      </c>
      <c r="AH40" s="2563">
        <f t="shared" si="23"/>
        <v>2.2842471519604148E-2</v>
      </c>
      <c r="AI40" s="2525">
        <f>AI14+AI19+AI24+AI30+AI34+AI39</f>
        <v>2506.8588035887324</v>
      </c>
      <c r="AJ40" s="4"/>
      <c r="AK40" s="4"/>
      <c r="AL40" s="4"/>
      <c r="AM40" s="4"/>
    </row>
    <row r="41" spans="1:39" s="1" customFormat="1" x14ac:dyDescent="0.25">
      <c r="A41" s="2534"/>
      <c r="B41" s="3" t="s">
        <v>999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552">
        <f>(E7-87930)*31.388</f>
        <v>-193036.2</v>
      </c>
      <c r="AH41" s="552"/>
      <c r="AI41" s="3"/>
      <c r="AJ41" s="4"/>
      <c r="AK41" s="4"/>
      <c r="AL41" s="4"/>
      <c r="AM41" s="4"/>
    </row>
    <row r="42" spans="1:39" s="1" customFormat="1" x14ac:dyDescent="0.25">
      <c r="A42" s="2534"/>
      <c r="B42" s="3" t="s">
        <v>1000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552">
        <f>AG40+AG41</f>
        <v>4823536.799584507</v>
      </c>
      <c r="AH42" s="552"/>
      <c r="AI42" s="3"/>
      <c r="AJ42" s="4"/>
      <c r="AK42" s="4"/>
      <c r="AL42" s="4"/>
      <c r="AM42" s="4"/>
    </row>
    <row r="44" spans="1:39" x14ac:dyDescent="0.3">
      <c r="AE44" s="486">
        <f>G40+U40</f>
        <v>205010912.95748654</v>
      </c>
    </row>
    <row r="45" spans="1:39" x14ac:dyDescent="0.3">
      <c r="AE45" s="1815">
        <f>AE44*0.05</f>
        <v>10250545.647874327</v>
      </c>
    </row>
  </sheetData>
  <autoFilter ref="A10:AW42"/>
  <mergeCells count="3">
    <mergeCell ref="AE8:AI8"/>
    <mergeCell ref="C8:P8"/>
    <mergeCell ref="Q8:AD8"/>
  </mergeCells>
  <conditionalFormatting sqref="AH11:AH40">
    <cfRule type="top10" dxfId="0" priority="1" rank="5"/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16"/>
  <sheetViews>
    <sheetView workbookViewId="0">
      <selection activeCell="J20" sqref="J20"/>
    </sheetView>
  </sheetViews>
  <sheetFormatPr defaultRowHeight="14.4" x14ac:dyDescent="0.3"/>
  <cols>
    <col min="1" max="1" width="11.5546875" style="5" bestFit="1" customWidth="1"/>
    <col min="2" max="3" width="9.44140625" style="5" bestFit="1" customWidth="1"/>
    <col min="4" max="5" width="8.88671875" style="5" bestFit="1" customWidth="1"/>
    <col min="6" max="6" width="11.5546875" style="5" bestFit="1" customWidth="1"/>
    <col min="7" max="7" width="16.21875" style="5" customWidth="1"/>
    <col min="8" max="8" width="8.109375" style="6" customWidth="1"/>
    <col min="9" max="9" width="10.77734375" style="6" bestFit="1" customWidth="1"/>
    <col min="10" max="10" width="11.109375" bestFit="1" customWidth="1"/>
  </cols>
  <sheetData>
    <row r="1" spans="1:11" ht="18" thickBot="1" x14ac:dyDescent="0.35">
      <c r="A1" s="959"/>
      <c r="B1" s="960"/>
      <c r="C1" s="960"/>
      <c r="D1" s="960"/>
      <c r="E1" s="960"/>
      <c r="F1" s="960"/>
    </row>
    <row r="2" spans="1:11" x14ac:dyDescent="0.3">
      <c r="A2" s="2126" t="s">
        <v>157</v>
      </c>
      <c r="B2" s="2127"/>
      <c r="C2" s="2128" t="s">
        <v>154</v>
      </c>
      <c r="D2" s="2129"/>
      <c r="E2" s="2128" t="s">
        <v>153</v>
      </c>
      <c r="F2" s="2130"/>
    </row>
    <row r="3" spans="1:11" x14ac:dyDescent="0.3">
      <c r="A3" s="2131" t="s">
        <v>162</v>
      </c>
      <c r="B3" s="2132"/>
      <c r="C3" s="2133">
        <v>0.3</v>
      </c>
      <c r="D3" s="2134"/>
      <c r="E3" s="130">
        <v>895</v>
      </c>
      <c r="F3" s="957">
        <f>C3*E3</f>
        <v>268.5</v>
      </c>
      <c r="I3" s="196">
        <v>936.995</v>
      </c>
      <c r="J3" s="196">
        <f>C3*I3</f>
        <v>281.0985</v>
      </c>
      <c r="K3" s="133">
        <f>I3-E3</f>
        <v>41.995000000000005</v>
      </c>
    </row>
    <row r="4" spans="1:11" x14ac:dyDescent="0.3">
      <c r="A4" s="2131" t="s">
        <v>163</v>
      </c>
      <c r="B4" s="2132"/>
      <c r="C4" s="2135">
        <v>0.7</v>
      </c>
      <c r="D4" s="2136"/>
      <c r="E4" s="130">
        <v>920</v>
      </c>
      <c r="F4" s="957">
        <f>C4*E4</f>
        <v>644</v>
      </c>
      <c r="I4" s="196">
        <v>940</v>
      </c>
      <c r="J4" s="196">
        <f>C4*I4</f>
        <v>658</v>
      </c>
      <c r="K4" s="133">
        <f>I4-E4</f>
        <v>20</v>
      </c>
    </row>
    <row r="5" spans="1:11" ht="15" thickBot="1" x14ac:dyDescent="0.3">
      <c r="A5" s="2137" t="s">
        <v>152</v>
      </c>
      <c r="B5" s="2138"/>
      <c r="C5" s="2139"/>
      <c r="D5" s="2140"/>
      <c r="E5" s="131"/>
      <c r="F5" s="958">
        <v>120</v>
      </c>
      <c r="J5">
        <v>120</v>
      </c>
    </row>
    <row r="6" spans="1:11" ht="15" thickBot="1" x14ac:dyDescent="0.3">
      <c r="A6" s="963" t="s">
        <v>161</v>
      </c>
      <c r="B6" s="964"/>
      <c r="C6" s="964"/>
      <c r="D6" s="965"/>
      <c r="E6" s="966">
        <v>87</v>
      </c>
      <c r="F6" s="967">
        <f>SUM(F3:F5)*E6</f>
        <v>89827.5</v>
      </c>
      <c r="G6" s="961">
        <f>F6</f>
        <v>89827.5</v>
      </c>
      <c r="H6" s="733"/>
      <c r="I6" s="521"/>
      <c r="J6" s="133">
        <f>SUM(J3:J5)*87</f>
        <v>92141.569500000012</v>
      </c>
    </row>
    <row r="7" spans="1:11" x14ac:dyDescent="0.3">
      <c r="J7" s="133">
        <f>J6-F6</f>
        <v>2314.0695000000123</v>
      </c>
    </row>
    <row r="8" spans="1:11" ht="15" thickBot="1" x14ac:dyDescent="0.35">
      <c r="J8" s="196">
        <f>317*J7</f>
        <v>733560.03150000388</v>
      </c>
    </row>
    <row r="9" spans="1:11" x14ac:dyDescent="0.3">
      <c r="A9" s="2126" t="s">
        <v>157</v>
      </c>
      <c r="B9" s="2127"/>
      <c r="C9" s="2128" t="s">
        <v>154</v>
      </c>
      <c r="D9" s="2129"/>
      <c r="E9" s="2128" t="s">
        <v>153</v>
      </c>
      <c r="F9" s="2130"/>
      <c r="G9" s="962">
        <f>G13*134</f>
        <v>12036885</v>
      </c>
    </row>
    <row r="10" spans="1:11" x14ac:dyDescent="0.3">
      <c r="A10" s="2131" t="s">
        <v>162</v>
      </c>
      <c r="B10" s="2132"/>
      <c r="C10" s="2133">
        <v>0.3</v>
      </c>
      <c r="D10" s="2134"/>
      <c r="E10" s="130">
        <v>895</v>
      </c>
      <c r="F10" s="957">
        <f>C10*E10</f>
        <v>268.5</v>
      </c>
    </row>
    <row r="11" spans="1:11" x14ac:dyDescent="0.3">
      <c r="A11" s="2131" t="s">
        <v>163</v>
      </c>
      <c r="B11" s="2132"/>
      <c r="C11" s="2135">
        <v>0.7</v>
      </c>
      <c r="D11" s="2136"/>
      <c r="E11" s="130">
        <v>920</v>
      </c>
      <c r="F11" s="957">
        <f>C11*E11</f>
        <v>644</v>
      </c>
    </row>
    <row r="12" spans="1:11" ht="15" thickBot="1" x14ac:dyDescent="0.3">
      <c r="A12" s="2137" t="s">
        <v>152</v>
      </c>
      <c r="B12" s="2138"/>
      <c r="C12" s="2139"/>
      <c r="D12" s="2140"/>
      <c r="E12" s="131"/>
      <c r="F12" s="958">
        <v>120</v>
      </c>
    </row>
    <row r="13" spans="1:11" ht="15" thickBot="1" x14ac:dyDescent="0.3">
      <c r="A13" s="963" t="s">
        <v>161</v>
      </c>
      <c r="B13" s="964"/>
      <c r="C13" s="964"/>
      <c r="D13" s="965"/>
      <c r="E13" s="966">
        <v>87</v>
      </c>
      <c r="F13" s="967">
        <f>SUM(F10:F12)*E13</f>
        <v>89827.5</v>
      </c>
      <c r="G13" s="961">
        <f>F13</f>
        <v>89827.5</v>
      </c>
      <c r="H13" s="733"/>
      <c r="I13" s="521"/>
    </row>
    <row r="15" spans="1:11" x14ac:dyDescent="0.3">
      <c r="A15" s="2336" t="s">
        <v>651</v>
      </c>
      <c r="B15" s="2336"/>
      <c r="C15" s="2336"/>
      <c r="D15" s="2336"/>
      <c r="E15" s="2336"/>
      <c r="F15" s="2336"/>
      <c r="G15" s="962">
        <f>G13-G6</f>
        <v>0</v>
      </c>
    </row>
    <row r="16" spans="1:11" x14ac:dyDescent="0.3">
      <c r="A16" s="2336" t="s">
        <v>652</v>
      </c>
      <c r="B16" s="2336"/>
      <c r="C16" s="2336"/>
      <c r="D16" s="2336"/>
      <c r="E16" s="2336"/>
      <c r="F16" s="2336"/>
      <c r="G16" s="962">
        <f>G15*1000</f>
        <v>0</v>
      </c>
    </row>
  </sheetData>
  <mergeCells count="20">
    <mergeCell ref="A15:F15"/>
    <mergeCell ref="A16:F16"/>
    <mergeCell ref="A9:B9"/>
    <mergeCell ref="C9:D9"/>
    <mergeCell ref="E9:F9"/>
    <mergeCell ref="A10:B10"/>
    <mergeCell ref="C10:D10"/>
    <mergeCell ref="A11:B11"/>
    <mergeCell ref="C11:D11"/>
    <mergeCell ref="A5:B5"/>
    <mergeCell ref="C5:D5"/>
    <mergeCell ref="A2:B2"/>
    <mergeCell ref="C2:D2"/>
    <mergeCell ref="A12:B12"/>
    <mergeCell ref="C12:D12"/>
    <mergeCell ref="E2:F2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39"/>
  <sheetViews>
    <sheetView workbookViewId="0">
      <pane ySplit="2" topLeftCell="A3" activePane="bottomLeft" state="frozen"/>
      <selection pane="bottomLeft" activeCell="S17" sqref="S17"/>
    </sheetView>
  </sheetViews>
  <sheetFormatPr defaultRowHeight="14.4" x14ac:dyDescent="0.3"/>
  <cols>
    <col min="1" max="1" width="18.44140625" style="6" customWidth="1"/>
    <col min="2" max="2" width="6.109375" style="6" customWidth="1"/>
    <col min="3" max="3" width="7.5546875" style="6" bestFit="1" customWidth="1"/>
    <col min="4" max="4" width="7.77734375" style="6" bestFit="1" customWidth="1"/>
    <col min="5" max="5" width="7.44140625" style="6" bestFit="1" customWidth="1"/>
    <col min="6" max="6" width="8.33203125" style="6" bestFit="1" customWidth="1"/>
    <col min="7" max="9" width="7.44140625" style="6" bestFit="1" customWidth="1"/>
    <col min="10" max="10" width="7.21875" style="6" bestFit="1" customWidth="1"/>
    <col min="11" max="11" width="8.33203125" style="6" bestFit="1" customWidth="1"/>
    <col min="12" max="12" width="6.88671875" style="6" bestFit="1" customWidth="1"/>
    <col min="13" max="13" width="9" style="6" bestFit="1" customWidth="1"/>
    <col min="14" max="14" width="7.44140625" style="6" bestFit="1" customWidth="1"/>
    <col min="15" max="15" width="10.109375" style="6" bestFit="1" customWidth="1"/>
    <col min="16" max="16" width="10.33203125" style="6" bestFit="1" customWidth="1"/>
    <col min="17" max="17" width="10" style="6" customWidth="1"/>
    <col min="18" max="18" width="8.88671875" style="6"/>
  </cols>
  <sheetData>
    <row r="1" spans="1:18" s="129" customFormat="1" ht="17.399999999999999" x14ac:dyDescent="0.3">
      <c r="A1" s="876" t="s">
        <v>570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s="1" customFormat="1" ht="41.4" x14ac:dyDescent="0.3">
      <c r="A2" s="809" t="s">
        <v>177</v>
      </c>
      <c r="B2" s="811" t="s">
        <v>558</v>
      </c>
      <c r="C2" s="825" t="s">
        <v>10</v>
      </c>
      <c r="D2" s="818" t="s">
        <v>559</v>
      </c>
      <c r="E2" s="810" t="s">
        <v>560</v>
      </c>
      <c r="F2" s="810" t="s">
        <v>561</v>
      </c>
      <c r="G2" s="810" t="s">
        <v>562</v>
      </c>
      <c r="H2" s="810" t="s">
        <v>563</v>
      </c>
      <c r="I2" s="810" t="s">
        <v>564</v>
      </c>
      <c r="J2" s="810" t="s">
        <v>565</v>
      </c>
      <c r="K2" s="810" t="s">
        <v>566</v>
      </c>
      <c r="L2" s="810" t="s">
        <v>567</v>
      </c>
      <c r="M2" s="810" t="s">
        <v>568</v>
      </c>
      <c r="N2" s="832" t="s">
        <v>569</v>
      </c>
      <c r="O2" s="825" t="s">
        <v>9</v>
      </c>
      <c r="P2" s="839" t="s">
        <v>195</v>
      </c>
      <c r="Q2" s="825" t="s">
        <v>13</v>
      </c>
      <c r="R2" s="4"/>
    </row>
    <row r="3" spans="1:18" x14ac:dyDescent="0.3">
      <c r="A3" s="797" t="s">
        <v>178</v>
      </c>
      <c r="B3" s="812" t="s">
        <v>179</v>
      </c>
      <c r="C3" s="826">
        <v>1295</v>
      </c>
      <c r="D3" s="819">
        <v>15</v>
      </c>
      <c r="E3" s="798"/>
      <c r="F3" s="798"/>
      <c r="G3" s="798"/>
      <c r="H3" s="798">
        <v>12</v>
      </c>
      <c r="I3" s="798">
        <v>10</v>
      </c>
      <c r="J3" s="798">
        <v>25</v>
      </c>
      <c r="K3" s="798"/>
      <c r="L3" s="798">
        <v>31</v>
      </c>
      <c r="M3" s="798"/>
      <c r="N3" s="833">
        <f>SUM(D3:M3)</f>
        <v>93</v>
      </c>
      <c r="O3" s="826">
        <f>C3-N3</f>
        <v>1202</v>
      </c>
      <c r="P3" s="840">
        <f>C3/12</f>
        <v>107.91666666666667</v>
      </c>
      <c r="Q3" s="841">
        <f>O3/12</f>
        <v>100.16666666666667</v>
      </c>
    </row>
    <row r="4" spans="1:18" x14ac:dyDescent="0.3">
      <c r="A4" s="799" t="s">
        <v>182</v>
      </c>
      <c r="B4" s="813" t="s">
        <v>179</v>
      </c>
      <c r="C4" s="827">
        <v>1290</v>
      </c>
      <c r="D4" s="820">
        <v>10</v>
      </c>
      <c r="E4" s="800">
        <v>20</v>
      </c>
      <c r="F4" s="800"/>
      <c r="G4" s="800"/>
      <c r="H4" s="800">
        <v>14</v>
      </c>
      <c r="I4" s="800"/>
      <c r="J4" s="800">
        <v>22</v>
      </c>
      <c r="K4" s="800"/>
      <c r="L4" s="800"/>
      <c r="M4" s="800">
        <v>15</v>
      </c>
      <c r="N4" s="834">
        <f t="shared" ref="N4:N39" si="0">SUM(D4:M4)</f>
        <v>81</v>
      </c>
      <c r="O4" s="827">
        <f t="shared" ref="O4:O39" si="1">C4-N4</f>
        <v>1209</v>
      </c>
      <c r="P4" s="842">
        <f t="shared" ref="P4:P20" si="2">C4/12</f>
        <v>107.5</v>
      </c>
      <c r="Q4" s="843">
        <f t="shared" ref="Q4:Q20" si="3">O4/12</f>
        <v>100.75</v>
      </c>
    </row>
    <row r="5" spans="1:18" x14ac:dyDescent="0.3">
      <c r="A5" s="799" t="s">
        <v>2</v>
      </c>
      <c r="B5" s="813" t="s">
        <v>179</v>
      </c>
      <c r="C5" s="827">
        <v>1315</v>
      </c>
      <c r="D5" s="820">
        <v>35</v>
      </c>
      <c r="E5" s="800">
        <v>15</v>
      </c>
      <c r="F5" s="800"/>
      <c r="G5" s="800"/>
      <c r="H5" s="800"/>
      <c r="I5" s="800">
        <v>20</v>
      </c>
      <c r="J5" s="800">
        <v>35</v>
      </c>
      <c r="K5" s="800"/>
      <c r="L5" s="800"/>
      <c r="M5" s="800">
        <v>10</v>
      </c>
      <c r="N5" s="834">
        <f t="shared" si="0"/>
        <v>115</v>
      </c>
      <c r="O5" s="827">
        <f t="shared" si="1"/>
        <v>1200</v>
      </c>
      <c r="P5" s="842">
        <f t="shared" si="2"/>
        <v>109.58333333333333</v>
      </c>
      <c r="Q5" s="843">
        <f t="shared" si="3"/>
        <v>100</v>
      </c>
    </row>
    <row r="6" spans="1:18" x14ac:dyDescent="0.3">
      <c r="A6" s="799" t="s">
        <v>554</v>
      </c>
      <c r="B6" s="813" t="s">
        <v>179</v>
      </c>
      <c r="C6" s="827">
        <v>1320</v>
      </c>
      <c r="D6" s="820">
        <v>30</v>
      </c>
      <c r="E6" s="800">
        <v>20</v>
      </c>
      <c r="F6" s="800"/>
      <c r="G6" s="800"/>
      <c r="H6" s="800"/>
      <c r="I6" s="800">
        <v>50</v>
      </c>
      <c r="J6" s="800"/>
      <c r="K6" s="800"/>
      <c r="L6" s="800">
        <v>20</v>
      </c>
      <c r="M6" s="800">
        <v>5</v>
      </c>
      <c r="N6" s="834">
        <f t="shared" si="0"/>
        <v>125</v>
      </c>
      <c r="O6" s="827">
        <f t="shared" si="1"/>
        <v>1195</v>
      </c>
      <c r="P6" s="842">
        <f t="shared" si="2"/>
        <v>110</v>
      </c>
      <c r="Q6" s="843">
        <f t="shared" si="3"/>
        <v>99.583333333333329</v>
      </c>
    </row>
    <row r="7" spans="1:18" x14ac:dyDescent="0.3">
      <c r="A7" s="799" t="s">
        <v>190</v>
      </c>
      <c r="B7" s="813" t="s">
        <v>179</v>
      </c>
      <c r="C7" s="827">
        <v>1320</v>
      </c>
      <c r="D7" s="820">
        <v>35</v>
      </c>
      <c r="E7" s="800">
        <v>20</v>
      </c>
      <c r="F7" s="800"/>
      <c r="G7" s="800"/>
      <c r="H7" s="800"/>
      <c r="I7" s="800"/>
      <c r="J7" s="800"/>
      <c r="K7" s="800">
        <v>25</v>
      </c>
      <c r="L7" s="800"/>
      <c r="M7" s="800">
        <v>20</v>
      </c>
      <c r="N7" s="834">
        <f t="shared" si="0"/>
        <v>100</v>
      </c>
      <c r="O7" s="827">
        <f t="shared" si="1"/>
        <v>1220</v>
      </c>
      <c r="P7" s="842">
        <f t="shared" si="2"/>
        <v>110</v>
      </c>
      <c r="Q7" s="843">
        <f t="shared" si="3"/>
        <v>101.66666666666667</v>
      </c>
    </row>
    <row r="8" spans="1:18" x14ac:dyDescent="0.3">
      <c r="A8" s="799" t="s">
        <v>191</v>
      </c>
      <c r="B8" s="813" t="s">
        <v>179</v>
      </c>
      <c r="C8" s="827">
        <v>1295</v>
      </c>
      <c r="D8" s="820">
        <v>15</v>
      </c>
      <c r="E8" s="800"/>
      <c r="F8" s="800"/>
      <c r="G8" s="800"/>
      <c r="H8" s="800">
        <v>12</v>
      </c>
      <c r="I8" s="800">
        <v>10</v>
      </c>
      <c r="J8" s="800">
        <v>25</v>
      </c>
      <c r="K8" s="800"/>
      <c r="L8" s="800">
        <v>31</v>
      </c>
      <c r="M8" s="800"/>
      <c r="N8" s="834">
        <f t="shared" si="0"/>
        <v>93</v>
      </c>
      <c r="O8" s="827">
        <f t="shared" si="1"/>
        <v>1202</v>
      </c>
      <c r="P8" s="842">
        <f t="shared" si="2"/>
        <v>107.91666666666667</v>
      </c>
      <c r="Q8" s="843">
        <f t="shared" si="3"/>
        <v>100.16666666666667</v>
      </c>
    </row>
    <row r="9" spans="1:18" x14ac:dyDescent="0.3">
      <c r="A9" s="799" t="s">
        <v>192</v>
      </c>
      <c r="B9" s="813" t="s">
        <v>179</v>
      </c>
      <c r="C9" s="827">
        <v>1310</v>
      </c>
      <c r="D9" s="820">
        <v>50</v>
      </c>
      <c r="E9" s="800">
        <v>20</v>
      </c>
      <c r="F9" s="800"/>
      <c r="G9" s="800"/>
      <c r="H9" s="800"/>
      <c r="I9" s="800">
        <v>30</v>
      </c>
      <c r="J9" s="800"/>
      <c r="K9" s="800">
        <v>20</v>
      </c>
      <c r="L9" s="800"/>
      <c r="M9" s="800"/>
      <c r="N9" s="834">
        <f t="shared" si="0"/>
        <v>120</v>
      </c>
      <c r="O9" s="827">
        <f t="shared" si="1"/>
        <v>1190</v>
      </c>
      <c r="P9" s="842">
        <f t="shared" si="2"/>
        <v>109.16666666666667</v>
      </c>
      <c r="Q9" s="843">
        <f t="shared" si="3"/>
        <v>99.166666666666671</v>
      </c>
    </row>
    <row r="10" spans="1:18" x14ac:dyDescent="0.3">
      <c r="A10" s="799" t="s">
        <v>556</v>
      </c>
      <c r="B10" s="813" t="s">
        <v>179</v>
      </c>
      <c r="C10" s="827">
        <v>1295</v>
      </c>
      <c r="D10" s="820">
        <v>40</v>
      </c>
      <c r="E10" s="800"/>
      <c r="F10" s="800">
        <v>10</v>
      </c>
      <c r="G10" s="800"/>
      <c r="H10" s="800"/>
      <c r="I10" s="800"/>
      <c r="J10" s="800"/>
      <c r="K10" s="800">
        <v>70</v>
      </c>
      <c r="L10" s="800"/>
      <c r="M10" s="800"/>
      <c r="N10" s="834">
        <f t="shared" si="0"/>
        <v>120</v>
      </c>
      <c r="O10" s="827">
        <f t="shared" si="1"/>
        <v>1175</v>
      </c>
      <c r="P10" s="842">
        <f t="shared" si="2"/>
        <v>107.91666666666667</v>
      </c>
      <c r="Q10" s="843">
        <f t="shared" si="3"/>
        <v>97.916666666666671</v>
      </c>
    </row>
    <row r="11" spans="1:18" x14ac:dyDescent="0.3">
      <c r="A11" s="799" t="s">
        <v>557</v>
      </c>
      <c r="B11" s="813" t="s">
        <v>179</v>
      </c>
      <c r="C11" s="827">
        <v>1310</v>
      </c>
      <c r="D11" s="820">
        <v>30</v>
      </c>
      <c r="E11" s="800">
        <v>25</v>
      </c>
      <c r="F11" s="800"/>
      <c r="G11" s="800"/>
      <c r="H11" s="800"/>
      <c r="I11" s="800">
        <v>20</v>
      </c>
      <c r="J11" s="800"/>
      <c r="K11" s="800"/>
      <c r="L11" s="800"/>
      <c r="M11" s="800">
        <v>30</v>
      </c>
      <c r="N11" s="834">
        <f t="shared" si="0"/>
        <v>105</v>
      </c>
      <c r="O11" s="827">
        <f t="shared" si="1"/>
        <v>1205</v>
      </c>
      <c r="P11" s="842">
        <f t="shared" si="2"/>
        <v>109.16666666666667</v>
      </c>
      <c r="Q11" s="843">
        <f t="shared" si="3"/>
        <v>100.41666666666667</v>
      </c>
    </row>
    <row r="12" spans="1:18" x14ac:dyDescent="0.3">
      <c r="A12" s="799" t="s">
        <v>194</v>
      </c>
      <c r="B12" s="813" t="s">
        <v>179</v>
      </c>
      <c r="C12" s="827">
        <v>1300</v>
      </c>
      <c r="D12" s="820">
        <v>35</v>
      </c>
      <c r="E12" s="800">
        <v>25</v>
      </c>
      <c r="F12" s="800"/>
      <c r="G12" s="800"/>
      <c r="H12" s="800"/>
      <c r="I12" s="800">
        <v>15</v>
      </c>
      <c r="J12" s="800"/>
      <c r="K12" s="800">
        <v>25</v>
      </c>
      <c r="L12" s="800"/>
      <c r="M12" s="800">
        <v>10</v>
      </c>
      <c r="N12" s="834">
        <f t="shared" si="0"/>
        <v>110</v>
      </c>
      <c r="O12" s="827">
        <f t="shared" si="1"/>
        <v>1190</v>
      </c>
      <c r="P12" s="842">
        <f t="shared" si="2"/>
        <v>108.33333333333333</v>
      </c>
      <c r="Q12" s="843">
        <f t="shared" si="3"/>
        <v>99.166666666666671</v>
      </c>
    </row>
    <row r="13" spans="1:18" x14ac:dyDescent="0.3">
      <c r="A13" s="799" t="s">
        <v>1</v>
      </c>
      <c r="B13" s="813" t="s">
        <v>184</v>
      </c>
      <c r="C13" s="827">
        <v>1295</v>
      </c>
      <c r="D13" s="820">
        <v>10</v>
      </c>
      <c r="E13" s="800">
        <v>25</v>
      </c>
      <c r="F13" s="800"/>
      <c r="G13" s="800"/>
      <c r="H13" s="800">
        <v>12</v>
      </c>
      <c r="I13" s="800">
        <v>10</v>
      </c>
      <c r="J13" s="800">
        <v>22</v>
      </c>
      <c r="K13" s="800"/>
      <c r="L13" s="800"/>
      <c r="M13" s="800">
        <v>15</v>
      </c>
      <c r="N13" s="834">
        <f t="shared" si="0"/>
        <v>94</v>
      </c>
      <c r="O13" s="827">
        <f t="shared" si="1"/>
        <v>1201</v>
      </c>
      <c r="P13" s="842">
        <f t="shared" si="2"/>
        <v>107.91666666666667</v>
      </c>
      <c r="Q13" s="843">
        <f t="shared" si="3"/>
        <v>100.08333333333333</v>
      </c>
    </row>
    <row r="14" spans="1:18" x14ac:dyDescent="0.3">
      <c r="A14" s="799" t="s">
        <v>553</v>
      </c>
      <c r="B14" s="813" t="s">
        <v>184</v>
      </c>
      <c r="C14" s="827">
        <v>1298</v>
      </c>
      <c r="D14" s="820">
        <v>10</v>
      </c>
      <c r="E14" s="800">
        <v>20</v>
      </c>
      <c r="F14" s="800"/>
      <c r="G14" s="800"/>
      <c r="H14" s="800"/>
      <c r="I14" s="800">
        <v>20</v>
      </c>
      <c r="J14" s="800">
        <v>25</v>
      </c>
      <c r="K14" s="800"/>
      <c r="L14" s="800"/>
      <c r="M14" s="800">
        <v>20</v>
      </c>
      <c r="N14" s="834">
        <f t="shared" si="0"/>
        <v>95</v>
      </c>
      <c r="O14" s="827">
        <f t="shared" si="1"/>
        <v>1203</v>
      </c>
      <c r="P14" s="842">
        <f t="shared" si="2"/>
        <v>108.16666666666667</v>
      </c>
      <c r="Q14" s="843">
        <f t="shared" si="3"/>
        <v>100.25</v>
      </c>
    </row>
    <row r="15" spans="1:18" x14ac:dyDescent="0.3">
      <c r="A15" s="799" t="s">
        <v>185</v>
      </c>
      <c r="B15" s="813" t="s">
        <v>184</v>
      </c>
      <c r="C15" s="827">
        <v>1310</v>
      </c>
      <c r="D15" s="820">
        <v>40</v>
      </c>
      <c r="E15" s="800">
        <v>15</v>
      </c>
      <c r="F15" s="800"/>
      <c r="G15" s="800"/>
      <c r="H15" s="800"/>
      <c r="I15" s="800"/>
      <c r="J15" s="800">
        <v>30</v>
      </c>
      <c r="K15" s="800"/>
      <c r="L15" s="800"/>
      <c r="M15" s="800"/>
      <c r="N15" s="834">
        <f t="shared" si="0"/>
        <v>85</v>
      </c>
      <c r="O15" s="827">
        <f t="shared" si="1"/>
        <v>1225</v>
      </c>
      <c r="P15" s="842">
        <f t="shared" si="2"/>
        <v>109.16666666666667</v>
      </c>
      <c r="Q15" s="843">
        <f t="shared" si="3"/>
        <v>102.08333333333333</v>
      </c>
    </row>
    <row r="16" spans="1:18" x14ac:dyDescent="0.3">
      <c r="A16" s="799" t="s">
        <v>555</v>
      </c>
      <c r="B16" s="813" t="s">
        <v>184</v>
      </c>
      <c r="C16" s="827">
        <v>1300</v>
      </c>
      <c r="D16" s="820">
        <v>20</v>
      </c>
      <c r="E16" s="800">
        <v>20</v>
      </c>
      <c r="F16" s="800"/>
      <c r="G16" s="800">
        <v>10</v>
      </c>
      <c r="H16" s="800"/>
      <c r="I16" s="800">
        <v>32</v>
      </c>
      <c r="J16" s="800"/>
      <c r="K16" s="800">
        <v>20</v>
      </c>
      <c r="L16" s="800"/>
      <c r="M16" s="800">
        <v>5</v>
      </c>
      <c r="N16" s="834">
        <f t="shared" si="0"/>
        <v>107</v>
      </c>
      <c r="O16" s="827">
        <f t="shared" si="1"/>
        <v>1193</v>
      </c>
      <c r="P16" s="842">
        <f t="shared" si="2"/>
        <v>108.33333333333333</v>
      </c>
      <c r="Q16" s="843">
        <f t="shared" si="3"/>
        <v>99.416666666666671</v>
      </c>
    </row>
    <row r="17" spans="1:18" x14ac:dyDescent="0.3">
      <c r="A17" s="799" t="s">
        <v>187</v>
      </c>
      <c r="B17" s="813" t="s">
        <v>184</v>
      </c>
      <c r="C17" s="827">
        <v>1300</v>
      </c>
      <c r="D17" s="820">
        <v>20</v>
      </c>
      <c r="E17" s="800"/>
      <c r="F17" s="800"/>
      <c r="G17" s="800"/>
      <c r="H17" s="800">
        <v>15</v>
      </c>
      <c r="I17" s="800">
        <v>46</v>
      </c>
      <c r="J17" s="800"/>
      <c r="K17" s="800">
        <v>16</v>
      </c>
      <c r="L17" s="800">
        <v>9</v>
      </c>
      <c r="M17" s="800"/>
      <c r="N17" s="834">
        <f t="shared" si="0"/>
        <v>106</v>
      </c>
      <c r="O17" s="827">
        <f t="shared" si="1"/>
        <v>1194</v>
      </c>
      <c r="P17" s="842">
        <f t="shared" si="2"/>
        <v>108.33333333333333</v>
      </c>
      <c r="Q17" s="843">
        <f t="shared" si="3"/>
        <v>99.5</v>
      </c>
    </row>
    <row r="18" spans="1:18" x14ac:dyDescent="0.3">
      <c r="A18" s="799" t="s">
        <v>11</v>
      </c>
      <c r="B18" s="813" t="s">
        <v>184</v>
      </c>
      <c r="C18" s="827">
        <v>1295</v>
      </c>
      <c r="D18" s="820">
        <v>50</v>
      </c>
      <c r="E18" s="800">
        <v>10</v>
      </c>
      <c r="F18" s="800"/>
      <c r="G18" s="800"/>
      <c r="H18" s="800">
        <v>15</v>
      </c>
      <c r="I18" s="800"/>
      <c r="J18" s="800"/>
      <c r="K18" s="800">
        <v>20</v>
      </c>
      <c r="L18" s="800"/>
      <c r="M18" s="800"/>
      <c r="N18" s="834">
        <f t="shared" si="0"/>
        <v>95</v>
      </c>
      <c r="O18" s="827">
        <f t="shared" si="1"/>
        <v>1200</v>
      </c>
      <c r="P18" s="842">
        <f t="shared" si="2"/>
        <v>107.91666666666667</v>
      </c>
      <c r="Q18" s="843">
        <f t="shared" si="3"/>
        <v>100</v>
      </c>
    </row>
    <row r="19" spans="1:18" x14ac:dyDescent="0.3">
      <c r="A19" s="799" t="s">
        <v>188</v>
      </c>
      <c r="B19" s="813" t="s">
        <v>184</v>
      </c>
      <c r="C19" s="827">
        <v>1295</v>
      </c>
      <c r="D19" s="820">
        <v>35</v>
      </c>
      <c r="E19" s="800">
        <v>30</v>
      </c>
      <c r="F19" s="800"/>
      <c r="G19" s="800"/>
      <c r="H19" s="800">
        <v>25</v>
      </c>
      <c r="I19" s="800"/>
      <c r="J19" s="800"/>
      <c r="K19" s="800">
        <v>16</v>
      </c>
      <c r="L19" s="800"/>
      <c r="M19" s="800"/>
      <c r="N19" s="834">
        <f t="shared" si="0"/>
        <v>106</v>
      </c>
      <c r="O19" s="827">
        <f t="shared" si="1"/>
        <v>1189</v>
      </c>
      <c r="P19" s="842">
        <f t="shared" si="2"/>
        <v>107.91666666666667</v>
      </c>
      <c r="Q19" s="843">
        <f t="shared" si="3"/>
        <v>99.083333333333329</v>
      </c>
    </row>
    <row r="20" spans="1:18" x14ac:dyDescent="0.3">
      <c r="A20" s="799" t="s">
        <v>189</v>
      </c>
      <c r="B20" s="813" t="s">
        <v>184</v>
      </c>
      <c r="C20" s="827">
        <v>1290</v>
      </c>
      <c r="D20" s="820">
        <v>20</v>
      </c>
      <c r="E20" s="800">
        <v>10</v>
      </c>
      <c r="F20" s="800"/>
      <c r="G20" s="800"/>
      <c r="H20" s="800"/>
      <c r="I20" s="800">
        <v>20</v>
      </c>
      <c r="J20" s="800"/>
      <c r="K20" s="800">
        <v>25</v>
      </c>
      <c r="L20" s="800">
        <v>24</v>
      </c>
      <c r="M20" s="800"/>
      <c r="N20" s="834">
        <f t="shared" si="0"/>
        <v>99</v>
      </c>
      <c r="O20" s="827">
        <f t="shared" si="1"/>
        <v>1191</v>
      </c>
      <c r="P20" s="842">
        <f t="shared" si="2"/>
        <v>107.5</v>
      </c>
      <c r="Q20" s="843">
        <f t="shared" si="3"/>
        <v>99.25</v>
      </c>
    </row>
    <row r="21" spans="1:18" s="1" customFormat="1" x14ac:dyDescent="0.3">
      <c r="A21" s="852" t="s">
        <v>193</v>
      </c>
      <c r="B21" s="853" t="s">
        <v>179</v>
      </c>
      <c r="C21" s="854"/>
      <c r="D21" s="855"/>
      <c r="E21" s="856"/>
      <c r="F21" s="856"/>
      <c r="G21" s="856"/>
      <c r="H21" s="856"/>
      <c r="I21" s="856"/>
      <c r="J21" s="856"/>
      <c r="K21" s="856"/>
      <c r="L21" s="856">
        <v>15</v>
      </c>
      <c r="M21" s="856"/>
      <c r="N21" s="857">
        <f>SUM(D21:M21)</f>
        <v>15</v>
      </c>
      <c r="O21" s="854">
        <f>C21-N21</f>
        <v>-15</v>
      </c>
      <c r="P21" s="858">
        <f>C21/12</f>
        <v>0</v>
      </c>
      <c r="Q21" s="859">
        <f>O21/12</f>
        <v>-1.25</v>
      </c>
      <c r="R21" s="4"/>
    </row>
    <row r="22" spans="1:18" x14ac:dyDescent="0.3">
      <c r="A22" s="801" t="s">
        <v>185</v>
      </c>
      <c r="B22" s="814" t="s">
        <v>186</v>
      </c>
      <c r="C22" s="828">
        <v>3468</v>
      </c>
      <c r="D22" s="821"/>
      <c r="E22" s="802"/>
      <c r="F22" s="802"/>
      <c r="G22" s="802"/>
      <c r="H22" s="802"/>
      <c r="I22" s="802">
        <v>100</v>
      </c>
      <c r="J22" s="802"/>
      <c r="K22" s="802"/>
      <c r="L22" s="802"/>
      <c r="M22" s="802"/>
      <c r="N22" s="835">
        <f t="shared" si="0"/>
        <v>100</v>
      </c>
      <c r="O22" s="828">
        <f t="shared" si="1"/>
        <v>3368</v>
      </c>
      <c r="P22" s="844">
        <f>C22/33</f>
        <v>105.09090909090909</v>
      </c>
      <c r="Q22" s="845">
        <f>O22/33</f>
        <v>102.06060606060606</v>
      </c>
    </row>
    <row r="23" spans="1:18" x14ac:dyDescent="0.3">
      <c r="A23" s="803" t="s">
        <v>2</v>
      </c>
      <c r="B23" s="815" t="s">
        <v>186</v>
      </c>
      <c r="C23" s="829">
        <v>3365</v>
      </c>
      <c r="D23" s="822">
        <v>70</v>
      </c>
      <c r="E23" s="804"/>
      <c r="F23" s="804"/>
      <c r="G23" s="804"/>
      <c r="H23" s="804"/>
      <c r="I23" s="804">
        <v>100</v>
      </c>
      <c r="J23" s="804"/>
      <c r="K23" s="804"/>
      <c r="L23" s="804"/>
      <c r="M23" s="804"/>
      <c r="N23" s="836">
        <f t="shared" si="0"/>
        <v>170</v>
      </c>
      <c r="O23" s="829">
        <f t="shared" si="1"/>
        <v>3195</v>
      </c>
      <c r="P23" s="846">
        <f t="shared" ref="P23:P25" si="4">C23/33</f>
        <v>101.96969696969697</v>
      </c>
      <c r="Q23" s="847">
        <f t="shared" ref="Q23:Q25" si="5">O23/33</f>
        <v>96.818181818181813</v>
      </c>
    </row>
    <row r="24" spans="1:18" x14ac:dyDescent="0.3">
      <c r="A24" s="803" t="s">
        <v>192</v>
      </c>
      <c r="B24" s="815" t="s">
        <v>186</v>
      </c>
      <c r="C24" s="829">
        <v>3660</v>
      </c>
      <c r="D24" s="822">
        <v>200</v>
      </c>
      <c r="E24" s="804"/>
      <c r="F24" s="804"/>
      <c r="G24" s="804"/>
      <c r="H24" s="804"/>
      <c r="I24" s="804"/>
      <c r="J24" s="804"/>
      <c r="K24" s="804">
        <v>50</v>
      </c>
      <c r="L24" s="804"/>
      <c r="M24" s="804"/>
      <c r="N24" s="836">
        <f t="shared" si="0"/>
        <v>250</v>
      </c>
      <c r="O24" s="829">
        <f t="shared" si="1"/>
        <v>3410</v>
      </c>
      <c r="P24" s="846">
        <f t="shared" si="4"/>
        <v>110.90909090909091</v>
      </c>
      <c r="Q24" s="847">
        <f t="shared" si="5"/>
        <v>103.33333333333333</v>
      </c>
    </row>
    <row r="25" spans="1:18" s="1" customFormat="1" x14ac:dyDescent="0.3">
      <c r="A25" s="860" t="s">
        <v>193</v>
      </c>
      <c r="B25" s="861" t="s">
        <v>186</v>
      </c>
      <c r="C25" s="862"/>
      <c r="D25" s="863"/>
      <c r="E25" s="864"/>
      <c r="F25" s="864"/>
      <c r="G25" s="864"/>
      <c r="H25" s="864"/>
      <c r="I25" s="864"/>
      <c r="J25" s="864"/>
      <c r="K25" s="864"/>
      <c r="L25" s="864">
        <v>35</v>
      </c>
      <c r="M25" s="864"/>
      <c r="N25" s="865">
        <f t="shared" si="0"/>
        <v>35</v>
      </c>
      <c r="O25" s="862">
        <f t="shared" si="1"/>
        <v>-35</v>
      </c>
      <c r="P25" s="866">
        <f t="shared" si="4"/>
        <v>0</v>
      </c>
      <c r="Q25" s="867">
        <f t="shared" si="5"/>
        <v>-1.0606060606060606</v>
      </c>
      <c r="R25" s="4"/>
    </row>
    <row r="26" spans="1:18" x14ac:dyDescent="0.3">
      <c r="A26" s="805" t="s">
        <v>178</v>
      </c>
      <c r="B26" s="816" t="s">
        <v>181</v>
      </c>
      <c r="C26" s="830">
        <v>4540</v>
      </c>
      <c r="D26" s="823">
        <v>20</v>
      </c>
      <c r="E26" s="806"/>
      <c r="F26" s="806"/>
      <c r="G26" s="806"/>
      <c r="H26" s="806">
        <v>45</v>
      </c>
      <c r="I26" s="806"/>
      <c r="J26" s="806">
        <v>50</v>
      </c>
      <c r="K26" s="806"/>
      <c r="L26" s="806"/>
      <c r="M26" s="806"/>
      <c r="N26" s="837">
        <f t="shared" si="0"/>
        <v>115</v>
      </c>
      <c r="O26" s="830">
        <f t="shared" si="1"/>
        <v>4425</v>
      </c>
      <c r="P26" s="848">
        <f>C26/45</f>
        <v>100.88888888888889</v>
      </c>
      <c r="Q26" s="849">
        <f>O26/45</f>
        <v>98.333333333333329</v>
      </c>
    </row>
    <row r="27" spans="1:18" x14ac:dyDescent="0.3">
      <c r="A27" s="807" t="s">
        <v>182</v>
      </c>
      <c r="B27" s="817" t="s">
        <v>181</v>
      </c>
      <c r="C27" s="831">
        <v>4480</v>
      </c>
      <c r="D27" s="824"/>
      <c r="E27" s="808">
        <v>40</v>
      </c>
      <c r="F27" s="808"/>
      <c r="G27" s="808"/>
      <c r="H27" s="808"/>
      <c r="I27" s="808"/>
      <c r="J27" s="808"/>
      <c r="K27" s="808"/>
      <c r="L27" s="808">
        <v>40</v>
      </c>
      <c r="M27" s="808">
        <v>30</v>
      </c>
      <c r="N27" s="838">
        <f t="shared" si="0"/>
        <v>110</v>
      </c>
      <c r="O27" s="831">
        <f t="shared" si="1"/>
        <v>4370</v>
      </c>
      <c r="P27" s="850">
        <f t="shared" ref="P27:P39" si="6">C27/45</f>
        <v>99.555555555555557</v>
      </c>
      <c r="Q27" s="851">
        <f t="shared" ref="Q27:Q39" si="7">O27/45</f>
        <v>97.111111111111114</v>
      </c>
    </row>
    <row r="28" spans="1:18" x14ac:dyDescent="0.3">
      <c r="A28" s="807" t="s">
        <v>1</v>
      </c>
      <c r="B28" s="817" t="s">
        <v>181</v>
      </c>
      <c r="C28" s="831">
        <v>4400</v>
      </c>
      <c r="D28" s="824"/>
      <c r="E28" s="808"/>
      <c r="F28" s="808"/>
      <c r="G28" s="808"/>
      <c r="H28" s="808"/>
      <c r="I28" s="808"/>
      <c r="J28" s="808"/>
      <c r="K28" s="808"/>
      <c r="L28" s="808">
        <v>75</v>
      </c>
      <c r="M28" s="808">
        <v>70</v>
      </c>
      <c r="N28" s="838">
        <f t="shared" si="0"/>
        <v>145</v>
      </c>
      <c r="O28" s="831">
        <f t="shared" si="1"/>
        <v>4255</v>
      </c>
      <c r="P28" s="850">
        <f t="shared" si="6"/>
        <v>97.777777777777771</v>
      </c>
      <c r="Q28" s="851">
        <f t="shared" si="7"/>
        <v>94.555555555555557</v>
      </c>
    </row>
    <row r="29" spans="1:18" x14ac:dyDescent="0.3">
      <c r="A29" s="807" t="s">
        <v>553</v>
      </c>
      <c r="B29" s="817" t="s">
        <v>181</v>
      </c>
      <c r="C29" s="831">
        <v>4681</v>
      </c>
      <c r="D29" s="824">
        <v>150</v>
      </c>
      <c r="E29" s="808"/>
      <c r="F29" s="808"/>
      <c r="G29" s="808"/>
      <c r="H29" s="808"/>
      <c r="I29" s="808">
        <v>100</v>
      </c>
      <c r="J29" s="808"/>
      <c r="K29" s="808"/>
      <c r="L29" s="808">
        <v>50</v>
      </c>
      <c r="M29" s="808"/>
      <c r="N29" s="838">
        <f t="shared" si="0"/>
        <v>300</v>
      </c>
      <c r="O29" s="831">
        <f t="shared" si="1"/>
        <v>4381</v>
      </c>
      <c r="P29" s="850">
        <f t="shared" si="6"/>
        <v>104.02222222222223</v>
      </c>
      <c r="Q29" s="851">
        <f t="shared" si="7"/>
        <v>97.355555555555554</v>
      </c>
    </row>
    <row r="30" spans="1:18" x14ac:dyDescent="0.3">
      <c r="A30" s="807" t="s">
        <v>185</v>
      </c>
      <c r="B30" s="817" t="s">
        <v>181</v>
      </c>
      <c r="C30" s="831">
        <v>4736</v>
      </c>
      <c r="D30" s="824"/>
      <c r="E30" s="808"/>
      <c r="F30" s="808"/>
      <c r="G30" s="808"/>
      <c r="H30" s="808"/>
      <c r="I30" s="808">
        <v>100</v>
      </c>
      <c r="J30" s="808"/>
      <c r="K30" s="808"/>
      <c r="L30" s="808"/>
      <c r="M30" s="808"/>
      <c r="N30" s="838">
        <f t="shared" si="0"/>
        <v>100</v>
      </c>
      <c r="O30" s="831">
        <f t="shared" si="1"/>
        <v>4636</v>
      </c>
      <c r="P30" s="850">
        <f t="shared" si="6"/>
        <v>105.24444444444444</v>
      </c>
      <c r="Q30" s="851">
        <f t="shared" si="7"/>
        <v>103.02222222222223</v>
      </c>
    </row>
    <row r="31" spans="1:18" x14ac:dyDescent="0.3">
      <c r="A31" s="807" t="s">
        <v>2</v>
      </c>
      <c r="B31" s="817" t="s">
        <v>181</v>
      </c>
      <c r="C31" s="831">
        <v>4670</v>
      </c>
      <c r="D31" s="824">
        <v>70</v>
      </c>
      <c r="E31" s="808"/>
      <c r="F31" s="808"/>
      <c r="G31" s="808"/>
      <c r="H31" s="808"/>
      <c r="I31" s="808">
        <v>150</v>
      </c>
      <c r="J31" s="808"/>
      <c r="K31" s="808"/>
      <c r="L31" s="808"/>
      <c r="M31" s="808">
        <v>5</v>
      </c>
      <c r="N31" s="838">
        <f t="shared" si="0"/>
        <v>225</v>
      </c>
      <c r="O31" s="831">
        <f t="shared" si="1"/>
        <v>4445</v>
      </c>
      <c r="P31" s="850">
        <f t="shared" si="6"/>
        <v>103.77777777777777</v>
      </c>
      <c r="Q31" s="851">
        <f t="shared" si="7"/>
        <v>98.777777777777771</v>
      </c>
    </row>
    <row r="32" spans="1:18" x14ac:dyDescent="0.3">
      <c r="A32" s="807" t="s">
        <v>555</v>
      </c>
      <c r="B32" s="817" t="s">
        <v>181</v>
      </c>
      <c r="C32" s="831">
        <v>4645</v>
      </c>
      <c r="D32" s="824">
        <v>90</v>
      </c>
      <c r="E32" s="808"/>
      <c r="F32" s="808"/>
      <c r="G32" s="808"/>
      <c r="H32" s="808"/>
      <c r="I32" s="808">
        <v>150</v>
      </c>
      <c r="J32" s="808">
        <v>30</v>
      </c>
      <c r="K32" s="808">
        <v>60</v>
      </c>
      <c r="L32" s="808">
        <v>100</v>
      </c>
      <c r="M32" s="808"/>
      <c r="N32" s="838">
        <f t="shared" si="0"/>
        <v>430</v>
      </c>
      <c r="O32" s="831">
        <f t="shared" si="1"/>
        <v>4215</v>
      </c>
      <c r="P32" s="850">
        <f t="shared" si="6"/>
        <v>103.22222222222223</v>
      </c>
      <c r="Q32" s="851">
        <f t="shared" si="7"/>
        <v>93.666666666666671</v>
      </c>
    </row>
    <row r="33" spans="1:18" x14ac:dyDescent="0.3">
      <c r="A33" s="807" t="s">
        <v>187</v>
      </c>
      <c r="B33" s="817" t="s">
        <v>181</v>
      </c>
      <c r="C33" s="831">
        <v>4680</v>
      </c>
      <c r="D33" s="824">
        <v>120</v>
      </c>
      <c r="E33" s="808"/>
      <c r="F33" s="808"/>
      <c r="G33" s="808"/>
      <c r="H33" s="808">
        <v>25</v>
      </c>
      <c r="I33" s="808">
        <v>150</v>
      </c>
      <c r="J33" s="808">
        <v>25</v>
      </c>
      <c r="K33" s="808">
        <v>25</v>
      </c>
      <c r="L33" s="808"/>
      <c r="M33" s="808"/>
      <c r="N33" s="838">
        <f t="shared" si="0"/>
        <v>345</v>
      </c>
      <c r="O33" s="831">
        <f t="shared" si="1"/>
        <v>4335</v>
      </c>
      <c r="P33" s="850">
        <f t="shared" si="6"/>
        <v>104</v>
      </c>
      <c r="Q33" s="851">
        <f t="shared" si="7"/>
        <v>96.333333333333329</v>
      </c>
    </row>
    <row r="34" spans="1:18" x14ac:dyDescent="0.3">
      <c r="A34" s="807" t="s">
        <v>11</v>
      </c>
      <c r="B34" s="817" t="s">
        <v>181</v>
      </c>
      <c r="C34" s="831">
        <v>4500</v>
      </c>
      <c r="D34" s="824">
        <v>100</v>
      </c>
      <c r="E34" s="808"/>
      <c r="F34" s="808"/>
      <c r="G34" s="808"/>
      <c r="H34" s="808">
        <v>15</v>
      </c>
      <c r="I34" s="808"/>
      <c r="J34" s="808">
        <v>30</v>
      </c>
      <c r="K34" s="808">
        <v>70</v>
      </c>
      <c r="L34" s="808"/>
      <c r="M34" s="808"/>
      <c r="N34" s="838">
        <f t="shared" si="0"/>
        <v>215</v>
      </c>
      <c r="O34" s="831">
        <f t="shared" si="1"/>
        <v>4285</v>
      </c>
      <c r="P34" s="850">
        <f t="shared" si="6"/>
        <v>100</v>
      </c>
      <c r="Q34" s="851">
        <f t="shared" si="7"/>
        <v>95.222222222222229</v>
      </c>
    </row>
    <row r="35" spans="1:18" x14ac:dyDescent="0.3">
      <c r="A35" s="807" t="s">
        <v>188</v>
      </c>
      <c r="B35" s="817" t="s">
        <v>181</v>
      </c>
      <c r="C35" s="831">
        <v>4500</v>
      </c>
      <c r="D35" s="824">
        <v>70</v>
      </c>
      <c r="E35" s="808"/>
      <c r="F35" s="808"/>
      <c r="G35" s="808"/>
      <c r="H35" s="808">
        <v>20</v>
      </c>
      <c r="I35" s="808"/>
      <c r="J35" s="808">
        <v>25</v>
      </c>
      <c r="K35" s="808">
        <v>50</v>
      </c>
      <c r="L35" s="808"/>
      <c r="M35" s="808"/>
      <c r="N35" s="838">
        <f t="shared" si="0"/>
        <v>165</v>
      </c>
      <c r="O35" s="831">
        <f t="shared" si="1"/>
        <v>4335</v>
      </c>
      <c r="P35" s="850">
        <f t="shared" si="6"/>
        <v>100</v>
      </c>
      <c r="Q35" s="851">
        <f t="shared" si="7"/>
        <v>96.333333333333329</v>
      </c>
    </row>
    <row r="36" spans="1:18" x14ac:dyDescent="0.3">
      <c r="A36" s="807" t="s">
        <v>191</v>
      </c>
      <c r="B36" s="817" t="s">
        <v>181</v>
      </c>
      <c r="C36" s="831">
        <v>4540</v>
      </c>
      <c r="D36" s="824">
        <v>20</v>
      </c>
      <c r="E36" s="808"/>
      <c r="F36" s="808"/>
      <c r="G36" s="808"/>
      <c r="H36" s="808">
        <v>45</v>
      </c>
      <c r="I36" s="808"/>
      <c r="J36" s="808">
        <v>50</v>
      </c>
      <c r="K36" s="808"/>
      <c r="L36" s="808"/>
      <c r="M36" s="808"/>
      <c r="N36" s="838">
        <f t="shared" si="0"/>
        <v>115</v>
      </c>
      <c r="O36" s="831">
        <f t="shared" si="1"/>
        <v>4425</v>
      </c>
      <c r="P36" s="850">
        <f t="shared" si="6"/>
        <v>100.88888888888889</v>
      </c>
      <c r="Q36" s="851">
        <f t="shared" si="7"/>
        <v>98.333333333333329</v>
      </c>
    </row>
    <row r="37" spans="1:18" x14ac:dyDescent="0.3">
      <c r="A37" s="807" t="s">
        <v>192</v>
      </c>
      <c r="B37" s="817" t="s">
        <v>181</v>
      </c>
      <c r="C37" s="831">
        <v>4580</v>
      </c>
      <c r="D37" s="824">
        <v>200</v>
      </c>
      <c r="E37" s="808"/>
      <c r="F37" s="808"/>
      <c r="G37" s="808"/>
      <c r="H37" s="808"/>
      <c r="I37" s="808"/>
      <c r="J37" s="808"/>
      <c r="K37" s="808">
        <v>50</v>
      </c>
      <c r="L37" s="808"/>
      <c r="M37" s="808"/>
      <c r="N37" s="838">
        <f t="shared" si="0"/>
        <v>250</v>
      </c>
      <c r="O37" s="831">
        <f t="shared" si="1"/>
        <v>4330</v>
      </c>
      <c r="P37" s="850">
        <f t="shared" si="6"/>
        <v>101.77777777777777</v>
      </c>
      <c r="Q37" s="851">
        <f t="shared" si="7"/>
        <v>96.222222222222229</v>
      </c>
    </row>
    <row r="38" spans="1:18" x14ac:dyDescent="0.3">
      <c r="A38" s="807" t="s">
        <v>194</v>
      </c>
      <c r="B38" s="817" t="s">
        <v>181</v>
      </c>
      <c r="C38" s="831">
        <v>4365</v>
      </c>
      <c r="D38" s="824"/>
      <c r="E38" s="808"/>
      <c r="F38" s="808"/>
      <c r="G38" s="808"/>
      <c r="H38" s="808"/>
      <c r="I38" s="808"/>
      <c r="J38" s="808"/>
      <c r="K38" s="808">
        <v>150</v>
      </c>
      <c r="L38" s="808"/>
      <c r="M38" s="808"/>
      <c r="N38" s="838">
        <f>SUM(D38:M38)</f>
        <v>150</v>
      </c>
      <c r="O38" s="831">
        <f>C38-N38</f>
        <v>4215</v>
      </c>
      <c r="P38" s="850">
        <f>C38/45</f>
        <v>97</v>
      </c>
      <c r="Q38" s="851">
        <f>O38/45</f>
        <v>93.666666666666671</v>
      </c>
    </row>
    <row r="39" spans="1:18" s="1" customFormat="1" x14ac:dyDescent="0.3">
      <c r="A39" s="868" t="s">
        <v>193</v>
      </c>
      <c r="B39" s="869" t="s">
        <v>181</v>
      </c>
      <c r="C39" s="870"/>
      <c r="D39" s="871"/>
      <c r="E39" s="872"/>
      <c r="F39" s="872"/>
      <c r="G39" s="872"/>
      <c r="H39" s="872"/>
      <c r="I39" s="872"/>
      <c r="J39" s="872"/>
      <c r="K39" s="872"/>
      <c r="L39" s="872"/>
      <c r="M39" s="872"/>
      <c r="N39" s="873">
        <f t="shared" si="0"/>
        <v>0</v>
      </c>
      <c r="O39" s="870">
        <f t="shared" si="1"/>
        <v>0</v>
      </c>
      <c r="P39" s="874">
        <f t="shared" si="6"/>
        <v>0</v>
      </c>
      <c r="Q39" s="875">
        <f t="shared" si="7"/>
        <v>0</v>
      </c>
      <c r="R39" s="4"/>
    </row>
  </sheetData>
  <sortState ref="A1:P52">
    <sortCondition ref="B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zoomScaleSheetLayoutView="100" workbookViewId="0">
      <pane ySplit="4" topLeftCell="A5" activePane="bottomLeft" state="frozen"/>
      <selection pane="bottomLeft" activeCell="O17" sqref="O17"/>
    </sheetView>
  </sheetViews>
  <sheetFormatPr defaultColWidth="9.109375" defaultRowHeight="14.4" x14ac:dyDescent="0.3"/>
  <cols>
    <col min="1" max="1" width="3.88671875" style="910" customWidth="1"/>
    <col min="2" max="2" width="44.44140625" style="901" customWidth="1"/>
    <col min="3" max="3" width="13.88671875" style="911" customWidth="1"/>
    <col min="4" max="4" width="12.6640625" style="911" customWidth="1"/>
    <col min="5" max="5" width="10.33203125" style="911" bestFit="1" customWidth="1"/>
    <col min="6" max="6" width="11" style="911" bestFit="1" customWidth="1"/>
    <col min="7" max="9" width="10.5546875" style="911" bestFit="1" customWidth="1"/>
    <col min="10" max="10" width="23" style="901" customWidth="1"/>
    <col min="11" max="12" width="10.5546875" style="901" bestFit="1" customWidth="1"/>
    <col min="13" max="16384" width="9.109375" style="901"/>
  </cols>
  <sheetData>
    <row r="1" spans="1:11" s="893" customFormat="1" ht="18" x14ac:dyDescent="0.3">
      <c r="A1" s="2337" t="s">
        <v>573</v>
      </c>
      <c r="B1" s="2337"/>
      <c r="C1" s="2337"/>
      <c r="D1" s="2337"/>
      <c r="E1" s="2337"/>
      <c r="F1" s="2337"/>
      <c r="G1" s="2337"/>
      <c r="H1" s="2337"/>
      <c r="I1" s="2337"/>
      <c r="J1" s="2337"/>
    </row>
    <row r="2" spans="1:11" s="893" customFormat="1" x14ac:dyDescent="0.3">
      <c r="A2" s="2338" t="s">
        <v>574</v>
      </c>
      <c r="B2" s="2338"/>
      <c r="C2" s="2338"/>
      <c r="D2" s="2338"/>
      <c r="E2" s="2338"/>
      <c r="F2" s="2338"/>
      <c r="G2" s="2338"/>
      <c r="H2" s="2338"/>
      <c r="I2" s="2338"/>
      <c r="J2" s="2338"/>
    </row>
    <row r="3" spans="1:11" s="893" customFormat="1" x14ac:dyDescent="0.3">
      <c r="A3" s="894"/>
      <c r="B3" s="894"/>
      <c r="C3" s="894"/>
      <c r="D3" s="894"/>
      <c r="E3" s="894"/>
      <c r="F3" s="894"/>
      <c r="G3" s="894"/>
      <c r="H3" s="894"/>
      <c r="I3" s="894"/>
      <c r="J3" s="894"/>
    </row>
    <row r="4" spans="1:11" ht="28.8" x14ac:dyDescent="0.3">
      <c r="A4" s="895" t="s">
        <v>575</v>
      </c>
      <c r="B4" s="896" t="s">
        <v>17</v>
      </c>
      <c r="C4" s="897" t="s">
        <v>576</v>
      </c>
      <c r="D4" s="897" t="s">
        <v>577</v>
      </c>
      <c r="E4" s="898" t="s">
        <v>578</v>
      </c>
      <c r="F4" s="898" t="s">
        <v>579</v>
      </c>
      <c r="G4" s="898" t="s">
        <v>580</v>
      </c>
      <c r="H4" s="898" t="s">
        <v>581</v>
      </c>
      <c r="I4" s="899" t="s">
        <v>0</v>
      </c>
      <c r="J4" s="900" t="s">
        <v>539</v>
      </c>
    </row>
    <row r="5" spans="1:11" x14ac:dyDescent="0.3">
      <c r="A5" s="902">
        <v>6</v>
      </c>
      <c r="B5" s="903" t="s">
        <v>582</v>
      </c>
      <c r="C5" s="904">
        <v>42000</v>
      </c>
      <c r="D5" s="904">
        <v>0</v>
      </c>
      <c r="E5" s="904"/>
      <c r="F5" s="904">
        <f>D5</f>
        <v>0</v>
      </c>
      <c r="G5" s="904"/>
      <c r="H5" s="904"/>
      <c r="I5" s="904">
        <f t="shared" ref="I5:I21" si="0">SUM(E5:H5)</f>
        <v>0</v>
      </c>
      <c r="J5" s="905"/>
    </row>
    <row r="6" spans="1:11" x14ac:dyDescent="0.3">
      <c r="A6" s="902">
        <v>7</v>
      </c>
      <c r="B6" s="903" t="s">
        <v>583</v>
      </c>
      <c r="C6" s="904">
        <v>300000</v>
      </c>
      <c r="D6" s="904">
        <v>0</v>
      </c>
      <c r="E6" s="904"/>
      <c r="F6" s="904">
        <f>D6</f>
        <v>0</v>
      </c>
      <c r="G6" s="904"/>
      <c r="H6" s="904"/>
      <c r="I6" s="904">
        <f t="shared" si="0"/>
        <v>0</v>
      </c>
      <c r="J6" s="905"/>
    </row>
    <row r="7" spans="1:11" x14ac:dyDescent="0.3">
      <c r="A7" s="902">
        <v>11</v>
      </c>
      <c r="B7" s="903" t="s">
        <v>584</v>
      </c>
      <c r="C7" s="904">
        <v>7984</v>
      </c>
      <c r="D7" s="904">
        <v>7984</v>
      </c>
      <c r="E7" s="906">
        <v>7984</v>
      </c>
      <c r="F7" s="904"/>
      <c r="G7" s="904"/>
      <c r="H7" s="904"/>
      <c r="I7" s="907">
        <f t="shared" si="0"/>
        <v>7984</v>
      </c>
      <c r="J7" s="905"/>
      <c r="K7" s="909"/>
    </row>
    <row r="8" spans="1:11" x14ac:dyDescent="0.3">
      <c r="A8" s="902">
        <v>9</v>
      </c>
      <c r="B8" s="903" t="s">
        <v>585</v>
      </c>
      <c r="C8" s="904">
        <v>12000</v>
      </c>
      <c r="D8" s="904">
        <v>12000</v>
      </c>
      <c r="E8" s="904"/>
      <c r="F8" s="904">
        <f>D8</f>
        <v>12000</v>
      </c>
      <c r="G8" s="904"/>
      <c r="H8" s="904"/>
      <c r="I8" s="904">
        <f t="shared" si="0"/>
        <v>12000</v>
      </c>
      <c r="J8" s="905"/>
      <c r="K8" s="909">
        <f t="shared" ref="K8:K23" si="1">I8</f>
        <v>12000</v>
      </c>
    </row>
    <row r="9" spans="1:11" x14ac:dyDescent="0.3">
      <c r="A9" s="902">
        <v>15</v>
      </c>
      <c r="B9" s="903" t="s">
        <v>586</v>
      </c>
      <c r="C9" s="904">
        <f>22000*2</f>
        <v>44000</v>
      </c>
      <c r="D9" s="904">
        <v>22000</v>
      </c>
      <c r="E9" s="904"/>
      <c r="F9" s="904"/>
      <c r="G9" s="904">
        <f>D9</f>
        <v>22000</v>
      </c>
      <c r="H9" s="904"/>
      <c r="I9" s="904">
        <f t="shared" si="0"/>
        <v>22000</v>
      </c>
      <c r="J9" s="908"/>
      <c r="K9" s="909">
        <f t="shared" si="1"/>
        <v>22000</v>
      </c>
    </row>
    <row r="10" spans="1:11" x14ac:dyDescent="0.3">
      <c r="A10" s="902">
        <v>5</v>
      </c>
      <c r="B10" s="903" t="s">
        <v>587</v>
      </c>
      <c r="C10" s="904">
        <f>35000+17500</f>
        <v>52500</v>
      </c>
      <c r="D10" s="904">
        <v>35000</v>
      </c>
      <c r="E10" s="904"/>
      <c r="F10" s="904">
        <f>D10</f>
        <v>35000</v>
      </c>
      <c r="G10" s="904"/>
      <c r="H10" s="904"/>
      <c r="I10" s="904">
        <f t="shared" si="0"/>
        <v>35000</v>
      </c>
      <c r="J10" s="905"/>
      <c r="K10" s="909">
        <f t="shared" si="1"/>
        <v>35000</v>
      </c>
    </row>
    <row r="11" spans="1:11" x14ac:dyDescent="0.3">
      <c r="A11" s="902">
        <v>2</v>
      </c>
      <c r="B11" s="903" t="s">
        <v>588</v>
      </c>
      <c r="C11" s="904">
        <f>39641+11385</f>
        <v>51026</v>
      </c>
      <c r="D11" s="904">
        <v>39641</v>
      </c>
      <c r="E11" s="906">
        <f>D11</f>
        <v>39641</v>
      </c>
      <c r="F11" s="904"/>
      <c r="G11" s="904"/>
      <c r="H11" s="904"/>
      <c r="I11" s="907">
        <f t="shared" si="0"/>
        <v>39641</v>
      </c>
      <c r="J11" s="903"/>
      <c r="K11" s="909"/>
    </row>
    <row r="12" spans="1:11" x14ac:dyDescent="0.3">
      <c r="A12" s="902">
        <v>4</v>
      </c>
      <c r="B12" s="903" t="s">
        <v>589</v>
      </c>
      <c r="C12" s="904">
        <f>137680+29800+15360</f>
        <v>182840</v>
      </c>
      <c r="D12" s="904">
        <f>29800+15360</f>
        <v>45160</v>
      </c>
      <c r="E12" s="904"/>
      <c r="F12" s="904"/>
      <c r="G12" s="904">
        <f>D12</f>
        <v>45160</v>
      </c>
      <c r="H12" s="904"/>
      <c r="I12" s="904">
        <f t="shared" si="0"/>
        <v>45160</v>
      </c>
      <c r="J12" s="905"/>
      <c r="K12" s="909">
        <f t="shared" si="1"/>
        <v>45160</v>
      </c>
    </row>
    <row r="13" spans="1:11" x14ac:dyDescent="0.3">
      <c r="A13" s="902">
        <v>10</v>
      </c>
      <c r="B13" s="903" t="s">
        <v>590</v>
      </c>
      <c r="C13" s="904">
        <v>47147</v>
      </c>
      <c r="D13" s="904">
        <v>47147</v>
      </c>
      <c r="E13" s="904"/>
      <c r="F13" s="904"/>
      <c r="G13" s="904"/>
      <c r="H13" s="904">
        <f>D13</f>
        <v>47147</v>
      </c>
      <c r="I13" s="904">
        <f t="shared" si="0"/>
        <v>47147</v>
      </c>
      <c r="J13" s="905"/>
      <c r="K13" s="909">
        <f t="shared" si="1"/>
        <v>47147</v>
      </c>
    </row>
    <row r="14" spans="1:11" x14ac:dyDescent="0.3">
      <c r="A14" s="902">
        <v>12</v>
      </c>
      <c r="B14" s="903" t="s">
        <v>591</v>
      </c>
      <c r="C14" s="904">
        <v>68688</v>
      </c>
      <c r="D14" s="904">
        <v>68688</v>
      </c>
      <c r="E14" s="906">
        <f>D14</f>
        <v>68688</v>
      </c>
      <c r="F14" s="904"/>
      <c r="G14" s="904"/>
      <c r="H14" s="904"/>
      <c r="I14" s="940">
        <f t="shared" si="0"/>
        <v>68688</v>
      </c>
      <c r="J14" s="908" t="s">
        <v>592</v>
      </c>
      <c r="K14" s="909"/>
    </row>
    <row r="15" spans="1:11" x14ac:dyDescent="0.3">
      <c r="A15" s="902">
        <v>14</v>
      </c>
      <c r="B15" s="903" t="s">
        <v>593</v>
      </c>
      <c r="C15" s="904">
        <v>183885</v>
      </c>
      <c r="D15" s="904">
        <v>183885</v>
      </c>
      <c r="E15" s="904"/>
      <c r="F15" s="904">
        <f>D15</f>
        <v>183885</v>
      </c>
      <c r="G15" s="904"/>
      <c r="H15" s="904"/>
      <c r="I15" s="904">
        <f t="shared" si="0"/>
        <v>183885</v>
      </c>
      <c r="J15" s="908"/>
      <c r="K15" s="909">
        <f t="shared" si="1"/>
        <v>183885</v>
      </c>
    </row>
    <row r="16" spans="1:11" x14ac:dyDescent="0.3">
      <c r="A16" s="902">
        <v>1</v>
      </c>
      <c r="B16" s="903" t="s">
        <v>594</v>
      </c>
      <c r="C16" s="904"/>
      <c r="D16" s="904">
        <v>200000</v>
      </c>
      <c r="E16" s="904">
        <v>50000</v>
      </c>
      <c r="F16" s="904">
        <v>50000</v>
      </c>
      <c r="G16" s="904">
        <v>50000</v>
      </c>
      <c r="H16" s="904">
        <v>50000</v>
      </c>
      <c r="I16" s="904">
        <f t="shared" si="0"/>
        <v>200000</v>
      </c>
      <c r="J16" s="903"/>
      <c r="K16" s="909">
        <f t="shared" si="1"/>
        <v>200000</v>
      </c>
    </row>
    <row r="17" spans="1:12" x14ac:dyDescent="0.3">
      <c r="A17" s="902">
        <v>13</v>
      </c>
      <c r="B17" s="903" t="s">
        <v>595</v>
      </c>
      <c r="C17" s="904">
        <v>230000</v>
      </c>
      <c r="D17" s="904">
        <v>230000</v>
      </c>
      <c r="E17" s="904"/>
      <c r="F17" s="904"/>
      <c r="G17" s="904">
        <f>D17</f>
        <v>230000</v>
      </c>
      <c r="H17" s="904"/>
      <c r="I17" s="904">
        <f t="shared" si="0"/>
        <v>230000</v>
      </c>
      <c r="J17" s="908" t="s">
        <v>596</v>
      </c>
      <c r="K17" s="909">
        <f t="shared" si="1"/>
        <v>230000</v>
      </c>
      <c r="L17" s="909"/>
    </row>
    <row r="18" spans="1:12" ht="43.2" x14ac:dyDescent="0.3">
      <c r="A18" s="902">
        <v>2</v>
      </c>
      <c r="B18" s="908" t="s">
        <v>597</v>
      </c>
      <c r="C18" s="904"/>
      <c r="D18" s="904">
        <v>300000</v>
      </c>
      <c r="E18" s="904">
        <v>75000</v>
      </c>
      <c r="F18" s="904">
        <v>75000</v>
      </c>
      <c r="G18" s="904">
        <v>75000</v>
      </c>
      <c r="H18" s="904">
        <v>75000</v>
      </c>
      <c r="I18" s="904">
        <f t="shared" si="0"/>
        <v>300000</v>
      </c>
      <c r="J18" s="903"/>
      <c r="K18" s="909">
        <f t="shared" si="1"/>
        <v>300000</v>
      </c>
    </row>
    <row r="19" spans="1:12" x14ac:dyDescent="0.3">
      <c r="A19" s="902">
        <v>21</v>
      </c>
      <c r="B19" s="903" t="s">
        <v>598</v>
      </c>
      <c r="C19" s="904">
        <v>318446</v>
      </c>
      <c r="D19" s="904">
        <v>318446</v>
      </c>
      <c r="E19" s="906">
        <f>D19</f>
        <v>318446</v>
      </c>
      <c r="F19" s="904"/>
      <c r="G19" s="904"/>
      <c r="H19" s="904"/>
      <c r="I19" s="904">
        <f t="shared" si="0"/>
        <v>318446</v>
      </c>
      <c r="J19" s="903" t="s">
        <v>599</v>
      </c>
      <c r="K19" s="909">
        <f t="shared" si="1"/>
        <v>318446</v>
      </c>
    </row>
    <row r="20" spans="1:12" x14ac:dyDescent="0.3">
      <c r="A20" s="902">
        <v>8</v>
      </c>
      <c r="B20" s="903" t="s">
        <v>600</v>
      </c>
      <c r="C20" s="904">
        <f>39750+29470+394818</f>
        <v>464038</v>
      </c>
      <c r="D20" s="904">
        <v>394818</v>
      </c>
      <c r="E20" s="904">
        <f>D20</f>
        <v>394818</v>
      </c>
      <c r="F20" s="904"/>
      <c r="G20" s="904"/>
      <c r="H20" s="904"/>
      <c r="I20" s="940">
        <f t="shared" si="0"/>
        <v>394818</v>
      </c>
      <c r="J20" s="905" t="s">
        <v>601</v>
      </c>
      <c r="K20" s="909"/>
    </row>
    <row r="21" spans="1:12" x14ac:dyDescent="0.3">
      <c r="A21" s="902">
        <v>1</v>
      </c>
      <c r="B21" s="903" t="s">
        <v>602</v>
      </c>
      <c r="C21" s="904">
        <f>449064+13502</f>
        <v>462566</v>
      </c>
      <c r="D21" s="904">
        <f>449064+13502</f>
        <v>462566</v>
      </c>
      <c r="E21" s="906">
        <f>D21</f>
        <v>462566</v>
      </c>
      <c r="F21" s="904"/>
      <c r="G21" s="904"/>
      <c r="H21" s="904"/>
      <c r="I21" s="940">
        <f t="shared" si="0"/>
        <v>462566</v>
      </c>
      <c r="J21" s="903" t="s">
        <v>603</v>
      </c>
      <c r="K21" s="909"/>
    </row>
    <row r="22" spans="1:12" x14ac:dyDescent="0.3">
      <c r="A22" s="900"/>
      <c r="B22" s="896" t="s">
        <v>219</v>
      </c>
      <c r="C22" s="899">
        <f t="shared" ref="C22:J22" si="2">SUM(C20:C21)</f>
        <v>926604</v>
      </c>
      <c r="D22" s="899">
        <f t="shared" si="2"/>
        <v>857384</v>
      </c>
      <c r="E22" s="899">
        <f t="shared" si="2"/>
        <v>857384</v>
      </c>
      <c r="F22" s="899">
        <f t="shared" si="2"/>
        <v>0</v>
      </c>
      <c r="G22" s="899">
        <f t="shared" si="2"/>
        <v>0</v>
      </c>
      <c r="H22" s="899">
        <f t="shared" si="2"/>
        <v>0</v>
      </c>
      <c r="I22" s="899">
        <f t="shared" si="2"/>
        <v>857384</v>
      </c>
      <c r="J22" s="899">
        <f t="shared" si="2"/>
        <v>0</v>
      </c>
      <c r="K22" s="909"/>
    </row>
    <row r="23" spans="1:12" x14ac:dyDescent="0.3">
      <c r="A23" s="902">
        <v>3</v>
      </c>
      <c r="B23" s="903" t="s">
        <v>604</v>
      </c>
      <c r="C23" s="904">
        <f>571142+392720+393128+394347</f>
        <v>1751337</v>
      </c>
      <c r="D23" s="904">
        <f>393128+394347</f>
        <v>787475</v>
      </c>
      <c r="E23" s="904"/>
      <c r="F23" s="904">
        <v>393128</v>
      </c>
      <c r="G23" s="904"/>
      <c r="H23" s="904">
        <v>394347</v>
      </c>
      <c r="I23" s="904">
        <f>SUM(E23:H23)</f>
        <v>787475</v>
      </c>
      <c r="J23" s="908"/>
      <c r="K23" s="909">
        <f t="shared" si="1"/>
        <v>787475</v>
      </c>
    </row>
    <row r="24" spans="1:12" x14ac:dyDescent="0.3">
      <c r="A24" s="900"/>
      <c r="B24" s="896" t="s">
        <v>219</v>
      </c>
      <c r="C24" s="899">
        <f t="shared" ref="C24:I24" si="3">SUM(C8:C23)</f>
        <v>4795077</v>
      </c>
      <c r="D24" s="899">
        <f t="shared" si="3"/>
        <v>4004210</v>
      </c>
      <c r="E24" s="899">
        <f t="shared" si="3"/>
        <v>2266543</v>
      </c>
      <c r="F24" s="899">
        <f t="shared" si="3"/>
        <v>749013</v>
      </c>
      <c r="G24" s="899">
        <f t="shared" si="3"/>
        <v>422160</v>
      </c>
      <c r="H24" s="899">
        <f t="shared" si="3"/>
        <v>566494</v>
      </c>
      <c r="I24" s="899">
        <f t="shared" si="3"/>
        <v>4004210</v>
      </c>
      <c r="J24" s="899"/>
      <c r="K24" s="909">
        <f>SUM(K8:K23)</f>
        <v>2181113</v>
      </c>
    </row>
    <row r="25" spans="1:12" ht="2.25" customHeight="1" x14ac:dyDescent="0.3"/>
    <row r="26" spans="1:12" ht="15" thickBot="1" x14ac:dyDescent="0.35">
      <c r="A26" s="912"/>
      <c r="B26" s="913"/>
      <c r="C26" s="914">
        <f t="shared" ref="C26:J26" si="4">SUM(C24,C21)</f>
        <v>5257643</v>
      </c>
      <c r="D26" s="914">
        <f t="shared" si="4"/>
        <v>4466776</v>
      </c>
      <c r="E26" s="914">
        <f t="shared" si="4"/>
        <v>2729109</v>
      </c>
      <c r="F26" s="914">
        <f t="shared" si="4"/>
        <v>749013</v>
      </c>
      <c r="G26" s="914">
        <f t="shared" si="4"/>
        <v>422160</v>
      </c>
      <c r="H26" s="914">
        <f t="shared" si="4"/>
        <v>566494</v>
      </c>
      <c r="I26" s="914">
        <f t="shared" si="4"/>
        <v>4466776</v>
      </c>
      <c r="J26" s="914">
        <f t="shared" si="4"/>
        <v>0</v>
      </c>
    </row>
    <row r="27" spans="1:12" ht="15" thickTop="1" x14ac:dyDescent="0.3">
      <c r="A27" s="2339" t="s">
        <v>605</v>
      </c>
      <c r="B27" s="2339"/>
      <c r="C27" s="2339"/>
      <c r="D27" s="2339"/>
      <c r="E27" s="2339"/>
      <c r="F27" s="2339"/>
      <c r="G27" s="2339"/>
      <c r="H27" s="2339"/>
      <c r="I27" s="2339"/>
      <c r="J27" s="2339"/>
    </row>
    <row r="31" spans="1:12" x14ac:dyDescent="0.3">
      <c r="A31" s="2338" t="s">
        <v>606</v>
      </c>
      <c r="B31" s="2338"/>
      <c r="C31" s="2340"/>
      <c r="D31" s="2340"/>
      <c r="E31" s="2340"/>
      <c r="F31" s="915"/>
      <c r="G31" s="915"/>
      <c r="H31" s="2340" t="s">
        <v>607</v>
      </c>
      <c r="I31" s="2340"/>
      <c r="J31" s="2340"/>
    </row>
  </sheetData>
  <mergeCells count="6">
    <mergeCell ref="A1:J1"/>
    <mergeCell ref="A2:J2"/>
    <mergeCell ref="A27:J27"/>
    <mergeCell ref="A31:B31"/>
    <mergeCell ref="C31:E31"/>
    <mergeCell ref="H31:J31"/>
  </mergeCells>
  <pageMargins left="0.5" right="0.25" top="0.75" bottom="0.5" header="0.3" footer="0.3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2"/>
  <sheetViews>
    <sheetView workbookViewId="0">
      <pane ySplit="5" topLeftCell="A18" activePane="bottomLeft" state="frozen"/>
      <selection pane="bottomLeft" activeCell="D30" sqref="D30"/>
    </sheetView>
  </sheetViews>
  <sheetFormatPr defaultColWidth="9.109375" defaultRowHeight="14.4" x14ac:dyDescent="0.3"/>
  <cols>
    <col min="1" max="1" width="3.88671875" style="935" customWidth="1"/>
    <col min="2" max="2" width="20" style="935" customWidth="1"/>
    <col min="3" max="3" width="55.5546875" style="920" customWidth="1"/>
    <col min="4" max="4" width="17.44140625" style="936" customWidth="1"/>
    <col min="5" max="5" width="23.33203125" style="920" customWidth="1"/>
    <col min="6" max="16384" width="9.109375" style="920"/>
  </cols>
  <sheetData>
    <row r="2" spans="1:5" s="916" customFormat="1" ht="23.4" x14ac:dyDescent="0.3">
      <c r="A2" s="2347" t="s">
        <v>573</v>
      </c>
      <c r="B2" s="2347"/>
      <c r="C2" s="2347"/>
      <c r="D2" s="2347"/>
      <c r="E2" s="2347"/>
    </row>
    <row r="3" spans="1:5" s="916" customFormat="1" ht="18" x14ac:dyDescent="0.3">
      <c r="A3" s="2348" t="s">
        <v>608</v>
      </c>
      <c r="B3" s="2348"/>
      <c r="C3" s="2348"/>
      <c r="D3" s="2348"/>
      <c r="E3" s="2348"/>
    </row>
    <row r="4" spans="1:5" s="916" customFormat="1" ht="15.6" x14ac:dyDescent="0.3">
      <c r="A4" s="2349" t="s">
        <v>609</v>
      </c>
      <c r="B4" s="2349"/>
      <c r="C4" s="2349"/>
      <c r="D4" s="2349"/>
      <c r="E4" s="2349"/>
    </row>
    <row r="5" spans="1:5" ht="47.4" thickBot="1" x14ac:dyDescent="0.35">
      <c r="A5" s="917" t="s">
        <v>575</v>
      </c>
      <c r="B5" s="2350" t="s">
        <v>17</v>
      </c>
      <c r="C5" s="2351"/>
      <c r="D5" s="918" t="s">
        <v>610</v>
      </c>
      <c r="E5" s="919" t="s">
        <v>539</v>
      </c>
    </row>
    <row r="6" spans="1:5" ht="16.2" thickTop="1" x14ac:dyDescent="0.3">
      <c r="A6" s="921">
        <v>1</v>
      </c>
      <c r="B6" s="2352" t="s">
        <v>611</v>
      </c>
      <c r="C6" s="922" t="s">
        <v>612</v>
      </c>
      <c r="D6" s="923"/>
      <c r="E6" s="924"/>
    </row>
    <row r="7" spans="1:5" ht="15.6" x14ac:dyDescent="0.3">
      <c r="A7" s="925">
        <v>2</v>
      </c>
      <c r="B7" s="2352"/>
      <c r="C7" s="926" t="s">
        <v>613</v>
      </c>
      <c r="D7" s="927"/>
      <c r="E7" s="928"/>
    </row>
    <row r="8" spans="1:5" ht="15.6" x14ac:dyDescent="0.3">
      <c r="A8" s="925"/>
      <c r="B8" s="2352"/>
      <c r="C8" s="926" t="s">
        <v>614</v>
      </c>
      <c r="D8" s="927" t="s">
        <v>615</v>
      </c>
      <c r="E8" s="928"/>
    </row>
    <row r="9" spans="1:5" ht="15.6" x14ac:dyDescent="0.3">
      <c r="A9" s="925">
        <v>3</v>
      </c>
      <c r="B9" s="2352"/>
      <c r="C9" s="926" t="s">
        <v>616</v>
      </c>
      <c r="D9" s="927">
        <v>0</v>
      </c>
      <c r="E9" s="928"/>
    </row>
    <row r="10" spans="1:5" ht="15.6" x14ac:dyDescent="0.3">
      <c r="A10" s="921">
        <v>4</v>
      </c>
      <c r="B10" s="2352"/>
      <c r="C10" s="926" t="s">
        <v>617</v>
      </c>
      <c r="D10" s="927"/>
      <c r="E10" s="928"/>
    </row>
    <row r="11" spans="1:5" ht="15.6" x14ac:dyDescent="0.3">
      <c r="A11" s="925">
        <v>5</v>
      </c>
      <c r="B11" s="2352"/>
      <c r="C11" s="926" t="s">
        <v>618</v>
      </c>
      <c r="D11" s="927"/>
      <c r="E11" s="928"/>
    </row>
    <row r="12" spans="1:5" ht="15.6" x14ac:dyDescent="0.3">
      <c r="A12" s="925">
        <v>6</v>
      </c>
      <c r="B12" s="2352"/>
      <c r="C12" s="926" t="s">
        <v>619</v>
      </c>
      <c r="D12" s="927"/>
      <c r="E12" s="928"/>
    </row>
    <row r="13" spans="1:5" ht="15.6" x14ac:dyDescent="0.3">
      <c r="A13" s="921">
        <v>7</v>
      </c>
      <c r="B13" s="2352"/>
      <c r="C13" s="926" t="s">
        <v>620</v>
      </c>
      <c r="D13" s="927"/>
      <c r="E13" s="928"/>
    </row>
    <row r="14" spans="1:5" ht="15.6" x14ac:dyDescent="0.3">
      <c r="A14" s="925">
        <v>8</v>
      </c>
      <c r="B14" s="2352"/>
      <c r="C14" s="926" t="s">
        <v>421</v>
      </c>
      <c r="D14" s="927">
        <v>0</v>
      </c>
      <c r="E14" s="928"/>
    </row>
    <row r="15" spans="1:5" ht="15.6" x14ac:dyDescent="0.3">
      <c r="A15" s="925">
        <v>9</v>
      </c>
      <c r="B15" s="2352"/>
      <c r="C15" s="926" t="s">
        <v>621</v>
      </c>
      <c r="D15" s="929">
        <v>250301</v>
      </c>
      <c r="E15" s="928"/>
    </row>
    <row r="16" spans="1:5" ht="15.6" x14ac:dyDescent="0.3">
      <c r="A16" s="921">
        <v>10</v>
      </c>
      <c r="B16" s="2352"/>
      <c r="C16" s="926" t="s">
        <v>622</v>
      </c>
      <c r="D16" s="927">
        <v>205478</v>
      </c>
      <c r="E16" s="928"/>
    </row>
    <row r="17" spans="1:5" ht="15.6" x14ac:dyDescent="0.3">
      <c r="A17" s="925">
        <v>11</v>
      </c>
      <c r="B17" s="2352"/>
      <c r="C17" s="926" t="s">
        <v>623</v>
      </c>
      <c r="D17" s="927">
        <v>8485</v>
      </c>
      <c r="E17" s="928"/>
    </row>
    <row r="18" spans="1:5" ht="15.6" x14ac:dyDescent="0.3">
      <c r="A18" s="925">
        <v>12</v>
      </c>
      <c r="B18" s="2342"/>
      <c r="C18" s="926" t="s">
        <v>624</v>
      </c>
      <c r="D18" s="927">
        <v>0</v>
      </c>
      <c r="E18" s="928"/>
    </row>
    <row r="19" spans="1:5" ht="15.6" x14ac:dyDescent="0.3">
      <c r="A19" s="921">
        <v>13</v>
      </c>
      <c r="B19" s="2341" t="s">
        <v>625</v>
      </c>
      <c r="C19" s="926" t="s">
        <v>67</v>
      </c>
      <c r="D19" s="927">
        <v>0</v>
      </c>
      <c r="E19" s="928"/>
    </row>
    <row r="20" spans="1:5" ht="15.6" x14ac:dyDescent="0.3">
      <c r="A20" s="925">
        <v>14</v>
      </c>
      <c r="B20" s="2352"/>
      <c r="C20" s="926" t="s">
        <v>626</v>
      </c>
      <c r="D20" s="927">
        <v>140399</v>
      </c>
      <c r="E20" s="928"/>
    </row>
    <row r="21" spans="1:5" ht="15.6" x14ac:dyDescent="0.3">
      <c r="A21" s="925">
        <v>15</v>
      </c>
      <c r="B21" s="2352"/>
      <c r="C21" s="926" t="s">
        <v>627</v>
      </c>
      <c r="D21" s="927">
        <v>0</v>
      </c>
      <c r="E21" s="928"/>
    </row>
    <row r="22" spans="1:5" ht="15.6" x14ac:dyDescent="0.3">
      <c r="A22" s="921">
        <v>16</v>
      </c>
      <c r="B22" s="2352"/>
      <c r="C22" s="926" t="s">
        <v>628</v>
      </c>
      <c r="D22" s="927">
        <v>0</v>
      </c>
      <c r="E22" s="928"/>
    </row>
    <row r="23" spans="1:5" ht="15.6" x14ac:dyDescent="0.3">
      <c r="A23" s="925">
        <v>17</v>
      </c>
      <c r="B23" s="2352"/>
      <c r="C23" s="926" t="s">
        <v>629</v>
      </c>
      <c r="D23" s="927">
        <v>0</v>
      </c>
      <c r="E23" s="928"/>
    </row>
    <row r="24" spans="1:5" ht="15.6" x14ac:dyDescent="0.3">
      <c r="A24" s="925">
        <v>18</v>
      </c>
      <c r="B24" s="2352"/>
      <c r="C24" s="926" t="s">
        <v>630</v>
      </c>
      <c r="D24" s="927">
        <v>0</v>
      </c>
      <c r="E24" s="928"/>
    </row>
    <row r="25" spans="1:5" ht="15.6" x14ac:dyDescent="0.3">
      <c r="A25" s="921">
        <v>19</v>
      </c>
      <c r="B25" s="2352"/>
      <c r="C25" s="926" t="s">
        <v>631</v>
      </c>
      <c r="D25" s="927">
        <v>0</v>
      </c>
      <c r="E25" s="928"/>
    </row>
    <row r="26" spans="1:5" ht="15.6" x14ac:dyDescent="0.3">
      <c r="A26" s="925">
        <v>20</v>
      </c>
      <c r="B26" s="2352"/>
      <c r="C26" s="926" t="s">
        <v>632</v>
      </c>
      <c r="D26" s="927">
        <v>0</v>
      </c>
      <c r="E26" s="928"/>
    </row>
    <row r="27" spans="1:5" ht="15.6" x14ac:dyDescent="0.3">
      <c r="A27" s="925">
        <v>21</v>
      </c>
      <c r="B27" s="2352"/>
      <c r="C27" s="926" t="s">
        <v>633</v>
      </c>
      <c r="D27" s="927">
        <v>0</v>
      </c>
      <c r="E27" s="928"/>
    </row>
    <row r="28" spans="1:5" ht="15.6" x14ac:dyDescent="0.3">
      <c r="A28" s="921">
        <v>22</v>
      </c>
      <c r="B28" s="2342"/>
      <c r="C28" s="926" t="s">
        <v>634</v>
      </c>
      <c r="D28" s="927">
        <v>0</v>
      </c>
      <c r="E28" s="928"/>
    </row>
    <row r="29" spans="1:5" ht="15.6" x14ac:dyDescent="0.3">
      <c r="A29" s="925">
        <v>23</v>
      </c>
      <c r="B29" s="2341" t="s">
        <v>635</v>
      </c>
      <c r="C29" s="926" t="s">
        <v>636</v>
      </c>
      <c r="D29" s="927">
        <v>200000</v>
      </c>
      <c r="E29" s="2343" t="s">
        <v>637</v>
      </c>
    </row>
    <row r="30" spans="1:5" ht="46.8" x14ac:dyDescent="0.3">
      <c r="A30" s="925">
        <v>24</v>
      </c>
      <c r="B30" s="2342"/>
      <c r="C30" s="930" t="s">
        <v>638</v>
      </c>
      <c r="D30" s="927">
        <v>50000</v>
      </c>
      <c r="E30" s="2344"/>
    </row>
    <row r="31" spans="1:5" ht="16.2" thickBot="1" x14ac:dyDescent="0.35">
      <c r="A31" s="931"/>
      <c r="B31" s="931"/>
      <c r="C31" s="932"/>
      <c r="D31" s="933">
        <f>SUM(D6:D30)</f>
        <v>854663</v>
      </c>
      <c r="E31" s="934"/>
    </row>
    <row r="32" spans="1:5" ht="15" thickTop="1" x14ac:dyDescent="0.3"/>
    <row r="38" spans="1:5" x14ac:dyDescent="0.3">
      <c r="A38" s="937" t="s">
        <v>639</v>
      </c>
      <c r="B38" s="938"/>
      <c r="C38" s="938" t="s">
        <v>640</v>
      </c>
      <c r="D38" s="2345" t="s">
        <v>641</v>
      </c>
      <c r="E38" s="2345"/>
    </row>
    <row r="39" spans="1:5" x14ac:dyDescent="0.3">
      <c r="A39" s="937"/>
      <c r="B39" s="938"/>
      <c r="C39" s="938"/>
      <c r="D39" s="939"/>
      <c r="E39" s="939"/>
    </row>
    <row r="40" spans="1:5" x14ac:dyDescent="0.3">
      <c r="A40" s="937"/>
      <c r="B40" s="938"/>
      <c r="C40" s="938"/>
      <c r="D40" s="939"/>
      <c r="E40" s="939"/>
    </row>
    <row r="42" spans="1:5" x14ac:dyDescent="0.3">
      <c r="A42" s="2346"/>
      <c r="B42" s="2346"/>
      <c r="C42" s="2346"/>
      <c r="D42" s="2346"/>
      <c r="E42" s="2346"/>
    </row>
  </sheetData>
  <mergeCells count="10">
    <mergeCell ref="B29:B30"/>
    <mergeCell ref="E29:E30"/>
    <mergeCell ref="D38:E38"/>
    <mergeCell ref="A42:E42"/>
    <mergeCell ref="A2:E2"/>
    <mergeCell ref="A3:E3"/>
    <mergeCell ref="A4:E4"/>
    <mergeCell ref="B5:C5"/>
    <mergeCell ref="B6:B18"/>
    <mergeCell ref="B19:B28"/>
  </mergeCells>
  <pageMargins left="0.5" right="0.5" top="0.75" bottom="0.5" header="0.3" footer="0.3"/>
  <pageSetup paperSize="9" scale="6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I11"/>
  <sheetViews>
    <sheetView workbookViewId="0">
      <selection activeCell="J25" sqref="J25"/>
    </sheetView>
  </sheetViews>
  <sheetFormatPr defaultRowHeight="14.4" x14ac:dyDescent="0.3"/>
  <cols>
    <col min="1" max="1" width="2.33203125" style="57" bestFit="1" customWidth="1"/>
    <col min="2" max="2" width="19" style="57" bestFit="1" customWidth="1"/>
    <col min="3" max="3" width="15.44140625" style="57" bestFit="1" customWidth="1"/>
    <col min="4" max="7" width="8.88671875" style="57"/>
    <col min="8" max="8" width="13.88671875" style="57" customWidth="1"/>
    <col min="9" max="9" width="8.88671875" style="57"/>
  </cols>
  <sheetData>
    <row r="2" spans="1:9" x14ac:dyDescent="0.3">
      <c r="B2" s="2353" t="s">
        <v>532</v>
      </c>
      <c r="C2" s="2353"/>
      <c r="D2" s="2353"/>
      <c r="E2" s="2353"/>
      <c r="F2" s="2353"/>
      <c r="G2" s="2353"/>
      <c r="H2" s="2353"/>
    </row>
    <row r="3" spans="1:9" ht="30" customHeight="1" x14ac:dyDescent="0.3">
      <c r="A3" s="796" t="s">
        <v>16</v>
      </c>
      <c r="B3" s="795" t="s">
        <v>533</v>
      </c>
      <c r="C3" s="795" t="s">
        <v>534</v>
      </c>
      <c r="D3" s="795" t="s">
        <v>535</v>
      </c>
      <c r="E3" s="795" t="s">
        <v>536</v>
      </c>
      <c r="F3" s="795" t="s">
        <v>537</v>
      </c>
      <c r="G3" s="795" t="s">
        <v>144</v>
      </c>
      <c r="H3" s="795" t="s">
        <v>538</v>
      </c>
      <c r="I3" s="795" t="s">
        <v>539</v>
      </c>
    </row>
    <row r="4" spans="1:9" x14ac:dyDescent="0.3">
      <c r="A4" s="795">
        <v>1</v>
      </c>
      <c r="B4" s="795" t="s">
        <v>540</v>
      </c>
      <c r="C4" s="795" t="s">
        <v>541</v>
      </c>
      <c r="D4" s="795">
        <v>32000</v>
      </c>
      <c r="E4" s="795">
        <v>700</v>
      </c>
      <c r="F4" s="795">
        <v>30</v>
      </c>
      <c r="G4" s="795"/>
      <c r="H4" s="795">
        <f>(D4*12+E4*33+F4*45)/1000</f>
        <v>408.45</v>
      </c>
      <c r="I4" s="795"/>
    </row>
    <row r="5" spans="1:9" x14ac:dyDescent="0.3">
      <c r="A5" s="795">
        <v>2</v>
      </c>
      <c r="B5" s="795" t="s">
        <v>542</v>
      </c>
      <c r="C5" s="796" t="s">
        <v>545</v>
      </c>
      <c r="D5" s="795">
        <v>34000</v>
      </c>
      <c r="E5" s="795">
        <v>500</v>
      </c>
      <c r="F5" s="795">
        <v>0</v>
      </c>
      <c r="G5" s="795"/>
      <c r="H5" s="795">
        <f t="shared" ref="H5:H9" si="0">(D5*12+E5*33+F5*45)/1000</f>
        <v>424.5</v>
      </c>
      <c r="I5" s="795"/>
    </row>
    <row r="6" spans="1:9" x14ac:dyDescent="0.3">
      <c r="A6" s="795">
        <v>3</v>
      </c>
      <c r="B6" s="795" t="s">
        <v>543</v>
      </c>
      <c r="C6" s="796" t="s">
        <v>546</v>
      </c>
      <c r="D6" s="795">
        <v>12000</v>
      </c>
      <c r="E6" s="795">
        <v>500</v>
      </c>
      <c r="F6" s="795">
        <v>20</v>
      </c>
      <c r="G6" s="795"/>
      <c r="H6" s="795">
        <f t="shared" si="0"/>
        <v>161.4</v>
      </c>
      <c r="I6" s="795"/>
    </row>
    <row r="7" spans="1:9" x14ac:dyDescent="0.3">
      <c r="A7" s="795">
        <v>4</v>
      </c>
      <c r="B7" s="796" t="s">
        <v>548</v>
      </c>
      <c r="C7" s="796" t="s">
        <v>547</v>
      </c>
      <c r="D7" s="795">
        <v>20000</v>
      </c>
      <c r="E7" s="795">
        <v>1600</v>
      </c>
      <c r="F7" s="795">
        <v>60</v>
      </c>
      <c r="G7" s="795"/>
      <c r="H7" s="795">
        <f t="shared" si="0"/>
        <v>295.5</v>
      </c>
      <c r="I7" s="795"/>
    </row>
    <row r="8" spans="1:9" x14ac:dyDescent="0.3">
      <c r="A8" s="795">
        <v>5</v>
      </c>
      <c r="B8" s="795" t="s">
        <v>544</v>
      </c>
      <c r="C8" s="796" t="s">
        <v>549</v>
      </c>
      <c r="D8" s="795">
        <v>6000</v>
      </c>
      <c r="E8" s="795">
        <v>3000</v>
      </c>
      <c r="F8" s="795">
        <v>0</v>
      </c>
      <c r="G8" s="795"/>
      <c r="H8" s="795">
        <f t="shared" si="0"/>
        <v>171</v>
      </c>
      <c r="I8" s="795"/>
    </row>
    <row r="9" spans="1:9" x14ac:dyDescent="0.3">
      <c r="A9" s="795">
        <v>6</v>
      </c>
      <c r="B9" s="796" t="s">
        <v>551</v>
      </c>
      <c r="C9" s="796" t="s">
        <v>550</v>
      </c>
      <c r="D9" s="795">
        <v>37000</v>
      </c>
      <c r="E9" s="795">
        <v>3000</v>
      </c>
      <c r="F9" s="795">
        <v>50</v>
      </c>
      <c r="G9" s="795"/>
      <c r="H9" s="795">
        <f t="shared" si="0"/>
        <v>545.25</v>
      </c>
      <c r="I9" s="795"/>
    </row>
    <row r="10" spans="1:9" x14ac:dyDescent="0.3">
      <c r="A10" s="795"/>
      <c r="B10" s="795"/>
      <c r="C10" s="795" t="s">
        <v>0</v>
      </c>
      <c r="D10" s="795">
        <f>SUM(D4:D9)</f>
        <v>141000</v>
      </c>
      <c r="E10" s="795">
        <f>SUM(E4:E9)</f>
        <v>9300</v>
      </c>
      <c r="F10" s="795">
        <f>SUM(F4:F9)</f>
        <v>160</v>
      </c>
      <c r="G10" s="795"/>
      <c r="H10" s="795">
        <f>SUM(H4:H9)</f>
        <v>2006.1</v>
      </c>
      <c r="I10" s="795"/>
    </row>
    <row r="11" spans="1:9" x14ac:dyDescent="0.3">
      <c r="A11" s="795"/>
      <c r="B11" s="795"/>
      <c r="C11" s="795"/>
      <c r="D11" s="795"/>
      <c r="E11" s="795"/>
      <c r="F11" s="795"/>
      <c r="G11" s="795"/>
      <c r="H11" s="795"/>
      <c r="I11" s="795"/>
    </row>
  </sheetData>
  <mergeCells count="1">
    <mergeCell ref="B2:H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L3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N32" sqref="AN32"/>
    </sheetView>
  </sheetViews>
  <sheetFormatPr defaultRowHeight="14.4" outlineLevelRow="1" x14ac:dyDescent="0.25"/>
  <cols>
    <col min="1" max="1" width="23.21875" style="164" customWidth="1"/>
    <col min="2" max="2" width="6.109375" style="184" hidden="1" customWidth="1"/>
    <col min="3" max="4" width="5.33203125" style="184" hidden="1" customWidth="1"/>
    <col min="5" max="5" width="4.5546875" style="573" hidden="1" customWidth="1"/>
    <col min="6" max="7" width="5.33203125" style="184" hidden="1" customWidth="1"/>
    <col min="8" max="8" width="6.109375" style="184" hidden="1" customWidth="1"/>
    <col min="9" max="11" width="5.33203125" style="184" hidden="1" customWidth="1"/>
    <col min="12" max="12" width="4.21875" style="573" hidden="1" customWidth="1"/>
    <col min="13" max="14" width="5.33203125" style="184" hidden="1" customWidth="1"/>
    <col min="15" max="15" width="5.5546875" style="184" hidden="1" customWidth="1"/>
    <col min="16" max="16" width="6.109375" style="184" hidden="1" customWidth="1"/>
    <col min="17" max="17" width="5.33203125" style="184" hidden="1" customWidth="1"/>
    <col min="18" max="18" width="6.109375" style="184" hidden="1" customWidth="1"/>
    <col min="19" max="19" width="4.21875" style="573" hidden="1" customWidth="1"/>
    <col min="20" max="20" width="5.33203125" style="184" hidden="1" customWidth="1"/>
    <col min="21" max="21" width="6.109375" style="184" bestFit="1" customWidth="1"/>
    <col min="22" max="22" width="5" style="573" bestFit="1" customWidth="1"/>
    <col min="23" max="25" width="6.109375" style="184" bestFit="1" customWidth="1"/>
    <col min="26" max="26" width="5.44140625" style="573" bestFit="1" customWidth="1"/>
    <col min="27" max="29" width="6.109375" style="184" bestFit="1" customWidth="1"/>
    <col min="30" max="30" width="4.5546875" style="184" bestFit="1" customWidth="1"/>
    <col min="31" max="31" width="7.109375" style="164" bestFit="1" customWidth="1"/>
    <col min="32" max="32" width="3.6640625" style="164" customWidth="1"/>
    <col min="33" max="33" width="16.33203125" style="164" customWidth="1"/>
    <col min="34" max="34" width="15.21875" style="164" customWidth="1"/>
    <col min="35" max="35" width="9.44140625" style="164" bestFit="1" customWidth="1"/>
    <col min="36" max="36" width="12.44140625" style="164" bestFit="1" customWidth="1"/>
    <col min="37" max="38" width="8.88671875" style="164"/>
    <col min="39" max="39" width="14.6640625" bestFit="1" customWidth="1"/>
  </cols>
  <sheetData>
    <row r="1" spans="1:38" ht="20.399999999999999" x14ac:dyDescent="0.35">
      <c r="A1" s="161" t="s">
        <v>30</v>
      </c>
      <c r="B1" s="183"/>
      <c r="C1" s="183"/>
      <c r="D1" s="183"/>
      <c r="E1" s="163"/>
      <c r="F1" s="183"/>
      <c r="G1" s="183"/>
      <c r="H1" s="191"/>
      <c r="I1" s="183"/>
      <c r="J1" s="183"/>
      <c r="K1" s="183"/>
      <c r="L1" s="163"/>
      <c r="M1" s="183"/>
      <c r="N1" s="183"/>
      <c r="O1" s="183"/>
      <c r="P1" s="183"/>
      <c r="Q1" s="183"/>
      <c r="R1" s="183"/>
      <c r="S1" s="163"/>
      <c r="T1" s="183"/>
      <c r="U1" s="183"/>
      <c r="V1" s="163"/>
      <c r="W1" s="183"/>
      <c r="X1" s="183"/>
      <c r="Y1" s="183"/>
      <c r="Z1" s="163"/>
      <c r="AA1" s="183"/>
      <c r="AB1" s="183"/>
      <c r="AC1" s="183"/>
      <c r="AD1" s="183"/>
      <c r="AE1" s="162"/>
      <c r="AF1" s="162"/>
      <c r="AG1" s="162"/>
      <c r="AH1" s="162"/>
      <c r="AI1" s="162"/>
      <c r="AJ1" s="162"/>
      <c r="AK1" s="162"/>
      <c r="AL1" s="162"/>
    </row>
    <row r="2" spans="1:38" x14ac:dyDescent="0.25">
      <c r="A2" s="164" t="s">
        <v>452</v>
      </c>
      <c r="AJ2" s="558"/>
      <c r="AK2" s="165"/>
    </row>
    <row r="3" spans="1:38" ht="15" thickBot="1" x14ac:dyDescent="0.3">
      <c r="A3" s="167" t="s">
        <v>198</v>
      </c>
      <c r="G3" s="511"/>
      <c r="H3" s="192"/>
      <c r="AG3" s="564" t="s">
        <v>481</v>
      </c>
      <c r="AH3" s="615" t="s">
        <v>482</v>
      </c>
      <c r="AI3" s="208"/>
    </row>
    <row r="4" spans="1:38" x14ac:dyDescent="0.25">
      <c r="A4" s="1816" t="s">
        <v>199</v>
      </c>
      <c r="B4" s="513">
        <v>1</v>
      </c>
      <c r="C4" s="514">
        <v>2</v>
      </c>
      <c r="D4" s="514">
        <v>3</v>
      </c>
      <c r="E4" s="515">
        <v>4</v>
      </c>
      <c r="F4" s="514">
        <v>5</v>
      </c>
      <c r="G4" s="514">
        <v>6</v>
      </c>
      <c r="H4" s="514">
        <v>7</v>
      </c>
      <c r="I4" s="514">
        <v>8</v>
      </c>
      <c r="J4" s="514">
        <v>9</v>
      </c>
      <c r="K4" s="514">
        <v>10</v>
      </c>
      <c r="L4" s="515">
        <v>11</v>
      </c>
      <c r="M4" s="514">
        <v>12</v>
      </c>
      <c r="N4" s="514">
        <v>13</v>
      </c>
      <c r="O4" s="514">
        <v>14</v>
      </c>
      <c r="P4" s="514">
        <v>15</v>
      </c>
      <c r="Q4" s="514">
        <v>16</v>
      </c>
      <c r="R4" s="514">
        <v>17</v>
      </c>
      <c r="S4" s="515">
        <v>18</v>
      </c>
      <c r="T4" s="514">
        <v>19</v>
      </c>
      <c r="U4" s="185">
        <v>20</v>
      </c>
      <c r="V4" s="166">
        <v>21</v>
      </c>
      <c r="W4" s="535">
        <v>22</v>
      </c>
      <c r="X4" s="185">
        <v>23</v>
      </c>
      <c r="Y4" s="185">
        <v>24</v>
      </c>
      <c r="Z4" s="166">
        <v>25</v>
      </c>
      <c r="AA4" s="185">
        <v>26</v>
      </c>
      <c r="AB4" s="185">
        <v>27</v>
      </c>
      <c r="AC4" s="185">
        <v>28</v>
      </c>
      <c r="AD4" s="592"/>
      <c r="AE4" s="1818" t="s">
        <v>0</v>
      </c>
      <c r="AF4" s="167"/>
      <c r="AG4" s="564" t="s">
        <v>483</v>
      </c>
      <c r="AH4" s="564" t="s">
        <v>484</v>
      </c>
      <c r="AI4" s="167"/>
      <c r="AJ4" s="542"/>
      <c r="AK4" s="167"/>
      <c r="AL4" s="168"/>
    </row>
    <row r="5" spans="1:38" ht="15" thickBot="1" x14ac:dyDescent="0.3">
      <c r="A5" s="1817"/>
      <c r="B5" s="516" t="s">
        <v>206</v>
      </c>
      <c r="C5" s="517" t="s">
        <v>200</v>
      </c>
      <c r="D5" s="517" t="s">
        <v>201</v>
      </c>
      <c r="E5" s="518" t="s">
        <v>202</v>
      </c>
      <c r="F5" s="517" t="s">
        <v>203</v>
      </c>
      <c r="G5" s="517" t="s">
        <v>204</v>
      </c>
      <c r="H5" s="517" t="s">
        <v>205</v>
      </c>
      <c r="I5" s="517" t="s">
        <v>206</v>
      </c>
      <c r="J5" s="517" t="s">
        <v>200</v>
      </c>
      <c r="K5" s="517" t="s">
        <v>201</v>
      </c>
      <c r="L5" s="518" t="s">
        <v>202</v>
      </c>
      <c r="M5" s="517" t="s">
        <v>203</v>
      </c>
      <c r="N5" s="517" t="s">
        <v>204</v>
      </c>
      <c r="O5" s="517" t="s">
        <v>205</v>
      </c>
      <c r="P5" s="517" t="s">
        <v>206</v>
      </c>
      <c r="Q5" s="517" t="s">
        <v>200</v>
      </c>
      <c r="R5" s="517" t="s">
        <v>201</v>
      </c>
      <c r="S5" s="518" t="s">
        <v>202</v>
      </c>
      <c r="T5" s="517" t="s">
        <v>203</v>
      </c>
      <c r="U5" s="198" t="s">
        <v>204</v>
      </c>
      <c r="V5" s="197" t="s">
        <v>205</v>
      </c>
      <c r="W5" s="198" t="s">
        <v>206</v>
      </c>
      <c r="X5" s="198" t="s">
        <v>200</v>
      </c>
      <c r="Y5" s="198" t="s">
        <v>201</v>
      </c>
      <c r="Z5" s="197" t="s">
        <v>202</v>
      </c>
      <c r="AA5" s="198" t="s">
        <v>203</v>
      </c>
      <c r="AB5" s="198" t="s">
        <v>204</v>
      </c>
      <c r="AC5" s="198" t="s">
        <v>205</v>
      </c>
      <c r="AD5" s="593"/>
      <c r="AE5" s="1819"/>
      <c r="AF5" s="167"/>
      <c r="AG5" s="167"/>
      <c r="AH5" s="167"/>
      <c r="AI5" s="169"/>
      <c r="AJ5" s="543"/>
      <c r="AK5" s="167"/>
      <c r="AL5" s="168"/>
    </row>
    <row r="6" spans="1:38" hidden="1" outlineLevel="1" x14ac:dyDescent="0.25">
      <c r="A6" s="490" t="s">
        <v>207</v>
      </c>
      <c r="B6" s="502"/>
      <c r="C6" s="503"/>
      <c r="D6" s="503"/>
      <c r="E6" s="504"/>
      <c r="F6" s="503"/>
      <c r="G6" s="503"/>
      <c r="H6" s="503"/>
      <c r="I6" s="503"/>
      <c r="J6" s="503"/>
      <c r="K6" s="503"/>
      <c r="L6" s="504"/>
      <c r="M6" s="503"/>
      <c r="N6" s="503"/>
      <c r="O6" s="503"/>
      <c r="P6" s="503"/>
      <c r="Q6" s="503"/>
      <c r="R6" s="503"/>
      <c r="S6" s="504"/>
      <c r="T6" s="503"/>
      <c r="U6" s="186"/>
      <c r="V6" s="170"/>
      <c r="W6" s="186"/>
      <c r="X6" s="186"/>
      <c r="Y6" s="186"/>
      <c r="Z6" s="170"/>
      <c r="AA6" s="186"/>
      <c r="AB6" s="186"/>
      <c r="AC6" s="186"/>
      <c r="AD6" s="594"/>
      <c r="AE6" s="171"/>
      <c r="AF6" s="167"/>
      <c r="AG6" s="550" t="s">
        <v>470</v>
      </c>
      <c r="AH6" s="551" t="s">
        <v>473</v>
      </c>
      <c r="AI6" s="551" t="s">
        <v>471</v>
      </c>
      <c r="AJ6" s="551" t="s">
        <v>472</v>
      </c>
      <c r="AK6" s="167"/>
      <c r="AL6" s="168"/>
    </row>
    <row r="7" spans="1:38" hidden="1" outlineLevel="1" x14ac:dyDescent="0.25">
      <c r="A7" s="178" t="s">
        <v>208</v>
      </c>
      <c r="B7" s="548"/>
      <c r="C7" s="507"/>
      <c r="D7" s="507"/>
      <c r="E7" s="510"/>
      <c r="F7" s="506">
        <v>2961</v>
      </c>
      <c r="G7" s="506">
        <v>3060</v>
      </c>
      <c r="H7" s="506">
        <v>10287</v>
      </c>
      <c r="I7" s="506">
        <v>934</v>
      </c>
      <c r="J7" s="506">
        <v>3268</v>
      </c>
      <c r="K7" s="506"/>
      <c r="L7" s="510"/>
      <c r="M7" s="506">
        <v>1266</v>
      </c>
      <c r="N7" s="506">
        <v>6589</v>
      </c>
      <c r="O7" s="506">
        <v>9937</v>
      </c>
      <c r="P7" s="506">
        <v>10714</v>
      </c>
      <c r="Q7" s="506">
        <v>8673</v>
      </c>
      <c r="R7" s="506">
        <v>10882</v>
      </c>
      <c r="S7" s="510"/>
      <c r="T7" s="506">
        <v>7665</v>
      </c>
      <c r="U7" s="187">
        <f t="shared" ref="U7:U9" si="0">AJ7</f>
        <v>13128.535714285714</v>
      </c>
      <c r="V7" s="174"/>
      <c r="W7" s="187">
        <f t="shared" ref="W7:W9" si="1">AJ7</f>
        <v>13128.535714285714</v>
      </c>
      <c r="X7" s="187">
        <f t="shared" ref="X7:X9" si="2">AJ7</f>
        <v>13128.535714285714</v>
      </c>
      <c r="Y7" s="187">
        <f t="shared" ref="Y7:Y9" si="3">AJ7</f>
        <v>13128.535714285714</v>
      </c>
      <c r="Z7" s="174"/>
      <c r="AA7" s="187">
        <f t="shared" ref="AA7:AA9" si="4">AJ7</f>
        <v>13128.535714285714</v>
      </c>
      <c r="AB7" s="187">
        <f t="shared" ref="AB7:AB9" si="5">AJ7</f>
        <v>13128.535714285714</v>
      </c>
      <c r="AC7" s="187">
        <f t="shared" ref="AC7:AC9" si="6">AJ7</f>
        <v>13128.535714285714</v>
      </c>
      <c r="AD7" s="595"/>
      <c r="AE7" s="172">
        <f t="shared" ref="AE7:AE13" si="7">SUM(B7:AC7)</f>
        <v>168135.74999999997</v>
      </c>
      <c r="AF7" s="173"/>
      <c r="AG7" s="543">
        <f>SUM(F7:T7)</f>
        <v>76236</v>
      </c>
      <c r="AH7" s="543">
        <f>180500*0.9315</f>
        <v>168135.75</v>
      </c>
      <c r="AI7" s="200">
        <f>AH7-AG7</f>
        <v>91899.75</v>
      </c>
      <c r="AJ7" s="634">
        <f>AI7/7</f>
        <v>13128.535714285714</v>
      </c>
    </row>
    <row r="8" spans="1:38" hidden="1" outlineLevel="1" x14ac:dyDescent="0.25">
      <c r="A8" s="178" t="s">
        <v>209</v>
      </c>
      <c r="B8" s="548"/>
      <c r="C8" s="507"/>
      <c r="D8" s="507"/>
      <c r="E8" s="510"/>
      <c r="F8" s="506">
        <v>45</v>
      </c>
      <c r="G8" s="506">
        <v>405</v>
      </c>
      <c r="H8" s="506">
        <v>383</v>
      </c>
      <c r="I8" s="506">
        <v>56</v>
      </c>
      <c r="J8" s="506">
        <v>130</v>
      </c>
      <c r="K8" s="506"/>
      <c r="L8" s="510"/>
      <c r="M8" s="506">
        <v>10</v>
      </c>
      <c r="N8" s="506">
        <v>168</v>
      </c>
      <c r="O8" s="506">
        <v>294</v>
      </c>
      <c r="P8" s="506">
        <v>315</v>
      </c>
      <c r="Q8" s="506">
        <v>663</v>
      </c>
      <c r="R8" s="506">
        <v>797</v>
      </c>
      <c r="S8" s="510"/>
      <c r="T8" s="506">
        <v>338</v>
      </c>
      <c r="U8" s="187">
        <f t="shared" si="0"/>
        <v>1148.5357142857142</v>
      </c>
      <c r="V8" s="174"/>
      <c r="W8" s="187">
        <f t="shared" si="1"/>
        <v>1148.5357142857142</v>
      </c>
      <c r="X8" s="187">
        <f t="shared" si="2"/>
        <v>1148.5357142857142</v>
      </c>
      <c r="Y8" s="187">
        <f t="shared" si="3"/>
        <v>1148.5357142857142</v>
      </c>
      <c r="Z8" s="174"/>
      <c r="AA8" s="187">
        <f t="shared" si="4"/>
        <v>1148.5357142857142</v>
      </c>
      <c r="AB8" s="187">
        <f t="shared" si="5"/>
        <v>1148.5357142857142</v>
      </c>
      <c r="AC8" s="187">
        <f t="shared" si="6"/>
        <v>1148.5357142857142</v>
      </c>
      <c r="AD8" s="595"/>
      <c r="AE8" s="172">
        <f t="shared" si="7"/>
        <v>11643.749999999996</v>
      </c>
      <c r="AF8" s="173"/>
      <c r="AG8" s="543">
        <f>SUM(F8:T8)</f>
        <v>3604</v>
      </c>
      <c r="AH8" s="543">
        <f>12500*0.9315</f>
        <v>11643.75</v>
      </c>
      <c r="AI8" s="200">
        <f t="shared" ref="AI8:AI11" si="8">AH8-AG8</f>
        <v>8039.75</v>
      </c>
      <c r="AJ8" s="634">
        <f t="shared" ref="AJ8:AJ11" si="9">AI8/7</f>
        <v>1148.5357142857142</v>
      </c>
    </row>
    <row r="9" spans="1:38" hidden="1" outlineLevel="1" x14ac:dyDescent="0.25">
      <c r="A9" s="178" t="s">
        <v>210</v>
      </c>
      <c r="B9" s="548"/>
      <c r="C9" s="507"/>
      <c r="D9" s="507"/>
      <c r="E9" s="510"/>
      <c r="F9" s="506">
        <v>0</v>
      </c>
      <c r="G9" s="506">
        <v>7</v>
      </c>
      <c r="H9" s="506">
        <v>11</v>
      </c>
      <c r="I9" s="506">
        <v>0</v>
      </c>
      <c r="J9" s="506"/>
      <c r="K9" s="506"/>
      <c r="L9" s="510"/>
      <c r="M9" s="506"/>
      <c r="N9" s="506">
        <v>13</v>
      </c>
      <c r="O9" s="506">
        <v>2</v>
      </c>
      <c r="P9" s="506">
        <v>6</v>
      </c>
      <c r="Q9" s="506">
        <v>28</v>
      </c>
      <c r="R9" s="506">
        <v>4</v>
      </c>
      <c r="S9" s="510"/>
      <c r="T9" s="506">
        <v>10</v>
      </c>
      <c r="U9" s="187">
        <f t="shared" si="0"/>
        <v>21.696428571428573</v>
      </c>
      <c r="V9" s="174"/>
      <c r="W9" s="187">
        <f t="shared" si="1"/>
        <v>21.696428571428573</v>
      </c>
      <c r="X9" s="187">
        <f t="shared" si="2"/>
        <v>21.696428571428573</v>
      </c>
      <c r="Y9" s="187">
        <f t="shared" si="3"/>
        <v>21.696428571428573</v>
      </c>
      <c r="Z9" s="174"/>
      <c r="AA9" s="187">
        <f t="shared" si="4"/>
        <v>21.696428571428573</v>
      </c>
      <c r="AB9" s="187">
        <f t="shared" si="5"/>
        <v>21.696428571428573</v>
      </c>
      <c r="AC9" s="187">
        <f t="shared" si="6"/>
        <v>21.696428571428573</v>
      </c>
      <c r="AD9" s="595"/>
      <c r="AE9" s="172">
        <f t="shared" si="7"/>
        <v>232.87500000000006</v>
      </c>
      <c r="AF9" s="173"/>
      <c r="AG9" s="543">
        <f>SUM(F9:T9)</f>
        <v>81</v>
      </c>
      <c r="AH9" s="543">
        <f>250*0.9315</f>
        <v>232.875</v>
      </c>
      <c r="AI9" s="200">
        <f t="shared" si="8"/>
        <v>151.875</v>
      </c>
      <c r="AJ9" s="634">
        <f t="shared" si="9"/>
        <v>21.696428571428573</v>
      </c>
    </row>
    <row r="10" spans="1:38" hidden="1" outlineLevel="1" x14ac:dyDescent="0.25">
      <c r="A10" s="178" t="s">
        <v>144</v>
      </c>
      <c r="B10" s="548"/>
      <c r="C10" s="507"/>
      <c r="D10" s="507"/>
      <c r="E10" s="510"/>
      <c r="F10" s="506"/>
      <c r="G10" s="506"/>
      <c r="H10" s="506"/>
      <c r="I10" s="506">
        <v>10</v>
      </c>
      <c r="J10" s="506"/>
      <c r="K10" s="506"/>
      <c r="L10" s="510"/>
      <c r="M10" s="506"/>
      <c r="N10" s="506"/>
      <c r="O10" s="506"/>
      <c r="P10" s="506">
        <v>8.15</v>
      </c>
      <c r="Q10" s="506"/>
      <c r="R10" s="506"/>
      <c r="S10" s="510"/>
      <c r="T10" s="506"/>
      <c r="U10" s="187"/>
      <c r="V10" s="174"/>
      <c r="W10" s="187">
        <v>15</v>
      </c>
      <c r="X10" s="187"/>
      <c r="Y10" s="187"/>
      <c r="Z10" s="174"/>
      <c r="AA10" s="187"/>
      <c r="AB10" s="187">
        <v>13.43</v>
      </c>
      <c r="AC10" s="187"/>
      <c r="AD10" s="595"/>
      <c r="AE10" s="172">
        <f t="shared" si="7"/>
        <v>46.58</v>
      </c>
      <c r="AF10" s="173"/>
      <c r="AG10" s="543">
        <f>SUM(F10:T10)</f>
        <v>18.149999999999999</v>
      </c>
      <c r="AH10" s="543">
        <f>50*0.9315</f>
        <v>46.575000000000003</v>
      </c>
      <c r="AI10" s="200">
        <f t="shared" si="8"/>
        <v>28.425000000000004</v>
      </c>
      <c r="AJ10" s="634">
        <f t="shared" si="9"/>
        <v>4.0607142857142859</v>
      </c>
    </row>
    <row r="11" spans="1:38" hidden="1" outlineLevel="1" x14ac:dyDescent="0.25">
      <c r="A11" s="178" t="s">
        <v>172</v>
      </c>
      <c r="B11" s="505"/>
      <c r="C11" s="506"/>
      <c r="D11" s="506"/>
      <c r="E11" s="510"/>
      <c r="F11" s="506"/>
      <c r="G11" s="506"/>
      <c r="H11" s="506"/>
      <c r="I11" s="506"/>
      <c r="J11" s="506"/>
      <c r="K11" s="506"/>
      <c r="L11" s="510"/>
      <c r="M11" s="506"/>
      <c r="N11" s="506"/>
      <c r="O11" s="506"/>
      <c r="P11" s="506"/>
      <c r="Q11" s="506"/>
      <c r="R11" s="506"/>
      <c r="S11" s="510"/>
      <c r="T11" s="506"/>
      <c r="U11" s="187">
        <v>15</v>
      </c>
      <c r="V11" s="174"/>
      <c r="W11" s="187"/>
      <c r="X11" s="187"/>
      <c r="Y11" s="187">
        <v>12.95</v>
      </c>
      <c r="Z11" s="174"/>
      <c r="AA11" s="187"/>
      <c r="AB11" s="187"/>
      <c r="AC11" s="187"/>
      <c r="AD11" s="595"/>
      <c r="AE11" s="172">
        <f t="shared" si="7"/>
        <v>27.95</v>
      </c>
      <c r="AF11" s="173"/>
      <c r="AG11" s="543">
        <f>SUM(F11:T11)</f>
        <v>0</v>
      </c>
      <c r="AH11" s="543">
        <f>30*0.9315</f>
        <v>27.945</v>
      </c>
      <c r="AI11" s="200">
        <f t="shared" si="8"/>
        <v>27.945</v>
      </c>
      <c r="AJ11" s="634">
        <f t="shared" si="9"/>
        <v>3.992142857142857</v>
      </c>
    </row>
    <row r="12" spans="1:38" hidden="1" outlineLevel="1" x14ac:dyDescent="0.25">
      <c r="A12" s="491" t="s">
        <v>211</v>
      </c>
      <c r="B12" s="508"/>
      <c r="C12" s="509"/>
      <c r="D12" s="509"/>
      <c r="E12" s="510">
        <f t="shared" ref="E12:AC12" si="10">(E7*12+E8*33+E9*45+E10*1000+E11*1000)/1000</f>
        <v>0</v>
      </c>
      <c r="F12" s="509">
        <f t="shared" si="10"/>
        <v>37.017000000000003</v>
      </c>
      <c r="G12" s="509">
        <f t="shared" si="10"/>
        <v>50.4</v>
      </c>
      <c r="H12" s="509">
        <f t="shared" si="10"/>
        <v>136.578</v>
      </c>
      <c r="I12" s="509">
        <f t="shared" si="10"/>
        <v>23.056000000000001</v>
      </c>
      <c r="J12" s="509">
        <f t="shared" si="10"/>
        <v>43.506</v>
      </c>
      <c r="K12" s="509">
        <f t="shared" si="10"/>
        <v>0</v>
      </c>
      <c r="L12" s="510">
        <f t="shared" si="10"/>
        <v>0</v>
      </c>
      <c r="M12" s="509">
        <f t="shared" si="10"/>
        <v>15.522</v>
      </c>
      <c r="N12" s="509">
        <f t="shared" si="10"/>
        <v>85.197000000000003</v>
      </c>
      <c r="O12" s="509">
        <f t="shared" si="10"/>
        <v>129.036</v>
      </c>
      <c r="P12" s="509">
        <f t="shared" si="10"/>
        <v>147.38300000000001</v>
      </c>
      <c r="Q12" s="509">
        <f t="shared" si="10"/>
        <v>127.215</v>
      </c>
      <c r="R12" s="509">
        <f t="shared" si="10"/>
        <v>157.065</v>
      </c>
      <c r="S12" s="547">
        <f t="shared" si="10"/>
        <v>0</v>
      </c>
      <c r="T12" s="509">
        <f t="shared" si="10"/>
        <v>103.584</v>
      </c>
      <c r="U12" s="188">
        <f t="shared" si="10"/>
        <v>211.42044642857144</v>
      </c>
      <c r="V12" s="174">
        <f t="shared" si="10"/>
        <v>0</v>
      </c>
      <c r="W12" s="188">
        <f t="shared" si="10"/>
        <v>211.42044642857144</v>
      </c>
      <c r="X12" s="188">
        <f t="shared" si="10"/>
        <v>196.42044642857144</v>
      </c>
      <c r="Y12" s="188">
        <f t="shared" si="10"/>
        <v>209.37044642857146</v>
      </c>
      <c r="Z12" s="174">
        <f t="shared" si="10"/>
        <v>0</v>
      </c>
      <c r="AA12" s="188">
        <f t="shared" si="10"/>
        <v>196.42044642857144</v>
      </c>
      <c r="AB12" s="188">
        <f t="shared" si="10"/>
        <v>209.85044642857144</v>
      </c>
      <c r="AC12" s="188">
        <f t="shared" si="10"/>
        <v>196.42044642857144</v>
      </c>
      <c r="AD12" s="596"/>
      <c r="AE12" s="563">
        <f t="shared" si="7"/>
        <v>2486.8821250000005</v>
      </c>
      <c r="AF12" s="549" t="s">
        <v>469</v>
      </c>
      <c r="AG12" s="552">
        <f>(AG7*12+AG8*33+AG9*45)/1000+AG10+AG11</f>
        <v>1055.5590000000002</v>
      </c>
      <c r="AH12" s="552">
        <f>(AH7*12+AH8*33+AH9*45)/1000+AH10+AH11</f>
        <v>2486.8721249999999</v>
      </c>
      <c r="AI12" s="552">
        <f>(AI7*12+AI8*33+AI9*45)/1000+AI10+AI11</f>
        <v>1431.3131249999999</v>
      </c>
      <c r="AJ12" s="552">
        <f>(AJ7*12+AJ8*33+AJ9*45)/1000+AJ10+AJ11</f>
        <v>204.47330357142857</v>
      </c>
      <c r="AK12" s="168"/>
      <c r="AL12" s="168"/>
    </row>
    <row r="13" spans="1:38" ht="15" hidden="1" outlineLevel="1" thickBot="1" x14ac:dyDescent="0.3">
      <c r="A13" s="180" t="s">
        <v>480</v>
      </c>
      <c r="B13" s="525">
        <f>B7*'NLPG Price1005'!$C$23+Cash_Feb22V2!B8*'NLPG Price1005'!$F$23+Cash_Feb22V2!B9*'NLPG Price1005'!$I$23+Cash_Feb22V2!B10*'NLPG Price1005'!$L$23+Cash_Feb22V2!B11*'NLPG Price1005'!$O$23</f>
        <v>0</v>
      </c>
      <c r="C13" s="525">
        <f>C7*'NLPG Price1005'!$C$23+Cash_Feb22V2!C8*'NLPG Price1005'!$F$23+Cash_Feb22V2!C9*'NLPG Price1005'!$I$23+Cash_Feb22V2!C10*'NLPG Price1005'!$L$23+Cash_Feb22V2!C11*'NLPG Price1005'!$O$23</f>
        <v>0</v>
      </c>
      <c r="D13" s="525">
        <f>D7*'NLPG Price1005'!$C$23+Cash_Feb22V2!D8*'NLPG Price1005'!$F$23+Cash_Feb22V2!D9*'NLPG Price1005'!$I$23+Cash_Feb22V2!D10*'NLPG Price1005'!$L$23+Cash_Feb22V2!D11*'NLPG Price1005'!$O$23</f>
        <v>0</v>
      </c>
      <c r="E13" s="526">
        <f>E7*'NLPG Price1005'!$C$23+Cash_Feb22V2!E8*'NLPG Price1005'!$F$23+Cash_Feb22V2!E9*'NLPG Price1005'!$I$23+Cash_Feb22V2!E10*'NLPG Price1005'!$L$23+Cash_Feb22V2!E11*'NLPG Price1005'!$O$23</f>
        <v>0</v>
      </c>
      <c r="F13" s="525">
        <f>F7*'NLPG Price1005'!$C$23+Cash_Feb22V2!F8*'NLPG Price1005'!$F$23+Cash_Feb22V2!F9*'NLPG Price1005'!$I$23+Cash_Feb22V2!F10*'NLPG Price1005'!$L$23+Cash_Feb22V2!F11*'NLPG Price1005'!$O$23</f>
        <v>3649558.0747690843</v>
      </c>
      <c r="G13" s="525">
        <f>G7*'NLPG Price1005'!$C$23+Cash_Feb22V2!G8*'NLPG Price1005'!$F$23+Cash_Feb22V2!G9*'NLPG Price1005'!$I$23+Cash_Feb22V2!G10*'NLPG Price1005'!$L$23+Cash_Feb22V2!G11*'NLPG Price1005'!$O$23</f>
        <v>4964860.3660227619</v>
      </c>
      <c r="H13" s="525">
        <f>H7*'NLPG Price1005'!$C$23+Cash_Feb22V2!H8*'NLPG Price1005'!$F$23+Cash_Feb22V2!H9*'NLPG Price1005'!$I$23+Cash_Feb22V2!H10*'NLPG Price1005'!$L$23+Cash_Feb22V2!H11*'NLPG Price1005'!$O$23</f>
        <v>13462694.377541225</v>
      </c>
      <c r="I13" s="525">
        <f>I7*'NLPG Price1005'!$C$23+Cash_Feb22V2!I8*'NLPG Price1005'!$F$23+Cash_Feb22V2!I9*'NLPG Price1005'!$I$23+Cash_Feb22V2!I10*'NLPG Price1005'!$L$23+Cash_Feb22V2!I11*'NLPG Price1005'!$O$23</f>
        <v>2274038.3993023727</v>
      </c>
      <c r="J13" s="525">
        <f>J7*'NLPG Price1005'!$C$23+Cash_Feb22V2!J8*'NLPG Price1005'!$F$23+Cash_Feb22V2!J9*'NLPG Price1005'!$I$23+Cash_Feb22V2!J10*'NLPG Price1005'!$L$23+Cash_Feb22V2!J11*'NLPG Price1005'!$O$23</f>
        <v>4288412.6294648321</v>
      </c>
      <c r="K13" s="525">
        <f>K7*'NLPG Price1005'!$C$23+Cash_Feb22V2!K8*'NLPG Price1005'!$F$23+Cash_Feb22V2!K9*'NLPG Price1005'!$I$23+Cash_Feb22V2!K10*'NLPG Price1005'!$L$23+Cash_Feb22V2!K11*'NLPG Price1005'!$O$23</f>
        <v>0</v>
      </c>
      <c r="L13" s="526">
        <f>L7*'NLPG Price1005'!$C$23+Cash_Feb22V2!L8*'NLPG Price1005'!$F$23+Cash_Feb22V2!L9*'NLPG Price1005'!$I$23+Cash_Feb22V2!L10*'NLPG Price1005'!$L$23+Cash_Feb22V2!L11*'NLPG Price1005'!$O$23</f>
        <v>0</v>
      </c>
      <c r="M13" s="525">
        <f>M7*'NLPG Price1005'!$C$23+Cash_Feb22V2!M8*'NLPG Price1005'!$F$23+Cash_Feb22V2!M9*'NLPG Price1005'!$I$23+Cash_Feb22V2!M10*'NLPG Price1005'!$L$23+Cash_Feb22V2!M11*'NLPG Price1005'!$O$23</f>
        <v>1530439.9063349073</v>
      </c>
      <c r="N13" s="525">
        <f>N7*'NLPG Price1005'!$C$23+Cash_Feb22V2!N8*'NLPG Price1005'!$F$23+Cash_Feb22V2!N9*'NLPG Price1005'!$I$23+Cash_Feb22V2!N10*'NLPG Price1005'!$L$23+Cash_Feb22V2!N11*'NLPG Price1005'!$O$23</f>
        <v>8398727.7178836539</v>
      </c>
      <c r="O13" s="525">
        <f>O7*'NLPG Price1005'!$C$23+Cash_Feb22V2!O8*'NLPG Price1005'!$F$23+Cash_Feb22V2!O9*'NLPG Price1005'!$I$23+Cash_Feb22V2!O10*'NLPG Price1005'!$L$23+Cash_Feb22V2!O11*'NLPG Price1005'!$O$23</f>
        <v>12720199.044826204</v>
      </c>
      <c r="P13" s="525">
        <f>P7*'NLPG Price1005'!$C$23+Cash_Feb22V2!P8*'NLPG Price1005'!$F$23+Cash_Feb22V2!P9*'NLPG Price1005'!$I$23+Cash_Feb22V2!P10*'NLPG Price1005'!$L$23+Cash_Feb22V2!P11*'NLPG Price1005'!$O$23</f>
        <v>14530020.103453552</v>
      </c>
      <c r="Q13" s="525">
        <f>Q7*'NLPG Price1005'!$C$23+Cash_Feb22V2!Q8*'NLPG Price1005'!$F$23+Cash_Feb22V2!Q9*'NLPG Price1005'!$I$23+Cash_Feb22V2!Q10*'NLPG Price1005'!$L$23+Cash_Feb22V2!Q11*'NLPG Price1005'!$O$23</f>
        <v>12535890.92467824</v>
      </c>
      <c r="R13" s="525">
        <f>R7*'NLPG Price1005'!$C$23+Cash_Feb22V2!R8*'NLPG Price1005'!$F$23+Cash_Feb22V2!R9*'NLPG Price1005'!$I$23+Cash_Feb22V2!R10*'NLPG Price1005'!$L$23+Cash_Feb22V2!R11*'NLPG Price1005'!$O$23</f>
        <v>15478081.643156763</v>
      </c>
      <c r="S13" s="526">
        <f>S7*'NLPG Price1005'!$C$23+Cash_Feb22V2!S8*'NLPG Price1005'!$F$23+Cash_Feb22V2!S9*'NLPG Price1005'!$I$23+Cash_Feb22V2!S10*'NLPG Price1005'!$L$23+Cash_Feb22V2!S11*'NLPG Price1005'!$O$23</f>
        <v>0</v>
      </c>
      <c r="T13" s="525">
        <f>T7*'NLPG Price1005'!$C$23+Cash_Feb22V2!T8*'NLPG Price1005'!$F$23+Cash_Feb22V2!T9*'NLPG Price1005'!$I$23+Cash_Feb22V2!T10*'NLPG Price1005'!$L$23+Cash_Feb22V2!T11*'NLPG Price1005'!$O$23</f>
        <v>10209842.936458977</v>
      </c>
      <c r="U13" s="587">
        <f>U7*'NLPG Price1005'!$C$23+Cash_Feb22V2!U8*'NLPG Price1005'!$F$23+Cash_Feb22V2!U9*'NLPG Price1005'!$I$23+Cash_Feb22V2!U10*'NLPG Price1005'!$L$23+Cash_Feb22V2!U11*'NLPG Price1005'!$O$23</f>
        <v>20882542.679179519</v>
      </c>
      <c r="V13" s="588">
        <f>V7*'NLPG Price1005'!$C$23+Cash_Feb22V2!V8*'NLPG Price1005'!$F$23+Cash_Feb22V2!V9*'NLPG Price1005'!$I$23+Cash_Feb22V2!V10*'NLPG Price1005'!$L$23+Cash_Feb22V2!V11*'NLPG Price1005'!$O$23</f>
        <v>0</v>
      </c>
      <c r="W13" s="587">
        <f>W7*'NLPG Price1005'!$C$23+Cash_Feb22V2!W8*'NLPG Price1005'!$F$23+Cash_Feb22V2!W9*'NLPG Price1005'!$I$23+Cash_Feb22V2!W10*'NLPG Price1005'!$L$23+Cash_Feb22V2!W11*'NLPG Price1005'!$O$23</f>
        <v>20835292.679179519</v>
      </c>
      <c r="X13" s="587">
        <f>X7*'NLPG Price1005'!$C$23+Cash_Feb22V2!X8*'NLPG Price1005'!$F$23+Cash_Feb22V2!X9*'NLPG Price1005'!$I$23+Cash_Feb22V2!X10*'NLPG Price1005'!$L$23+Cash_Feb22V2!X11*'NLPG Price1005'!$O$23</f>
        <v>19354342.679179519</v>
      </c>
      <c r="Y13" s="587">
        <f>Y7*'NLPG Price1005'!$C$23+Cash_Feb22V2!Y8*'NLPG Price1005'!$F$23+Cash_Feb22V2!Y9*'NLPG Price1005'!$I$23+Cash_Feb22V2!Y10*'NLPG Price1005'!$L$23+Cash_Feb22V2!Y11*'NLPG Price1005'!$O$23</f>
        <v>20673688.679179519</v>
      </c>
      <c r="Z13" s="588">
        <f>Z7*'NLPG Price1005'!$C$23+Cash_Feb22V2!Z8*'NLPG Price1005'!$F$23+Cash_Feb22V2!Z9*'NLPG Price1005'!$I$23+Cash_Feb22V2!Z10*'NLPG Price1005'!$L$23+Cash_Feb22V2!Z11*'NLPG Price1005'!$O$23</f>
        <v>0</v>
      </c>
      <c r="AA13" s="587">
        <f>AA7*'NLPG Price1005'!$C$23+Cash_Feb22V2!AA8*'NLPG Price1005'!$F$23+Cash_Feb22V2!AA9*'NLPG Price1005'!$I$23+Cash_Feb22V2!AA10*'NLPG Price1005'!$L$23+Cash_Feb22V2!AA11*'NLPG Price1005'!$O$23</f>
        <v>19354342.679179519</v>
      </c>
      <c r="AB13" s="587">
        <f>AB7*'NLPG Price1005'!$C$23+Cash_Feb22V2!AB8*'NLPG Price1005'!$F$23+Cash_Feb22V2!AB9*'NLPG Price1005'!$I$23+Cash_Feb22V2!AB10*'NLPG Price1005'!$L$23+Cash_Feb22V2!AB11*'NLPG Price1005'!$O$23</f>
        <v>20680286.579179518</v>
      </c>
      <c r="AC13" s="587">
        <f>AC7*'NLPG Price1005'!$C$23+Cash_Feb22V2!AC8*'NLPG Price1005'!$F$23+Cash_Feb22V2!AC9*'NLPG Price1005'!$I$23+Cash_Feb22V2!AC10*'NLPG Price1005'!$L$23+Cash_Feb22V2!AC11*'NLPG Price1005'!$O$23</f>
        <v>19354342.679179519</v>
      </c>
      <c r="AD13" s="597"/>
      <c r="AE13" s="562">
        <f t="shared" si="7"/>
        <v>245177604.77814922</v>
      </c>
      <c r="AF13" s="175"/>
      <c r="AG13" s="614">
        <f>AG7*'NLPG Price1005'!$C$23+Cash_Feb22V2!AG8*'NLPG Price1005'!$F$23+Cash_Feb22V2!AG9*'NLPG Price1005'!$I$23+Cash_Feb22V2!AG10*'NLPG Price1005'!$L$23+Cash_Feb22V2!AG11*'NLPG Price1005'!$O$23</f>
        <v>104042766.12389258</v>
      </c>
      <c r="AH13" s="614">
        <f>AH7*'NLPG Price1005'!$C$23+Cash_Feb22V2!AH8*'NLPG Price1005'!$F$23+Cash_Feb22V2!AH9*'NLPG Price1005'!$I$23+Cash_Feb22V2!AH10*'NLPG Price1005'!$L$23+Cash_Feb22V2!AH11*'NLPG Price1005'!$O$23</f>
        <v>245176601.72814921</v>
      </c>
      <c r="AI13" s="614">
        <f>AI7*'NLPG Price1005'!$C$23+Cash_Feb22V2!AI8*'NLPG Price1005'!$F$23+Cash_Feb22V2!AI9*'NLPG Price1005'!$I$23+Cash_Feb22V2!AI10*'NLPG Price1005'!$L$23+Cash_Feb22V2!AI11*'NLPG Price1005'!$O$23</f>
        <v>141133835.60425663</v>
      </c>
      <c r="AJ13" s="614">
        <f>AJ7*'NLPG Price1005'!$C$23+Cash_Feb22V2!AJ8*'NLPG Price1005'!$F$23+Cash_Feb22V2!AJ9*'NLPG Price1005'!$I$23+Cash_Feb22V2!AJ10*'NLPG Price1005'!$L$23+Cash_Feb22V2!AJ11*'NLPG Price1005'!$O$23</f>
        <v>20161976.514893804</v>
      </c>
      <c r="AK13" s="168"/>
      <c r="AL13" s="168"/>
    </row>
    <row r="14" spans="1:38" ht="15" hidden="1" outlineLevel="1" thickBot="1" x14ac:dyDescent="0.3">
      <c r="A14" s="209"/>
      <c r="B14" s="522"/>
      <c r="C14" s="522"/>
      <c r="D14" s="523"/>
      <c r="E14" s="211"/>
      <c r="F14" s="522"/>
      <c r="G14" s="522"/>
      <c r="H14" s="522"/>
      <c r="I14" s="522"/>
      <c r="J14" s="522"/>
      <c r="K14" s="523"/>
      <c r="L14" s="211"/>
      <c r="M14" s="522"/>
      <c r="N14" s="522"/>
      <c r="O14" s="522"/>
      <c r="P14" s="522"/>
      <c r="Q14" s="523"/>
      <c r="R14" s="523"/>
      <c r="S14" s="211"/>
      <c r="T14" s="522"/>
      <c r="U14" s="522"/>
      <c r="V14" s="211"/>
      <c r="W14" s="522"/>
      <c r="X14" s="522"/>
      <c r="Y14" s="523"/>
      <c r="Z14" s="524"/>
      <c r="AA14" s="522"/>
      <c r="AB14" s="522"/>
      <c r="AC14" s="522"/>
      <c r="AD14" s="522"/>
      <c r="AE14" s="210"/>
      <c r="AF14" s="212"/>
      <c r="AK14" s="213"/>
      <c r="AL14" s="213"/>
    </row>
    <row r="15" spans="1:38" collapsed="1" x14ac:dyDescent="0.25">
      <c r="A15" s="176" t="s">
        <v>212</v>
      </c>
      <c r="B15" s="492">
        <v>39127136.309999995</v>
      </c>
      <c r="C15" s="493">
        <f t="shared" ref="C15:AD15" si="11">B18-B28</f>
        <v>24501353.809999995</v>
      </c>
      <c r="D15" s="493">
        <f t="shared" si="11"/>
        <v>11838127.809999995</v>
      </c>
      <c r="E15" s="579">
        <f t="shared" si="11"/>
        <v>16841849.809999995</v>
      </c>
      <c r="F15" s="493">
        <f t="shared" si="11"/>
        <v>16841849.809999995</v>
      </c>
      <c r="G15" s="493">
        <f t="shared" si="11"/>
        <v>16841849.809999995</v>
      </c>
      <c r="H15" s="493">
        <f t="shared" si="11"/>
        <v>17870904.809999995</v>
      </c>
      <c r="I15" s="493">
        <f t="shared" si="11"/>
        <v>10464254.809999995</v>
      </c>
      <c r="J15" s="493">
        <f t="shared" si="11"/>
        <v>11440604.809999995</v>
      </c>
      <c r="K15" s="493">
        <f t="shared" si="11"/>
        <v>17330473.809999995</v>
      </c>
      <c r="L15" s="579">
        <f t="shared" si="11"/>
        <v>5436563.8099999949</v>
      </c>
      <c r="M15" s="493">
        <f t="shared" si="11"/>
        <v>5436563.8099999949</v>
      </c>
      <c r="N15" s="493">
        <f t="shared" si="11"/>
        <v>5436563.8099999949</v>
      </c>
      <c r="O15" s="493">
        <f t="shared" si="11"/>
        <v>9196979.8099999949</v>
      </c>
      <c r="P15" s="493">
        <f t="shared" si="11"/>
        <v>6382369.8099999949</v>
      </c>
      <c r="Q15" s="493">
        <f t="shared" si="11"/>
        <v>6540917.8099999949</v>
      </c>
      <c r="R15" s="493">
        <f t="shared" si="11"/>
        <v>5508257.8099999949</v>
      </c>
      <c r="S15" s="579">
        <f t="shared" si="11"/>
        <v>5329555.8099999949</v>
      </c>
      <c r="T15" s="493">
        <f t="shared" si="11"/>
        <v>5329555.8099999949</v>
      </c>
      <c r="U15" s="189">
        <f>T18-T28</f>
        <v>10887738.809999995</v>
      </c>
      <c r="V15" s="574">
        <f t="shared" si="11"/>
        <v>8295031.4891795143</v>
      </c>
      <c r="W15" s="189">
        <f t="shared" si="11"/>
        <v>8295031.4891795143</v>
      </c>
      <c r="X15" s="189">
        <f t="shared" si="11"/>
        <v>5046824.1683590338</v>
      </c>
      <c r="Y15" s="189">
        <f t="shared" si="11"/>
        <v>6842827.1808718853</v>
      </c>
      <c r="Z15" s="574">
        <f t="shared" si="11"/>
        <v>12033015.860051405</v>
      </c>
      <c r="AA15" s="189">
        <f t="shared" si="11"/>
        <v>12033015.860051405</v>
      </c>
      <c r="AB15" s="189">
        <f t="shared" si="11"/>
        <v>31387358.539230924</v>
      </c>
      <c r="AC15" s="189">
        <f t="shared" si="11"/>
        <v>26817555.45174377</v>
      </c>
      <c r="AD15" s="604">
        <f t="shared" si="11"/>
        <v>28913558.464256618</v>
      </c>
      <c r="AE15" s="177">
        <f>B15</f>
        <v>39127136.309999995</v>
      </c>
      <c r="AG15" s="621" t="s">
        <v>17</v>
      </c>
      <c r="AH15" s="621"/>
      <c r="AI15" s="168" t="s">
        <v>469</v>
      </c>
      <c r="AJ15" s="4" t="s">
        <v>467</v>
      </c>
    </row>
    <row r="16" spans="1:38" x14ac:dyDescent="0.25">
      <c r="A16" s="199" t="s">
        <v>222</v>
      </c>
      <c r="B16" s="494"/>
      <c r="C16" s="494"/>
      <c r="D16" s="494"/>
      <c r="E16" s="580"/>
      <c r="F16" s="494"/>
      <c r="G16" s="494"/>
      <c r="H16" s="494"/>
      <c r="I16" s="494"/>
      <c r="J16" s="494"/>
      <c r="K16" s="494"/>
      <c r="L16" s="580"/>
      <c r="M16" s="494"/>
      <c r="N16" s="494"/>
      <c r="O16" s="494"/>
      <c r="P16" s="494"/>
      <c r="Q16" s="494"/>
      <c r="R16" s="494"/>
      <c r="S16" s="580"/>
      <c r="T16" s="494"/>
      <c r="U16" s="201"/>
      <c r="V16" s="578"/>
      <c r="W16" s="539"/>
      <c r="X16" s="539"/>
      <c r="Y16" s="539"/>
      <c r="Z16" s="575"/>
      <c r="AA16" s="539"/>
      <c r="AB16" s="539"/>
      <c r="AC16" s="539"/>
      <c r="AD16" s="598"/>
      <c r="AE16" s="179">
        <f>SUM(B16:AC16)</f>
        <v>0</v>
      </c>
      <c r="AG16" s="164" t="s">
        <v>503</v>
      </c>
      <c r="AH16" s="619"/>
      <c r="AI16" s="558">
        <v>242.57900000000001</v>
      </c>
      <c r="AJ16" s="214">
        <f>AI16*90000</f>
        <v>21832110</v>
      </c>
    </row>
    <row r="17" spans="1:37" x14ac:dyDescent="0.25">
      <c r="A17" s="178" t="s">
        <v>164</v>
      </c>
      <c r="B17" s="495">
        <v>2063170</v>
      </c>
      <c r="C17" s="495">
        <v>1244704</v>
      </c>
      <c r="D17" s="495">
        <v>5287130</v>
      </c>
      <c r="E17" s="581">
        <v>0</v>
      </c>
      <c r="F17" s="495">
        <v>0</v>
      </c>
      <c r="G17" s="495">
        <v>8406335</v>
      </c>
      <c r="H17" s="495">
        <v>7263510</v>
      </c>
      <c r="I17" s="495">
        <v>8251630</v>
      </c>
      <c r="J17" s="495">
        <v>5907869</v>
      </c>
      <c r="K17" s="495">
        <v>2656650</v>
      </c>
      <c r="L17" s="581">
        <v>0</v>
      </c>
      <c r="M17" s="495">
        <v>0</v>
      </c>
      <c r="N17" s="495">
        <v>14133020</v>
      </c>
      <c r="O17" s="495">
        <v>6218660</v>
      </c>
      <c r="P17" s="495">
        <v>8028906</v>
      </c>
      <c r="Q17" s="495">
        <v>6709090</v>
      </c>
      <c r="R17" s="495">
        <v>9569047</v>
      </c>
      <c r="S17" s="581">
        <v>0</v>
      </c>
      <c r="T17" s="495">
        <f>923240+1539763+2414600+680580</f>
        <v>5558183</v>
      </c>
      <c r="U17" s="546">
        <f>U13</f>
        <v>20882542.679179519</v>
      </c>
      <c r="V17" s="536">
        <f t="shared" ref="V17:AC17" si="12">V13</f>
        <v>0</v>
      </c>
      <c r="W17" s="546">
        <f t="shared" si="12"/>
        <v>20835292.679179519</v>
      </c>
      <c r="X17" s="546">
        <f t="shared" si="12"/>
        <v>19354342.679179519</v>
      </c>
      <c r="Y17" s="546">
        <f t="shared" si="12"/>
        <v>20673688.679179519</v>
      </c>
      <c r="Z17" s="536">
        <f t="shared" si="12"/>
        <v>0</v>
      </c>
      <c r="AA17" s="546">
        <f t="shared" si="12"/>
        <v>19354342.679179519</v>
      </c>
      <c r="AB17" s="546">
        <f t="shared" si="12"/>
        <v>20680286.579179518</v>
      </c>
      <c r="AC17" s="546">
        <f t="shared" si="12"/>
        <v>19354342.679179519</v>
      </c>
      <c r="AD17" s="599"/>
      <c r="AE17" s="179">
        <f>SUM(B17:AC17)</f>
        <v>232432742.65425664</v>
      </c>
      <c r="AG17" s="164" t="s">
        <v>504</v>
      </c>
      <c r="AH17" s="619"/>
      <c r="AI17" s="195"/>
      <c r="AJ17" s="543">
        <f>U15</f>
        <v>10887738.809999995</v>
      </c>
      <c r="AK17" s="168"/>
    </row>
    <row r="18" spans="1:37" ht="15" thickBot="1" x14ac:dyDescent="0.3">
      <c r="A18" s="180" t="s">
        <v>213</v>
      </c>
      <c r="B18" s="525">
        <f>B15+B16+B17</f>
        <v>41190306.309999995</v>
      </c>
      <c r="C18" s="525">
        <f t="shared" ref="C18:AC18" si="13">C15+C16+C17</f>
        <v>25746057.809999995</v>
      </c>
      <c r="D18" s="525">
        <f t="shared" si="13"/>
        <v>17125257.809999995</v>
      </c>
      <c r="E18" s="526">
        <f t="shared" si="13"/>
        <v>16841849.809999995</v>
      </c>
      <c r="F18" s="525">
        <f t="shared" si="13"/>
        <v>16841849.809999995</v>
      </c>
      <c r="G18" s="525">
        <f t="shared" si="13"/>
        <v>25248184.809999995</v>
      </c>
      <c r="H18" s="525">
        <f t="shared" si="13"/>
        <v>25134414.809999995</v>
      </c>
      <c r="I18" s="525">
        <f t="shared" si="13"/>
        <v>18715884.809999995</v>
      </c>
      <c r="J18" s="525">
        <f t="shared" si="13"/>
        <v>17348473.809999995</v>
      </c>
      <c r="K18" s="525">
        <f t="shared" si="13"/>
        <v>19987123.809999995</v>
      </c>
      <c r="L18" s="526">
        <f t="shared" si="13"/>
        <v>5436563.8099999949</v>
      </c>
      <c r="M18" s="525">
        <f t="shared" si="13"/>
        <v>5436563.8099999949</v>
      </c>
      <c r="N18" s="525">
        <f t="shared" si="13"/>
        <v>19569583.809999995</v>
      </c>
      <c r="O18" s="525">
        <f t="shared" si="13"/>
        <v>15415639.809999995</v>
      </c>
      <c r="P18" s="525">
        <f t="shared" si="13"/>
        <v>14411275.809999995</v>
      </c>
      <c r="Q18" s="525">
        <f t="shared" si="13"/>
        <v>13250007.809999995</v>
      </c>
      <c r="R18" s="525">
        <f t="shared" si="13"/>
        <v>15077304.809999995</v>
      </c>
      <c r="S18" s="526">
        <f t="shared" si="13"/>
        <v>5329555.8099999949</v>
      </c>
      <c r="T18" s="525">
        <f t="shared" si="13"/>
        <v>10887738.809999995</v>
      </c>
      <c r="U18" s="527">
        <f t="shared" si="13"/>
        <v>31770281.489179514</v>
      </c>
      <c r="V18" s="528">
        <f t="shared" si="13"/>
        <v>8295031.4891795143</v>
      </c>
      <c r="W18" s="540">
        <f t="shared" si="13"/>
        <v>29130324.168359034</v>
      </c>
      <c r="X18" s="540">
        <f t="shared" si="13"/>
        <v>24401166.847538553</v>
      </c>
      <c r="Y18" s="540">
        <f t="shared" si="13"/>
        <v>27516515.860051405</v>
      </c>
      <c r="Z18" s="541">
        <f t="shared" si="13"/>
        <v>12033015.860051405</v>
      </c>
      <c r="AA18" s="540">
        <f t="shared" si="13"/>
        <v>31387358.539230924</v>
      </c>
      <c r="AB18" s="540">
        <f t="shared" si="13"/>
        <v>52067645.118410438</v>
      </c>
      <c r="AC18" s="606">
        <f t="shared" si="13"/>
        <v>46171898.130923286</v>
      </c>
      <c r="AD18" s="605"/>
      <c r="AE18" s="529">
        <f>AE15+AE17+AE16</f>
        <v>271559878.96425664</v>
      </c>
      <c r="AF18" s="168"/>
      <c r="AG18" s="168" t="s">
        <v>507</v>
      </c>
      <c r="AH18" s="621"/>
      <c r="AI18" s="195"/>
      <c r="AJ18" s="629">
        <f>AJ16+AJ17</f>
        <v>32719848.809999995</v>
      </c>
    </row>
    <row r="19" spans="1:37" x14ac:dyDescent="0.25">
      <c r="A19" s="181" t="s">
        <v>214</v>
      </c>
      <c r="B19" s="496"/>
      <c r="C19" s="497"/>
      <c r="D19" s="497"/>
      <c r="E19" s="586"/>
      <c r="F19" s="497"/>
      <c r="G19" s="497"/>
      <c r="H19" s="519"/>
      <c r="I19" s="519"/>
      <c r="J19" s="519"/>
      <c r="K19" s="519"/>
      <c r="L19" s="582"/>
      <c r="M19" s="519"/>
      <c r="N19" s="519"/>
      <c r="O19" s="519"/>
      <c r="P19" s="519"/>
      <c r="Q19" s="519"/>
      <c r="R19" s="519"/>
      <c r="S19" s="582"/>
      <c r="T19" s="497"/>
      <c r="U19" s="194"/>
      <c r="V19" s="576"/>
      <c r="W19" s="194"/>
      <c r="X19" s="194"/>
      <c r="Y19" s="194"/>
      <c r="Z19" s="576"/>
      <c r="AA19" s="194"/>
      <c r="AB19" s="194"/>
      <c r="AC19" s="194"/>
      <c r="AD19" s="600"/>
      <c r="AE19" s="182"/>
      <c r="AG19" s="164" t="s">
        <v>486</v>
      </c>
      <c r="AH19" s="621"/>
      <c r="AI19" s="200"/>
      <c r="AJ19" s="543">
        <f>SUM(U21:W21)</f>
        <v>38708750</v>
      </c>
    </row>
    <row r="20" spans="1:37" ht="15" thickBot="1" x14ac:dyDescent="0.3">
      <c r="A20" s="178" t="s">
        <v>221</v>
      </c>
      <c r="B20" s="519">
        <f>7275280*2</f>
        <v>14550560</v>
      </c>
      <c r="C20" s="497"/>
      <c r="D20" s="497"/>
      <c r="E20" s="586"/>
      <c r="F20" s="497"/>
      <c r="G20" s="519">
        <f>7275280*1</f>
        <v>7275280</v>
      </c>
      <c r="H20" s="519">
        <f>7275280*2</f>
        <v>14550560</v>
      </c>
      <c r="I20" s="519">
        <f>7275280*1</f>
        <v>7275280</v>
      </c>
      <c r="J20" s="498"/>
      <c r="K20" s="498">
        <f>7275280*2</f>
        <v>14550560</v>
      </c>
      <c r="L20" s="582"/>
      <c r="M20" s="519"/>
      <c r="N20" s="519"/>
      <c r="O20" s="519"/>
      <c r="P20" s="519"/>
      <c r="Q20" s="519"/>
      <c r="R20" s="519"/>
      <c r="S20" s="582"/>
      <c r="T20" s="497"/>
      <c r="U20" s="538"/>
      <c r="V20" s="559"/>
      <c r="W20" s="538"/>
      <c r="X20" s="538"/>
      <c r="Y20" s="538"/>
      <c r="Z20" s="559"/>
      <c r="AA20" s="538"/>
      <c r="AB20" s="538"/>
      <c r="AC20" s="538"/>
      <c r="AD20" s="600"/>
      <c r="AE20" s="179">
        <f t="shared" ref="AE20:AE27" si="14">SUM(B20:AC20)</f>
        <v>58202240</v>
      </c>
      <c r="AG20" s="168" t="s">
        <v>505</v>
      </c>
      <c r="AH20" s="621"/>
      <c r="AI20" s="195"/>
      <c r="AJ20" s="630">
        <f>AJ18-AJ19</f>
        <v>-5988901.1900000051</v>
      </c>
    </row>
    <row r="21" spans="1:37" ht="15.6" thickTop="1" thickBot="1" x14ac:dyDescent="0.3">
      <c r="A21" s="178" t="s">
        <v>182</v>
      </c>
      <c r="B21" s="498"/>
      <c r="C21" s="498"/>
      <c r="D21" s="498"/>
      <c r="E21" s="583"/>
      <c r="F21" s="498"/>
      <c r="G21" s="498"/>
      <c r="H21" s="498"/>
      <c r="I21" s="498"/>
      <c r="J21" s="498"/>
      <c r="K21" s="498"/>
      <c r="L21" s="583"/>
      <c r="M21" s="498"/>
      <c r="N21" s="498">
        <f>7741750*1</f>
        <v>7741750</v>
      </c>
      <c r="O21" s="498">
        <f>7741750*1</f>
        <v>7741750</v>
      </c>
      <c r="P21" s="498">
        <f>7741750*1</f>
        <v>7741750</v>
      </c>
      <c r="Q21" s="498">
        <f>7741750*1</f>
        <v>7741750</v>
      </c>
      <c r="R21" s="498">
        <f>7741750*1</f>
        <v>7741750</v>
      </c>
      <c r="S21" s="583"/>
      <c r="T21" s="638"/>
      <c r="U21" s="608">
        <f>7741750*3</f>
        <v>23225250</v>
      </c>
      <c r="V21" s="609"/>
      <c r="W21" s="610">
        <f>7741750*2</f>
        <v>15483500</v>
      </c>
      <c r="X21" s="611">
        <f>7741750*2</f>
        <v>15483500</v>
      </c>
      <c r="Y21" s="612">
        <f>7741750*2</f>
        <v>15483500</v>
      </c>
      <c r="Z21" s="612"/>
      <c r="AA21" s="612"/>
      <c r="AB21" s="612">
        <f>7741750*3</f>
        <v>23225250</v>
      </c>
      <c r="AC21" s="613">
        <f>7741750*2</f>
        <v>15483500</v>
      </c>
      <c r="AD21" s="601"/>
      <c r="AE21" s="179">
        <f t="shared" si="14"/>
        <v>147093250</v>
      </c>
      <c r="AG21" s="168"/>
      <c r="AH21" s="621"/>
      <c r="AI21" s="200"/>
      <c r="AJ21" s="214"/>
    </row>
    <row r="22" spans="1:37" x14ac:dyDescent="0.25">
      <c r="A22" s="178" t="s">
        <v>468</v>
      </c>
      <c r="B22" s="499"/>
      <c r="C22" s="500"/>
      <c r="D22" s="498"/>
      <c r="E22" s="583"/>
      <c r="F22" s="498"/>
      <c r="G22" s="512"/>
      <c r="H22" s="520"/>
      <c r="I22" s="520"/>
      <c r="J22" s="520"/>
      <c r="K22" s="520"/>
      <c r="L22" s="584"/>
      <c r="M22" s="520"/>
      <c r="N22" s="520"/>
      <c r="O22" s="520"/>
      <c r="P22" s="520"/>
      <c r="Q22" s="520"/>
      <c r="R22" s="520"/>
      <c r="S22" s="584"/>
      <c r="T22" s="498"/>
      <c r="U22" s="194"/>
      <c r="V22" s="576"/>
      <c r="W22" s="194"/>
      <c r="X22" s="607"/>
      <c r="Y22" s="194"/>
      <c r="Z22" s="576"/>
      <c r="AA22" s="194"/>
      <c r="AB22" s="194"/>
      <c r="AC22" s="194"/>
      <c r="AD22" s="537"/>
      <c r="AE22" s="179">
        <f t="shared" si="14"/>
        <v>0</v>
      </c>
      <c r="AG22" s="543" t="s">
        <v>506</v>
      </c>
      <c r="AH22" s="623"/>
      <c r="AI22" s="200">
        <f>AH12</f>
        <v>2486.8721249999999</v>
      </c>
      <c r="AJ22" s="543">
        <f>AH13</f>
        <v>245176601.72814921</v>
      </c>
    </row>
    <row r="23" spans="1:37" x14ac:dyDescent="0.25">
      <c r="A23" s="178" t="s">
        <v>215</v>
      </c>
      <c r="B23" s="497">
        <v>2138392.5</v>
      </c>
      <c r="C23" s="498">
        <v>1633995</v>
      </c>
      <c r="D23" s="498">
        <v>50490</v>
      </c>
      <c r="E23" s="583"/>
      <c r="F23" s="498"/>
      <c r="G23" s="498">
        <v>102000</v>
      </c>
      <c r="H23" s="520">
        <v>119600</v>
      </c>
      <c r="I23" s="520"/>
      <c r="J23" s="545">
        <v>18000</v>
      </c>
      <c r="K23" s="520"/>
      <c r="L23" s="584"/>
      <c r="M23" s="520"/>
      <c r="N23" s="520">
        <v>205101</v>
      </c>
      <c r="O23" s="520">
        <v>1000000</v>
      </c>
      <c r="P23" s="520">
        <v>128608</v>
      </c>
      <c r="Q23" s="520"/>
      <c r="R23" s="520"/>
      <c r="S23" s="584"/>
      <c r="T23" s="498"/>
      <c r="U23" s="193">
        <v>250000</v>
      </c>
      <c r="V23" s="577"/>
      <c r="W23" s="193"/>
      <c r="X23" s="193">
        <v>300000</v>
      </c>
      <c r="Y23" s="193"/>
      <c r="Z23" s="577"/>
      <c r="AA23" s="193"/>
      <c r="AB23" s="193">
        <v>250000</v>
      </c>
      <c r="AC23" s="193"/>
      <c r="AD23" s="537"/>
      <c r="AE23" s="179">
        <f t="shared" si="14"/>
        <v>6196186.5</v>
      </c>
      <c r="AG23" s="617" t="s">
        <v>495</v>
      </c>
      <c r="AH23" s="619"/>
      <c r="AI23" s="631">
        <f>AG12</f>
        <v>1055.5590000000002</v>
      </c>
      <c r="AJ23" s="553">
        <f>AG13</f>
        <v>104042766.12389258</v>
      </c>
      <c r="AK23" s="534"/>
    </row>
    <row r="24" spans="1:37" x14ac:dyDescent="0.25">
      <c r="A24" s="560" t="s">
        <v>216</v>
      </c>
      <c r="B24" s="499"/>
      <c r="C24" s="500"/>
      <c r="D24" s="498">
        <v>232918</v>
      </c>
      <c r="E24" s="583"/>
      <c r="F24" s="500"/>
      <c r="G24" s="498"/>
      <c r="H24" s="520"/>
      <c r="I24" s="520"/>
      <c r="J24" s="520"/>
      <c r="K24" s="520"/>
      <c r="L24" s="584"/>
      <c r="M24" s="520"/>
      <c r="N24" s="520">
        <v>2425753</v>
      </c>
      <c r="O24" s="520">
        <v>291520</v>
      </c>
      <c r="P24" s="520"/>
      <c r="Q24" s="520"/>
      <c r="R24" s="520">
        <v>2005999</v>
      </c>
      <c r="S24" s="584"/>
      <c r="T24" s="498"/>
      <c r="U24" s="193"/>
      <c r="V24" s="577"/>
      <c r="W24" s="193"/>
      <c r="X24" s="193"/>
      <c r="Y24" s="193"/>
      <c r="Z24" s="577"/>
      <c r="AA24" s="193"/>
      <c r="AB24" s="193"/>
      <c r="AC24" s="193"/>
      <c r="AD24" s="537"/>
      <c r="AE24" s="561">
        <f t="shared" si="14"/>
        <v>4956190</v>
      </c>
      <c r="AF24" s="534"/>
      <c r="AG24" s="543" t="s">
        <v>496</v>
      </c>
      <c r="AH24" s="624"/>
      <c r="AI24" s="200">
        <f>AI12</f>
        <v>1431.3131249999999</v>
      </c>
      <c r="AJ24" s="543">
        <f>AI13</f>
        <v>141133835.60425663</v>
      </c>
    </row>
    <row r="25" spans="1:37" x14ac:dyDescent="0.25">
      <c r="A25" s="178" t="s">
        <v>217</v>
      </c>
      <c r="B25" s="499"/>
      <c r="C25" s="500"/>
      <c r="D25" s="498"/>
      <c r="E25" s="583"/>
      <c r="F25" s="500"/>
      <c r="G25" s="498"/>
      <c r="H25" s="520"/>
      <c r="I25" s="520"/>
      <c r="J25" s="520"/>
      <c r="K25" s="520"/>
      <c r="L25" s="584"/>
      <c r="M25" s="520"/>
      <c r="N25" s="520"/>
      <c r="O25" s="520"/>
      <c r="P25" s="520"/>
      <c r="Q25" s="520"/>
      <c r="R25" s="520"/>
      <c r="S25" s="584"/>
      <c r="T25" s="498"/>
      <c r="U25" s="193"/>
      <c r="V25" s="577"/>
      <c r="W25" s="193"/>
      <c r="X25" s="193"/>
      <c r="Y25" s="193"/>
      <c r="Z25" s="577"/>
      <c r="AA25" s="193"/>
      <c r="AB25" s="193"/>
      <c r="AC25" s="193"/>
      <c r="AD25" s="537"/>
      <c r="AE25" s="179">
        <f t="shared" si="14"/>
        <v>0</v>
      </c>
      <c r="AG25" s="617" t="s">
        <v>502</v>
      </c>
      <c r="AH25" s="619"/>
      <c r="AI25" s="632">
        <f>AI16</f>
        <v>242.57900000000001</v>
      </c>
      <c r="AJ25" s="628"/>
    </row>
    <row r="26" spans="1:37" x14ac:dyDescent="0.25">
      <c r="A26" s="565" t="s">
        <v>148</v>
      </c>
      <c r="B26" s="566"/>
      <c r="C26" s="567"/>
      <c r="D26" s="568"/>
      <c r="E26" s="583"/>
      <c r="F26" s="567"/>
      <c r="G26" s="568"/>
      <c r="H26" s="569"/>
      <c r="I26" s="569"/>
      <c r="J26" s="569"/>
      <c r="K26" s="569"/>
      <c r="L26" s="584"/>
      <c r="M26" s="569"/>
      <c r="N26" s="569"/>
      <c r="O26" s="569"/>
      <c r="P26" s="569"/>
      <c r="Q26" s="569"/>
      <c r="R26" s="569"/>
      <c r="S26" s="584"/>
      <c r="T26" s="568"/>
      <c r="U26" s="571"/>
      <c r="V26" s="577"/>
      <c r="W26" s="570"/>
      <c r="X26" s="570">
        <v>1774839.6666666667</v>
      </c>
      <c r="Y26" s="570"/>
      <c r="Z26" s="577"/>
      <c r="AA26" s="571"/>
      <c r="AB26" s="571">
        <v>1774839.6666666667</v>
      </c>
      <c r="AC26" s="571">
        <v>1774839.6666666667</v>
      </c>
      <c r="AD26" s="602"/>
      <c r="AE26" s="572">
        <f t="shared" si="14"/>
        <v>5324519</v>
      </c>
      <c r="AG26" s="200" t="s">
        <v>497</v>
      </c>
      <c r="AH26" s="619"/>
      <c r="AI26" s="200">
        <f>AI24-AI25</f>
        <v>1188.7341249999999</v>
      </c>
      <c r="AJ26" s="214"/>
    </row>
    <row r="27" spans="1:37" x14ac:dyDescent="0.25">
      <c r="A27" s="178" t="s">
        <v>466</v>
      </c>
      <c r="B27" s="499"/>
      <c r="C27" s="501">
        <v>12273935</v>
      </c>
      <c r="D27" s="498"/>
      <c r="E27" s="583"/>
      <c r="F27" s="498"/>
      <c r="G27" s="498"/>
      <c r="H27" s="501"/>
      <c r="I27" s="501"/>
      <c r="J27" s="520"/>
      <c r="K27" s="520"/>
      <c r="L27" s="584"/>
      <c r="M27" s="520"/>
      <c r="N27" s="520"/>
      <c r="O27" s="520"/>
      <c r="P27" s="520"/>
      <c r="Q27" s="520"/>
      <c r="R27" s="520"/>
      <c r="S27" s="584"/>
      <c r="T27" s="498"/>
      <c r="U27" s="193"/>
      <c r="V27" s="577"/>
      <c r="W27" s="193">
        <v>8600000</v>
      </c>
      <c r="X27" s="193"/>
      <c r="Y27" s="193"/>
      <c r="Z27" s="577"/>
      <c r="AA27" s="193"/>
      <c r="AB27" s="193"/>
      <c r="AC27" s="193"/>
      <c r="AD27" s="537"/>
      <c r="AE27" s="179">
        <f t="shared" si="14"/>
        <v>20873935</v>
      </c>
      <c r="AG27" s="617" t="s">
        <v>500</v>
      </c>
      <c r="AH27" s="620"/>
      <c r="AI27" s="632">
        <v>133.55787499999997</v>
      </c>
      <c r="AJ27" s="214"/>
      <c r="AK27" s="168"/>
    </row>
    <row r="28" spans="1:37" ht="15" thickBot="1" x14ac:dyDescent="0.3">
      <c r="A28" s="180" t="s">
        <v>218</v>
      </c>
      <c r="B28" s="530">
        <f>SUM(B20:B27)</f>
        <v>16688952.5</v>
      </c>
      <c r="C28" s="530">
        <f>SUM(C20:C27)</f>
        <v>13907930</v>
      </c>
      <c r="D28" s="530">
        <f t="shared" ref="D28:AC28" si="15">SUM(D20:D27)</f>
        <v>283408</v>
      </c>
      <c r="E28" s="531">
        <f t="shared" si="15"/>
        <v>0</v>
      </c>
      <c r="F28" s="530">
        <f t="shared" si="15"/>
        <v>0</v>
      </c>
      <c r="G28" s="530">
        <f t="shared" si="15"/>
        <v>7377280</v>
      </c>
      <c r="H28" s="530">
        <f t="shared" si="15"/>
        <v>14670160</v>
      </c>
      <c r="I28" s="530">
        <f t="shared" si="15"/>
        <v>7275280</v>
      </c>
      <c r="J28" s="530">
        <f t="shared" si="15"/>
        <v>18000</v>
      </c>
      <c r="K28" s="530">
        <f t="shared" si="15"/>
        <v>14550560</v>
      </c>
      <c r="L28" s="531">
        <f t="shared" si="15"/>
        <v>0</v>
      </c>
      <c r="M28" s="530">
        <f t="shared" si="15"/>
        <v>0</v>
      </c>
      <c r="N28" s="530">
        <f t="shared" si="15"/>
        <v>10372604</v>
      </c>
      <c r="O28" s="530">
        <f t="shared" si="15"/>
        <v>9033270</v>
      </c>
      <c r="P28" s="530">
        <f t="shared" si="15"/>
        <v>7870358</v>
      </c>
      <c r="Q28" s="530">
        <f t="shared" si="15"/>
        <v>7741750</v>
      </c>
      <c r="R28" s="530">
        <f t="shared" si="15"/>
        <v>9747749</v>
      </c>
      <c r="S28" s="531">
        <f t="shared" si="15"/>
        <v>0</v>
      </c>
      <c r="T28" s="530">
        <f t="shared" si="15"/>
        <v>0</v>
      </c>
      <c r="U28" s="532">
        <f t="shared" si="15"/>
        <v>23475250</v>
      </c>
      <c r="V28" s="533">
        <f t="shared" si="15"/>
        <v>0</v>
      </c>
      <c r="W28" s="532">
        <f t="shared" si="15"/>
        <v>24083500</v>
      </c>
      <c r="X28" s="532">
        <f t="shared" si="15"/>
        <v>17558339.666666668</v>
      </c>
      <c r="Y28" s="532">
        <f t="shared" si="15"/>
        <v>15483500</v>
      </c>
      <c r="Z28" s="533">
        <f t="shared" si="15"/>
        <v>0</v>
      </c>
      <c r="AA28" s="532">
        <f t="shared" si="15"/>
        <v>0</v>
      </c>
      <c r="AB28" s="532">
        <f t="shared" si="15"/>
        <v>25250089.666666668</v>
      </c>
      <c r="AC28" s="532">
        <f t="shared" si="15"/>
        <v>17258339.666666668</v>
      </c>
      <c r="AD28" s="603"/>
      <c r="AE28" s="529">
        <f>SUM(AE20:AE27)</f>
        <v>242646320.5</v>
      </c>
      <c r="AF28" s="168"/>
      <c r="AG28" s="618" t="s">
        <v>501</v>
      </c>
      <c r="AH28" s="619"/>
      <c r="AI28" s="554">
        <f>AI26+AI27</f>
        <v>1322.2919999999999</v>
      </c>
      <c r="AJ28" s="591">
        <f>7741750*AI28/100</f>
        <v>102368540.91</v>
      </c>
    </row>
    <row r="29" spans="1:37" x14ac:dyDescent="0.25">
      <c r="AG29" s="543" t="s">
        <v>487</v>
      </c>
      <c r="AH29" s="625"/>
      <c r="AI29" s="200">
        <f>AJ29/7741750*100</f>
        <v>900</v>
      </c>
      <c r="AJ29" s="543">
        <f>SUM(X21:AC21)</f>
        <v>69675750</v>
      </c>
    </row>
    <row r="30" spans="1:37" ht="15" thickBot="1" x14ac:dyDescent="0.3">
      <c r="AG30" s="552" t="s">
        <v>486</v>
      </c>
      <c r="AH30" s="622"/>
      <c r="AI30" s="633">
        <f>AJ30/7741750*100</f>
        <v>422.29199999999992</v>
      </c>
      <c r="AJ30" s="630">
        <f>AJ28-AJ29</f>
        <v>32692790.909999996</v>
      </c>
    </row>
    <row r="31" spans="1:37" ht="15" thickTop="1" x14ac:dyDescent="0.3">
      <c r="A31" s="196"/>
      <c r="AG31" s="620"/>
      <c r="AH31" s="620"/>
      <c r="AI31" s="626"/>
      <c r="AJ31" s="627"/>
    </row>
    <row r="32" spans="1:37" x14ac:dyDescent="0.25">
      <c r="A32" s="200"/>
      <c r="B32" s="544"/>
      <c r="C32" s="544"/>
      <c r="D32" s="544"/>
      <c r="E32" s="585"/>
      <c r="F32" s="544"/>
      <c r="G32" s="544"/>
      <c r="H32" s="544"/>
      <c r="I32" s="544"/>
      <c r="J32" s="544"/>
      <c r="K32" s="544"/>
      <c r="L32" s="585"/>
      <c r="M32" s="544"/>
      <c r="N32" s="544"/>
      <c r="O32" s="544"/>
      <c r="P32" s="544"/>
      <c r="Q32" s="544"/>
      <c r="R32" s="544"/>
      <c r="AG32" s="622"/>
      <c r="AH32" s="618"/>
      <c r="AI32" s="618"/>
      <c r="AJ32" s="618"/>
    </row>
    <row r="33" spans="1:36" x14ac:dyDescent="0.3">
      <c r="A33" s="196"/>
      <c r="AG33" s="622"/>
      <c r="AH33" s="617"/>
      <c r="AI33" s="617"/>
      <c r="AJ33" s="617"/>
    </row>
    <row r="34" spans="1:36" x14ac:dyDescent="0.3">
      <c r="A34" s="196"/>
    </row>
    <row r="35" spans="1:36" x14ac:dyDescent="0.25">
      <c r="A35" s="200"/>
    </row>
    <row r="37" spans="1:36" x14ac:dyDescent="0.25">
      <c r="A37" s="190"/>
    </row>
  </sheetData>
  <mergeCells count="2">
    <mergeCell ref="A4:A5"/>
    <mergeCell ref="AE4:AE5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O40"/>
  <sheetViews>
    <sheetView zoomScale="107" zoomScaleNormal="107" workbookViewId="0">
      <pane xSplit="1" ySplit="5" topLeftCell="T9" activePane="bottomRight" state="frozen"/>
      <selection pane="topRight" activeCell="B1" sqref="B1"/>
      <selection pane="bottomLeft" activeCell="A6" sqref="A6"/>
      <selection pane="bottomRight" activeCell="AI10" sqref="AI10"/>
    </sheetView>
  </sheetViews>
  <sheetFormatPr defaultRowHeight="14.4" outlineLevelRow="1" x14ac:dyDescent="0.25"/>
  <cols>
    <col min="1" max="1" width="23.21875" style="164" customWidth="1"/>
    <col min="2" max="2" width="6.109375" style="184" customWidth="1"/>
    <col min="3" max="4" width="5.33203125" style="184" customWidth="1"/>
    <col min="5" max="5" width="4.5546875" style="573" customWidth="1"/>
    <col min="6" max="7" width="5.33203125" style="184" customWidth="1"/>
    <col min="8" max="8" width="6.109375" style="184" customWidth="1"/>
    <col min="9" max="11" width="5.33203125" style="184" customWidth="1"/>
    <col min="12" max="12" width="4.21875" style="573" customWidth="1"/>
    <col min="13" max="14" width="5.33203125" style="184" customWidth="1"/>
    <col min="15" max="15" width="5.5546875" style="184" customWidth="1"/>
    <col min="16" max="16" width="6.109375" style="184" customWidth="1"/>
    <col min="17" max="17" width="5.33203125" style="184" customWidth="1"/>
    <col min="18" max="18" width="6.109375" style="184" customWidth="1"/>
    <col min="19" max="19" width="4.21875" style="573" customWidth="1"/>
    <col min="20" max="20" width="5.33203125" style="184" customWidth="1"/>
    <col min="21" max="21" width="6.109375" style="184" customWidth="1"/>
    <col min="22" max="22" width="5" style="573" customWidth="1"/>
    <col min="23" max="25" width="6.5546875" style="184" customWidth="1"/>
    <col min="26" max="26" width="5.44140625" style="573" customWidth="1"/>
    <col min="27" max="28" width="6.5546875" style="184" customWidth="1"/>
    <col min="29" max="29" width="6.6640625" style="184" bestFit="1" customWidth="1"/>
    <col min="30" max="30" width="5.33203125" style="184" bestFit="1" customWidth="1"/>
    <col min="31" max="31" width="6.33203125" style="164" bestFit="1" customWidth="1"/>
    <col min="32" max="32" width="1.44140625" style="164" customWidth="1"/>
    <col min="33" max="33" width="15" style="164" customWidth="1"/>
    <col min="34" max="34" width="19.88671875" style="164" customWidth="1"/>
    <col min="35" max="35" width="9.44140625" style="164" bestFit="1" customWidth="1"/>
    <col min="36" max="36" width="12.44140625" style="164" bestFit="1" customWidth="1"/>
    <col min="37" max="37" width="9.21875" style="164" bestFit="1" customWidth="1"/>
    <col min="38" max="38" width="12.109375" style="164" bestFit="1" customWidth="1"/>
    <col min="39" max="39" width="17.109375" style="6" bestFit="1" customWidth="1"/>
    <col min="41" max="41" width="10.44140625" bestFit="1" customWidth="1"/>
  </cols>
  <sheetData>
    <row r="1" spans="1:41" ht="20.399999999999999" x14ac:dyDescent="0.35">
      <c r="A1" s="161" t="s">
        <v>30</v>
      </c>
      <c r="B1" s="183"/>
      <c r="C1" s="183"/>
      <c r="D1" s="183"/>
      <c r="E1" s="163"/>
      <c r="F1" s="183"/>
      <c r="G1" s="183"/>
      <c r="H1" s="191"/>
      <c r="I1" s="183"/>
      <c r="J1" s="183"/>
      <c r="K1" s="183"/>
      <c r="L1" s="163"/>
      <c r="M1" s="183"/>
      <c r="N1" s="183"/>
      <c r="O1" s="183"/>
      <c r="P1" s="183"/>
      <c r="Q1" s="183"/>
      <c r="R1" s="183"/>
      <c r="S1" s="163"/>
      <c r="T1" s="183"/>
      <c r="U1" s="183"/>
      <c r="V1" s="163"/>
      <c r="W1" s="183"/>
      <c r="X1" s="183"/>
      <c r="Y1" s="183"/>
      <c r="Z1" s="163"/>
      <c r="AA1" s="183"/>
      <c r="AB1" s="183"/>
      <c r="AC1" s="183"/>
      <c r="AD1" s="183"/>
      <c r="AE1" s="162"/>
      <c r="AF1" s="162"/>
      <c r="AG1" s="162"/>
      <c r="AH1" s="162"/>
      <c r="AI1" s="162"/>
      <c r="AJ1" s="162"/>
      <c r="AK1" s="162"/>
      <c r="AL1" s="162"/>
    </row>
    <row r="2" spans="1:41" x14ac:dyDescent="0.25">
      <c r="A2" s="164" t="s">
        <v>452</v>
      </c>
      <c r="AJ2" s="558"/>
      <c r="AK2" s="558"/>
      <c r="AL2" s="558"/>
    </row>
    <row r="3" spans="1:41" s="129" customFormat="1" ht="15" thickBot="1" x14ac:dyDescent="0.35">
      <c r="A3" s="636" t="s">
        <v>198</v>
      </c>
      <c r="B3" s="721"/>
      <c r="C3" s="721"/>
      <c r="D3" s="721"/>
      <c r="E3" s="722"/>
      <c r="F3" s="721"/>
      <c r="G3" s="723"/>
      <c r="H3" s="724"/>
      <c r="I3" s="721"/>
      <c r="J3" s="721"/>
      <c r="K3" s="721"/>
      <c r="L3" s="722"/>
      <c r="M3" s="721"/>
      <c r="N3" s="721"/>
      <c r="O3" s="721"/>
      <c r="P3" s="721"/>
      <c r="Q3" s="721"/>
      <c r="R3" s="721"/>
      <c r="S3" s="722"/>
      <c r="T3" s="721"/>
      <c r="U3" s="721"/>
      <c r="V3" s="722"/>
      <c r="W3" s="721"/>
      <c r="X3" s="721"/>
      <c r="Y3" s="721"/>
      <c r="Z3" s="722"/>
      <c r="AA3" s="721"/>
      <c r="AB3" s="721"/>
      <c r="AC3" s="721"/>
      <c r="AD3" s="721"/>
      <c r="AE3" s="652"/>
      <c r="AF3" s="652"/>
      <c r="AG3" s="715"/>
      <c r="AH3" s="725"/>
      <c r="AI3" s="726"/>
      <c r="AJ3" s="652"/>
      <c r="AK3" s="652"/>
      <c r="AL3" s="652"/>
      <c r="AM3" s="128"/>
    </row>
    <row r="4" spans="1:41" s="129" customFormat="1" x14ac:dyDescent="0.3">
      <c r="A4" s="1816" t="s">
        <v>199</v>
      </c>
      <c r="B4" s="711">
        <v>1</v>
      </c>
      <c r="C4" s="712">
        <v>2</v>
      </c>
      <c r="D4" s="712">
        <v>3</v>
      </c>
      <c r="E4" s="713">
        <v>4</v>
      </c>
      <c r="F4" s="712">
        <v>5</v>
      </c>
      <c r="G4" s="712">
        <v>6</v>
      </c>
      <c r="H4" s="712">
        <v>7</v>
      </c>
      <c r="I4" s="712">
        <v>8</v>
      </c>
      <c r="J4" s="712">
        <v>9</v>
      </c>
      <c r="K4" s="712">
        <v>10</v>
      </c>
      <c r="L4" s="713">
        <v>11</v>
      </c>
      <c r="M4" s="712">
        <v>12</v>
      </c>
      <c r="N4" s="712">
        <v>13</v>
      </c>
      <c r="O4" s="712">
        <v>14</v>
      </c>
      <c r="P4" s="712">
        <v>15</v>
      </c>
      <c r="Q4" s="712">
        <v>16</v>
      </c>
      <c r="R4" s="712">
        <v>17</v>
      </c>
      <c r="S4" s="713">
        <v>18</v>
      </c>
      <c r="T4" s="712">
        <v>19</v>
      </c>
      <c r="U4" s="712">
        <v>20</v>
      </c>
      <c r="V4" s="713">
        <v>21</v>
      </c>
      <c r="W4" s="736">
        <v>22</v>
      </c>
      <c r="X4" s="712">
        <v>23</v>
      </c>
      <c r="Y4" s="712">
        <v>24</v>
      </c>
      <c r="Z4" s="713">
        <v>25</v>
      </c>
      <c r="AA4" s="712">
        <v>26</v>
      </c>
      <c r="AB4" s="712">
        <v>27</v>
      </c>
      <c r="AC4" s="712">
        <v>28</v>
      </c>
      <c r="AD4" s="714"/>
      <c r="AE4" s="1818" t="s">
        <v>0</v>
      </c>
      <c r="AF4" s="636"/>
      <c r="AG4" s="715"/>
      <c r="AH4" s="715"/>
      <c r="AI4" s="636"/>
      <c r="AJ4" s="716"/>
      <c r="AK4" s="716"/>
      <c r="AL4" s="716"/>
      <c r="AM4" s="128"/>
    </row>
    <row r="5" spans="1:41" s="129" customFormat="1" ht="15" thickBot="1" x14ac:dyDescent="0.35">
      <c r="A5" s="1817"/>
      <c r="B5" s="717" t="s">
        <v>206</v>
      </c>
      <c r="C5" s="718" t="s">
        <v>200</v>
      </c>
      <c r="D5" s="718" t="s">
        <v>201</v>
      </c>
      <c r="E5" s="719" t="s">
        <v>202</v>
      </c>
      <c r="F5" s="718" t="s">
        <v>203</v>
      </c>
      <c r="G5" s="718" t="s">
        <v>204</v>
      </c>
      <c r="H5" s="718" t="s">
        <v>205</v>
      </c>
      <c r="I5" s="718" t="s">
        <v>206</v>
      </c>
      <c r="J5" s="718" t="s">
        <v>200</v>
      </c>
      <c r="K5" s="718" t="s">
        <v>201</v>
      </c>
      <c r="L5" s="719" t="s">
        <v>202</v>
      </c>
      <c r="M5" s="718" t="s">
        <v>203</v>
      </c>
      <c r="N5" s="718" t="s">
        <v>204</v>
      </c>
      <c r="O5" s="718" t="s">
        <v>205</v>
      </c>
      <c r="P5" s="718" t="s">
        <v>206</v>
      </c>
      <c r="Q5" s="718" t="s">
        <v>200</v>
      </c>
      <c r="R5" s="718" t="s">
        <v>201</v>
      </c>
      <c r="S5" s="719" t="s">
        <v>202</v>
      </c>
      <c r="T5" s="718" t="s">
        <v>203</v>
      </c>
      <c r="U5" s="718" t="s">
        <v>204</v>
      </c>
      <c r="V5" s="719" t="s">
        <v>205</v>
      </c>
      <c r="W5" s="718" t="s">
        <v>206</v>
      </c>
      <c r="X5" s="718" t="s">
        <v>200</v>
      </c>
      <c r="Y5" s="718" t="s">
        <v>201</v>
      </c>
      <c r="Z5" s="719" t="s">
        <v>202</v>
      </c>
      <c r="AA5" s="718" t="s">
        <v>203</v>
      </c>
      <c r="AB5" s="718" t="s">
        <v>204</v>
      </c>
      <c r="AC5" s="718" t="s">
        <v>205</v>
      </c>
      <c r="AD5" s="720"/>
      <c r="AE5" s="1819"/>
      <c r="AF5" s="636"/>
      <c r="AG5" s="636"/>
      <c r="AH5" s="636"/>
      <c r="AI5" s="752"/>
      <c r="AJ5" s="752"/>
      <c r="AK5" s="752"/>
      <c r="AL5" s="752"/>
      <c r="AM5" s="128"/>
    </row>
    <row r="6" spans="1:41" outlineLevel="1" x14ac:dyDescent="0.25">
      <c r="A6" s="490" t="s">
        <v>207</v>
      </c>
      <c r="B6" s="502"/>
      <c r="C6" s="503"/>
      <c r="D6" s="503"/>
      <c r="E6" s="504"/>
      <c r="F6" s="503"/>
      <c r="G6" s="503"/>
      <c r="H6" s="503"/>
      <c r="I6" s="503"/>
      <c r="J6" s="503"/>
      <c r="K6" s="503"/>
      <c r="L6" s="504"/>
      <c r="M6" s="503"/>
      <c r="N6" s="503"/>
      <c r="O6" s="503"/>
      <c r="P6" s="503"/>
      <c r="Q6" s="503"/>
      <c r="R6" s="503"/>
      <c r="S6" s="504"/>
      <c r="T6" s="503"/>
      <c r="U6" s="503"/>
      <c r="V6" s="504"/>
      <c r="W6" s="503"/>
      <c r="X6" s="503"/>
      <c r="Y6" s="503"/>
      <c r="Z6" s="504"/>
      <c r="AA6" s="503"/>
      <c r="AB6" s="503"/>
      <c r="AC6" s="503"/>
      <c r="AD6" s="594"/>
      <c r="AE6" s="171"/>
      <c r="AF6" s="167"/>
      <c r="AG6" s="550"/>
      <c r="AH6" s="551"/>
      <c r="AI6" s="551"/>
      <c r="AJ6" s="654"/>
      <c r="AK6" s="551"/>
      <c r="AL6" s="551"/>
      <c r="AN6" s="133"/>
    </row>
    <row r="7" spans="1:41" outlineLevel="1" x14ac:dyDescent="0.25">
      <c r="A7" s="178" t="s">
        <v>208</v>
      </c>
      <c r="B7" s="548"/>
      <c r="C7" s="507"/>
      <c r="D7" s="507"/>
      <c r="E7" s="510"/>
      <c r="F7" s="506">
        <v>2961</v>
      </c>
      <c r="G7" s="506">
        <v>3060</v>
      </c>
      <c r="H7" s="506">
        <v>10287</v>
      </c>
      <c r="I7" s="506">
        <v>934</v>
      </c>
      <c r="J7" s="506">
        <v>3268</v>
      </c>
      <c r="K7" s="506"/>
      <c r="L7" s="510"/>
      <c r="M7" s="506">
        <v>1266</v>
      </c>
      <c r="N7" s="506">
        <v>6589</v>
      </c>
      <c r="O7" s="506">
        <v>9937</v>
      </c>
      <c r="P7" s="506">
        <v>10714</v>
      </c>
      <c r="Q7" s="506">
        <v>8673</v>
      </c>
      <c r="R7" s="506">
        <v>10882</v>
      </c>
      <c r="S7" s="510"/>
      <c r="T7" s="506">
        <v>7665</v>
      </c>
      <c r="U7" s="506">
        <v>6866</v>
      </c>
      <c r="V7" s="510"/>
      <c r="W7" s="506">
        <v>6868</v>
      </c>
      <c r="X7" s="506">
        <v>1555</v>
      </c>
      <c r="Y7" s="506">
        <v>0</v>
      </c>
      <c r="Z7" s="510">
        <v>6945</v>
      </c>
      <c r="AA7" s="506">
        <v>0</v>
      </c>
      <c r="AB7" s="506">
        <v>0</v>
      </c>
      <c r="AC7" s="506">
        <v>0</v>
      </c>
      <c r="AD7" s="595"/>
      <c r="AE7" s="172">
        <f t="shared" ref="AE7:AE13" si="0">SUM(B7:AC7)</f>
        <v>98470</v>
      </c>
      <c r="AF7" s="173"/>
      <c r="AG7" s="646"/>
      <c r="AH7" s="646">
        <f>AE7*16</f>
        <v>1575520</v>
      </c>
      <c r="AI7" s="200"/>
      <c r="AJ7" s="646"/>
      <c r="AK7" s="646"/>
      <c r="AL7" s="733"/>
      <c r="AM7" s="214"/>
      <c r="AN7" s="133"/>
      <c r="AO7" s="655"/>
    </row>
    <row r="8" spans="1:41" outlineLevel="1" x14ac:dyDescent="0.25">
      <c r="A8" s="178" t="s">
        <v>209</v>
      </c>
      <c r="B8" s="548"/>
      <c r="C8" s="507"/>
      <c r="D8" s="507"/>
      <c r="E8" s="510"/>
      <c r="F8" s="506">
        <v>45</v>
      </c>
      <c r="G8" s="506">
        <v>405</v>
      </c>
      <c r="H8" s="506">
        <v>383</v>
      </c>
      <c r="I8" s="506">
        <v>56</v>
      </c>
      <c r="J8" s="506">
        <v>130</v>
      </c>
      <c r="K8" s="506"/>
      <c r="L8" s="510"/>
      <c r="M8" s="506">
        <v>10</v>
      </c>
      <c r="N8" s="506">
        <v>168</v>
      </c>
      <c r="O8" s="506">
        <v>294</v>
      </c>
      <c r="P8" s="506">
        <v>315</v>
      </c>
      <c r="Q8" s="506">
        <v>663</v>
      </c>
      <c r="R8" s="506">
        <v>797</v>
      </c>
      <c r="S8" s="510"/>
      <c r="T8" s="506">
        <v>338</v>
      </c>
      <c r="U8" s="506">
        <v>594</v>
      </c>
      <c r="V8" s="510"/>
      <c r="W8" s="506">
        <v>659</v>
      </c>
      <c r="X8" s="506">
        <v>349</v>
      </c>
      <c r="Y8" s="506">
        <v>0</v>
      </c>
      <c r="Z8" s="510">
        <v>498</v>
      </c>
      <c r="AA8" s="506">
        <v>0</v>
      </c>
      <c r="AB8" s="506">
        <v>0</v>
      </c>
      <c r="AC8" s="506">
        <v>0</v>
      </c>
      <c r="AD8" s="595"/>
      <c r="AE8" s="172">
        <f t="shared" si="0"/>
        <v>5704</v>
      </c>
      <c r="AF8" s="173"/>
      <c r="AG8" s="646"/>
      <c r="AH8" s="646">
        <f>AE8*35</f>
        <v>199640</v>
      </c>
      <c r="AI8" s="200"/>
      <c r="AJ8" s="646"/>
      <c r="AK8" s="646"/>
      <c r="AL8" s="733"/>
      <c r="AM8" s="214"/>
      <c r="AN8" s="133"/>
      <c r="AO8" s="655"/>
    </row>
    <row r="9" spans="1:41" outlineLevel="1" x14ac:dyDescent="0.25">
      <c r="A9" s="178" t="s">
        <v>210</v>
      </c>
      <c r="B9" s="548"/>
      <c r="C9" s="507"/>
      <c r="D9" s="507"/>
      <c r="E9" s="510"/>
      <c r="F9" s="506">
        <v>0</v>
      </c>
      <c r="G9" s="506">
        <v>7</v>
      </c>
      <c r="H9" s="506">
        <v>11</v>
      </c>
      <c r="I9" s="506">
        <v>0</v>
      </c>
      <c r="J9" s="506"/>
      <c r="K9" s="506"/>
      <c r="L9" s="510"/>
      <c r="M9" s="506"/>
      <c r="N9" s="506">
        <v>13</v>
      </c>
      <c r="O9" s="506">
        <v>2</v>
      </c>
      <c r="P9" s="506">
        <v>6</v>
      </c>
      <c r="Q9" s="506">
        <v>28</v>
      </c>
      <c r="R9" s="506">
        <v>4</v>
      </c>
      <c r="S9" s="510"/>
      <c r="T9" s="506">
        <v>10</v>
      </c>
      <c r="U9" s="506">
        <v>1</v>
      </c>
      <c r="V9" s="510"/>
      <c r="W9" s="506">
        <v>5</v>
      </c>
      <c r="X9" s="506">
        <v>0</v>
      </c>
      <c r="Y9" s="506">
        <v>0</v>
      </c>
      <c r="Z9" s="510">
        <v>15</v>
      </c>
      <c r="AA9" s="506">
        <v>0</v>
      </c>
      <c r="AB9" s="506">
        <v>0</v>
      </c>
      <c r="AC9" s="506">
        <v>0</v>
      </c>
      <c r="AD9" s="595"/>
      <c r="AE9" s="172">
        <f t="shared" si="0"/>
        <v>102</v>
      </c>
      <c r="AF9" s="173"/>
      <c r="AG9" s="646"/>
      <c r="AH9" s="646">
        <f>SUM(AH7:AH8)</f>
        <v>1775160</v>
      </c>
      <c r="AI9" s="200"/>
      <c r="AJ9" s="646"/>
      <c r="AK9" s="646"/>
      <c r="AL9" s="733"/>
      <c r="AM9" s="214"/>
      <c r="AN9" s="133"/>
      <c r="AO9" s="655"/>
    </row>
    <row r="10" spans="1:41" outlineLevel="1" x14ac:dyDescent="0.25">
      <c r="A10" s="178" t="s">
        <v>144</v>
      </c>
      <c r="B10" s="548"/>
      <c r="C10" s="507"/>
      <c r="D10" s="507"/>
      <c r="E10" s="510"/>
      <c r="F10" s="506"/>
      <c r="G10" s="506"/>
      <c r="H10" s="506"/>
      <c r="I10" s="506">
        <v>10</v>
      </c>
      <c r="J10" s="506"/>
      <c r="K10" s="506"/>
      <c r="L10" s="510"/>
      <c r="M10" s="506"/>
      <c r="N10" s="506"/>
      <c r="O10" s="506"/>
      <c r="P10" s="506">
        <v>8.15</v>
      </c>
      <c r="Q10" s="506"/>
      <c r="R10" s="506"/>
      <c r="S10" s="510"/>
      <c r="T10" s="506"/>
      <c r="U10" s="506"/>
      <c r="V10" s="510"/>
      <c r="W10" s="506"/>
      <c r="X10" s="506">
        <v>0</v>
      </c>
      <c r="Y10" s="506"/>
      <c r="Z10" s="510"/>
      <c r="AA10" s="506"/>
      <c r="AB10" s="506"/>
      <c r="AC10" s="506"/>
      <c r="AD10" s="595"/>
      <c r="AE10" s="172">
        <f t="shared" si="0"/>
        <v>18.149999999999999</v>
      </c>
      <c r="AF10" s="173"/>
      <c r="AG10" s="646"/>
      <c r="AH10" s="646"/>
      <c r="AI10" s="200"/>
      <c r="AJ10" s="646"/>
      <c r="AK10" s="646"/>
      <c r="AL10" s="733"/>
      <c r="AM10" s="214"/>
      <c r="AN10" s="133"/>
      <c r="AO10" s="655"/>
    </row>
    <row r="11" spans="1:41" outlineLevel="1" x14ac:dyDescent="0.25">
      <c r="A11" s="178" t="s">
        <v>172</v>
      </c>
      <c r="B11" s="505"/>
      <c r="C11" s="506"/>
      <c r="D11" s="506"/>
      <c r="E11" s="510"/>
      <c r="F11" s="506"/>
      <c r="G11" s="506"/>
      <c r="H11" s="506"/>
      <c r="I11" s="506"/>
      <c r="J11" s="506"/>
      <c r="K11" s="506"/>
      <c r="L11" s="510"/>
      <c r="M11" s="506"/>
      <c r="N11" s="506"/>
      <c r="O11" s="506"/>
      <c r="P11" s="506"/>
      <c r="Q11" s="506"/>
      <c r="R11" s="506"/>
      <c r="S11" s="510"/>
      <c r="T11" s="506"/>
      <c r="U11" s="506"/>
      <c r="V11" s="510"/>
      <c r="W11" s="506"/>
      <c r="X11" s="506">
        <v>0</v>
      </c>
      <c r="Y11" s="506"/>
      <c r="Z11" s="510"/>
      <c r="AA11" s="506"/>
      <c r="AB11" s="506"/>
      <c r="AC11" s="506"/>
      <c r="AD11" s="595"/>
      <c r="AE11" s="172">
        <f t="shared" si="0"/>
        <v>0</v>
      </c>
      <c r="AF11" s="173"/>
      <c r="AG11" s="646"/>
      <c r="AH11" s="646"/>
      <c r="AI11" s="200"/>
      <c r="AJ11" s="646"/>
      <c r="AK11" s="646"/>
      <c r="AL11" s="733"/>
      <c r="AM11" s="214"/>
      <c r="AN11" s="133"/>
      <c r="AO11" s="655"/>
    </row>
    <row r="12" spans="1:41" outlineLevel="1" x14ac:dyDescent="0.25">
      <c r="A12" s="491" t="s">
        <v>211</v>
      </c>
      <c r="B12" s="508"/>
      <c r="C12" s="509"/>
      <c r="D12" s="509"/>
      <c r="E12" s="510">
        <f t="shared" ref="E12:AC12" si="1">(E7*12+E8*33+E9*45+E10*1000+E11*1000)/1000</f>
        <v>0</v>
      </c>
      <c r="F12" s="509">
        <f t="shared" si="1"/>
        <v>37.017000000000003</v>
      </c>
      <c r="G12" s="509">
        <f t="shared" si="1"/>
        <v>50.4</v>
      </c>
      <c r="H12" s="509">
        <f t="shared" si="1"/>
        <v>136.578</v>
      </c>
      <c r="I12" s="509">
        <f t="shared" si="1"/>
        <v>23.056000000000001</v>
      </c>
      <c r="J12" s="509">
        <f t="shared" si="1"/>
        <v>43.506</v>
      </c>
      <c r="K12" s="509">
        <f t="shared" si="1"/>
        <v>0</v>
      </c>
      <c r="L12" s="510">
        <f t="shared" si="1"/>
        <v>0</v>
      </c>
      <c r="M12" s="509">
        <f t="shared" si="1"/>
        <v>15.522</v>
      </c>
      <c r="N12" s="509">
        <f t="shared" si="1"/>
        <v>85.197000000000003</v>
      </c>
      <c r="O12" s="509">
        <f t="shared" si="1"/>
        <v>129.036</v>
      </c>
      <c r="P12" s="509">
        <f t="shared" si="1"/>
        <v>147.38300000000001</v>
      </c>
      <c r="Q12" s="509">
        <f t="shared" si="1"/>
        <v>127.215</v>
      </c>
      <c r="R12" s="509">
        <f t="shared" si="1"/>
        <v>157.065</v>
      </c>
      <c r="S12" s="547">
        <f t="shared" si="1"/>
        <v>0</v>
      </c>
      <c r="T12" s="509">
        <f t="shared" si="1"/>
        <v>103.584</v>
      </c>
      <c r="U12" s="509">
        <f t="shared" si="1"/>
        <v>102.039</v>
      </c>
      <c r="V12" s="510">
        <f t="shared" si="1"/>
        <v>0</v>
      </c>
      <c r="W12" s="509">
        <f t="shared" si="1"/>
        <v>104.38800000000001</v>
      </c>
      <c r="X12" s="509">
        <f t="shared" si="1"/>
        <v>30.177</v>
      </c>
      <c r="Y12" s="509">
        <f t="shared" si="1"/>
        <v>0</v>
      </c>
      <c r="Z12" s="510">
        <f t="shared" si="1"/>
        <v>100.449</v>
      </c>
      <c r="AA12" s="509">
        <f t="shared" si="1"/>
        <v>0</v>
      </c>
      <c r="AB12" s="509">
        <f t="shared" si="1"/>
        <v>0</v>
      </c>
      <c r="AC12" s="509">
        <f t="shared" si="1"/>
        <v>0</v>
      </c>
      <c r="AD12" s="596"/>
      <c r="AE12" s="647">
        <f t="shared" si="0"/>
        <v>1392.6120000000001</v>
      </c>
      <c r="AF12" s="549"/>
      <c r="AG12" s="552"/>
      <c r="AH12" s="552"/>
      <c r="AI12" s="552"/>
      <c r="AJ12" s="552"/>
      <c r="AK12" s="552"/>
      <c r="AL12" s="552"/>
      <c r="AM12" s="214"/>
    </row>
    <row r="13" spans="1:41" ht="15" outlineLevel="1" thickBot="1" x14ac:dyDescent="0.35">
      <c r="A13" s="180" t="s">
        <v>480</v>
      </c>
      <c r="B13" s="525">
        <f>B7*'NLPG Price1005'!$C$23+Cash_Feb22V2!B8*'NLPG Price1005'!$F$23+Cash_Feb22V2!B9*'NLPG Price1005'!$I$23+Cash_Feb22V2!B10*'NLPG Price1005'!$L$23+Cash_Feb22V2!B11*'NLPG Price1005'!$O$23</f>
        <v>0</v>
      </c>
      <c r="C13" s="525">
        <f>C7*'NLPG Price1005'!$C$23+Cash_Feb22V2!C8*'NLPG Price1005'!$F$23+Cash_Feb22V2!C9*'NLPG Price1005'!$I$23+Cash_Feb22V2!C10*'NLPG Price1005'!$L$23+Cash_Feb22V2!C11*'NLPG Price1005'!$O$23</f>
        <v>0</v>
      </c>
      <c r="D13" s="525">
        <f>D7*'NLPG Price1005'!$C$23+Cash_Feb22V2!D8*'NLPG Price1005'!$F$23+Cash_Feb22V2!D9*'NLPG Price1005'!$I$23+Cash_Feb22V2!D10*'NLPG Price1005'!$L$23+Cash_Feb22V2!D11*'NLPG Price1005'!$O$23</f>
        <v>0</v>
      </c>
      <c r="E13" s="526">
        <f>E7*'NLPG Price1005'!$C$23+Cash_Feb22V2!E8*'NLPG Price1005'!$F$23+Cash_Feb22V2!E9*'NLPG Price1005'!$I$23+Cash_Feb22V2!E10*'NLPG Price1005'!$L$23+Cash_Feb22V2!E11*'NLPG Price1005'!$O$23</f>
        <v>0</v>
      </c>
      <c r="F13" s="525">
        <f>F7*'NLPG Price1005'!$C$23+Cash_Feb22V2!F8*'NLPG Price1005'!$F$23+Cash_Feb22V2!F9*'NLPG Price1005'!$I$23+Cash_Feb22V2!F10*'NLPG Price1005'!$L$23+Cash_Feb22V2!F11*'NLPG Price1005'!$O$23</f>
        <v>3649558.0747690843</v>
      </c>
      <c r="G13" s="525">
        <f>G7*'NLPG Price1005'!$C$23+Cash_Feb22V2!G8*'NLPG Price1005'!$F$23+Cash_Feb22V2!G9*'NLPG Price1005'!$I$23+Cash_Feb22V2!G10*'NLPG Price1005'!$L$23+Cash_Feb22V2!G11*'NLPG Price1005'!$O$23</f>
        <v>4964860.3660227619</v>
      </c>
      <c r="H13" s="525">
        <f>H7*'NLPG Price1005'!$C$23+Cash_Feb22V2!H8*'NLPG Price1005'!$F$23+Cash_Feb22V2!H9*'NLPG Price1005'!$I$23+Cash_Feb22V2!H10*'NLPG Price1005'!$L$23+Cash_Feb22V2!H11*'NLPG Price1005'!$O$23</f>
        <v>13462694.377541225</v>
      </c>
      <c r="I13" s="525">
        <f>I7*'NLPG Price1005'!$C$23+Cash_Feb22V2!I8*'NLPG Price1005'!$F$23+Cash_Feb22V2!I9*'NLPG Price1005'!$I$23+Cash_Feb22V2!I10*'NLPG Price1005'!$L$23+Cash_Feb22V2!I11*'NLPG Price1005'!$O$23</f>
        <v>2274038.3993023727</v>
      </c>
      <c r="J13" s="525">
        <f>J7*'NLPG Price1005'!$C$23+Cash_Feb22V2!J8*'NLPG Price1005'!$F$23+Cash_Feb22V2!J9*'NLPG Price1005'!$I$23+Cash_Feb22V2!J10*'NLPG Price1005'!$L$23+Cash_Feb22V2!J11*'NLPG Price1005'!$O$23</f>
        <v>4288412.6294648321</v>
      </c>
      <c r="K13" s="525">
        <f>K7*'NLPG Price1005'!$C$23+Cash_Feb22V2!K8*'NLPG Price1005'!$F$23+Cash_Feb22V2!K9*'NLPG Price1005'!$I$23+Cash_Feb22V2!K10*'NLPG Price1005'!$L$23+Cash_Feb22V2!K11*'NLPG Price1005'!$O$23</f>
        <v>0</v>
      </c>
      <c r="L13" s="526">
        <f>L7*'NLPG Price1005'!$C$23+Cash_Feb22V2!L8*'NLPG Price1005'!$F$23+Cash_Feb22V2!L9*'NLPG Price1005'!$I$23+Cash_Feb22V2!L10*'NLPG Price1005'!$L$23+Cash_Feb22V2!L11*'NLPG Price1005'!$O$23</f>
        <v>0</v>
      </c>
      <c r="M13" s="525">
        <f>M7*'NLPG Price1005'!$C$23+Cash_Feb22V2!M8*'NLPG Price1005'!$F$23+Cash_Feb22V2!M9*'NLPG Price1005'!$I$23+Cash_Feb22V2!M10*'NLPG Price1005'!$L$23+Cash_Feb22V2!M11*'NLPG Price1005'!$O$23</f>
        <v>1530439.9063349073</v>
      </c>
      <c r="N13" s="525">
        <f>N7*'NLPG Price1005'!$C$23+Cash_Feb22V2!N8*'NLPG Price1005'!$F$23+Cash_Feb22V2!N9*'NLPG Price1005'!$I$23+Cash_Feb22V2!N10*'NLPG Price1005'!$L$23+Cash_Feb22V2!N11*'NLPG Price1005'!$O$23</f>
        <v>8398727.7178836539</v>
      </c>
      <c r="O13" s="525">
        <f>O7*'NLPG Price1005'!$C$23+Cash_Feb22V2!O8*'NLPG Price1005'!$F$23+Cash_Feb22V2!O9*'NLPG Price1005'!$I$23+Cash_Feb22V2!O10*'NLPG Price1005'!$L$23+Cash_Feb22V2!O11*'NLPG Price1005'!$O$23</f>
        <v>12720199.044826204</v>
      </c>
      <c r="P13" s="525">
        <f>P7*'NLPG Price1005'!$C$23+Cash_Feb22V2!P8*'NLPG Price1005'!$F$23+Cash_Feb22V2!P9*'NLPG Price1005'!$I$23+Cash_Feb22V2!P10*'NLPG Price1005'!$L$23+Cash_Feb22V2!P11*'NLPG Price1005'!$O$23</f>
        <v>14530020.103453552</v>
      </c>
      <c r="Q13" s="525">
        <f>Q7*'NLPG Price1005'!$C$23+Cash_Feb22V2!Q8*'NLPG Price1005'!$F$23+Cash_Feb22V2!Q9*'NLPG Price1005'!$I$23+Cash_Feb22V2!Q10*'NLPG Price1005'!$L$23+Cash_Feb22V2!Q11*'NLPG Price1005'!$O$23</f>
        <v>12535890.92467824</v>
      </c>
      <c r="R13" s="525">
        <f>R7*'NLPG Price1005'!$C$23+Cash_Feb22V2!R8*'NLPG Price1005'!$F$23+Cash_Feb22V2!R9*'NLPG Price1005'!$I$23+Cash_Feb22V2!R10*'NLPG Price1005'!$L$23+Cash_Feb22V2!R11*'NLPG Price1005'!$O$23</f>
        <v>15478081.643156763</v>
      </c>
      <c r="S13" s="526">
        <f>S7*'NLPG Price1005'!$C$23+Cash_Feb22V2!S8*'NLPG Price1005'!$F$23+Cash_Feb22V2!S9*'NLPG Price1005'!$I$23+Cash_Feb22V2!S10*'NLPG Price1005'!$L$23+Cash_Feb22V2!S11*'NLPG Price1005'!$O$23</f>
        <v>0</v>
      </c>
      <c r="T13" s="525">
        <f>T7*'NLPG Price1005'!$C$23+Cash_Feb22V2!T8*'NLPG Price1005'!$F$23+Cash_Feb22V2!T9*'NLPG Price1005'!$I$23+Cash_Feb22V2!T10*'NLPG Price1005'!$L$23+Cash_Feb22V2!T11*'NLPG Price1005'!$O$23</f>
        <v>10209842.936458977</v>
      </c>
      <c r="U13" s="525">
        <f>U7*'NLPG Price1005'!$C$23+Cash_Feb22V2!U8*'NLPG Price1005'!$F$23+Cash_Feb22V2!U9*'NLPG Price1005'!$I$23+Cash_Feb22V2!U10*'NLPG Price1005'!$L$23+Cash_Feb22V2!U11*'NLPG Price1005'!$O$23</f>
        <v>13472283.984239543</v>
      </c>
      <c r="V13" s="526">
        <f>V7*'NLPG Price1005'!$C$23+Cash_Feb22V2!V8*'NLPG Price1005'!$F$23+Cash_Feb22V2!V9*'NLPG Price1005'!$I$23+Cash_Feb22V2!V10*'NLPG Price1005'!$L$23+Cash_Feb22V2!V11*'NLPG Price1005'!$O$23</f>
        <v>0</v>
      </c>
      <c r="W13" s="525">
        <f>W7*'NLPG Price1005'!C23+'NLPG Price1005'!F23*Cash_Feb22V4!W8+Cash_Feb22V4!W9*'NLPG Price1005'!I23</f>
        <v>10285434.265962198</v>
      </c>
      <c r="X13" s="525">
        <f>X7*'NLPG Price1005'!$C$23+Cash_Feb22V2!X8*'NLPG Price1005'!$F$23+Cash_Feb22V2!X9*'NLPG Price1005'!$I$23+Cash_Feb22V2!X10*'NLPG Price1005'!$L$23+Cash_Feb22V2!X11*'NLPG Price1005'!$O$23</f>
        <v>5659747.1398124536</v>
      </c>
      <c r="Y13" s="525">
        <f>Y7*'NLPG Price1005'!$C$23+Cash_Feb22V2!Y8*'NLPG Price1005'!$F$23+Cash_Feb22V2!Y9*'NLPG Price1005'!$I$23+Cash_Feb22V2!Y10*'NLPG Price1005'!$L$23+Cash_Feb22V2!Y11*'NLPG Price1005'!$O$23</f>
        <v>5139111.2544642854</v>
      </c>
      <c r="Z13" s="526">
        <f>Z7*'NLPG Price1005'!$C$23+Cash_Feb22V2!Z8*'NLPG Price1005'!$F$23+Cash_Feb22V2!Z9*'NLPG Price1005'!$I$23+Cash_Feb22V2!Z10*'NLPG Price1005'!$L$23+Cash_Feb22V2!Z11*'NLPG Price1005'!$O$23</f>
        <v>8217796.9091595039</v>
      </c>
      <c r="AA13" s="525">
        <f>AA7*'NLPG Price1005'!$C$23+Cash_Feb22V2!AA8*'NLPG Price1005'!$F$23+Cash_Feb22V2!AA9*'NLPG Price1005'!$I$23+Cash_Feb22V2!AA10*'NLPG Price1005'!$L$23+Cash_Feb22V2!AA11*'NLPG Price1005'!$O$23</f>
        <v>3819765.2544642854</v>
      </c>
      <c r="AB13" s="525">
        <f>AB7*'NLPG Price1005'!$C$23+Cash_Feb22V2!AB8*'NLPG Price1005'!$F$23+Cash_Feb22V2!AB9*'NLPG Price1005'!$I$23+Cash_Feb22V2!AB10*'NLPG Price1005'!$L$23+Cash_Feb22V2!AB11*'NLPG Price1005'!$O$23</f>
        <v>5145709.1544642858</v>
      </c>
      <c r="AC13" s="525">
        <f>AC7*'NLPG Price1005'!$C$23+Cash_Feb22V2!AC8*'NLPG Price1005'!$F$23+Cash_Feb22V2!AC9*'NLPG Price1005'!$I$23+Cash_Feb22V2!AC10*'NLPG Price1005'!$L$23+Cash_Feb22V2!AC11*'NLPG Price1005'!$O$23</f>
        <v>3819765.2544642854</v>
      </c>
      <c r="AD13" s="597"/>
      <c r="AE13" s="562">
        <f t="shared" si="0"/>
        <v>159602379.34092346</v>
      </c>
      <c r="AF13" s="175"/>
      <c r="AG13" s="614"/>
      <c r="AH13" s="614"/>
      <c r="AI13" s="614"/>
      <c r="AJ13" s="614"/>
      <c r="AK13" s="614"/>
      <c r="AL13" s="196"/>
      <c r="AM13" s="485"/>
    </row>
    <row r="14" spans="1:41" ht="15" outlineLevel="1" thickBot="1" x14ac:dyDescent="0.3">
      <c r="A14" s="209"/>
      <c r="B14" s="522"/>
      <c r="C14" s="522"/>
      <c r="D14" s="523"/>
      <c r="E14" s="211"/>
      <c r="F14" s="522"/>
      <c r="G14" s="522"/>
      <c r="H14" s="522"/>
      <c r="I14" s="522"/>
      <c r="J14" s="522"/>
      <c r="K14" s="523"/>
      <c r="L14" s="211"/>
      <c r="M14" s="522"/>
      <c r="N14" s="522"/>
      <c r="O14" s="522"/>
      <c r="P14" s="522"/>
      <c r="Q14" s="523"/>
      <c r="R14" s="523"/>
      <c r="S14" s="211"/>
      <c r="T14" s="522"/>
      <c r="U14" s="522"/>
      <c r="V14" s="522"/>
      <c r="W14" s="522"/>
      <c r="X14" s="522"/>
      <c r="Y14" s="523"/>
      <c r="Z14" s="524"/>
      <c r="AA14" s="522"/>
      <c r="AB14" s="522"/>
      <c r="AC14" s="522"/>
      <c r="AD14" s="522"/>
      <c r="AE14" s="210"/>
      <c r="AF14" s="212"/>
      <c r="AM14" s="485"/>
    </row>
    <row r="15" spans="1:41" s="129" customFormat="1" x14ac:dyDescent="0.25">
      <c r="A15" s="693" t="s">
        <v>212</v>
      </c>
      <c r="B15" s="694">
        <v>39127136.309999995</v>
      </c>
      <c r="C15" s="695">
        <f t="shared" ref="C15:AD15" si="2">B19-B30</f>
        <v>24501353.809999995</v>
      </c>
      <c r="D15" s="695">
        <f t="shared" si="2"/>
        <v>11838127.809999995</v>
      </c>
      <c r="E15" s="696">
        <f t="shared" si="2"/>
        <v>16841849.809999995</v>
      </c>
      <c r="F15" s="695">
        <f t="shared" si="2"/>
        <v>16841849.809999995</v>
      </c>
      <c r="G15" s="695">
        <f t="shared" si="2"/>
        <v>16841849.809999995</v>
      </c>
      <c r="H15" s="695">
        <f t="shared" si="2"/>
        <v>17870904.809999995</v>
      </c>
      <c r="I15" s="695">
        <f t="shared" si="2"/>
        <v>10464254.809999995</v>
      </c>
      <c r="J15" s="695">
        <f t="shared" si="2"/>
        <v>11440604.809999995</v>
      </c>
      <c r="K15" s="695">
        <f t="shared" si="2"/>
        <v>17330473.809999995</v>
      </c>
      <c r="L15" s="696">
        <f t="shared" si="2"/>
        <v>5436563.8099999949</v>
      </c>
      <c r="M15" s="695">
        <f t="shared" si="2"/>
        <v>5436563.8099999949</v>
      </c>
      <c r="N15" s="695">
        <f t="shared" si="2"/>
        <v>5436563.8099999949</v>
      </c>
      <c r="O15" s="695">
        <f t="shared" si="2"/>
        <v>9196979.8099999949</v>
      </c>
      <c r="P15" s="695">
        <f t="shared" si="2"/>
        <v>6382369.8099999949</v>
      </c>
      <c r="Q15" s="695">
        <f t="shared" si="2"/>
        <v>6540917.8099999949</v>
      </c>
      <c r="R15" s="695">
        <f t="shared" si="2"/>
        <v>5508257.8099999949</v>
      </c>
      <c r="S15" s="696">
        <f t="shared" si="2"/>
        <v>5329555.8099999949</v>
      </c>
      <c r="T15" s="695">
        <f t="shared" si="2"/>
        <v>5329555.8099999949</v>
      </c>
      <c r="U15" s="695">
        <f>T19-T30</f>
        <v>7792558.8099999949</v>
      </c>
      <c r="V15" s="696">
        <f t="shared" si="2"/>
        <v>16282604.809999995</v>
      </c>
      <c r="W15" s="695">
        <f t="shared" si="2"/>
        <v>16282604.809999995</v>
      </c>
      <c r="X15" s="695">
        <f t="shared" si="2"/>
        <v>15964194.809999995</v>
      </c>
      <c r="Y15" s="695">
        <f t="shared" si="2"/>
        <v>1003969.8099999949</v>
      </c>
      <c r="Z15" s="696">
        <f t="shared" si="2"/>
        <v>7055249.8099999949</v>
      </c>
      <c r="AA15" s="695">
        <f t="shared" si="2"/>
        <v>7055249.8099999949</v>
      </c>
      <c r="AB15" s="695">
        <f t="shared" si="2"/>
        <v>7554209.8099999949</v>
      </c>
      <c r="AC15" s="695">
        <f t="shared" si="2"/>
        <v>7693493.8099999949</v>
      </c>
      <c r="AD15" s="697">
        <f t="shared" si="2"/>
        <v>11203432.809999995</v>
      </c>
      <c r="AE15" s="698">
        <f>B15</f>
        <v>39127136.309999995</v>
      </c>
      <c r="AF15" s="652"/>
      <c r="AG15" s="164"/>
      <c r="AH15" s="164"/>
      <c r="AI15" s="2354">
        <v>44614</v>
      </c>
      <c r="AJ15" s="2355"/>
      <c r="AK15" s="2354">
        <v>44621</v>
      </c>
      <c r="AL15" s="2355"/>
      <c r="AM15" s="685"/>
    </row>
    <row r="16" spans="1:41" s="129" customFormat="1" x14ac:dyDescent="0.3">
      <c r="A16" s="699" t="s">
        <v>222</v>
      </c>
      <c r="B16" s="700"/>
      <c r="C16" s="700"/>
      <c r="D16" s="700"/>
      <c r="E16" s="701"/>
      <c r="F16" s="700"/>
      <c r="G16" s="700"/>
      <c r="H16" s="700"/>
      <c r="I16" s="700"/>
      <c r="J16" s="700"/>
      <c r="K16" s="700"/>
      <c r="L16" s="701"/>
      <c r="M16" s="700"/>
      <c r="N16" s="700"/>
      <c r="O16" s="700"/>
      <c r="P16" s="700"/>
      <c r="Q16" s="700"/>
      <c r="R16" s="700"/>
      <c r="S16" s="701"/>
      <c r="T16" s="700"/>
      <c r="U16" s="700"/>
      <c r="V16" s="701"/>
      <c r="W16" s="737"/>
      <c r="X16" s="737"/>
      <c r="Y16" s="737"/>
      <c r="Z16" s="738"/>
      <c r="AA16" s="737"/>
      <c r="AB16" s="737"/>
      <c r="AC16" s="737"/>
      <c r="AD16" s="702"/>
      <c r="AE16" s="664">
        <f>SUM(B16:AC16)</f>
        <v>0</v>
      </c>
      <c r="AF16" s="652"/>
      <c r="AG16" s="760" t="s">
        <v>17</v>
      </c>
      <c r="AH16" s="766"/>
      <c r="AI16" s="762" t="s">
        <v>469</v>
      </c>
      <c r="AJ16" s="761" t="s">
        <v>467</v>
      </c>
      <c r="AK16" s="762" t="s">
        <v>469</v>
      </c>
      <c r="AL16" s="761" t="s">
        <v>467</v>
      </c>
      <c r="AM16" s="748"/>
      <c r="AN16" s="703"/>
    </row>
    <row r="17" spans="1:40" s="129" customFormat="1" x14ac:dyDescent="0.3">
      <c r="A17" s="699" t="s">
        <v>526</v>
      </c>
      <c r="B17" s="700"/>
      <c r="C17" s="700"/>
      <c r="D17" s="700"/>
      <c r="E17" s="701"/>
      <c r="F17" s="700"/>
      <c r="G17" s="700"/>
      <c r="H17" s="700"/>
      <c r="I17" s="700"/>
      <c r="J17" s="700"/>
      <c r="K17" s="700"/>
      <c r="L17" s="701"/>
      <c r="M17" s="700"/>
      <c r="N17" s="700"/>
      <c r="O17" s="700"/>
      <c r="P17" s="700"/>
      <c r="Q17" s="700"/>
      <c r="R17" s="700"/>
      <c r="S17" s="701"/>
      <c r="T17" s="700"/>
      <c r="U17" s="700"/>
      <c r="V17" s="701"/>
      <c r="W17" s="739"/>
      <c r="X17" s="737"/>
      <c r="Y17" s="737"/>
      <c r="Z17" s="738"/>
      <c r="AA17" s="737"/>
      <c r="AB17" s="737">
        <v>6000000</v>
      </c>
      <c r="AC17" s="737"/>
      <c r="AD17" s="702"/>
      <c r="AE17" s="664">
        <f>SUM(B17:AC17)</f>
        <v>6000000</v>
      </c>
      <c r="AF17" s="652"/>
      <c r="AG17" s="758" t="s">
        <v>508</v>
      </c>
      <c r="AH17" s="767"/>
      <c r="AI17" s="771">
        <f>37+93+10.54</f>
        <v>140.54</v>
      </c>
      <c r="AJ17" s="759">
        <f>(AI17*90000)-4000000</f>
        <v>8648600</v>
      </c>
      <c r="AK17" s="775">
        <f>AI17+298.39-SUM(W12:Z12)</f>
        <v>203.91599999999994</v>
      </c>
      <c r="AL17" s="759">
        <f>AK17*104089</f>
        <v>21225412.523999993</v>
      </c>
      <c r="AM17" s="704"/>
      <c r="AN17" s="703"/>
    </row>
    <row r="18" spans="1:40" s="129" customFormat="1" x14ac:dyDescent="0.3">
      <c r="A18" s="656" t="s">
        <v>164</v>
      </c>
      <c r="B18" s="705">
        <v>2063170</v>
      </c>
      <c r="C18" s="705">
        <v>1244704</v>
      </c>
      <c r="D18" s="705">
        <v>5287130</v>
      </c>
      <c r="E18" s="706">
        <v>0</v>
      </c>
      <c r="F18" s="705">
        <v>0</v>
      </c>
      <c r="G18" s="705">
        <v>8406335</v>
      </c>
      <c r="H18" s="705">
        <v>7263510</v>
      </c>
      <c r="I18" s="705">
        <v>8251630</v>
      </c>
      <c r="J18" s="705">
        <v>5907869</v>
      </c>
      <c r="K18" s="705">
        <v>2656650</v>
      </c>
      <c r="L18" s="706">
        <v>0</v>
      </c>
      <c r="M18" s="705">
        <v>0</v>
      </c>
      <c r="N18" s="705">
        <v>14133020</v>
      </c>
      <c r="O18" s="705">
        <v>6218660</v>
      </c>
      <c r="P18" s="705">
        <v>8028906</v>
      </c>
      <c r="Q18" s="705">
        <v>6709090</v>
      </c>
      <c r="R18" s="705">
        <v>9569047</v>
      </c>
      <c r="S18" s="706">
        <v>0</v>
      </c>
      <c r="T18" s="705">
        <f>923240+1539763</f>
        <v>2463003</v>
      </c>
      <c r="U18" s="705">
        <v>16231796</v>
      </c>
      <c r="V18" s="706">
        <f t="shared" ref="V18" si="3">V13</f>
        <v>0</v>
      </c>
      <c r="W18" s="705">
        <f>7423340+W28</f>
        <v>11423340</v>
      </c>
      <c r="X18" s="705">
        <v>8265025</v>
      </c>
      <c r="Y18" s="705">
        <v>6051280</v>
      </c>
      <c r="Z18" s="706">
        <v>0</v>
      </c>
      <c r="AA18" s="705">
        <v>498960</v>
      </c>
      <c r="AB18" s="705">
        <v>10548945</v>
      </c>
      <c r="AC18" s="705">
        <v>3515250</v>
      </c>
      <c r="AD18" s="707"/>
      <c r="AE18" s="664">
        <f>SUM(B18:AC18)</f>
        <v>144737320</v>
      </c>
      <c r="AF18" s="652"/>
      <c r="AG18" s="753" t="s">
        <v>509</v>
      </c>
      <c r="AH18" s="768"/>
      <c r="AI18" s="772"/>
      <c r="AJ18" s="756">
        <f>W15</f>
        <v>16282604.809999995</v>
      </c>
      <c r="AK18" s="763"/>
      <c r="AL18" s="756">
        <f>AD15</f>
        <v>11203432.809999995</v>
      </c>
      <c r="AM18" s="128"/>
    </row>
    <row r="19" spans="1:40" s="129" customFormat="1" ht="15" thickBot="1" x14ac:dyDescent="0.35">
      <c r="A19" s="687" t="s">
        <v>213</v>
      </c>
      <c r="B19" s="708">
        <f>B15+B16+B18</f>
        <v>41190306.309999995</v>
      </c>
      <c r="C19" s="708">
        <f t="shared" ref="C19:V19" si="4">C15+C16+C18</f>
        <v>25746057.809999995</v>
      </c>
      <c r="D19" s="708">
        <f t="shared" si="4"/>
        <v>17125257.809999995</v>
      </c>
      <c r="E19" s="709">
        <f t="shared" si="4"/>
        <v>16841849.809999995</v>
      </c>
      <c r="F19" s="708">
        <f t="shared" si="4"/>
        <v>16841849.809999995</v>
      </c>
      <c r="G19" s="708">
        <f t="shared" si="4"/>
        <v>25248184.809999995</v>
      </c>
      <c r="H19" s="708">
        <f t="shared" si="4"/>
        <v>25134414.809999995</v>
      </c>
      <c r="I19" s="708">
        <f t="shared" si="4"/>
        <v>18715884.809999995</v>
      </c>
      <c r="J19" s="708">
        <f t="shared" si="4"/>
        <v>17348473.809999995</v>
      </c>
      <c r="K19" s="708">
        <f t="shared" si="4"/>
        <v>19987123.809999995</v>
      </c>
      <c r="L19" s="709">
        <f t="shared" si="4"/>
        <v>5436563.8099999949</v>
      </c>
      <c r="M19" s="708">
        <f t="shared" si="4"/>
        <v>5436563.8099999949</v>
      </c>
      <c r="N19" s="708">
        <f t="shared" si="4"/>
        <v>19569583.809999995</v>
      </c>
      <c r="O19" s="708">
        <f t="shared" si="4"/>
        <v>15415639.809999995</v>
      </c>
      <c r="P19" s="708">
        <f t="shared" si="4"/>
        <v>14411275.809999995</v>
      </c>
      <c r="Q19" s="708">
        <f t="shared" si="4"/>
        <v>13250007.809999995</v>
      </c>
      <c r="R19" s="708">
        <f t="shared" si="4"/>
        <v>15077304.809999995</v>
      </c>
      <c r="S19" s="709">
        <f t="shared" si="4"/>
        <v>5329555.8099999949</v>
      </c>
      <c r="T19" s="708">
        <f t="shared" si="4"/>
        <v>7792558.8099999949</v>
      </c>
      <c r="U19" s="708">
        <f t="shared" si="4"/>
        <v>24024354.809999995</v>
      </c>
      <c r="V19" s="709">
        <f t="shared" si="4"/>
        <v>16282604.809999995</v>
      </c>
      <c r="W19" s="740">
        <f>W15+W16+W18+W17</f>
        <v>27705944.809999995</v>
      </c>
      <c r="X19" s="740">
        <f t="shared" ref="X19:AC19" si="5">X15+X16+X18+X17</f>
        <v>24229219.809999995</v>
      </c>
      <c r="Y19" s="740">
        <f t="shared" si="5"/>
        <v>7055249.8099999949</v>
      </c>
      <c r="Z19" s="741">
        <f t="shared" si="5"/>
        <v>7055249.8099999949</v>
      </c>
      <c r="AA19" s="740">
        <f t="shared" si="5"/>
        <v>7554209.8099999949</v>
      </c>
      <c r="AB19" s="740">
        <f t="shared" si="5"/>
        <v>24103154.809999995</v>
      </c>
      <c r="AC19" s="740">
        <f t="shared" si="5"/>
        <v>11208743.809999995</v>
      </c>
      <c r="AD19" s="710"/>
      <c r="AE19" s="691">
        <f>AE15+AE18+AE16+AE17</f>
        <v>189864456.31</v>
      </c>
      <c r="AF19" s="651"/>
      <c r="AG19" s="754" t="s">
        <v>529</v>
      </c>
      <c r="AH19" s="769"/>
      <c r="AI19" s="772"/>
      <c r="AJ19" s="777">
        <f>AJ17+AJ18</f>
        <v>24931204.809999995</v>
      </c>
      <c r="AK19" s="764"/>
      <c r="AL19" s="777">
        <f>AL17+AL18</f>
        <v>32428845.333999988</v>
      </c>
      <c r="AM19" s="128"/>
    </row>
    <row r="20" spans="1:40" x14ac:dyDescent="0.25">
      <c r="A20" s="181" t="s">
        <v>214</v>
      </c>
      <c r="B20" s="496"/>
      <c r="C20" s="497"/>
      <c r="D20" s="497"/>
      <c r="E20" s="586"/>
      <c r="F20" s="497"/>
      <c r="G20" s="497"/>
      <c r="H20" s="519"/>
      <c r="I20" s="519"/>
      <c r="J20" s="519"/>
      <c r="K20" s="519"/>
      <c r="L20" s="582"/>
      <c r="M20" s="519"/>
      <c r="N20" s="519"/>
      <c r="O20" s="519"/>
      <c r="P20" s="519"/>
      <c r="Q20" s="519"/>
      <c r="R20" s="519"/>
      <c r="S20" s="582"/>
      <c r="T20" s="497"/>
      <c r="U20" s="497"/>
      <c r="V20" s="586"/>
      <c r="W20" s="497"/>
      <c r="X20" s="497"/>
      <c r="Y20" s="497"/>
      <c r="Z20" s="586"/>
      <c r="AA20" s="497"/>
      <c r="AB20" s="497"/>
      <c r="AC20" s="497"/>
      <c r="AD20" s="600"/>
      <c r="AE20" s="182"/>
      <c r="AG20" s="753" t="s">
        <v>514</v>
      </c>
      <c r="AH20" s="769"/>
      <c r="AI20" s="773"/>
      <c r="AJ20" s="776">
        <f>SUM(V22:W22)</f>
        <v>7741750</v>
      </c>
      <c r="AK20" s="763"/>
      <c r="AL20" s="776">
        <f>7741750/100*98.39</f>
        <v>7617107.8250000002</v>
      </c>
    </row>
    <row r="21" spans="1:40" s="129" customFormat="1" ht="15" thickBot="1" x14ac:dyDescent="0.3">
      <c r="A21" s="656" t="s">
        <v>221</v>
      </c>
      <c r="B21" s="657">
        <f>7275280*2</f>
        <v>14550560</v>
      </c>
      <c r="C21" s="658"/>
      <c r="D21" s="658"/>
      <c r="E21" s="659"/>
      <c r="F21" s="658"/>
      <c r="G21" s="657">
        <f>7275280*1</f>
        <v>7275280</v>
      </c>
      <c r="H21" s="657">
        <f>7275280*2</f>
        <v>14550560</v>
      </c>
      <c r="I21" s="657">
        <f>7275280*1</f>
        <v>7275280</v>
      </c>
      <c r="J21" s="660"/>
      <c r="K21" s="660">
        <f>7275280*2</f>
        <v>14550560</v>
      </c>
      <c r="L21" s="661"/>
      <c r="M21" s="657"/>
      <c r="N21" s="657"/>
      <c r="O21" s="657"/>
      <c r="P21" s="657"/>
      <c r="Q21" s="657"/>
      <c r="R21" s="657"/>
      <c r="S21" s="661"/>
      <c r="T21" s="658"/>
      <c r="U21" s="660"/>
      <c r="V21" s="662"/>
      <c r="W21" s="742"/>
      <c r="X21" s="742"/>
      <c r="Y21" s="660"/>
      <c r="Z21" s="662"/>
      <c r="AA21" s="660"/>
      <c r="AB21" s="742"/>
      <c r="AC21" s="660"/>
      <c r="AD21" s="663"/>
      <c r="AE21" s="664">
        <f t="shared" ref="AE21:AE29" si="6">SUM(B21:AC21)</f>
        <v>58202240</v>
      </c>
      <c r="AF21" s="652"/>
      <c r="AG21" s="755" t="s">
        <v>505</v>
      </c>
      <c r="AH21" s="770"/>
      <c r="AI21" s="774"/>
      <c r="AJ21" s="757">
        <f>AJ19-AJ20</f>
        <v>17189454.809999995</v>
      </c>
      <c r="AK21" s="765"/>
      <c r="AL21" s="757">
        <f>AL19-AL20</f>
        <v>24811737.508999988</v>
      </c>
      <c r="AM21" s="128"/>
    </row>
    <row r="22" spans="1:40" s="129" customFormat="1" ht="15" thickBot="1" x14ac:dyDescent="0.35">
      <c r="A22" s="656" t="s">
        <v>182</v>
      </c>
      <c r="B22" s="660"/>
      <c r="C22" s="660"/>
      <c r="D22" s="660"/>
      <c r="E22" s="662"/>
      <c r="F22" s="660"/>
      <c r="G22" s="660"/>
      <c r="H22" s="660"/>
      <c r="I22" s="660"/>
      <c r="J22" s="660"/>
      <c r="K22" s="660"/>
      <c r="L22" s="662"/>
      <c r="M22" s="660"/>
      <c r="N22" s="660">
        <f>7741750*1</f>
        <v>7741750</v>
      </c>
      <c r="O22" s="660">
        <f>7741750*1</f>
        <v>7741750</v>
      </c>
      <c r="P22" s="660">
        <f>7741750*1</f>
        <v>7741750</v>
      </c>
      <c r="Q22" s="660">
        <f>7741750*1</f>
        <v>7741750</v>
      </c>
      <c r="R22" s="660">
        <f>7741750*1</f>
        <v>7741750</v>
      </c>
      <c r="S22" s="662"/>
      <c r="T22" s="660"/>
      <c r="U22" s="660">
        <f>7741750*1</f>
        <v>7741750</v>
      </c>
      <c r="V22" s="735"/>
      <c r="W22" s="745">
        <v>7741750</v>
      </c>
      <c r="X22" s="746">
        <f>7741750*3</f>
        <v>23225250</v>
      </c>
      <c r="Y22" s="660"/>
      <c r="Z22" s="662"/>
      <c r="AA22" s="750"/>
      <c r="AB22" s="747">
        <f>7741750*2</f>
        <v>15483500</v>
      </c>
      <c r="AC22" s="751"/>
      <c r="AD22" s="665"/>
      <c r="AE22" s="664">
        <f t="shared" si="6"/>
        <v>92901000</v>
      </c>
      <c r="AF22" s="652"/>
      <c r="AG22" s="652"/>
      <c r="AH22" s="652"/>
      <c r="AI22" s="652"/>
      <c r="AJ22" s="652"/>
      <c r="AK22" s="652"/>
      <c r="AL22" s="652"/>
      <c r="AM22" s="128"/>
    </row>
    <row r="23" spans="1:40" s="129" customFormat="1" x14ac:dyDescent="0.3">
      <c r="A23" s="656" t="s">
        <v>468</v>
      </c>
      <c r="B23" s="666"/>
      <c r="C23" s="667"/>
      <c r="D23" s="660"/>
      <c r="E23" s="662"/>
      <c r="F23" s="660"/>
      <c r="G23" s="668"/>
      <c r="H23" s="669"/>
      <c r="I23" s="669"/>
      <c r="J23" s="669"/>
      <c r="K23" s="669"/>
      <c r="L23" s="670"/>
      <c r="M23" s="669"/>
      <c r="N23" s="669"/>
      <c r="O23" s="669"/>
      <c r="P23" s="669"/>
      <c r="Q23" s="669"/>
      <c r="R23" s="669"/>
      <c r="S23" s="670"/>
      <c r="T23" s="660"/>
      <c r="U23" s="658"/>
      <c r="V23" s="659"/>
      <c r="W23" s="658"/>
      <c r="X23" s="743"/>
      <c r="Y23" s="660"/>
      <c r="Z23" s="662"/>
      <c r="AA23" s="660"/>
      <c r="AB23" s="658"/>
      <c r="AC23" s="660"/>
      <c r="AD23" s="671"/>
      <c r="AE23" s="664">
        <f t="shared" si="6"/>
        <v>0</v>
      </c>
      <c r="AF23" s="652"/>
      <c r="AG23" s="727" t="s">
        <v>524</v>
      </c>
      <c r="AH23" s="728"/>
      <c r="AI23" s="786" t="s">
        <v>520</v>
      </c>
      <c r="AJ23" s="778" t="s">
        <v>521</v>
      </c>
      <c r="AK23" s="778" t="s">
        <v>530</v>
      </c>
      <c r="AL23" s="749"/>
      <c r="AM23" s="128"/>
    </row>
    <row r="24" spans="1:40" s="129" customFormat="1" x14ac:dyDescent="0.3">
      <c r="A24" s="656" t="s">
        <v>215</v>
      </c>
      <c r="B24" s="658">
        <v>2138392.5</v>
      </c>
      <c r="C24" s="660">
        <v>1633995</v>
      </c>
      <c r="D24" s="660">
        <v>50490</v>
      </c>
      <c r="E24" s="662"/>
      <c r="F24" s="660"/>
      <c r="G24" s="660">
        <v>102000</v>
      </c>
      <c r="H24" s="669">
        <v>119600</v>
      </c>
      <c r="I24" s="669"/>
      <c r="J24" s="673">
        <v>18000</v>
      </c>
      <c r="K24" s="669"/>
      <c r="L24" s="670"/>
      <c r="M24" s="669"/>
      <c r="N24" s="669">
        <v>205101</v>
      </c>
      <c r="O24" s="669">
        <v>1000000</v>
      </c>
      <c r="P24" s="669">
        <v>128608</v>
      </c>
      <c r="Q24" s="669"/>
      <c r="R24" s="669"/>
      <c r="S24" s="670"/>
      <c r="T24" s="660"/>
      <c r="U24" s="660"/>
      <c r="V24" s="662"/>
      <c r="W24" s="660"/>
      <c r="X24" s="660"/>
      <c r="Y24" s="660"/>
      <c r="Z24" s="662"/>
      <c r="AA24" s="660"/>
      <c r="AB24" s="660">
        <v>926161</v>
      </c>
      <c r="AC24" s="660">
        <v>5311</v>
      </c>
      <c r="AD24" s="671"/>
      <c r="AE24" s="664">
        <f t="shared" si="6"/>
        <v>6327658.5</v>
      </c>
      <c r="AF24" s="652"/>
      <c r="AG24" s="729" t="s">
        <v>528</v>
      </c>
      <c r="AH24" s="653"/>
      <c r="AI24" s="787">
        <v>837</v>
      </c>
      <c r="AJ24" s="779">
        <f>AG12</f>
        <v>0</v>
      </c>
      <c r="AK24" s="779">
        <f>AE12</f>
        <v>1392.6120000000001</v>
      </c>
      <c r="AL24" s="672"/>
      <c r="AM24" s="128"/>
    </row>
    <row r="25" spans="1:40" s="129" customFormat="1" x14ac:dyDescent="0.3">
      <c r="A25" s="675" t="s">
        <v>216</v>
      </c>
      <c r="B25" s="666"/>
      <c r="C25" s="667"/>
      <c r="D25" s="660">
        <v>232918</v>
      </c>
      <c r="E25" s="662"/>
      <c r="F25" s="667"/>
      <c r="G25" s="660"/>
      <c r="H25" s="669"/>
      <c r="I25" s="669"/>
      <c r="J25" s="669"/>
      <c r="K25" s="669"/>
      <c r="L25" s="670"/>
      <c r="M25" s="669"/>
      <c r="N25" s="669">
        <v>2425753</v>
      </c>
      <c r="O25" s="669">
        <v>291520</v>
      </c>
      <c r="P25" s="669"/>
      <c r="Q25" s="669"/>
      <c r="R25" s="669">
        <v>2005999</v>
      </c>
      <c r="S25" s="670"/>
      <c r="T25" s="660"/>
      <c r="U25" s="660"/>
      <c r="V25" s="662"/>
      <c r="W25" s="660"/>
      <c r="X25" s="660"/>
      <c r="Y25" s="660"/>
      <c r="Z25" s="662"/>
      <c r="AA25" s="660"/>
      <c r="AB25" s="660"/>
      <c r="AC25" s="660"/>
      <c r="AD25" s="671"/>
      <c r="AE25" s="664">
        <f t="shared" si="6"/>
        <v>4956190</v>
      </c>
      <c r="AF25" s="676"/>
      <c r="AG25" s="729" t="s">
        <v>525</v>
      </c>
      <c r="AH25" s="619"/>
      <c r="AI25" s="788">
        <v>550</v>
      </c>
      <c r="AJ25" s="779">
        <f>AI17</f>
        <v>140.54</v>
      </c>
      <c r="AK25" s="779">
        <f>AK17</f>
        <v>203.91599999999994</v>
      </c>
      <c r="AL25" s="674"/>
      <c r="AM25" s="128"/>
    </row>
    <row r="26" spans="1:40" s="129" customFormat="1" x14ac:dyDescent="0.3">
      <c r="A26" s="675" t="s">
        <v>527</v>
      </c>
      <c r="B26" s="666"/>
      <c r="C26" s="667"/>
      <c r="D26" s="660"/>
      <c r="E26" s="662"/>
      <c r="F26" s="667"/>
      <c r="G26" s="660"/>
      <c r="H26" s="669"/>
      <c r="I26" s="669"/>
      <c r="J26" s="669"/>
      <c r="K26" s="669"/>
      <c r="L26" s="670"/>
      <c r="M26" s="669"/>
      <c r="N26" s="669"/>
      <c r="O26" s="669"/>
      <c r="P26" s="669"/>
      <c r="Q26" s="669"/>
      <c r="R26" s="669"/>
      <c r="S26" s="670"/>
      <c r="T26" s="660"/>
      <c r="U26" s="660"/>
      <c r="V26" s="662"/>
      <c r="W26" s="660"/>
      <c r="X26" s="660"/>
      <c r="Y26" s="660"/>
      <c r="Z26" s="662"/>
      <c r="AA26" s="660"/>
      <c r="AB26" s="744"/>
      <c r="AC26" s="660"/>
      <c r="AD26" s="671"/>
      <c r="AE26" s="664">
        <f t="shared" si="6"/>
        <v>0</v>
      </c>
      <c r="AF26" s="676"/>
      <c r="AG26" s="791" t="s">
        <v>522</v>
      </c>
      <c r="AH26" s="792"/>
      <c r="AI26" s="789">
        <v>1200</v>
      </c>
      <c r="AJ26" s="780">
        <v>1000</v>
      </c>
      <c r="AK26" s="780">
        <v>0</v>
      </c>
      <c r="AL26" s="672"/>
      <c r="AM26" s="128"/>
    </row>
    <row r="27" spans="1:40" s="129" customFormat="1" x14ac:dyDescent="0.3">
      <c r="A27" s="656" t="s">
        <v>217</v>
      </c>
      <c r="B27" s="666"/>
      <c r="C27" s="667"/>
      <c r="D27" s="660"/>
      <c r="E27" s="662"/>
      <c r="F27" s="667"/>
      <c r="G27" s="660"/>
      <c r="H27" s="669"/>
      <c r="I27" s="669"/>
      <c r="J27" s="669"/>
      <c r="K27" s="669"/>
      <c r="L27" s="670"/>
      <c r="M27" s="669"/>
      <c r="N27" s="669"/>
      <c r="O27" s="669"/>
      <c r="P27" s="669"/>
      <c r="Q27" s="669"/>
      <c r="R27" s="669"/>
      <c r="S27" s="670"/>
      <c r="T27" s="660"/>
      <c r="U27" s="660"/>
      <c r="V27" s="662"/>
      <c r="W27" s="660"/>
      <c r="X27" s="660"/>
      <c r="Y27" s="660"/>
      <c r="Z27" s="662"/>
      <c r="AA27" s="660"/>
      <c r="AB27" s="660"/>
      <c r="AC27" s="660"/>
      <c r="AD27" s="671"/>
      <c r="AE27" s="664">
        <f t="shared" si="6"/>
        <v>0</v>
      </c>
      <c r="AF27" s="652"/>
      <c r="AG27" s="727" t="s">
        <v>523</v>
      </c>
      <c r="AH27" s="732"/>
      <c r="AI27" s="793">
        <f>SUM(AI24:AI26)</f>
        <v>2587</v>
      </c>
      <c r="AJ27" s="794">
        <f>SUM(AJ24:AJ26)</f>
        <v>1140.54</v>
      </c>
      <c r="AK27" s="794">
        <f>SUM(AK24:AK26)</f>
        <v>1596.528</v>
      </c>
      <c r="AL27" s="672"/>
      <c r="AM27" s="128"/>
    </row>
    <row r="28" spans="1:40" s="129" customFormat="1" x14ac:dyDescent="0.3">
      <c r="A28" s="678" t="s">
        <v>148</v>
      </c>
      <c r="B28" s="679"/>
      <c r="C28" s="680"/>
      <c r="D28" s="681"/>
      <c r="E28" s="662"/>
      <c r="F28" s="680"/>
      <c r="G28" s="681"/>
      <c r="H28" s="682"/>
      <c r="I28" s="682"/>
      <c r="J28" s="682"/>
      <c r="K28" s="682"/>
      <c r="L28" s="670"/>
      <c r="M28" s="682"/>
      <c r="N28" s="682"/>
      <c r="O28" s="682"/>
      <c r="P28" s="682"/>
      <c r="Q28" s="682"/>
      <c r="R28" s="682"/>
      <c r="S28" s="670"/>
      <c r="T28" s="681"/>
      <c r="U28" s="682"/>
      <c r="V28" s="662"/>
      <c r="W28" s="681">
        <v>4000000</v>
      </c>
      <c r="X28" s="681"/>
      <c r="Y28" s="681"/>
      <c r="Z28" s="662"/>
      <c r="AA28" s="682"/>
      <c r="AB28" s="682"/>
      <c r="AC28" s="682"/>
      <c r="AD28" s="683"/>
      <c r="AE28" s="684">
        <f t="shared" si="6"/>
        <v>4000000</v>
      </c>
      <c r="AF28" s="652"/>
      <c r="AG28" s="791" t="s">
        <v>519</v>
      </c>
      <c r="AH28" s="792"/>
      <c r="AI28" s="789">
        <v>100</v>
      </c>
      <c r="AJ28" s="780">
        <v>99</v>
      </c>
      <c r="AK28" s="782">
        <f>AK17</f>
        <v>203.91599999999994</v>
      </c>
      <c r="AL28" s="677"/>
      <c r="AM28" s="128"/>
    </row>
    <row r="29" spans="1:40" s="129" customFormat="1" x14ac:dyDescent="0.3">
      <c r="A29" s="656" t="s">
        <v>466</v>
      </c>
      <c r="B29" s="666"/>
      <c r="C29" s="686">
        <v>12273935</v>
      </c>
      <c r="D29" s="660"/>
      <c r="E29" s="662"/>
      <c r="F29" s="660"/>
      <c r="G29" s="660"/>
      <c r="H29" s="686"/>
      <c r="I29" s="686"/>
      <c r="J29" s="669"/>
      <c r="K29" s="669"/>
      <c r="L29" s="670"/>
      <c r="M29" s="669"/>
      <c r="N29" s="669"/>
      <c r="O29" s="669"/>
      <c r="P29" s="669"/>
      <c r="Q29" s="669"/>
      <c r="R29" s="669"/>
      <c r="S29" s="670"/>
      <c r="T29" s="660"/>
      <c r="U29" s="660"/>
      <c r="V29" s="662"/>
      <c r="W29" s="660"/>
      <c r="X29" s="660"/>
      <c r="Y29" s="660"/>
      <c r="Z29" s="662"/>
      <c r="AA29" s="660"/>
      <c r="AB29" s="660"/>
      <c r="AC29" s="660"/>
      <c r="AD29" s="671"/>
      <c r="AE29" s="664">
        <f t="shared" si="6"/>
        <v>12273935</v>
      </c>
      <c r="AF29" s="652"/>
      <c r="AG29" s="730" t="s">
        <v>531</v>
      </c>
      <c r="AH29" s="731"/>
      <c r="AI29" s="790">
        <f>AI27-AI28</f>
        <v>2487</v>
      </c>
      <c r="AJ29" s="781">
        <f>AJ27-AJ28</f>
        <v>1041.54</v>
      </c>
      <c r="AK29" s="783">
        <f>AK27-AK28</f>
        <v>1392.6120000000001</v>
      </c>
      <c r="AL29" s="685"/>
      <c r="AM29" s="128"/>
    </row>
    <row r="30" spans="1:40" s="129" customFormat="1" ht="15" thickBot="1" x14ac:dyDescent="0.35">
      <c r="A30" s="687" t="s">
        <v>218</v>
      </c>
      <c r="B30" s="688">
        <f>SUM(B21:B29)</f>
        <v>16688952.5</v>
      </c>
      <c r="C30" s="688">
        <f>SUM(C21:C29)</f>
        <v>13907930</v>
      </c>
      <c r="D30" s="688">
        <f t="shared" ref="D30:AC30" si="7">SUM(D21:D29)</f>
        <v>283408</v>
      </c>
      <c r="E30" s="689">
        <f t="shared" si="7"/>
        <v>0</v>
      </c>
      <c r="F30" s="688">
        <f t="shared" si="7"/>
        <v>0</v>
      </c>
      <c r="G30" s="688">
        <f t="shared" si="7"/>
        <v>7377280</v>
      </c>
      <c r="H30" s="688">
        <f t="shared" si="7"/>
        <v>14670160</v>
      </c>
      <c r="I30" s="688">
        <f t="shared" si="7"/>
        <v>7275280</v>
      </c>
      <c r="J30" s="688">
        <f t="shared" si="7"/>
        <v>18000</v>
      </c>
      <c r="K30" s="688">
        <f t="shared" si="7"/>
        <v>14550560</v>
      </c>
      <c r="L30" s="689">
        <f t="shared" si="7"/>
        <v>0</v>
      </c>
      <c r="M30" s="688">
        <f t="shared" si="7"/>
        <v>0</v>
      </c>
      <c r="N30" s="688">
        <f t="shared" si="7"/>
        <v>10372604</v>
      </c>
      <c r="O30" s="688">
        <f t="shared" si="7"/>
        <v>9033270</v>
      </c>
      <c r="P30" s="688">
        <f t="shared" si="7"/>
        <v>7870358</v>
      </c>
      <c r="Q30" s="688">
        <f t="shared" si="7"/>
        <v>7741750</v>
      </c>
      <c r="R30" s="688">
        <f t="shared" si="7"/>
        <v>9747749</v>
      </c>
      <c r="S30" s="689">
        <f t="shared" si="7"/>
        <v>0</v>
      </c>
      <c r="T30" s="688">
        <f t="shared" si="7"/>
        <v>0</v>
      </c>
      <c r="U30" s="688">
        <f t="shared" si="7"/>
        <v>7741750</v>
      </c>
      <c r="V30" s="689">
        <f t="shared" si="7"/>
        <v>0</v>
      </c>
      <c r="W30" s="688">
        <f t="shared" si="7"/>
        <v>11741750</v>
      </c>
      <c r="X30" s="688">
        <f t="shared" si="7"/>
        <v>23225250</v>
      </c>
      <c r="Y30" s="688">
        <f t="shared" si="7"/>
        <v>0</v>
      </c>
      <c r="Z30" s="689">
        <f t="shared" si="7"/>
        <v>0</v>
      </c>
      <c r="AA30" s="688">
        <f t="shared" si="7"/>
        <v>0</v>
      </c>
      <c r="AB30" s="688">
        <f t="shared" si="7"/>
        <v>16409661</v>
      </c>
      <c r="AC30" s="688">
        <f t="shared" si="7"/>
        <v>5311</v>
      </c>
      <c r="AD30" s="690"/>
      <c r="AE30" s="691">
        <f>SUM(AE21:AE29)</f>
        <v>178661023.5</v>
      </c>
      <c r="AF30" s="651"/>
      <c r="AG30" s="692"/>
      <c r="AH30" s="784"/>
      <c r="AI30" s="785"/>
      <c r="AJ30" s="785"/>
      <c r="AK30" s="692"/>
      <c r="AL30" s="692"/>
      <c r="AM30" s="128"/>
    </row>
    <row r="31" spans="1:40" x14ac:dyDescent="0.25">
      <c r="AG31" s="617"/>
      <c r="AH31" s="619"/>
      <c r="AI31" s="649"/>
      <c r="AJ31" s="617"/>
      <c r="AK31" s="617"/>
      <c r="AL31" s="733"/>
    </row>
    <row r="32" spans="1:40" x14ac:dyDescent="0.25">
      <c r="AG32" s="617"/>
      <c r="AH32" s="653"/>
      <c r="AI32" s="649"/>
      <c r="AJ32" s="617"/>
      <c r="AK32" s="648"/>
      <c r="AL32" s="648"/>
    </row>
    <row r="33" spans="1:38" x14ac:dyDescent="0.3">
      <c r="A33" s="196"/>
      <c r="AG33" s="618"/>
      <c r="AH33" s="622"/>
      <c r="AI33" s="650"/>
      <c r="AJ33" s="650"/>
      <c r="AK33" s="627"/>
      <c r="AL33" s="627"/>
    </row>
    <row r="34" spans="1:38" x14ac:dyDescent="0.3">
      <c r="A34" s="196"/>
      <c r="AG34" s="618"/>
      <c r="AH34" s="622"/>
      <c r="AI34" s="650"/>
      <c r="AJ34" s="650"/>
      <c r="AK34" s="627"/>
      <c r="AL34" s="627"/>
    </row>
    <row r="35" spans="1:38" x14ac:dyDescent="0.25">
      <c r="A35" s="200"/>
      <c r="B35" s="544"/>
      <c r="C35" s="544"/>
      <c r="D35" s="544"/>
      <c r="E35" s="585"/>
      <c r="F35" s="544"/>
      <c r="G35" s="544"/>
      <c r="H35" s="544"/>
      <c r="I35" s="544"/>
      <c r="J35" s="544"/>
      <c r="K35" s="544"/>
      <c r="L35" s="585"/>
      <c r="M35" s="544"/>
      <c r="N35" s="544"/>
      <c r="O35" s="544"/>
      <c r="P35" s="544"/>
      <c r="Q35" s="544"/>
      <c r="R35" s="544"/>
      <c r="AG35" s="617"/>
      <c r="AH35" s="620"/>
      <c r="AI35" s="620"/>
      <c r="AJ35" s="649"/>
      <c r="AK35" s="618"/>
      <c r="AL35" s="618"/>
    </row>
    <row r="36" spans="1:38" x14ac:dyDescent="0.3">
      <c r="A36" s="196"/>
      <c r="AG36" s="617"/>
      <c r="AH36" s="620"/>
      <c r="AI36" s="620"/>
      <c r="AJ36" s="617"/>
      <c r="AK36" s="617"/>
      <c r="AL36" s="617"/>
    </row>
    <row r="37" spans="1:38" x14ac:dyDescent="0.3">
      <c r="A37" s="196"/>
      <c r="AG37" s="618"/>
      <c r="AH37" s="622"/>
      <c r="AI37" s="622"/>
      <c r="AJ37" s="650"/>
      <c r="AK37" s="620"/>
    </row>
    <row r="38" spans="1:38" x14ac:dyDescent="0.25">
      <c r="A38" s="200"/>
      <c r="AG38" s="618"/>
      <c r="AH38" s="622"/>
      <c r="AI38" s="622"/>
      <c r="AJ38" s="618"/>
      <c r="AK38" s="620"/>
    </row>
    <row r="39" spans="1:38" x14ac:dyDescent="0.25">
      <c r="AJ39" s="200"/>
    </row>
    <row r="40" spans="1:38" x14ac:dyDescent="0.25">
      <c r="A40" s="190"/>
      <c r="AJ40" s="200"/>
    </row>
  </sheetData>
  <mergeCells count="4">
    <mergeCell ref="A4:A5"/>
    <mergeCell ref="AE4:AE5"/>
    <mergeCell ref="AI15:AJ15"/>
    <mergeCell ref="AK15:AL15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5"/>
  <sheetViews>
    <sheetView zoomScale="131" zoomScaleNormal="13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18.44140625" style="146" bestFit="1" customWidth="1"/>
    <col min="2" max="2" width="7" style="146" customWidth="1"/>
    <col min="3" max="3" width="8.6640625" style="146" bestFit="1" customWidth="1"/>
    <col min="4" max="4" width="9.77734375" style="146" customWidth="1"/>
    <col min="5" max="5" width="10" style="146" bestFit="1" customWidth="1"/>
    <col min="6" max="6" width="9.77734375" style="146" bestFit="1" customWidth="1"/>
    <col min="7" max="7" width="9.44140625" style="146" customWidth="1"/>
    <col min="8" max="9" width="9.77734375" style="146" bestFit="1" customWidth="1"/>
    <col min="10" max="10" width="8.109375" style="146" bestFit="1" customWidth="1"/>
    <col min="11" max="11" width="8.6640625" style="146" bestFit="1" customWidth="1"/>
    <col min="12" max="12" width="8.44140625" style="146" bestFit="1" customWidth="1"/>
    <col min="13" max="14" width="8.88671875" style="146"/>
  </cols>
  <sheetData>
    <row r="1" spans="1:14" ht="18" thickBot="1" x14ac:dyDescent="0.35">
      <c r="A1" s="2" t="s">
        <v>224</v>
      </c>
    </row>
    <row r="2" spans="1:14" s="1" customFormat="1" ht="34.799999999999997" thickBot="1" x14ac:dyDescent="0.35">
      <c r="A2" s="148" t="s">
        <v>177</v>
      </c>
      <c r="B2" s="149" t="s">
        <v>196</v>
      </c>
      <c r="C2" s="150" t="s">
        <v>10</v>
      </c>
      <c r="D2" s="151" t="s">
        <v>4</v>
      </c>
      <c r="E2" s="152" t="s">
        <v>5</v>
      </c>
      <c r="F2" s="152" t="s">
        <v>6</v>
      </c>
      <c r="G2" s="152" t="s">
        <v>155</v>
      </c>
      <c r="H2" s="152" t="s">
        <v>7</v>
      </c>
      <c r="I2" s="153" t="s">
        <v>8</v>
      </c>
      <c r="J2" s="149" t="s">
        <v>9</v>
      </c>
      <c r="K2" s="154" t="s">
        <v>195</v>
      </c>
      <c r="L2" s="155" t="s">
        <v>13</v>
      </c>
      <c r="M2" s="147"/>
      <c r="N2" s="147"/>
    </row>
    <row r="3" spans="1:14" s="57" customFormat="1" x14ac:dyDescent="0.3">
      <c r="A3" s="225" t="s">
        <v>178</v>
      </c>
      <c r="B3" s="226" t="s">
        <v>179</v>
      </c>
      <c r="C3" s="468">
        <v>1140</v>
      </c>
      <c r="D3" s="227">
        <v>25</v>
      </c>
      <c r="E3" s="228">
        <v>10</v>
      </c>
      <c r="F3" s="228"/>
      <c r="G3" s="228">
        <v>25</v>
      </c>
      <c r="H3" s="228"/>
      <c r="I3" s="229">
        <f t="shared" ref="I3:I34" si="0">SUM(D3:H3)</f>
        <v>60</v>
      </c>
      <c r="J3" s="230">
        <f t="shared" ref="J3:J45" si="1">C3-I3</f>
        <v>1080</v>
      </c>
      <c r="K3" s="452">
        <f>C3/12</f>
        <v>95</v>
      </c>
      <c r="L3" s="453">
        <f>J3/12</f>
        <v>90</v>
      </c>
      <c r="M3" s="224"/>
      <c r="N3" s="224"/>
    </row>
    <row r="4" spans="1:14" s="57" customFormat="1" x14ac:dyDescent="0.3">
      <c r="A4" s="231" t="s">
        <v>182</v>
      </c>
      <c r="B4" s="232" t="s">
        <v>179</v>
      </c>
      <c r="C4" s="469">
        <v>1140</v>
      </c>
      <c r="D4" s="233">
        <v>15</v>
      </c>
      <c r="E4" s="234">
        <v>20</v>
      </c>
      <c r="F4" s="234">
        <v>10</v>
      </c>
      <c r="G4" s="234"/>
      <c r="H4" s="234">
        <v>10</v>
      </c>
      <c r="I4" s="235">
        <f t="shared" si="0"/>
        <v>55</v>
      </c>
      <c r="J4" s="236">
        <f t="shared" si="1"/>
        <v>1085</v>
      </c>
      <c r="K4" s="454">
        <f t="shared" ref="K4:K18" si="2">C4/12</f>
        <v>95</v>
      </c>
      <c r="L4" s="455">
        <f t="shared" ref="L4:L18" si="3">J4/12</f>
        <v>90.416666666666671</v>
      </c>
      <c r="M4" s="224"/>
      <c r="N4" s="224"/>
    </row>
    <row r="5" spans="1:14" s="57" customFormat="1" x14ac:dyDescent="0.3">
      <c r="A5" s="231" t="s">
        <v>453</v>
      </c>
      <c r="B5" s="232" t="s">
        <v>179</v>
      </c>
      <c r="C5" s="469">
        <v>1155</v>
      </c>
      <c r="D5" s="233"/>
      <c r="E5" s="234"/>
      <c r="F5" s="234"/>
      <c r="G5" s="234"/>
      <c r="H5" s="234"/>
      <c r="I5" s="235"/>
      <c r="J5" s="236">
        <f t="shared" si="1"/>
        <v>1155</v>
      </c>
      <c r="K5" s="454">
        <f t="shared" si="2"/>
        <v>96.25</v>
      </c>
      <c r="L5" s="455">
        <f t="shared" si="3"/>
        <v>96.25</v>
      </c>
      <c r="M5" s="224"/>
      <c r="N5" s="224"/>
    </row>
    <row r="6" spans="1:14" s="57" customFormat="1" x14ac:dyDescent="0.3">
      <c r="A6" s="231" t="s">
        <v>2</v>
      </c>
      <c r="B6" s="232" t="s">
        <v>179</v>
      </c>
      <c r="C6" s="469">
        <v>1155</v>
      </c>
      <c r="D6" s="233">
        <v>30</v>
      </c>
      <c r="E6" s="234">
        <v>25</v>
      </c>
      <c r="F6" s="234"/>
      <c r="G6" s="234">
        <v>20</v>
      </c>
      <c r="H6" s="234"/>
      <c r="I6" s="235">
        <f t="shared" si="0"/>
        <v>75</v>
      </c>
      <c r="J6" s="236">
        <f t="shared" si="1"/>
        <v>1080</v>
      </c>
      <c r="K6" s="454">
        <f t="shared" si="2"/>
        <v>96.25</v>
      </c>
      <c r="L6" s="455">
        <f t="shared" si="3"/>
        <v>90</v>
      </c>
      <c r="M6" s="224"/>
      <c r="N6" s="224"/>
    </row>
    <row r="7" spans="1:14" s="57" customFormat="1" x14ac:dyDescent="0.3">
      <c r="A7" s="237" t="s">
        <v>190</v>
      </c>
      <c r="B7" s="238" t="s">
        <v>179</v>
      </c>
      <c r="C7" s="469">
        <v>1170</v>
      </c>
      <c r="D7" s="233">
        <v>15</v>
      </c>
      <c r="E7" s="234">
        <v>25</v>
      </c>
      <c r="F7" s="234"/>
      <c r="G7" s="234">
        <v>25</v>
      </c>
      <c r="H7" s="234">
        <v>10</v>
      </c>
      <c r="I7" s="235">
        <f t="shared" si="0"/>
        <v>75</v>
      </c>
      <c r="J7" s="236">
        <f t="shared" si="1"/>
        <v>1095</v>
      </c>
      <c r="K7" s="454">
        <f t="shared" si="2"/>
        <v>97.5</v>
      </c>
      <c r="L7" s="455">
        <f t="shared" si="3"/>
        <v>91.25</v>
      </c>
      <c r="M7" s="224"/>
      <c r="N7" s="224"/>
    </row>
    <row r="8" spans="1:14" s="57" customFormat="1" x14ac:dyDescent="0.3">
      <c r="A8" s="237" t="s">
        <v>191</v>
      </c>
      <c r="B8" s="238" t="s">
        <v>179</v>
      </c>
      <c r="C8" s="469">
        <v>1140</v>
      </c>
      <c r="D8" s="233">
        <v>25</v>
      </c>
      <c r="E8" s="234">
        <v>10</v>
      </c>
      <c r="F8" s="234"/>
      <c r="G8" s="234">
        <v>25</v>
      </c>
      <c r="H8" s="234"/>
      <c r="I8" s="235">
        <f t="shared" si="0"/>
        <v>60</v>
      </c>
      <c r="J8" s="236">
        <f t="shared" si="1"/>
        <v>1080</v>
      </c>
      <c r="K8" s="454">
        <f t="shared" si="2"/>
        <v>95</v>
      </c>
      <c r="L8" s="455">
        <f t="shared" si="3"/>
        <v>90</v>
      </c>
      <c r="M8" s="224"/>
      <c r="N8" s="224"/>
    </row>
    <row r="9" spans="1:14" s="57" customFormat="1" x14ac:dyDescent="0.3">
      <c r="A9" s="237" t="s">
        <v>192</v>
      </c>
      <c r="B9" s="238" t="s">
        <v>179</v>
      </c>
      <c r="C9" s="469">
        <v>1145</v>
      </c>
      <c r="D9" s="233">
        <v>25</v>
      </c>
      <c r="E9" s="234">
        <v>15</v>
      </c>
      <c r="F9" s="234"/>
      <c r="G9" s="234">
        <v>30</v>
      </c>
      <c r="H9" s="234"/>
      <c r="I9" s="235">
        <f t="shared" si="0"/>
        <v>70</v>
      </c>
      <c r="J9" s="236">
        <f t="shared" si="1"/>
        <v>1075</v>
      </c>
      <c r="K9" s="454">
        <f t="shared" si="2"/>
        <v>95.416666666666671</v>
      </c>
      <c r="L9" s="455">
        <f t="shared" si="3"/>
        <v>89.583333333333329</v>
      </c>
      <c r="M9" s="224"/>
      <c r="N9" s="224"/>
    </row>
    <row r="10" spans="1:14" s="158" customFormat="1" x14ac:dyDescent="0.3">
      <c r="A10" s="202" t="s">
        <v>193</v>
      </c>
      <c r="B10" s="203" t="s">
        <v>179</v>
      </c>
      <c r="C10" s="470">
        <v>1135</v>
      </c>
      <c r="D10" s="204"/>
      <c r="E10" s="205"/>
      <c r="F10" s="205"/>
      <c r="G10" s="205">
        <v>15</v>
      </c>
      <c r="H10" s="205"/>
      <c r="I10" s="206">
        <f t="shared" si="0"/>
        <v>15</v>
      </c>
      <c r="J10" s="207">
        <f t="shared" si="1"/>
        <v>1120</v>
      </c>
      <c r="K10" s="456">
        <f t="shared" si="2"/>
        <v>94.583333333333329</v>
      </c>
      <c r="L10" s="457">
        <f t="shared" si="3"/>
        <v>93.333333333333329</v>
      </c>
      <c r="M10" s="157"/>
      <c r="N10" s="157"/>
    </row>
    <row r="11" spans="1:14" s="57" customFormat="1" x14ac:dyDescent="0.3">
      <c r="A11" s="237" t="s">
        <v>454</v>
      </c>
      <c r="B11" s="238" t="s">
        <v>179</v>
      </c>
      <c r="C11" s="469">
        <v>1150</v>
      </c>
      <c r="D11" s="233"/>
      <c r="E11" s="234"/>
      <c r="F11" s="234"/>
      <c r="G11" s="234"/>
      <c r="H11" s="234"/>
      <c r="I11" s="235"/>
      <c r="J11" s="236">
        <f t="shared" ref="J11" si="4">C11-I11</f>
        <v>1150</v>
      </c>
      <c r="K11" s="454">
        <f t="shared" ref="K11" si="5">C11/12</f>
        <v>95.833333333333329</v>
      </c>
      <c r="L11" s="455">
        <f t="shared" ref="L11" si="6">J11/12</f>
        <v>95.833333333333329</v>
      </c>
      <c r="M11" s="224"/>
      <c r="N11" s="224"/>
    </row>
    <row r="12" spans="1:14" s="57" customFormat="1" x14ac:dyDescent="0.3">
      <c r="A12" s="237" t="s">
        <v>194</v>
      </c>
      <c r="B12" s="238" t="s">
        <v>179</v>
      </c>
      <c r="C12" s="469">
        <v>1133</v>
      </c>
      <c r="D12" s="233"/>
      <c r="E12" s="234">
        <v>30</v>
      </c>
      <c r="F12" s="234"/>
      <c r="G12" s="234"/>
      <c r="H12" s="234"/>
      <c r="I12" s="235">
        <f t="shared" si="0"/>
        <v>30</v>
      </c>
      <c r="J12" s="236">
        <f t="shared" si="1"/>
        <v>1103</v>
      </c>
      <c r="K12" s="454">
        <f t="shared" si="2"/>
        <v>94.416666666666671</v>
      </c>
      <c r="L12" s="455">
        <f t="shared" si="3"/>
        <v>91.916666666666671</v>
      </c>
      <c r="M12" s="224"/>
      <c r="N12" s="224"/>
    </row>
    <row r="13" spans="1:14" s="57" customFormat="1" x14ac:dyDescent="0.3">
      <c r="A13" s="231" t="s">
        <v>1</v>
      </c>
      <c r="B13" s="232" t="s">
        <v>184</v>
      </c>
      <c r="C13" s="469">
        <v>1155</v>
      </c>
      <c r="D13" s="233">
        <v>25</v>
      </c>
      <c r="E13" s="234">
        <v>15</v>
      </c>
      <c r="F13" s="234"/>
      <c r="G13" s="234">
        <v>15</v>
      </c>
      <c r="H13" s="234">
        <v>10</v>
      </c>
      <c r="I13" s="235">
        <f t="shared" si="0"/>
        <v>65</v>
      </c>
      <c r="J13" s="236">
        <f t="shared" si="1"/>
        <v>1090</v>
      </c>
      <c r="K13" s="454">
        <f t="shared" si="2"/>
        <v>96.25</v>
      </c>
      <c r="L13" s="455">
        <f t="shared" si="3"/>
        <v>90.833333333333329</v>
      </c>
      <c r="M13" s="224"/>
      <c r="N13" s="224"/>
    </row>
    <row r="14" spans="1:14" s="57" customFormat="1" x14ac:dyDescent="0.3">
      <c r="A14" s="231" t="s">
        <v>185</v>
      </c>
      <c r="B14" s="232" t="s">
        <v>184</v>
      </c>
      <c r="C14" s="469">
        <v>1164</v>
      </c>
      <c r="D14" s="233">
        <v>30</v>
      </c>
      <c r="E14" s="234"/>
      <c r="F14" s="234"/>
      <c r="G14" s="234"/>
      <c r="H14" s="234"/>
      <c r="I14" s="235">
        <f t="shared" si="0"/>
        <v>30</v>
      </c>
      <c r="J14" s="236">
        <f t="shared" si="1"/>
        <v>1134</v>
      </c>
      <c r="K14" s="454">
        <f t="shared" si="2"/>
        <v>97</v>
      </c>
      <c r="L14" s="455">
        <f t="shared" si="3"/>
        <v>94.5</v>
      </c>
      <c r="M14" s="224"/>
      <c r="N14" s="224"/>
    </row>
    <row r="15" spans="1:14" s="57" customFormat="1" x14ac:dyDescent="0.3">
      <c r="A15" s="237" t="s">
        <v>187</v>
      </c>
      <c r="B15" s="232" t="s">
        <v>184</v>
      </c>
      <c r="C15" s="469">
        <v>1140</v>
      </c>
      <c r="D15" s="233">
        <v>20</v>
      </c>
      <c r="E15" s="234">
        <v>20</v>
      </c>
      <c r="F15" s="234"/>
      <c r="G15" s="234">
        <v>20</v>
      </c>
      <c r="H15" s="234"/>
      <c r="I15" s="235">
        <f t="shared" si="0"/>
        <v>60</v>
      </c>
      <c r="J15" s="236">
        <f t="shared" si="1"/>
        <v>1080</v>
      </c>
      <c r="K15" s="454">
        <f t="shared" si="2"/>
        <v>95</v>
      </c>
      <c r="L15" s="455">
        <f t="shared" si="3"/>
        <v>90</v>
      </c>
      <c r="M15" s="224"/>
      <c r="N15" s="224"/>
    </row>
    <row r="16" spans="1:14" s="57" customFormat="1" x14ac:dyDescent="0.3">
      <c r="A16" s="237" t="s">
        <v>11</v>
      </c>
      <c r="B16" s="232" t="s">
        <v>184</v>
      </c>
      <c r="C16" s="469">
        <v>1160</v>
      </c>
      <c r="D16" s="233">
        <v>20</v>
      </c>
      <c r="E16" s="234">
        <v>30</v>
      </c>
      <c r="F16" s="234"/>
      <c r="G16" s="234">
        <v>25</v>
      </c>
      <c r="H16" s="234"/>
      <c r="I16" s="235">
        <f t="shared" si="0"/>
        <v>75</v>
      </c>
      <c r="J16" s="236">
        <f t="shared" si="1"/>
        <v>1085</v>
      </c>
      <c r="K16" s="454">
        <f t="shared" si="2"/>
        <v>96.666666666666671</v>
      </c>
      <c r="L16" s="455">
        <f t="shared" si="3"/>
        <v>90.416666666666671</v>
      </c>
      <c r="M16" s="224"/>
      <c r="N16" s="224"/>
    </row>
    <row r="17" spans="1:14" s="57" customFormat="1" x14ac:dyDescent="0.3">
      <c r="A17" s="237" t="s">
        <v>188</v>
      </c>
      <c r="B17" s="232" t="s">
        <v>184</v>
      </c>
      <c r="C17" s="469">
        <v>1155</v>
      </c>
      <c r="D17" s="233">
        <v>15</v>
      </c>
      <c r="E17" s="234">
        <v>25</v>
      </c>
      <c r="F17" s="234"/>
      <c r="G17" s="234">
        <v>20</v>
      </c>
      <c r="H17" s="234"/>
      <c r="I17" s="235">
        <f t="shared" si="0"/>
        <v>60</v>
      </c>
      <c r="J17" s="236">
        <f t="shared" si="1"/>
        <v>1095</v>
      </c>
      <c r="K17" s="454">
        <f t="shared" si="2"/>
        <v>96.25</v>
      </c>
      <c r="L17" s="455">
        <f t="shared" si="3"/>
        <v>91.25</v>
      </c>
      <c r="M17" s="224"/>
      <c r="N17" s="224"/>
    </row>
    <row r="18" spans="1:14" s="57" customFormat="1" x14ac:dyDescent="0.3">
      <c r="A18" s="239" t="s">
        <v>189</v>
      </c>
      <c r="B18" s="240" t="s">
        <v>184</v>
      </c>
      <c r="C18" s="471">
        <v>1130</v>
      </c>
      <c r="D18" s="241">
        <v>30</v>
      </c>
      <c r="E18" s="242">
        <v>25</v>
      </c>
      <c r="F18" s="242"/>
      <c r="G18" s="242">
        <v>45</v>
      </c>
      <c r="H18" s="242"/>
      <c r="I18" s="243">
        <f t="shared" si="0"/>
        <v>100</v>
      </c>
      <c r="J18" s="244">
        <f t="shared" si="1"/>
        <v>1030</v>
      </c>
      <c r="K18" s="458">
        <f t="shared" si="2"/>
        <v>94.166666666666671</v>
      </c>
      <c r="L18" s="459">
        <f t="shared" si="3"/>
        <v>85.833333333333329</v>
      </c>
      <c r="M18" s="224"/>
      <c r="N18" s="224"/>
    </row>
    <row r="19" spans="1:14" s="57" customFormat="1" x14ac:dyDescent="0.3">
      <c r="A19" s="215" t="s">
        <v>182</v>
      </c>
      <c r="B19" s="216" t="s">
        <v>183</v>
      </c>
      <c r="C19" s="217">
        <v>2650</v>
      </c>
      <c r="D19" s="218"/>
      <c r="E19" s="219"/>
      <c r="F19" s="219"/>
      <c r="G19" s="219">
        <v>30</v>
      </c>
      <c r="H19" s="219">
        <v>10</v>
      </c>
      <c r="I19" s="220">
        <f t="shared" si="0"/>
        <v>40</v>
      </c>
      <c r="J19" s="221">
        <f t="shared" si="1"/>
        <v>2610</v>
      </c>
      <c r="K19" s="222">
        <f>C19/30</f>
        <v>88.333333333333329</v>
      </c>
      <c r="L19" s="223">
        <f>J19/30</f>
        <v>87</v>
      </c>
      <c r="M19" s="224"/>
      <c r="N19" s="224"/>
    </row>
    <row r="20" spans="1:14" s="261" customFormat="1" x14ac:dyDescent="0.3">
      <c r="A20" s="256" t="s">
        <v>185</v>
      </c>
      <c r="B20" s="257" t="s">
        <v>186</v>
      </c>
      <c r="C20" s="472">
        <v>3067</v>
      </c>
      <c r="D20" s="258">
        <v>80</v>
      </c>
      <c r="E20" s="259"/>
      <c r="F20" s="259"/>
      <c r="G20" s="259">
        <v>80</v>
      </c>
      <c r="H20" s="259"/>
      <c r="I20" s="260">
        <f t="shared" si="0"/>
        <v>160</v>
      </c>
      <c r="J20" s="447">
        <f t="shared" si="1"/>
        <v>2907</v>
      </c>
      <c r="K20" s="460">
        <f>C20/33</f>
        <v>92.939393939393938</v>
      </c>
      <c r="L20" s="461">
        <f>J20/33</f>
        <v>88.090909090909093</v>
      </c>
      <c r="M20" s="224"/>
      <c r="N20" s="224"/>
    </row>
    <row r="21" spans="1:14" s="261" customFormat="1" x14ac:dyDescent="0.3">
      <c r="A21" s="442" t="s">
        <v>2</v>
      </c>
      <c r="B21" s="443" t="s">
        <v>186</v>
      </c>
      <c r="C21" s="468">
        <v>3050</v>
      </c>
      <c r="D21" s="444"/>
      <c r="E21" s="445"/>
      <c r="F21" s="445"/>
      <c r="G21" s="445"/>
      <c r="H21" s="445"/>
      <c r="I21" s="446"/>
      <c r="J21" s="448">
        <f t="shared" si="1"/>
        <v>3050</v>
      </c>
      <c r="K21" s="454">
        <f t="shared" ref="K21:K22" si="7">C21/33</f>
        <v>92.424242424242422</v>
      </c>
      <c r="L21" s="462">
        <f t="shared" ref="L21:L22" si="8">J21/33</f>
        <v>92.424242424242422</v>
      </c>
      <c r="M21" s="224"/>
      <c r="N21" s="224"/>
    </row>
    <row r="22" spans="1:14" s="261" customFormat="1" x14ac:dyDescent="0.3">
      <c r="A22" s="442" t="s">
        <v>454</v>
      </c>
      <c r="B22" s="443" t="s">
        <v>186</v>
      </c>
      <c r="C22" s="468">
        <v>3155</v>
      </c>
      <c r="D22" s="444"/>
      <c r="E22" s="445"/>
      <c r="F22" s="445"/>
      <c r="G22" s="445"/>
      <c r="H22" s="445"/>
      <c r="I22" s="446"/>
      <c r="J22" s="448">
        <f t="shared" si="1"/>
        <v>3155</v>
      </c>
      <c r="K22" s="454">
        <f t="shared" si="7"/>
        <v>95.606060606060609</v>
      </c>
      <c r="L22" s="462">
        <f t="shared" si="8"/>
        <v>95.606060606060609</v>
      </c>
      <c r="M22" s="224"/>
      <c r="N22" s="224"/>
    </row>
    <row r="23" spans="1:14" s="261" customFormat="1" x14ac:dyDescent="0.3">
      <c r="A23" s="262" t="s">
        <v>192</v>
      </c>
      <c r="B23" s="263" t="s">
        <v>186</v>
      </c>
      <c r="C23" s="469">
        <v>3030</v>
      </c>
      <c r="D23" s="264">
        <v>100</v>
      </c>
      <c r="E23" s="265"/>
      <c r="F23" s="265"/>
      <c r="G23" s="265">
        <v>40</v>
      </c>
      <c r="H23" s="265"/>
      <c r="I23" s="266">
        <f t="shared" si="0"/>
        <v>140</v>
      </c>
      <c r="J23" s="267">
        <f t="shared" si="1"/>
        <v>2890</v>
      </c>
      <c r="K23" s="454">
        <f t="shared" ref="K23:K24" si="9">C23/33</f>
        <v>91.818181818181813</v>
      </c>
      <c r="L23" s="462">
        <f t="shared" ref="L23:L24" si="10">J23/33</f>
        <v>87.575757575757578</v>
      </c>
      <c r="M23" s="224"/>
      <c r="N23" s="224"/>
    </row>
    <row r="24" spans="1:14" s="274" customFormat="1" x14ac:dyDescent="0.3">
      <c r="A24" s="268" t="s">
        <v>193</v>
      </c>
      <c r="B24" s="269" t="s">
        <v>186</v>
      </c>
      <c r="C24" s="473">
        <v>2935</v>
      </c>
      <c r="D24" s="270"/>
      <c r="E24" s="271"/>
      <c r="F24" s="271"/>
      <c r="G24" s="271">
        <v>35</v>
      </c>
      <c r="H24" s="271"/>
      <c r="I24" s="272">
        <f t="shared" si="0"/>
        <v>35</v>
      </c>
      <c r="J24" s="273">
        <f t="shared" si="1"/>
        <v>2900</v>
      </c>
      <c r="K24" s="463">
        <f t="shared" si="9"/>
        <v>88.939393939393938</v>
      </c>
      <c r="L24" s="464">
        <f t="shared" si="10"/>
        <v>87.878787878787875</v>
      </c>
      <c r="M24" s="157"/>
      <c r="N24" s="157"/>
    </row>
    <row r="25" spans="1:14" s="57" customFormat="1" x14ac:dyDescent="0.3">
      <c r="A25" s="275" t="s">
        <v>178</v>
      </c>
      <c r="B25" s="245" t="s">
        <v>180</v>
      </c>
      <c r="C25" s="246">
        <v>3090</v>
      </c>
      <c r="D25" s="247"/>
      <c r="E25" s="248"/>
      <c r="F25" s="248"/>
      <c r="G25" s="248">
        <v>60</v>
      </c>
      <c r="H25" s="248"/>
      <c r="I25" s="249">
        <f t="shared" si="0"/>
        <v>60</v>
      </c>
      <c r="J25" s="246">
        <f t="shared" si="1"/>
        <v>3030</v>
      </c>
      <c r="K25" s="449">
        <f>C25/35</f>
        <v>88.285714285714292</v>
      </c>
      <c r="L25" s="449">
        <f>J25/35</f>
        <v>86.571428571428569</v>
      </c>
      <c r="M25" s="224"/>
      <c r="N25" s="224"/>
    </row>
    <row r="26" spans="1:14" s="57" customFormat="1" x14ac:dyDescent="0.3">
      <c r="A26" s="436" t="s">
        <v>453</v>
      </c>
      <c r="B26" s="437" t="s">
        <v>12</v>
      </c>
      <c r="C26" s="438">
        <v>3225</v>
      </c>
      <c r="D26" s="439"/>
      <c r="E26" s="440"/>
      <c r="F26" s="440"/>
      <c r="G26" s="440"/>
      <c r="H26" s="440"/>
      <c r="I26" s="441"/>
      <c r="J26" s="278">
        <f t="shared" si="1"/>
        <v>3225</v>
      </c>
      <c r="K26" s="450">
        <f>C26/35</f>
        <v>92.142857142857139</v>
      </c>
      <c r="L26" s="450">
        <f>J26/35</f>
        <v>92.142857142857139</v>
      </c>
      <c r="M26" s="224"/>
      <c r="N26" s="224"/>
    </row>
    <row r="27" spans="1:14" s="57" customFormat="1" x14ac:dyDescent="0.3">
      <c r="A27" s="276" t="s">
        <v>1</v>
      </c>
      <c r="B27" s="277" t="s">
        <v>180</v>
      </c>
      <c r="C27" s="278">
        <v>3015</v>
      </c>
      <c r="D27" s="279"/>
      <c r="E27" s="280"/>
      <c r="F27" s="280"/>
      <c r="G27" s="280"/>
      <c r="H27" s="280">
        <v>40</v>
      </c>
      <c r="I27" s="281">
        <f t="shared" si="0"/>
        <v>40</v>
      </c>
      <c r="J27" s="278">
        <f t="shared" si="1"/>
        <v>2975</v>
      </c>
      <c r="K27" s="450">
        <f t="shared" ref="K27:K33" si="11">C27/35</f>
        <v>86.142857142857139</v>
      </c>
      <c r="L27" s="450">
        <f t="shared" ref="L27:L33" si="12">J27/35</f>
        <v>85</v>
      </c>
      <c r="M27" s="224"/>
      <c r="N27" s="224"/>
    </row>
    <row r="28" spans="1:14" s="57" customFormat="1" x14ac:dyDescent="0.3">
      <c r="A28" s="282" t="s">
        <v>187</v>
      </c>
      <c r="B28" s="277" t="s">
        <v>180</v>
      </c>
      <c r="C28" s="278">
        <v>3180</v>
      </c>
      <c r="D28" s="279">
        <v>80</v>
      </c>
      <c r="E28" s="280"/>
      <c r="F28" s="280"/>
      <c r="G28" s="280">
        <v>40</v>
      </c>
      <c r="H28" s="280"/>
      <c r="I28" s="281">
        <f t="shared" si="0"/>
        <v>120</v>
      </c>
      <c r="J28" s="278">
        <f t="shared" si="1"/>
        <v>3060</v>
      </c>
      <c r="K28" s="450">
        <f t="shared" si="11"/>
        <v>90.857142857142861</v>
      </c>
      <c r="L28" s="450">
        <f t="shared" si="12"/>
        <v>87.428571428571431</v>
      </c>
      <c r="M28" s="224"/>
      <c r="N28" s="224"/>
    </row>
    <row r="29" spans="1:14" s="57" customFormat="1" x14ac:dyDescent="0.3">
      <c r="A29" s="282" t="s">
        <v>11</v>
      </c>
      <c r="B29" s="277" t="s">
        <v>180</v>
      </c>
      <c r="C29" s="278">
        <v>3300</v>
      </c>
      <c r="D29" s="279"/>
      <c r="E29" s="280"/>
      <c r="F29" s="280"/>
      <c r="G29" s="280">
        <v>50</v>
      </c>
      <c r="H29" s="280"/>
      <c r="I29" s="281">
        <f t="shared" si="0"/>
        <v>50</v>
      </c>
      <c r="J29" s="278">
        <f t="shared" si="1"/>
        <v>3250</v>
      </c>
      <c r="K29" s="450">
        <f t="shared" si="11"/>
        <v>94.285714285714292</v>
      </c>
      <c r="L29" s="450">
        <f t="shared" si="12"/>
        <v>92.857142857142861</v>
      </c>
      <c r="M29" s="224"/>
      <c r="N29" s="224"/>
    </row>
    <row r="30" spans="1:14" s="57" customFormat="1" x14ac:dyDescent="0.3">
      <c r="A30" s="282" t="s">
        <v>188</v>
      </c>
      <c r="B30" s="283" t="s">
        <v>180</v>
      </c>
      <c r="C30" s="278">
        <v>3100</v>
      </c>
      <c r="D30" s="279"/>
      <c r="E30" s="280"/>
      <c r="F30" s="280"/>
      <c r="G30" s="280">
        <v>30</v>
      </c>
      <c r="H30" s="280"/>
      <c r="I30" s="281">
        <f t="shared" si="0"/>
        <v>30</v>
      </c>
      <c r="J30" s="278">
        <f t="shared" si="1"/>
        <v>3070</v>
      </c>
      <c r="K30" s="450">
        <f t="shared" si="11"/>
        <v>88.571428571428569</v>
      </c>
      <c r="L30" s="450">
        <f t="shared" si="12"/>
        <v>87.714285714285708</v>
      </c>
      <c r="M30" s="224"/>
      <c r="N30" s="224"/>
    </row>
    <row r="31" spans="1:14" s="57" customFormat="1" x14ac:dyDescent="0.3">
      <c r="A31" s="282" t="s">
        <v>189</v>
      </c>
      <c r="B31" s="277" t="s">
        <v>180</v>
      </c>
      <c r="C31" s="278">
        <v>3160</v>
      </c>
      <c r="D31" s="279">
        <v>50</v>
      </c>
      <c r="E31" s="280"/>
      <c r="F31" s="280"/>
      <c r="G31" s="280">
        <v>70</v>
      </c>
      <c r="H31" s="280"/>
      <c r="I31" s="281">
        <f t="shared" si="0"/>
        <v>120</v>
      </c>
      <c r="J31" s="278">
        <f t="shared" si="1"/>
        <v>3040</v>
      </c>
      <c r="K31" s="450">
        <f t="shared" si="11"/>
        <v>90.285714285714292</v>
      </c>
      <c r="L31" s="450">
        <f t="shared" si="12"/>
        <v>86.857142857142861</v>
      </c>
      <c r="M31" s="224"/>
      <c r="N31" s="224"/>
    </row>
    <row r="32" spans="1:14" s="57" customFormat="1" x14ac:dyDescent="0.3">
      <c r="A32" s="282" t="s">
        <v>191</v>
      </c>
      <c r="B32" s="277" t="s">
        <v>180</v>
      </c>
      <c r="C32" s="278">
        <v>2910</v>
      </c>
      <c r="D32" s="279"/>
      <c r="E32" s="280"/>
      <c r="F32" s="280"/>
      <c r="G32" s="280">
        <v>60</v>
      </c>
      <c r="H32" s="280"/>
      <c r="I32" s="281">
        <f t="shared" si="0"/>
        <v>60</v>
      </c>
      <c r="J32" s="278">
        <f t="shared" si="1"/>
        <v>2850</v>
      </c>
      <c r="K32" s="450">
        <f t="shared" si="11"/>
        <v>83.142857142857139</v>
      </c>
      <c r="L32" s="450">
        <f t="shared" si="12"/>
        <v>81.428571428571431</v>
      </c>
      <c r="M32" s="224"/>
      <c r="N32" s="224"/>
    </row>
    <row r="33" spans="1:14" s="57" customFormat="1" x14ac:dyDescent="0.3">
      <c r="A33" s="250" t="s">
        <v>194</v>
      </c>
      <c r="B33" s="251" t="s">
        <v>180</v>
      </c>
      <c r="C33" s="252">
        <v>2965</v>
      </c>
      <c r="D33" s="253"/>
      <c r="E33" s="254"/>
      <c r="F33" s="254"/>
      <c r="G33" s="254">
        <v>20</v>
      </c>
      <c r="H33" s="254"/>
      <c r="I33" s="255">
        <f t="shared" si="0"/>
        <v>20</v>
      </c>
      <c r="J33" s="252">
        <f t="shared" si="1"/>
        <v>2945</v>
      </c>
      <c r="K33" s="451">
        <f t="shared" si="11"/>
        <v>84.714285714285708</v>
      </c>
      <c r="L33" s="451">
        <f t="shared" si="12"/>
        <v>84.142857142857139</v>
      </c>
      <c r="M33" s="224"/>
      <c r="N33" s="224"/>
    </row>
    <row r="34" spans="1:14" s="57" customFormat="1" x14ac:dyDescent="0.3">
      <c r="A34" s="284" t="s">
        <v>178</v>
      </c>
      <c r="B34" s="285" t="s">
        <v>181</v>
      </c>
      <c r="C34" s="472">
        <v>3970</v>
      </c>
      <c r="D34" s="286"/>
      <c r="E34" s="287"/>
      <c r="F34" s="287"/>
      <c r="G34" s="287">
        <v>90</v>
      </c>
      <c r="H34" s="287"/>
      <c r="I34" s="288">
        <f t="shared" si="0"/>
        <v>90</v>
      </c>
      <c r="J34" s="289">
        <f t="shared" si="1"/>
        <v>3880</v>
      </c>
      <c r="K34" s="460">
        <f>C34/45</f>
        <v>88.222222222222229</v>
      </c>
      <c r="L34" s="465">
        <f>J34/45</f>
        <v>86.222222222222229</v>
      </c>
      <c r="M34" s="224"/>
      <c r="N34" s="224"/>
    </row>
    <row r="35" spans="1:14" s="57" customFormat="1" x14ac:dyDescent="0.3">
      <c r="A35" s="290" t="s">
        <v>182</v>
      </c>
      <c r="B35" s="291" t="s">
        <v>181</v>
      </c>
      <c r="C35" s="469">
        <v>3920</v>
      </c>
      <c r="D35" s="292"/>
      <c r="E35" s="293"/>
      <c r="F35" s="293"/>
      <c r="G35" s="293">
        <v>30</v>
      </c>
      <c r="H35" s="293">
        <v>20</v>
      </c>
      <c r="I35" s="294">
        <v>50</v>
      </c>
      <c r="J35" s="295">
        <f t="shared" si="1"/>
        <v>3870</v>
      </c>
      <c r="K35" s="454">
        <f t="shared" ref="K35:K45" si="13">C35/45</f>
        <v>87.111111111111114</v>
      </c>
      <c r="L35" s="455">
        <f t="shared" ref="L35:L45" si="14">J35/45</f>
        <v>86</v>
      </c>
      <c r="M35" s="224"/>
      <c r="N35" s="224"/>
    </row>
    <row r="36" spans="1:14" s="57" customFormat="1" x14ac:dyDescent="0.3">
      <c r="A36" s="290" t="s">
        <v>453</v>
      </c>
      <c r="B36" s="291" t="s">
        <v>181</v>
      </c>
      <c r="C36" s="469">
        <v>4145</v>
      </c>
      <c r="D36" s="292"/>
      <c r="E36" s="293"/>
      <c r="F36" s="293"/>
      <c r="G36" s="293"/>
      <c r="H36" s="293"/>
      <c r="I36" s="294">
        <v>50</v>
      </c>
      <c r="J36" s="295">
        <f t="shared" si="1"/>
        <v>4095</v>
      </c>
      <c r="K36" s="454">
        <f t="shared" si="13"/>
        <v>92.111111111111114</v>
      </c>
      <c r="L36" s="455">
        <f t="shared" si="14"/>
        <v>91</v>
      </c>
      <c r="M36" s="224"/>
      <c r="N36" s="224"/>
    </row>
    <row r="37" spans="1:14" s="57" customFormat="1" x14ac:dyDescent="0.3">
      <c r="A37" s="290" t="s">
        <v>2</v>
      </c>
      <c r="B37" s="291" t="s">
        <v>181</v>
      </c>
      <c r="C37" s="469">
        <v>4100</v>
      </c>
      <c r="D37" s="292"/>
      <c r="E37" s="293"/>
      <c r="F37" s="293"/>
      <c r="G37" s="293"/>
      <c r="H37" s="293"/>
      <c r="I37" s="294">
        <v>50</v>
      </c>
      <c r="J37" s="295">
        <f t="shared" si="1"/>
        <v>4050</v>
      </c>
      <c r="K37" s="454">
        <f t="shared" si="13"/>
        <v>91.111111111111114</v>
      </c>
      <c r="L37" s="455">
        <f t="shared" si="14"/>
        <v>90</v>
      </c>
      <c r="M37" s="224"/>
      <c r="N37" s="224"/>
    </row>
    <row r="38" spans="1:14" s="57" customFormat="1" x14ac:dyDescent="0.3">
      <c r="A38" s="290" t="s">
        <v>454</v>
      </c>
      <c r="B38" s="291" t="s">
        <v>181</v>
      </c>
      <c r="C38" s="469">
        <v>4085</v>
      </c>
      <c r="D38" s="292"/>
      <c r="E38" s="293"/>
      <c r="F38" s="293"/>
      <c r="G38" s="293"/>
      <c r="H38" s="293"/>
      <c r="I38" s="294">
        <v>50</v>
      </c>
      <c r="J38" s="295">
        <f t="shared" si="1"/>
        <v>4035</v>
      </c>
      <c r="K38" s="454">
        <f t="shared" si="13"/>
        <v>90.777777777777771</v>
      </c>
      <c r="L38" s="455">
        <f t="shared" si="14"/>
        <v>89.666666666666671</v>
      </c>
      <c r="M38" s="224"/>
      <c r="N38" s="224"/>
    </row>
    <row r="39" spans="1:14" s="57" customFormat="1" x14ac:dyDescent="0.3">
      <c r="A39" s="290" t="s">
        <v>1</v>
      </c>
      <c r="B39" s="291" t="s">
        <v>181</v>
      </c>
      <c r="C39" s="469">
        <v>3875</v>
      </c>
      <c r="D39" s="292"/>
      <c r="E39" s="293"/>
      <c r="F39" s="293"/>
      <c r="G39" s="293"/>
      <c r="H39" s="293">
        <v>60</v>
      </c>
      <c r="I39" s="294">
        <v>50</v>
      </c>
      <c r="J39" s="295">
        <f t="shared" si="1"/>
        <v>3825</v>
      </c>
      <c r="K39" s="454">
        <f t="shared" si="13"/>
        <v>86.111111111111114</v>
      </c>
      <c r="L39" s="455">
        <f t="shared" si="14"/>
        <v>85</v>
      </c>
      <c r="M39" s="224"/>
      <c r="N39" s="224"/>
    </row>
    <row r="40" spans="1:14" s="57" customFormat="1" x14ac:dyDescent="0.3">
      <c r="A40" s="296" t="s">
        <v>187</v>
      </c>
      <c r="B40" s="291" t="s">
        <v>181</v>
      </c>
      <c r="C40" s="469">
        <v>4090</v>
      </c>
      <c r="D40" s="292">
        <v>100</v>
      </c>
      <c r="E40" s="293"/>
      <c r="F40" s="293"/>
      <c r="G40" s="293">
        <v>100</v>
      </c>
      <c r="H40" s="293"/>
      <c r="I40" s="294">
        <f t="shared" ref="I40:I45" si="15">SUM(D40:H40)</f>
        <v>200</v>
      </c>
      <c r="J40" s="295">
        <f t="shared" si="1"/>
        <v>3890</v>
      </c>
      <c r="K40" s="454">
        <f t="shared" si="13"/>
        <v>90.888888888888886</v>
      </c>
      <c r="L40" s="455">
        <f t="shared" si="14"/>
        <v>86.444444444444443</v>
      </c>
      <c r="M40" s="224"/>
      <c r="N40" s="224"/>
    </row>
    <row r="41" spans="1:14" s="57" customFormat="1" x14ac:dyDescent="0.3">
      <c r="A41" s="296" t="s">
        <v>11</v>
      </c>
      <c r="B41" s="291" t="s">
        <v>181</v>
      </c>
      <c r="C41" s="469">
        <v>4200</v>
      </c>
      <c r="D41" s="292">
        <v>50</v>
      </c>
      <c r="E41" s="293"/>
      <c r="F41" s="293"/>
      <c r="G41" s="293">
        <v>100</v>
      </c>
      <c r="H41" s="293"/>
      <c r="I41" s="294">
        <f t="shared" si="15"/>
        <v>150</v>
      </c>
      <c r="J41" s="295">
        <f t="shared" si="1"/>
        <v>4050</v>
      </c>
      <c r="K41" s="454">
        <f t="shared" si="13"/>
        <v>93.333333333333329</v>
      </c>
      <c r="L41" s="455">
        <f t="shared" si="14"/>
        <v>90</v>
      </c>
      <c r="M41" s="224"/>
      <c r="N41" s="224"/>
    </row>
    <row r="42" spans="1:14" s="57" customFormat="1" x14ac:dyDescent="0.3">
      <c r="A42" s="296" t="s">
        <v>191</v>
      </c>
      <c r="B42" s="291" t="s">
        <v>181</v>
      </c>
      <c r="C42" s="469">
        <v>3970</v>
      </c>
      <c r="D42" s="292"/>
      <c r="E42" s="293"/>
      <c r="F42" s="293"/>
      <c r="G42" s="293">
        <v>90</v>
      </c>
      <c r="H42" s="293"/>
      <c r="I42" s="294">
        <f t="shared" si="15"/>
        <v>90</v>
      </c>
      <c r="J42" s="295">
        <f t="shared" si="1"/>
        <v>3880</v>
      </c>
      <c r="K42" s="454">
        <f t="shared" si="13"/>
        <v>88.222222222222229</v>
      </c>
      <c r="L42" s="455">
        <f t="shared" si="14"/>
        <v>86.222222222222229</v>
      </c>
      <c r="M42" s="224"/>
      <c r="N42" s="224"/>
    </row>
    <row r="43" spans="1:14" s="57" customFormat="1" x14ac:dyDescent="0.3">
      <c r="A43" s="296" t="s">
        <v>192</v>
      </c>
      <c r="B43" s="291" t="s">
        <v>181</v>
      </c>
      <c r="C43" s="469">
        <v>3850</v>
      </c>
      <c r="D43" s="292">
        <v>100</v>
      </c>
      <c r="E43" s="293"/>
      <c r="F43" s="293"/>
      <c r="G43" s="293"/>
      <c r="H43" s="293"/>
      <c r="I43" s="294">
        <f t="shared" si="15"/>
        <v>100</v>
      </c>
      <c r="J43" s="295">
        <f t="shared" si="1"/>
        <v>3750</v>
      </c>
      <c r="K43" s="454">
        <f t="shared" si="13"/>
        <v>85.555555555555557</v>
      </c>
      <c r="L43" s="455">
        <f t="shared" si="14"/>
        <v>83.333333333333329</v>
      </c>
      <c r="M43" s="224"/>
      <c r="N43" s="224"/>
    </row>
    <row r="44" spans="1:14" s="158" customFormat="1" x14ac:dyDescent="0.3">
      <c r="A44" s="297" t="s">
        <v>193</v>
      </c>
      <c r="B44" s="298" t="s">
        <v>181</v>
      </c>
      <c r="C44" s="470">
        <v>4040</v>
      </c>
      <c r="D44" s="299"/>
      <c r="E44" s="300"/>
      <c r="F44" s="300"/>
      <c r="G44" s="300"/>
      <c r="H44" s="300"/>
      <c r="I44" s="301">
        <f t="shared" si="15"/>
        <v>0</v>
      </c>
      <c r="J44" s="302">
        <f t="shared" si="1"/>
        <v>4040</v>
      </c>
      <c r="K44" s="456">
        <f t="shared" si="13"/>
        <v>89.777777777777771</v>
      </c>
      <c r="L44" s="457">
        <f t="shared" si="14"/>
        <v>89.777777777777771</v>
      </c>
      <c r="M44" s="157"/>
      <c r="N44" s="157"/>
    </row>
    <row r="45" spans="1:14" s="57" customFormat="1" ht="15" thickBot="1" x14ac:dyDescent="0.35">
      <c r="A45" s="303" t="s">
        <v>194</v>
      </c>
      <c r="B45" s="304" t="s">
        <v>181</v>
      </c>
      <c r="C45" s="474">
        <v>3815</v>
      </c>
      <c r="D45" s="305">
        <v>100</v>
      </c>
      <c r="E45" s="306"/>
      <c r="F45" s="306"/>
      <c r="G45" s="306"/>
      <c r="H45" s="306"/>
      <c r="I45" s="307">
        <f t="shared" si="15"/>
        <v>100</v>
      </c>
      <c r="J45" s="308">
        <f t="shared" si="1"/>
        <v>3715</v>
      </c>
      <c r="K45" s="466">
        <f t="shared" si="13"/>
        <v>84.777777777777771</v>
      </c>
      <c r="L45" s="467">
        <f t="shared" si="14"/>
        <v>82.555555555555557</v>
      </c>
      <c r="M45" s="224"/>
      <c r="N45" s="2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P37"/>
  <sheetViews>
    <sheetView zoomScale="130" zoomScaleNormal="130" workbookViewId="0">
      <pane xSplit="1" ySplit="5" topLeftCell="AE6" activePane="bottomRight" state="frozen"/>
      <selection pane="topRight" activeCell="B1" sqref="B1"/>
      <selection pane="bottomLeft" activeCell="A6" sqref="A6"/>
      <selection pane="bottomRight" activeCell="AP17" sqref="AP17"/>
    </sheetView>
  </sheetViews>
  <sheetFormatPr defaultRowHeight="14.4" outlineLevelRow="1" x14ac:dyDescent="0.25"/>
  <cols>
    <col min="1" max="1" width="23.21875" style="164" customWidth="1"/>
    <col min="2" max="2" width="6.109375" style="184" hidden="1" customWidth="1"/>
    <col min="3" max="4" width="5.33203125" style="184" hidden="1" customWidth="1"/>
    <col min="5" max="5" width="4.5546875" style="573" hidden="1" customWidth="1"/>
    <col min="6" max="7" width="5.33203125" style="184" hidden="1" customWidth="1"/>
    <col min="8" max="8" width="6.109375" style="184" hidden="1" customWidth="1"/>
    <col min="9" max="11" width="5.33203125" style="184" hidden="1" customWidth="1"/>
    <col min="12" max="12" width="4.21875" style="573" hidden="1" customWidth="1"/>
    <col min="13" max="14" width="5.33203125" style="184" hidden="1" customWidth="1"/>
    <col min="15" max="15" width="5.5546875" style="184" hidden="1" customWidth="1"/>
    <col min="16" max="16" width="6.109375" style="184" hidden="1" customWidth="1"/>
    <col min="17" max="17" width="5.33203125" style="184" hidden="1" customWidth="1"/>
    <col min="18" max="18" width="6.109375" style="184" hidden="1" customWidth="1"/>
    <col min="19" max="19" width="4.21875" style="573" hidden="1" customWidth="1"/>
    <col min="20" max="20" width="5.33203125" style="184" hidden="1" customWidth="1"/>
    <col min="21" max="21" width="6.109375" style="184" bestFit="1" customWidth="1"/>
    <col min="22" max="22" width="5" style="573" bestFit="1" customWidth="1"/>
    <col min="23" max="25" width="6.5546875" style="184" bestFit="1" customWidth="1"/>
    <col min="26" max="26" width="5.44140625" style="573" bestFit="1" customWidth="1"/>
    <col min="27" max="28" width="6.5546875" style="184" bestFit="1" customWidth="1"/>
    <col min="29" max="29" width="6.6640625" style="184" bestFit="1" customWidth="1"/>
    <col min="30" max="30" width="4.5546875" style="184" bestFit="1" customWidth="1"/>
    <col min="31" max="31" width="7.44140625" style="164" bestFit="1" customWidth="1"/>
    <col min="32" max="32" width="3.6640625" style="164" customWidth="1"/>
    <col min="33" max="33" width="15" style="164" customWidth="1"/>
    <col min="34" max="34" width="15.21875" style="164" customWidth="1"/>
    <col min="35" max="35" width="9.44140625" style="164" bestFit="1" customWidth="1"/>
    <col min="36" max="36" width="12.44140625" style="164" bestFit="1" customWidth="1"/>
    <col min="37" max="37" width="11.44140625" style="164" bestFit="1" customWidth="1"/>
    <col min="38" max="38" width="12.109375" style="164" bestFit="1" customWidth="1"/>
    <col min="39" max="40" width="8.109375" style="164" bestFit="1" customWidth="1"/>
    <col min="41" max="41" width="11" style="6" bestFit="1" customWidth="1"/>
  </cols>
  <sheetData>
    <row r="1" spans="1:42" ht="20.399999999999999" x14ac:dyDescent="0.35">
      <c r="A1" s="161" t="s">
        <v>30</v>
      </c>
      <c r="B1" s="183"/>
      <c r="C1" s="183"/>
      <c r="D1" s="183"/>
      <c r="E1" s="163"/>
      <c r="F1" s="183"/>
      <c r="G1" s="183"/>
      <c r="H1" s="191"/>
      <c r="I1" s="183"/>
      <c r="J1" s="183"/>
      <c r="K1" s="183"/>
      <c r="L1" s="163"/>
      <c r="M1" s="183"/>
      <c r="N1" s="183"/>
      <c r="O1" s="183"/>
      <c r="P1" s="183"/>
      <c r="Q1" s="183"/>
      <c r="R1" s="183"/>
      <c r="S1" s="163"/>
      <c r="T1" s="183"/>
      <c r="U1" s="183"/>
      <c r="V1" s="163"/>
      <c r="W1" s="183"/>
      <c r="X1" s="183"/>
      <c r="Y1" s="183"/>
      <c r="Z1" s="163"/>
      <c r="AA1" s="183"/>
      <c r="AB1" s="183"/>
      <c r="AC1" s="183"/>
      <c r="AD1" s="183"/>
      <c r="AE1" s="162"/>
      <c r="AF1" s="162"/>
      <c r="AG1" s="162"/>
      <c r="AH1" s="162"/>
      <c r="AI1" s="162"/>
      <c r="AJ1" s="162"/>
      <c r="AK1" s="162"/>
      <c r="AL1" s="162"/>
      <c r="AM1" s="162"/>
      <c r="AN1" s="162"/>
    </row>
    <row r="2" spans="1:42" x14ac:dyDescent="0.25">
      <c r="A2" s="164" t="s">
        <v>452</v>
      </c>
      <c r="AJ2" s="558"/>
      <c r="AK2" s="165"/>
      <c r="AL2" s="165"/>
    </row>
    <row r="3" spans="1:42" ht="15" thickBot="1" x14ac:dyDescent="0.3">
      <c r="A3" s="167" t="s">
        <v>198</v>
      </c>
      <c r="G3" s="511"/>
      <c r="H3" s="192"/>
      <c r="AG3" s="564" t="s">
        <v>481</v>
      </c>
      <c r="AH3" s="615" t="s">
        <v>482</v>
      </c>
      <c r="AI3" s="208"/>
    </row>
    <row r="4" spans="1:42" x14ac:dyDescent="0.25">
      <c r="A4" s="1816" t="s">
        <v>199</v>
      </c>
      <c r="B4" s="513">
        <v>1</v>
      </c>
      <c r="C4" s="514">
        <v>2</v>
      </c>
      <c r="D4" s="514">
        <v>3</v>
      </c>
      <c r="E4" s="515">
        <v>4</v>
      </c>
      <c r="F4" s="514">
        <v>5</v>
      </c>
      <c r="G4" s="514">
        <v>6</v>
      </c>
      <c r="H4" s="514">
        <v>7</v>
      </c>
      <c r="I4" s="514">
        <v>8</v>
      </c>
      <c r="J4" s="514">
        <v>9</v>
      </c>
      <c r="K4" s="514">
        <v>10</v>
      </c>
      <c r="L4" s="515">
        <v>11</v>
      </c>
      <c r="M4" s="514">
        <v>12</v>
      </c>
      <c r="N4" s="514">
        <v>13</v>
      </c>
      <c r="O4" s="514">
        <v>14</v>
      </c>
      <c r="P4" s="514">
        <v>15</v>
      </c>
      <c r="Q4" s="514">
        <v>16</v>
      </c>
      <c r="R4" s="514">
        <v>17</v>
      </c>
      <c r="S4" s="515">
        <v>18</v>
      </c>
      <c r="T4" s="514">
        <v>19</v>
      </c>
      <c r="U4" s="514">
        <v>20</v>
      </c>
      <c r="V4" s="515">
        <v>21</v>
      </c>
      <c r="W4" s="535">
        <v>22</v>
      </c>
      <c r="X4" s="185">
        <v>23</v>
      </c>
      <c r="Y4" s="185">
        <v>24</v>
      </c>
      <c r="Z4" s="166">
        <v>25</v>
      </c>
      <c r="AA4" s="185">
        <v>26</v>
      </c>
      <c r="AB4" s="185">
        <v>27</v>
      </c>
      <c r="AC4" s="185">
        <v>28</v>
      </c>
      <c r="AD4" s="592"/>
      <c r="AE4" s="1818" t="s">
        <v>0</v>
      </c>
      <c r="AF4" s="167"/>
      <c r="AG4" s="564" t="s">
        <v>483</v>
      </c>
      <c r="AH4" s="564" t="s">
        <v>484</v>
      </c>
      <c r="AI4" s="167"/>
      <c r="AJ4" s="542"/>
      <c r="AK4" s="167"/>
      <c r="AL4" s="167"/>
      <c r="AM4" s="168"/>
      <c r="AN4" s="168"/>
    </row>
    <row r="5" spans="1:42" ht="15" thickBot="1" x14ac:dyDescent="0.3">
      <c r="A5" s="1817"/>
      <c r="B5" s="516" t="s">
        <v>206</v>
      </c>
      <c r="C5" s="517" t="s">
        <v>200</v>
      </c>
      <c r="D5" s="517" t="s">
        <v>201</v>
      </c>
      <c r="E5" s="518" t="s">
        <v>202</v>
      </c>
      <c r="F5" s="517" t="s">
        <v>203</v>
      </c>
      <c r="G5" s="517" t="s">
        <v>204</v>
      </c>
      <c r="H5" s="517" t="s">
        <v>205</v>
      </c>
      <c r="I5" s="517" t="s">
        <v>206</v>
      </c>
      <c r="J5" s="517" t="s">
        <v>200</v>
      </c>
      <c r="K5" s="517" t="s">
        <v>201</v>
      </c>
      <c r="L5" s="518" t="s">
        <v>202</v>
      </c>
      <c r="M5" s="517" t="s">
        <v>203</v>
      </c>
      <c r="N5" s="517" t="s">
        <v>204</v>
      </c>
      <c r="O5" s="517" t="s">
        <v>205</v>
      </c>
      <c r="P5" s="517" t="s">
        <v>206</v>
      </c>
      <c r="Q5" s="517" t="s">
        <v>200</v>
      </c>
      <c r="R5" s="517" t="s">
        <v>201</v>
      </c>
      <c r="S5" s="518" t="s">
        <v>202</v>
      </c>
      <c r="T5" s="517" t="s">
        <v>203</v>
      </c>
      <c r="U5" s="517" t="s">
        <v>204</v>
      </c>
      <c r="V5" s="518" t="s">
        <v>205</v>
      </c>
      <c r="W5" s="198" t="s">
        <v>206</v>
      </c>
      <c r="X5" s="198" t="s">
        <v>200</v>
      </c>
      <c r="Y5" s="198" t="s">
        <v>201</v>
      </c>
      <c r="Z5" s="197" t="s">
        <v>202</v>
      </c>
      <c r="AA5" s="198" t="s">
        <v>203</v>
      </c>
      <c r="AB5" s="198" t="s">
        <v>204</v>
      </c>
      <c r="AC5" s="198" t="s">
        <v>205</v>
      </c>
      <c r="AD5" s="593"/>
      <c r="AE5" s="1819"/>
      <c r="AF5" s="167"/>
      <c r="AG5" s="167"/>
      <c r="AH5" s="167"/>
      <c r="AI5" s="169"/>
      <c r="AJ5" s="639"/>
      <c r="AK5" s="167"/>
      <c r="AL5" s="167"/>
      <c r="AM5" s="168"/>
      <c r="AN5" s="168"/>
    </row>
    <row r="6" spans="1:42" hidden="1" outlineLevel="1" x14ac:dyDescent="0.25">
      <c r="A6" s="490" t="s">
        <v>207</v>
      </c>
      <c r="B6" s="502"/>
      <c r="C6" s="503"/>
      <c r="D6" s="503"/>
      <c r="E6" s="504"/>
      <c r="F6" s="503"/>
      <c r="G6" s="503"/>
      <c r="H6" s="503"/>
      <c r="I6" s="503"/>
      <c r="J6" s="503"/>
      <c r="K6" s="503"/>
      <c r="L6" s="504"/>
      <c r="M6" s="503"/>
      <c r="N6" s="503"/>
      <c r="O6" s="503"/>
      <c r="P6" s="503"/>
      <c r="Q6" s="503"/>
      <c r="R6" s="503"/>
      <c r="S6" s="504"/>
      <c r="T6" s="503"/>
      <c r="U6" s="503"/>
      <c r="V6" s="504"/>
      <c r="W6" s="186"/>
      <c r="X6" s="186"/>
      <c r="Y6" s="186"/>
      <c r="Z6" s="170"/>
      <c r="AA6" s="186"/>
      <c r="AB6" s="186"/>
      <c r="AC6" s="186"/>
      <c r="AD6" s="594"/>
      <c r="AE6" s="171"/>
      <c r="AF6" s="167"/>
      <c r="AG6" s="550" t="s">
        <v>513</v>
      </c>
      <c r="AH6" s="551" t="s">
        <v>473</v>
      </c>
      <c r="AI6" s="551" t="s">
        <v>471</v>
      </c>
      <c r="AJ6" s="551" t="s">
        <v>472</v>
      </c>
      <c r="AK6" s="167"/>
      <c r="AL6" s="167"/>
      <c r="AM6" s="168"/>
      <c r="AN6" s="168"/>
    </row>
    <row r="7" spans="1:42" hidden="1" outlineLevel="1" x14ac:dyDescent="0.25">
      <c r="A7" s="178" t="s">
        <v>208</v>
      </c>
      <c r="B7" s="548"/>
      <c r="C7" s="507"/>
      <c r="D7" s="507"/>
      <c r="E7" s="510"/>
      <c r="F7" s="506">
        <v>2961</v>
      </c>
      <c r="G7" s="506">
        <v>3060</v>
      </c>
      <c r="H7" s="506">
        <v>10287</v>
      </c>
      <c r="I7" s="506">
        <v>934</v>
      </c>
      <c r="J7" s="506">
        <v>3268</v>
      </c>
      <c r="K7" s="506"/>
      <c r="L7" s="510"/>
      <c r="M7" s="506">
        <v>1266</v>
      </c>
      <c r="N7" s="506">
        <v>6589</v>
      </c>
      <c r="O7" s="506">
        <v>9937</v>
      </c>
      <c r="P7" s="506">
        <v>10714</v>
      </c>
      <c r="Q7" s="506">
        <v>8673</v>
      </c>
      <c r="R7" s="506">
        <v>10882</v>
      </c>
      <c r="S7" s="510"/>
      <c r="T7" s="506">
        <v>7665</v>
      </c>
      <c r="U7" s="506">
        <v>6866</v>
      </c>
      <c r="V7" s="510"/>
      <c r="W7" s="187">
        <v>10750</v>
      </c>
      <c r="X7" s="187">
        <f t="shared" ref="X7:X9" si="0">AJ7</f>
        <v>10928.484908075037</v>
      </c>
      <c r="Y7" s="187">
        <f t="shared" ref="Y7:Y9" si="1">AJ7</f>
        <v>10928.484908075037</v>
      </c>
      <c r="Z7" s="174"/>
      <c r="AA7" s="187">
        <f t="shared" ref="AA7:AA9" si="2">AJ7</f>
        <v>10928.484908075037</v>
      </c>
      <c r="AB7" s="187">
        <f t="shared" ref="AB7:AB9" si="3">AJ7</f>
        <v>10928.484908075037</v>
      </c>
      <c r="AC7" s="187">
        <f t="shared" ref="AC7:AC9" si="4">AJ7</f>
        <v>10928.484908075037</v>
      </c>
      <c r="AD7" s="595"/>
      <c r="AE7" s="172">
        <f t="shared" ref="AE7:AE13" si="5">SUM(B7:AC7)</f>
        <v>148494.42454037521</v>
      </c>
      <c r="AF7" s="173"/>
      <c r="AG7" s="639">
        <f>SUM(F7:U7)</f>
        <v>83102</v>
      </c>
      <c r="AH7" s="639">
        <v>148672.90944845023</v>
      </c>
      <c r="AI7" s="200">
        <f>AH7-AG7</f>
        <v>65570.909448450228</v>
      </c>
      <c r="AJ7" s="639">
        <f>AI7/6</f>
        <v>10928.484908075037</v>
      </c>
      <c r="AM7" s="200"/>
      <c r="AN7" s="200"/>
    </row>
    <row r="8" spans="1:42" hidden="1" outlineLevel="1" x14ac:dyDescent="0.25">
      <c r="A8" s="178" t="s">
        <v>209</v>
      </c>
      <c r="B8" s="548"/>
      <c r="C8" s="507"/>
      <c r="D8" s="507"/>
      <c r="E8" s="510"/>
      <c r="F8" s="506">
        <v>45</v>
      </c>
      <c r="G8" s="506">
        <v>405</v>
      </c>
      <c r="H8" s="506">
        <v>383</v>
      </c>
      <c r="I8" s="506">
        <v>56</v>
      </c>
      <c r="J8" s="506">
        <v>130</v>
      </c>
      <c r="K8" s="506"/>
      <c r="L8" s="510"/>
      <c r="M8" s="506">
        <v>10</v>
      </c>
      <c r="N8" s="506">
        <v>168</v>
      </c>
      <c r="O8" s="506">
        <v>294</v>
      </c>
      <c r="P8" s="506">
        <v>315</v>
      </c>
      <c r="Q8" s="506">
        <v>663</v>
      </c>
      <c r="R8" s="506">
        <v>797</v>
      </c>
      <c r="S8" s="510"/>
      <c r="T8" s="506">
        <v>338</v>
      </c>
      <c r="U8" s="506">
        <v>594</v>
      </c>
      <c r="V8" s="510"/>
      <c r="W8" s="187">
        <v>350</v>
      </c>
      <c r="X8" s="187">
        <f t="shared" si="0"/>
        <v>1016.3179760901457</v>
      </c>
      <c r="Y8" s="187">
        <f t="shared" si="1"/>
        <v>1016.3179760901457</v>
      </c>
      <c r="Z8" s="174"/>
      <c r="AA8" s="187">
        <f t="shared" si="2"/>
        <v>1016.3179760901457</v>
      </c>
      <c r="AB8" s="187">
        <f t="shared" si="3"/>
        <v>1016.3179760901457</v>
      </c>
      <c r="AC8" s="187">
        <f t="shared" si="4"/>
        <v>1016.3179760901457</v>
      </c>
      <c r="AD8" s="595"/>
      <c r="AE8" s="172">
        <f t="shared" si="5"/>
        <v>9629.5898804507287</v>
      </c>
      <c r="AF8" s="173"/>
      <c r="AG8" s="639">
        <f>SUM(F8:U8)</f>
        <v>4198</v>
      </c>
      <c r="AH8" s="639">
        <v>10295.907856540874</v>
      </c>
      <c r="AI8" s="200">
        <f t="shared" ref="AI8:AI11" si="6">AH8-AG8</f>
        <v>6097.9078565408745</v>
      </c>
      <c r="AJ8" s="639">
        <f t="shared" ref="AJ8:AJ9" si="7">AI8/6</f>
        <v>1016.3179760901457</v>
      </c>
    </row>
    <row r="9" spans="1:42" hidden="1" outlineLevel="1" x14ac:dyDescent="0.25">
      <c r="A9" s="178" t="s">
        <v>210</v>
      </c>
      <c r="B9" s="548"/>
      <c r="C9" s="507"/>
      <c r="D9" s="507"/>
      <c r="E9" s="510"/>
      <c r="F9" s="506">
        <v>0</v>
      </c>
      <c r="G9" s="506">
        <v>7</v>
      </c>
      <c r="H9" s="506">
        <v>11</v>
      </c>
      <c r="I9" s="506">
        <v>0</v>
      </c>
      <c r="J9" s="506"/>
      <c r="K9" s="506"/>
      <c r="L9" s="510"/>
      <c r="M9" s="506"/>
      <c r="N9" s="506">
        <v>13</v>
      </c>
      <c r="O9" s="506">
        <v>2</v>
      </c>
      <c r="P9" s="506">
        <v>6</v>
      </c>
      <c r="Q9" s="506">
        <v>28</v>
      </c>
      <c r="R9" s="506">
        <v>4</v>
      </c>
      <c r="S9" s="510"/>
      <c r="T9" s="506">
        <v>10</v>
      </c>
      <c r="U9" s="506">
        <v>1</v>
      </c>
      <c r="V9" s="510"/>
      <c r="W9" s="187">
        <v>10</v>
      </c>
      <c r="X9" s="187">
        <f t="shared" si="0"/>
        <v>20.653026188469582</v>
      </c>
      <c r="Y9" s="187">
        <f t="shared" si="1"/>
        <v>20.653026188469582</v>
      </c>
      <c r="Z9" s="174"/>
      <c r="AA9" s="187">
        <f t="shared" si="2"/>
        <v>20.653026188469582</v>
      </c>
      <c r="AB9" s="187">
        <f t="shared" si="3"/>
        <v>20.653026188469582</v>
      </c>
      <c r="AC9" s="187">
        <f t="shared" si="4"/>
        <v>20.653026188469582</v>
      </c>
      <c r="AD9" s="595"/>
      <c r="AE9" s="172">
        <f t="shared" si="5"/>
        <v>195.26513094234792</v>
      </c>
      <c r="AF9" s="173"/>
      <c r="AG9" s="639">
        <f>SUM(F9:U9)</f>
        <v>82</v>
      </c>
      <c r="AH9" s="639">
        <v>205.91815713081749</v>
      </c>
      <c r="AI9" s="200">
        <f t="shared" si="6"/>
        <v>123.91815713081749</v>
      </c>
      <c r="AJ9" s="639">
        <f t="shared" si="7"/>
        <v>20.653026188469582</v>
      </c>
    </row>
    <row r="10" spans="1:42" hidden="1" outlineLevel="1" x14ac:dyDescent="0.25">
      <c r="A10" s="178" t="s">
        <v>144</v>
      </c>
      <c r="B10" s="548"/>
      <c r="C10" s="507"/>
      <c r="D10" s="507"/>
      <c r="E10" s="510"/>
      <c r="F10" s="506"/>
      <c r="G10" s="506"/>
      <c r="H10" s="506"/>
      <c r="I10" s="506">
        <v>10</v>
      </c>
      <c r="J10" s="506"/>
      <c r="K10" s="506"/>
      <c r="L10" s="510"/>
      <c r="M10" s="506"/>
      <c r="N10" s="506"/>
      <c r="O10" s="506"/>
      <c r="P10" s="506">
        <v>8.15</v>
      </c>
      <c r="Q10" s="506"/>
      <c r="R10" s="506"/>
      <c r="S10" s="510"/>
      <c r="T10" s="506"/>
      <c r="U10" s="506"/>
      <c r="V10" s="510"/>
      <c r="W10" s="187"/>
      <c r="X10" s="187"/>
      <c r="Y10" s="187">
        <v>10</v>
      </c>
      <c r="Z10" s="174"/>
      <c r="AA10" s="187"/>
      <c r="AB10" s="187">
        <v>12</v>
      </c>
      <c r="AC10" s="187"/>
      <c r="AD10" s="595"/>
      <c r="AE10" s="172">
        <f t="shared" si="5"/>
        <v>40.15</v>
      </c>
      <c r="AF10" s="173"/>
      <c r="AG10" s="639">
        <f>SUM(F10:U10)</f>
        <v>18.149999999999999</v>
      </c>
      <c r="AH10" s="639">
        <v>41.183631426163501</v>
      </c>
      <c r="AI10" s="200">
        <f t="shared" si="6"/>
        <v>23.033631426163502</v>
      </c>
      <c r="AJ10" s="639">
        <f t="shared" ref="AJ10:AJ11" si="8">AI10/7</f>
        <v>3.2905187751662148</v>
      </c>
    </row>
    <row r="11" spans="1:42" hidden="1" outlineLevel="1" x14ac:dyDescent="0.25">
      <c r="A11" s="178" t="s">
        <v>172</v>
      </c>
      <c r="B11" s="505"/>
      <c r="C11" s="506"/>
      <c r="D11" s="506"/>
      <c r="E11" s="510"/>
      <c r="F11" s="506"/>
      <c r="G11" s="506"/>
      <c r="H11" s="506"/>
      <c r="I11" s="506"/>
      <c r="J11" s="506"/>
      <c r="K11" s="506"/>
      <c r="L11" s="510"/>
      <c r="M11" s="506"/>
      <c r="N11" s="506"/>
      <c r="O11" s="506"/>
      <c r="P11" s="506"/>
      <c r="Q11" s="506"/>
      <c r="R11" s="506"/>
      <c r="S11" s="510"/>
      <c r="T11" s="506"/>
      <c r="U11" s="506"/>
      <c r="V11" s="510"/>
      <c r="W11" s="187"/>
      <c r="X11" s="187">
        <v>12</v>
      </c>
      <c r="Y11" s="187">
        <v>12.95</v>
      </c>
      <c r="Z11" s="174"/>
      <c r="AA11" s="187"/>
      <c r="AB11" s="187"/>
      <c r="AC11" s="187"/>
      <c r="AD11" s="595"/>
      <c r="AE11" s="172">
        <f t="shared" si="5"/>
        <v>24.95</v>
      </c>
      <c r="AF11" s="173"/>
      <c r="AG11" s="639">
        <f>SUM(F11:U11)</f>
        <v>0</v>
      </c>
      <c r="AH11" s="639">
        <v>24.7101788556981</v>
      </c>
      <c r="AI11" s="200">
        <f t="shared" si="6"/>
        <v>24.7101788556981</v>
      </c>
      <c r="AJ11" s="639">
        <f t="shared" si="8"/>
        <v>3.5300255508140141</v>
      </c>
    </row>
    <row r="12" spans="1:42" hidden="1" outlineLevel="1" x14ac:dyDescent="0.25">
      <c r="A12" s="491" t="s">
        <v>211</v>
      </c>
      <c r="B12" s="508"/>
      <c r="C12" s="509"/>
      <c r="D12" s="509"/>
      <c r="E12" s="510">
        <f t="shared" ref="E12:AC12" si="9">(E7*12+E8*33+E9*45+E10*1000+E11*1000)/1000</f>
        <v>0</v>
      </c>
      <c r="F12" s="509">
        <f t="shared" si="9"/>
        <v>37.017000000000003</v>
      </c>
      <c r="G12" s="509">
        <f t="shared" si="9"/>
        <v>50.4</v>
      </c>
      <c r="H12" s="509">
        <f t="shared" si="9"/>
        <v>136.578</v>
      </c>
      <c r="I12" s="509">
        <f t="shared" si="9"/>
        <v>23.056000000000001</v>
      </c>
      <c r="J12" s="509">
        <f t="shared" si="9"/>
        <v>43.506</v>
      </c>
      <c r="K12" s="509">
        <f t="shared" si="9"/>
        <v>0</v>
      </c>
      <c r="L12" s="510">
        <f t="shared" si="9"/>
        <v>0</v>
      </c>
      <c r="M12" s="509">
        <f t="shared" si="9"/>
        <v>15.522</v>
      </c>
      <c r="N12" s="509">
        <f t="shared" si="9"/>
        <v>85.197000000000003</v>
      </c>
      <c r="O12" s="509">
        <f t="shared" si="9"/>
        <v>129.036</v>
      </c>
      <c r="P12" s="509">
        <f t="shared" si="9"/>
        <v>147.38300000000001</v>
      </c>
      <c r="Q12" s="509">
        <f t="shared" si="9"/>
        <v>127.215</v>
      </c>
      <c r="R12" s="509">
        <f t="shared" si="9"/>
        <v>157.065</v>
      </c>
      <c r="S12" s="547">
        <f t="shared" si="9"/>
        <v>0</v>
      </c>
      <c r="T12" s="509">
        <f t="shared" si="9"/>
        <v>103.584</v>
      </c>
      <c r="U12" s="509">
        <f t="shared" si="9"/>
        <v>102.039</v>
      </c>
      <c r="V12" s="510">
        <f t="shared" si="9"/>
        <v>0</v>
      </c>
      <c r="W12" s="188">
        <f t="shared" si="9"/>
        <v>141</v>
      </c>
      <c r="X12" s="188">
        <f t="shared" si="9"/>
        <v>177.60969828635641</v>
      </c>
      <c r="Y12" s="188">
        <f t="shared" si="9"/>
        <v>188.55969828635639</v>
      </c>
      <c r="Z12" s="174">
        <f t="shared" si="9"/>
        <v>0</v>
      </c>
      <c r="AA12" s="188">
        <f t="shared" si="9"/>
        <v>165.60969828635641</v>
      </c>
      <c r="AB12" s="188">
        <f t="shared" si="9"/>
        <v>177.60969828635641</v>
      </c>
      <c r="AC12" s="188">
        <f t="shared" si="9"/>
        <v>165.60969828635641</v>
      </c>
      <c r="AD12" s="596"/>
      <c r="AE12" s="563">
        <v>2199</v>
      </c>
      <c r="AF12" s="549" t="s">
        <v>469</v>
      </c>
      <c r="AG12" s="552">
        <f>(AG7*12+AG8*33+AG9*45)/1000+AG10+AG11</f>
        <v>1157.5980000000002</v>
      </c>
      <c r="AH12" s="552">
        <f>(AH7*12+AH8*33+AH9*45)/1000+AH10+AH11</f>
        <v>2199.0000000000005</v>
      </c>
      <c r="AI12" s="552">
        <f>(AI7*12+AI8*33+AI9*45)/1000+AI10+AI11</f>
        <v>1041.402</v>
      </c>
      <c r="AJ12" s="552">
        <f>(AJ7*12+AJ8*33+AJ9*45)/1000+AJ10+AJ11</f>
        <v>172.43024261233663</v>
      </c>
      <c r="AK12" s="168"/>
      <c r="AL12" s="645"/>
      <c r="AM12" s="645"/>
      <c r="AN12" s="645"/>
    </row>
    <row r="13" spans="1:42" ht="15" hidden="1" outlineLevel="1" thickBot="1" x14ac:dyDescent="0.3">
      <c r="A13" s="180" t="s">
        <v>480</v>
      </c>
      <c r="B13" s="525">
        <f>B7*'NLPG Price1005'!$C$23+Cash_Feb22V2!B8*'NLPG Price1005'!$F$23+Cash_Feb22V2!B9*'NLPG Price1005'!$I$23+Cash_Feb22V2!B10*'NLPG Price1005'!$L$23+Cash_Feb22V2!B11*'NLPG Price1005'!$O$23</f>
        <v>0</v>
      </c>
      <c r="C13" s="525">
        <f>C7*'NLPG Price1005'!$C$23+Cash_Feb22V2!C8*'NLPG Price1005'!$F$23+Cash_Feb22V2!C9*'NLPG Price1005'!$I$23+Cash_Feb22V2!C10*'NLPG Price1005'!$L$23+Cash_Feb22V2!C11*'NLPG Price1005'!$O$23</f>
        <v>0</v>
      </c>
      <c r="D13" s="525">
        <f>D7*'NLPG Price1005'!$C$23+Cash_Feb22V2!D8*'NLPG Price1005'!$F$23+Cash_Feb22V2!D9*'NLPG Price1005'!$I$23+Cash_Feb22V2!D10*'NLPG Price1005'!$L$23+Cash_Feb22V2!D11*'NLPG Price1005'!$O$23</f>
        <v>0</v>
      </c>
      <c r="E13" s="526">
        <f>E7*'NLPG Price1005'!$C$23+Cash_Feb22V2!E8*'NLPG Price1005'!$F$23+Cash_Feb22V2!E9*'NLPG Price1005'!$I$23+Cash_Feb22V2!E10*'NLPG Price1005'!$L$23+Cash_Feb22V2!E11*'NLPG Price1005'!$O$23</f>
        <v>0</v>
      </c>
      <c r="F13" s="525">
        <f>F7*'NLPG Price1005'!$C$23+Cash_Feb22V2!F8*'NLPG Price1005'!$F$23+Cash_Feb22V2!F9*'NLPG Price1005'!$I$23+Cash_Feb22V2!F10*'NLPG Price1005'!$L$23+Cash_Feb22V2!F11*'NLPG Price1005'!$O$23</f>
        <v>3649558.0747690843</v>
      </c>
      <c r="G13" s="525">
        <f>G7*'NLPG Price1005'!$C$23+Cash_Feb22V2!G8*'NLPG Price1005'!$F$23+Cash_Feb22V2!G9*'NLPG Price1005'!$I$23+Cash_Feb22V2!G10*'NLPG Price1005'!$L$23+Cash_Feb22V2!G11*'NLPG Price1005'!$O$23</f>
        <v>4964860.3660227619</v>
      </c>
      <c r="H13" s="525">
        <f>H7*'NLPG Price1005'!$C$23+Cash_Feb22V2!H8*'NLPG Price1005'!$F$23+Cash_Feb22V2!H9*'NLPG Price1005'!$I$23+Cash_Feb22V2!H10*'NLPG Price1005'!$L$23+Cash_Feb22V2!H11*'NLPG Price1005'!$O$23</f>
        <v>13462694.377541225</v>
      </c>
      <c r="I13" s="525">
        <f>I7*'NLPG Price1005'!$C$23+Cash_Feb22V2!I8*'NLPG Price1005'!$F$23+Cash_Feb22V2!I9*'NLPG Price1005'!$I$23+Cash_Feb22V2!I10*'NLPG Price1005'!$L$23+Cash_Feb22V2!I11*'NLPG Price1005'!$O$23</f>
        <v>2274038.3993023727</v>
      </c>
      <c r="J13" s="525">
        <f>J7*'NLPG Price1005'!$C$23+Cash_Feb22V2!J8*'NLPG Price1005'!$F$23+Cash_Feb22V2!J9*'NLPG Price1005'!$I$23+Cash_Feb22V2!J10*'NLPG Price1005'!$L$23+Cash_Feb22V2!J11*'NLPG Price1005'!$O$23</f>
        <v>4288412.6294648321</v>
      </c>
      <c r="K13" s="525">
        <f>K7*'NLPG Price1005'!$C$23+Cash_Feb22V2!K8*'NLPG Price1005'!$F$23+Cash_Feb22V2!K9*'NLPG Price1005'!$I$23+Cash_Feb22V2!K10*'NLPG Price1005'!$L$23+Cash_Feb22V2!K11*'NLPG Price1005'!$O$23</f>
        <v>0</v>
      </c>
      <c r="L13" s="526">
        <f>L7*'NLPG Price1005'!$C$23+Cash_Feb22V2!L8*'NLPG Price1005'!$F$23+Cash_Feb22V2!L9*'NLPG Price1005'!$I$23+Cash_Feb22V2!L10*'NLPG Price1005'!$L$23+Cash_Feb22V2!L11*'NLPG Price1005'!$O$23</f>
        <v>0</v>
      </c>
      <c r="M13" s="525">
        <f>M7*'NLPG Price1005'!$C$23+Cash_Feb22V2!M8*'NLPG Price1005'!$F$23+Cash_Feb22V2!M9*'NLPG Price1005'!$I$23+Cash_Feb22V2!M10*'NLPG Price1005'!$L$23+Cash_Feb22V2!M11*'NLPG Price1005'!$O$23</f>
        <v>1530439.9063349073</v>
      </c>
      <c r="N13" s="525">
        <f>N7*'NLPG Price1005'!$C$23+Cash_Feb22V2!N8*'NLPG Price1005'!$F$23+Cash_Feb22V2!N9*'NLPG Price1005'!$I$23+Cash_Feb22V2!N10*'NLPG Price1005'!$L$23+Cash_Feb22V2!N11*'NLPG Price1005'!$O$23</f>
        <v>8398727.7178836539</v>
      </c>
      <c r="O13" s="525">
        <f>O7*'NLPG Price1005'!$C$23+Cash_Feb22V2!O8*'NLPG Price1005'!$F$23+Cash_Feb22V2!O9*'NLPG Price1005'!$I$23+Cash_Feb22V2!O10*'NLPG Price1005'!$L$23+Cash_Feb22V2!O11*'NLPG Price1005'!$O$23</f>
        <v>12720199.044826204</v>
      </c>
      <c r="P13" s="525">
        <f>P7*'NLPG Price1005'!$C$23+Cash_Feb22V2!P8*'NLPG Price1005'!$F$23+Cash_Feb22V2!P9*'NLPG Price1005'!$I$23+Cash_Feb22V2!P10*'NLPG Price1005'!$L$23+Cash_Feb22V2!P11*'NLPG Price1005'!$O$23</f>
        <v>14530020.103453552</v>
      </c>
      <c r="Q13" s="525">
        <f>Q7*'NLPG Price1005'!$C$23+Cash_Feb22V2!Q8*'NLPG Price1005'!$F$23+Cash_Feb22V2!Q9*'NLPG Price1005'!$I$23+Cash_Feb22V2!Q10*'NLPG Price1005'!$L$23+Cash_Feb22V2!Q11*'NLPG Price1005'!$O$23</f>
        <v>12535890.92467824</v>
      </c>
      <c r="R13" s="525">
        <f>R7*'NLPG Price1005'!$C$23+Cash_Feb22V2!R8*'NLPG Price1005'!$F$23+Cash_Feb22V2!R9*'NLPG Price1005'!$I$23+Cash_Feb22V2!R10*'NLPG Price1005'!$L$23+Cash_Feb22V2!R11*'NLPG Price1005'!$O$23</f>
        <v>15478081.643156763</v>
      </c>
      <c r="S13" s="526">
        <f>S7*'NLPG Price1005'!$C$23+Cash_Feb22V2!S8*'NLPG Price1005'!$F$23+Cash_Feb22V2!S9*'NLPG Price1005'!$I$23+Cash_Feb22V2!S10*'NLPG Price1005'!$L$23+Cash_Feb22V2!S11*'NLPG Price1005'!$O$23</f>
        <v>0</v>
      </c>
      <c r="T13" s="525">
        <f>T7*'NLPG Price1005'!$C$23+Cash_Feb22V2!T8*'NLPG Price1005'!$F$23+Cash_Feb22V2!T9*'NLPG Price1005'!$I$23+Cash_Feb22V2!T10*'NLPG Price1005'!$L$23+Cash_Feb22V2!T11*'NLPG Price1005'!$O$23</f>
        <v>10209842.936458977</v>
      </c>
      <c r="U13" s="525">
        <f>U7*'NLPG Price1005'!$C$23+Cash_Feb22V2!U8*'NLPG Price1005'!$F$23+Cash_Feb22V2!U9*'NLPG Price1005'!$I$23+Cash_Feb22V2!U10*'NLPG Price1005'!$L$23+Cash_Feb22V2!U11*'NLPG Price1005'!$O$23</f>
        <v>13472283.984239543</v>
      </c>
      <c r="V13" s="526">
        <f>V7*'NLPG Price1005'!$C$23+Cash_Feb22V2!V8*'NLPG Price1005'!$F$23+Cash_Feb22V2!V9*'NLPG Price1005'!$I$23+Cash_Feb22V2!V10*'NLPG Price1005'!$L$23+Cash_Feb22V2!V11*'NLPG Price1005'!$O$23</f>
        <v>0</v>
      </c>
      <c r="W13" s="587">
        <f>W7*'NLPG Price1005'!C23+'NLPG Price1005'!F23*Cash_Feb22V3!W8+Cash_Feb22V3!W9*'NLPG Price1005'!I23</f>
        <v>13899132.004818527</v>
      </c>
      <c r="X13" s="587">
        <f>X7*'NLPG Price1005'!$C$23+Cash_Feb22V2!X8*'NLPG Price1005'!$F$23+Cash_Feb22V2!X9*'NLPG Price1005'!$I$23+Cash_Feb22V2!X10*'NLPG Price1005'!$L$23+Cash_Feb22V2!X11*'NLPG Price1005'!$O$23</f>
        <v>16751092.756174196</v>
      </c>
      <c r="Y13" s="587">
        <f>Y7*'NLPG Price1005'!$C$23+Cash_Feb22V2!Y8*'NLPG Price1005'!$F$23+Cash_Feb22V2!Y9*'NLPG Price1005'!$I$23+Cash_Feb22V2!Y10*'NLPG Price1005'!$L$23+Cash_Feb22V2!Y11*'NLPG Price1005'!$O$23</f>
        <v>18070438.756174196</v>
      </c>
      <c r="Z13" s="588">
        <f>Z7*'NLPG Price1005'!$C$23+Cash_Feb22V2!Z8*'NLPG Price1005'!$F$23+Cash_Feb22V2!Z9*'NLPG Price1005'!$I$23+Cash_Feb22V2!Z10*'NLPG Price1005'!$L$23+Cash_Feb22V2!Z11*'NLPG Price1005'!$O$23</f>
        <v>0</v>
      </c>
      <c r="AA13" s="587">
        <f>AA7*'NLPG Price1005'!$C$23+Cash_Feb22V2!AA8*'NLPG Price1005'!$F$23+Cash_Feb22V2!AA9*'NLPG Price1005'!$I$23+Cash_Feb22V2!AA10*'NLPG Price1005'!$L$23+Cash_Feb22V2!AA11*'NLPG Price1005'!$O$23</f>
        <v>16751092.756174196</v>
      </c>
      <c r="AB13" s="587">
        <f>AB7*'NLPG Price1005'!$C$23+Cash_Feb22V2!AB8*'NLPG Price1005'!$F$23+Cash_Feb22V2!AB9*'NLPG Price1005'!$I$23+Cash_Feb22V2!AB10*'NLPG Price1005'!$L$23+Cash_Feb22V2!AB11*'NLPG Price1005'!$O$23</f>
        <v>18077036.656174194</v>
      </c>
      <c r="AC13" s="587">
        <f>AC7*'NLPG Price1005'!$C$23+Cash_Feb22V2!AC8*'NLPG Price1005'!$F$23+Cash_Feb22V2!AC9*'NLPG Price1005'!$I$23+Cash_Feb22V2!AC10*'NLPG Price1005'!$L$23+Cash_Feb22V2!AC11*'NLPG Price1005'!$O$23</f>
        <v>16751092.756174196</v>
      </c>
      <c r="AD13" s="597"/>
      <c r="AE13" s="562">
        <f t="shared" si="5"/>
        <v>217814935.79382166</v>
      </c>
      <c r="AF13" s="175"/>
      <c r="AG13" s="614">
        <f>AG7*'NLPG Price1005'!$C$23+Cash_Feb22V2!AG8*'NLPG Price1005'!$F$23+Cash_Feb22V2!AG9*'NLPG Price1005'!$I$23+Cash_Feb22V2!AG10*'NLPG Price1005'!$L$23+Cash_Feb22V2!AG11*'NLPG Price1005'!$O$23</f>
        <v>112167084.85366783</v>
      </c>
      <c r="AH13" s="614">
        <f>AH7*'NLPG Price1005'!$C$23+Cash_Feb22V2!AH8*'NLPG Price1005'!$F$23+Cash_Feb22V2!AH9*'NLPG Price1005'!$I$23+Cash_Feb22V2!AH10*'NLPG Price1005'!$L$23+Cash_Feb22V2!AH11*'NLPG Price1005'!$O$23</f>
        <v>222146843.4951773</v>
      </c>
      <c r="AI13" s="614">
        <f>AI7*'NLPG Price1005'!$C$23+Cash_Feb22V2!AI8*'NLPG Price1005'!$F$23+Cash_Feb22V2!AI9*'NLPG Price1005'!$I$23+Cash_Feb22V2!AI10*'NLPG Price1005'!$L$23+Cash_Feb22V2!AI11*'NLPG Price1005'!$O$23</f>
        <v>109979758.64150946</v>
      </c>
      <c r="AJ13" s="614">
        <f>AJ7*'NLPG Price1005'!$C$23+Cash_Feb22V2!AJ8*'NLPG Price1005'!$F$23+Cash_Feb22V2!AJ9*'NLPG Price1005'!$I$23+Cash_Feb22V2!AJ10*'NLPG Price1005'!$L$23+Cash_Feb22V2!AJ11*'NLPG Price1005'!$O$23</f>
        <v>17558726.59188848</v>
      </c>
      <c r="AK13" s="168"/>
      <c r="AL13" s="168"/>
      <c r="AM13" s="168"/>
      <c r="AN13" s="168"/>
      <c r="AO13" s="485"/>
    </row>
    <row r="14" spans="1:42" ht="15" hidden="1" outlineLevel="1" thickBot="1" x14ac:dyDescent="0.3">
      <c r="A14" s="209"/>
      <c r="B14" s="522"/>
      <c r="C14" s="522"/>
      <c r="D14" s="523"/>
      <c r="E14" s="211"/>
      <c r="F14" s="522"/>
      <c r="G14" s="522"/>
      <c r="H14" s="522"/>
      <c r="I14" s="522"/>
      <c r="J14" s="522"/>
      <c r="K14" s="523"/>
      <c r="L14" s="211"/>
      <c r="M14" s="522"/>
      <c r="N14" s="522"/>
      <c r="O14" s="522"/>
      <c r="P14" s="522"/>
      <c r="Q14" s="523"/>
      <c r="R14" s="523"/>
      <c r="S14" s="211"/>
      <c r="T14" s="522"/>
      <c r="U14" s="522"/>
      <c r="V14" s="522"/>
      <c r="W14" s="522"/>
      <c r="X14" s="522"/>
      <c r="Y14" s="523"/>
      <c r="Z14" s="524"/>
      <c r="AA14" s="522"/>
      <c r="AB14" s="522"/>
      <c r="AC14" s="522"/>
      <c r="AD14" s="522"/>
      <c r="AE14" s="210"/>
      <c r="AF14" s="212"/>
      <c r="AK14" s="213"/>
      <c r="AL14" s="213"/>
      <c r="AM14" s="213"/>
      <c r="AN14" s="213"/>
      <c r="AO14" s="485"/>
    </row>
    <row r="15" spans="1:42" collapsed="1" x14ac:dyDescent="0.25">
      <c r="A15" s="176" t="s">
        <v>212</v>
      </c>
      <c r="B15" s="492">
        <v>39127136.309999995</v>
      </c>
      <c r="C15" s="493">
        <f t="shared" ref="C15:AD15" si="10">B18-B28</f>
        <v>24501353.809999995</v>
      </c>
      <c r="D15" s="493">
        <f t="shared" si="10"/>
        <v>11838127.809999995</v>
      </c>
      <c r="E15" s="579">
        <f t="shared" si="10"/>
        <v>16841849.809999995</v>
      </c>
      <c r="F15" s="493">
        <f t="shared" si="10"/>
        <v>16841849.809999995</v>
      </c>
      <c r="G15" s="493">
        <f t="shared" si="10"/>
        <v>16841849.809999995</v>
      </c>
      <c r="H15" s="493">
        <f t="shared" si="10"/>
        <v>17870904.809999995</v>
      </c>
      <c r="I15" s="493">
        <f t="shared" si="10"/>
        <v>10464254.809999995</v>
      </c>
      <c r="J15" s="493">
        <f t="shared" si="10"/>
        <v>11440604.809999995</v>
      </c>
      <c r="K15" s="493">
        <f t="shared" si="10"/>
        <v>17330473.809999995</v>
      </c>
      <c r="L15" s="579">
        <f t="shared" si="10"/>
        <v>5436563.8099999949</v>
      </c>
      <c r="M15" s="493">
        <f t="shared" si="10"/>
        <v>5436563.8099999949</v>
      </c>
      <c r="N15" s="493">
        <f t="shared" si="10"/>
        <v>5436563.8099999949</v>
      </c>
      <c r="O15" s="493">
        <f t="shared" si="10"/>
        <v>9196979.8099999949</v>
      </c>
      <c r="P15" s="493">
        <f t="shared" si="10"/>
        <v>6382369.8099999949</v>
      </c>
      <c r="Q15" s="493">
        <f t="shared" si="10"/>
        <v>6540917.8099999949</v>
      </c>
      <c r="R15" s="493">
        <f t="shared" si="10"/>
        <v>5508257.8099999949</v>
      </c>
      <c r="S15" s="579">
        <f t="shared" si="10"/>
        <v>5329555.8099999949</v>
      </c>
      <c r="T15" s="493">
        <f t="shared" si="10"/>
        <v>5329555.8099999949</v>
      </c>
      <c r="U15" s="493">
        <f>T18-T28</f>
        <v>7792558.8099999949</v>
      </c>
      <c r="V15" s="579">
        <f t="shared" si="10"/>
        <v>16282604.809999995</v>
      </c>
      <c r="W15" s="189">
        <f t="shared" si="10"/>
        <v>16282604.809999995</v>
      </c>
      <c r="X15" s="189">
        <f t="shared" si="10"/>
        <v>1214736.8148185238</v>
      </c>
      <c r="Y15" s="189">
        <f t="shared" si="10"/>
        <v>9924079.5709927194</v>
      </c>
      <c r="Z15" s="574">
        <f t="shared" si="10"/>
        <v>20002768.327166915</v>
      </c>
      <c r="AA15" s="189">
        <f t="shared" si="10"/>
        <v>20002768.327166915</v>
      </c>
      <c r="AB15" s="189">
        <f t="shared" si="10"/>
        <v>36753861.083341107</v>
      </c>
      <c r="AC15" s="189">
        <f t="shared" si="10"/>
        <v>44439147.739515305</v>
      </c>
      <c r="AD15" s="604">
        <f t="shared" si="10"/>
        <v>37106740.495689496</v>
      </c>
      <c r="AE15" s="177">
        <f>B15</f>
        <v>39127136.309999995</v>
      </c>
      <c r="AG15" s="621" t="s">
        <v>17</v>
      </c>
      <c r="AH15" s="621"/>
      <c r="AI15" s="168" t="s">
        <v>469</v>
      </c>
      <c r="AJ15" s="4" t="s">
        <v>467</v>
      </c>
    </row>
    <row r="16" spans="1:42" x14ac:dyDescent="0.25">
      <c r="A16" s="199" t="s">
        <v>222</v>
      </c>
      <c r="B16" s="494"/>
      <c r="C16" s="494"/>
      <c r="D16" s="494"/>
      <c r="E16" s="580"/>
      <c r="F16" s="494"/>
      <c r="G16" s="494"/>
      <c r="H16" s="494"/>
      <c r="I16" s="494"/>
      <c r="J16" s="494"/>
      <c r="K16" s="494"/>
      <c r="L16" s="580"/>
      <c r="M16" s="494"/>
      <c r="N16" s="494"/>
      <c r="O16" s="494"/>
      <c r="P16" s="494"/>
      <c r="Q16" s="494"/>
      <c r="R16" s="494"/>
      <c r="S16" s="580"/>
      <c r="T16" s="494"/>
      <c r="U16" s="494"/>
      <c r="V16" s="580"/>
      <c r="W16" s="539"/>
      <c r="X16" s="539"/>
      <c r="Y16" s="539"/>
      <c r="Z16" s="575"/>
      <c r="AA16" s="539"/>
      <c r="AB16" s="539"/>
      <c r="AC16" s="539"/>
      <c r="AD16" s="598"/>
      <c r="AE16" s="179">
        <f>SUM(B16:AC16)</f>
        <v>0</v>
      </c>
      <c r="AG16" s="164" t="s">
        <v>508</v>
      </c>
      <c r="AH16" s="619"/>
      <c r="AI16" s="558">
        <f>37+93+10.54</f>
        <v>140.54</v>
      </c>
      <c r="AJ16" s="214">
        <f>AI16*90000</f>
        <v>12648600</v>
      </c>
      <c r="AK16" s="200">
        <f>AJ16-4000000</f>
        <v>8648600</v>
      </c>
      <c r="AL16" s="200"/>
      <c r="AM16" s="200"/>
      <c r="AN16" s="200"/>
      <c r="AO16" s="214"/>
      <c r="AP16" s="133"/>
    </row>
    <row r="17" spans="1:40" x14ac:dyDescent="0.25">
      <c r="A17" s="178" t="s">
        <v>164</v>
      </c>
      <c r="B17" s="495">
        <v>2063170</v>
      </c>
      <c r="C17" s="495">
        <v>1244704</v>
      </c>
      <c r="D17" s="495">
        <v>5287130</v>
      </c>
      <c r="E17" s="581">
        <v>0</v>
      </c>
      <c r="F17" s="495">
        <v>0</v>
      </c>
      <c r="G17" s="495">
        <v>8406335</v>
      </c>
      <c r="H17" s="495">
        <v>7263510</v>
      </c>
      <c r="I17" s="495">
        <v>8251630</v>
      </c>
      <c r="J17" s="495">
        <v>5907869</v>
      </c>
      <c r="K17" s="495">
        <v>2656650</v>
      </c>
      <c r="L17" s="581">
        <v>0</v>
      </c>
      <c r="M17" s="495">
        <v>0</v>
      </c>
      <c r="N17" s="495">
        <v>14133020</v>
      </c>
      <c r="O17" s="495">
        <v>6218660</v>
      </c>
      <c r="P17" s="495">
        <v>8028906</v>
      </c>
      <c r="Q17" s="495">
        <v>6709090</v>
      </c>
      <c r="R17" s="495">
        <v>9569047</v>
      </c>
      <c r="S17" s="581">
        <v>0</v>
      </c>
      <c r="T17" s="495">
        <f>923240+1539763</f>
        <v>2463003</v>
      </c>
      <c r="U17" s="495">
        <v>16231796</v>
      </c>
      <c r="V17" s="581">
        <f t="shared" ref="V17:AC17" si="11">V13</f>
        <v>0</v>
      </c>
      <c r="W17" s="546">
        <f>W13+6000000</f>
        <v>19899132.004818529</v>
      </c>
      <c r="X17" s="546">
        <f t="shared" si="11"/>
        <v>16751092.756174196</v>
      </c>
      <c r="Y17" s="546">
        <f t="shared" si="11"/>
        <v>18070438.756174196</v>
      </c>
      <c r="Z17" s="536">
        <f t="shared" si="11"/>
        <v>0</v>
      </c>
      <c r="AA17" s="546">
        <f t="shared" si="11"/>
        <v>16751092.756174196</v>
      </c>
      <c r="AB17" s="546">
        <f t="shared" si="11"/>
        <v>18077036.656174194</v>
      </c>
      <c r="AC17" s="546">
        <f t="shared" si="11"/>
        <v>16751092.756174196</v>
      </c>
      <c r="AD17" s="599"/>
      <c r="AE17" s="179">
        <f>SUM(B17:AC17)</f>
        <v>210734405.68568954</v>
      </c>
      <c r="AG17" s="164" t="s">
        <v>509</v>
      </c>
      <c r="AH17" s="619"/>
      <c r="AI17" s="195"/>
      <c r="AJ17" s="639">
        <f>W15</f>
        <v>16282604.809999995</v>
      </c>
      <c r="AK17" s="168"/>
      <c r="AL17" s="168"/>
    </row>
    <row r="18" spans="1:40" ht="15" thickBot="1" x14ac:dyDescent="0.3">
      <c r="A18" s="180" t="s">
        <v>213</v>
      </c>
      <c r="B18" s="525">
        <f>B15+B16+B17</f>
        <v>41190306.309999995</v>
      </c>
      <c r="C18" s="525">
        <f t="shared" ref="C18:AC18" si="12">C15+C16+C17</f>
        <v>25746057.809999995</v>
      </c>
      <c r="D18" s="525">
        <f t="shared" si="12"/>
        <v>17125257.809999995</v>
      </c>
      <c r="E18" s="526">
        <f t="shared" si="12"/>
        <v>16841849.809999995</v>
      </c>
      <c r="F18" s="525">
        <f t="shared" si="12"/>
        <v>16841849.809999995</v>
      </c>
      <c r="G18" s="525">
        <f t="shared" si="12"/>
        <v>25248184.809999995</v>
      </c>
      <c r="H18" s="525">
        <f t="shared" si="12"/>
        <v>25134414.809999995</v>
      </c>
      <c r="I18" s="525">
        <f t="shared" si="12"/>
        <v>18715884.809999995</v>
      </c>
      <c r="J18" s="525">
        <f t="shared" si="12"/>
        <v>17348473.809999995</v>
      </c>
      <c r="K18" s="525">
        <f t="shared" si="12"/>
        <v>19987123.809999995</v>
      </c>
      <c r="L18" s="526">
        <f t="shared" si="12"/>
        <v>5436563.8099999949</v>
      </c>
      <c r="M18" s="525">
        <f t="shared" si="12"/>
        <v>5436563.8099999949</v>
      </c>
      <c r="N18" s="525">
        <f t="shared" si="12"/>
        <v>19569583.809999995</v>
      </c>
      <c r="O18" s="525">
        <f t="shared" si="12"/>
        <v>15415639.809999995</v>
      </c>
      <c r="P18" s="525">
        <f t="shared" si="12"/>
        <v>14411275.809999995</v>
      </c>
      <c r="Q18" s="525">
        <f t="shared" si="12"/>
        <v>13250007.809999995</v>
      </c>
      <c r="R18" s="525">
        <f t="shared" si="12"/>
        <v>15077304.809999995</v>
      </c>
      <c r="S18" s="526">
        <f t="shared" si="12"/>
        <v>5329555.8099999949</v>
      </c>
      <c r="T18" s="525">
        <f t="shared" si="12"/>
        <v>7792558.8099999949</v>
      </c>
      <c r="U18" s="525">
        <f t="shared" si="12"/>
        <v>24024354.809999995</v>
      </c>
      <c r="V18" s="526">
        <f t="shared" si="12"/>
        <v>16282604.809999995</v>
      </c>
      <c r="W18" s="540">
        <f t="shared" si="12"/>
        <v>36181736.814818524</v>
      </c>
      <c r="X18" s="540">
        <f t="shared" si="12"/>
        <v>17965829.570992719</v>
      </c>
      <c r="Y18" s="540">
        <f t="shared" si="12"/>
        <v>27994518.327166915</v>
      </c>
      <c r="Z18" s="541">
        <f t="shared" si="12"/>
        <v>20002768.327166915</v>
      </c>
      <c r="AA18" s="540">
        <f t="shared" si="12"/>
        <v>36753861.083341107</v>
      </c>
      <c r="AB18" s="540">
        <f t="shared" si="12"/>
        <v>54830897.739515305</v>
      </c>
      <c r="AC18" s="606">
        <f t="shared" si="12"/>
        <v>61190240.495689496</v>
      </c>
      <c r="AD18" s="605"/>
      <c r="AE18" s="529">
        <f>AE15+AE17+AE16</f>
        <v>249861541.99568954</v>
      </c>
      <c r="AF18" s="168"/>
      <c r="AG18" s="168" t="s">
        <v>510</v>
      </c>
      <c r="AH18" s="621"/>
      <c r="AI18" s="195"/>
      <c r="AJ18" s="629">
        <f>AJ16+AJ17</f>
        <v>28931204.809999995</v>
      </c>
      <c r="AK18" s="200">
        <f>AK16+AJ17</f>
        <v>24931204.809999995</v>
      </c>
      <c r="AL18" s="200"/>
    </row>
    <row r="19" spans="1:40" x14ac:dyDescent="0.25">
      <c r="A19" s="181" t="s">
        <v>214</v>
      </c>
      <c r="B19" s="496"/>
      <c r="C19" s="497"/>
      <c r="D19" s="497"/>
      <c r="E19" s="586"/>
      <c r="F19" s="497"/>
      <c r="G19" s="497"/>
      <c r="H19" s="519"/>
      <c r="I19" s="519"/>
      <c r="J19" s="519"/>
      <c r="K19" s="519"/>
      <c r="L19" s="582"/>
      <c r="M19" s="519"/>
      <c r="N19" s="519"/>
      <c r="O19" s="519"/>
      <c r="P19" s="519"/>
      <c r="Q19" s="519"/>
      <c r="R19" s="519"/>
      <c r="S19" s="582"/>
      <c r="T19" s="497"/>
      <c r="U19" s="497"/>
      <c r="V19" s="586"/>
      <c r="W19" s="194"/>
      <c r="X19" s="194"/>
      <c r="Y19" s="194"/>
      <c r="Z19" s="576"/>
      <c r="AA19" s="194"/>
      <c r="AB19" s="194"/>
      <c r="AC19" s="194"/>
      <c r="AD19" s="600"/>
      <c r="AE19" s="182"/>
      <c r="AG19" s="164" t="s">
        <v>514</v>
      </c>
      <c r="AH19" s="621"/>
      <c r="AI19" s="200"/>
      <c r="AJ19" s="639">
        <f>SUM(V21:W21)</f>
        <v>30967000</v>
      </c>
      <c r="AK19" s="200">
        <f>AJ19</f>
        <v>30967000</v>
      </c>
      <c r="AL19" s="200"/>
      <c r="AM19" s="164" t="s">
        <v>517</v>
      </c>
      <c r="AN19" s="164">
        <v>44614</v>
      </c>
    </row>
    <row r="20" spans="1:40" ht="15" thickBot="1" x14ac:dyDescent="0.3">
      <c r="A20" s="178" t="s">
        <v>221</v>
      </c>
      <c r="B20" s="519">
        <f>7275280*2</f>
        <v>14550560</v>
      </c>
      <c r="C20" s="497"/>
      <c r="D20" s="497"/>
      <c r="E20" s="586"/>
      <c r="F20" s="497"/>
      <c r="G20" s="519">
        <f>7275280*1</f>
        <v>7275280</v>
      </c>
      <c r="H20" s="519">
        <f>7275280*2</f>
        <v>14550560</v>
      </c>
      <c r="I20" s="519">
        <f>7275280*1</f>
        <v>7275280</v>
      </c>
      <c r="J20" s="498"/>
      <c r="K20" s="498">
        <f>7275280*2</f>
        <v>14550560</v>
      </c>
      <c r="L20" s="582"/>
      <c r="M20" s="519"/>
      <c r="N20" s="519"/>
      <c r="O20" s="519"/>
      <c r="P20" s="519"/>
      <c r="Q20" s="519"/>
      <c r="R20" s="519"/>
      <c r="S20" s="582"/>
      <c r="T20" s="497"/>
      <c r="U20" s="498"/>
      <c r="V20" s="583"/>
      <c r="W20" s="538"/>
      <c r="X20" s="538"/>
      <c r="Y20" s="538"/>
      <c r="Z20" s="559"/>
      <c r="AA20" s="538"/>
      <c r="AB20" s="538"/>
      <c r="AC20" s="538"/>
      <c r="AD20" s="600"/>
      <c r="AE20" s="179">
        <f t="shared" ref="AE20:AE27" si="13">SUM(B20:AC20)</f>
        <v>58202240</v>
      </c>
      <c r="AG20" s="168" t="s">
        <v>505</v>
      </c>
      <c r="AH20" s="621"/>
      <c r="AI20" s="195"/>
      <c r="AJ20" s="630">
        <f>AJ18-AJ19</f>
        <v>-2035795.1900000051</v>
      </c>
      <c r="AK20" s="200">
        <f>AK18-AK19</f>
        <v>-6035795.1900000051</v>
      </c>
      <c r="AL20" s="164" t="s">
        <v>515</v>
      </c>
      <c r="AM20" s="640">
        <v>837</v>
      </c>
      <c r="AN20" s="640">
        <f>AI23</f>
        <v>1157.5980000000002</v>
      </c>
    </row>
    <row r="21" spans="1:40" ht="15.6" thickTop="1" thickBot="1" x14ac:dyDescent="0.3">
      <c r="A21" s="178" t="s">
        <v>182</v>
      </c>
      <c r="B21" s="498"/>
      <c r="C21" s="498"/>
      <c r="D21" s="498"/>
      <c r="E21" s="583"/>
      <c r="F21" s="498"/>
      <c r="G21" s="498"/>
      <c r="H21" s="498"/>
      <c r="I21" s="498"/>
      <c r="J21" s="498"/>
      <c r="K21" s="498"/>
      <c r="L21" s="583"/>
      <c r="M21" s="498"/>
      <c r="N21" s="498">
        <f>7741750*1</f>
        <v>7741750</v>
      </c>
      <c r="O21" s="498">
        <f>7741750*1</f>
        <v>7741750</v>
      </c>
      <c r="P21" s="498">
        <f>7741750*1</f>
        <v>7741750</v>
      </c>
      <c r="Q21" s="498">
        <f>7741750*1</f>
        <v>7741750</v>
      </c>
      <c r="R21" s="498">
        <f>7741750*1</f>
        <v>7741750</v>
      </c>
      <c r="S21" s="583"/>
      <c r="T21" s="498"/>
      <c r="U21" s="498">
        <f>7741750*1</f>
        <v>7741750</v>
      </c>
      <c r="V21" s="583"/>
      <c r="W21" s="641">
        <f>7741750*4</f>
        <v>30967000</v>
      </c>
      <c r="X21" s="642">
        <f>7741750*1</f>
        <v>7741750</v>
      </c>
      <c r="Y21" s="643">
        <f>7741750*1</f>
        <v>7741750</v>
      </c>
      <c r="Z21" s="643"/>
      <c r="AA21" s="643"/>
      <c r="AB21" s="643">
        <f>7741750*1</f>
        <v>7741750</v>
      </c>
      <c r="AC21" s="644">
        <f>7741750*2</f>
        <v>15483500</v>
      </c>
      <c r="AD21" s="601"/>
      <c r="AE21" s="179">
        <f t="shared" si="13"/>
        <v>116126250</v>
      </c>
      <c r="AG21" s="168"/>
      <c r="AH21" s="621"/>
      <c r="AI21" s="200"/>
      <c r="AJ21" s="214"/>
      <c r="AL21" s="164" t="s">
        <v>516</v>
      </c>
      <c r="AM21" s="640">
        <v>550</v>
      </c>
      <c r="AN21" s="640">
        <v>141</v>
      </c>
    </row>
    <row r="22" spans="1:40" x14ac:dyDescent="0.25">
      <c r="A22" s="178" t="s">
        <v>468</v>
      </c>
      <c r="B22" s="499"/>
      <c r="C22" s="500"/>
      <c r="D22" s="498"/>
      <c r="E22" s="583"/>
      <c r="F22" s="498"/>
      <c r="G22" s="512"/>
      <c r="H22" s="520"/>
      <c r="I22" s="520"/>
      <c r="J22" s="520"/>
      <c r="K22" s="520"/>
      <c r="L22" s="584"/>
      <c r="M22" s="520"/>
      <c r="N22" s="520"/>
      <c r="O22" s="520"/>
      <c r="P22" s="520"/>
      <c r="Q22" s="520"/>
      <c r="R22" s="520"/>
      <c r="S22" s="584"/>
      <c r="T22" s="498"/>
      <c r="U22" s="497"/>
      <c r="V22" s="586"/>
      <c r="W22" s="194"/>
      <c r="X22" s="607"/>
      <c r="Y22" s="194"/>
      <c r="Z22" s="576"/>
      <c r="AA22" s="194"/>
      <c r="AB22" s="194"/>
      <c r="AC22" s="194"/>
      <c r="AD22" s="537"/>
      <c r="AE22" s="179">
        <f t="shared" si="13"/>
        <v>0</v>
      </c>
      <c r="AG22" s="639" t="s">
        <v>506</v>
      </c>
      <c r="AH22" s="623"/>
      <c r="AI22" s="200">
        <f>AH12</f>
        <v>2199.0000000000005</v>
      </c>
      <c r="AJ22" s="639">
        <f>AH13</f>
        <v>222146843.4951773</v>
      </c>
      <c r="AL22" s="164" t="s">
        <v>518</v>
      </c>
      <c r="AM22" s="640">
        <v>1200</v>
      </c>
      <c r="AN22" s="640">
        <v>1000</v>
      </c>
    </row>
    <row r="23" spans="1:40" x14ac:dyDescent="0.25">
      <c r="A23" s="178" t="s">
        <v>215</v>
      </c>
      <c r="B23" s="497">
        <v>2138392.5</v>
      </c>
      <c r="C23" s="498">
        <v>1633995</v>
      </c>
      <c r="D23" s="498">
        <v>50490</v>
      </c>
      <c r="E23" s="583"/>
      <c r="F23" s="498"/>
      <c r="G23" s="498">
        <v>102000</v>
      </c>
      <c r="H23" s="520">
        <v>119600</v>
      </c>
      <c r="I23" s="520"/>
      <c r="J23" s="545">
        <v>18000</v>
      </c>
      <c r="K23" s="520"/>
      <c r="L23" s="584"/>
      <c r="M23" s="520"/>
      <c r="N23" s="520">
        <v>205101</v>
      </c>
      <c r="O23" s="520">
        <v>1000000</v>
      </c>
      <c r="P23" s="520">
        <v>128608</v>
      </c>
      <c r="Q23" s="520"/>
      <c r="R23" s="520"/>
      <c r="S23" s="584"/>
      <c r="T23" s="498"/>
      <c r="U23" s="498"/>
      <c r="V23" s="583"/>
      <c r="W23" s="193"/>
      <c r="X23" s="193">
        <v>300000</v>
      </c>
      <c r="Y23" s="193">
        <v>250000</v>
      </c>
      <c r="Z23" s="577"/>
      <c r="AA23" s="193"/>
      <c r="AB23" s="193">
        <v>250000</v>
      </c>
      <c r="AC23" s="193"/>
      <c r="AD23" s="537"/>
      <c r="AE23" s="179">
        <f t="shared" si="13"/>
        <v>6196186.5</v>
      </c>
      <c r="AG23" s="617" t="s">
        <v>511</v>
      </c>
      <c r="AH23" s="619"/>
      <c r="AI23" s="631">
        <f>AG12</f>
        <v>1157.5980000000002</v>
      </c>
      <c r="AJ23" s="553">
        <f>AG13</f>
        <v>112167084.85366783</v>
      </c>
      <c r="AK23" s="534"/>
      <c r="AL23" s="534" t="s">
        <v>0</v>
      </c>
      <c r="AM23" s="640">
        <f>SUM(AM20:AM22)</f>
        <v>2587</v>
      </c>
      <c r="AN23" s="640">
        <f>SUM(AN20:AN22)</f>
        <v>2298.598</v>
      </c>
    </row>
    <row r="24" spans="1:40" x14ac:dyDescent="0.25">
      <c r="A24" s="560" t="s">
        <v>216</v>
      </c>
      <c r="B24" s="499"/>
      <c r="C24" s="500"/>
      <c r="D24" s="498">
        <v>232918</v>
      </c>
      <c r="E24" s="583"/>
      <c r="F24" s="500"/>
      <c r="G24" s="498"/>
      <c r="H24" s="520"/>
      <c r="I24" s="520"/>
      <c r="J24" s="520"/>
      <c r="K24" s="520"/>
      <c r="L24" s="584"/>
      <c r="M24" s="520"/>
      <c r="N24" s="520">
        <v>2425753</v>
      </c>
      <c r="O24" s="520">
        <v>291520</v>
      </c>
      <c r="P24" s="520"/>
      <c r="Q24" s="520"/>
      <c r="R24" s="520">
        <v>2005999</v>
      </c>
      <c r="S24" s="584"/>
      <c r="T24" s="498"/>
      <c r="U24" s="498"/>
      <c r="V24" s="583"/>
      <c r="W24" s="193"/>
      <c r="X24" s="193"/>
      <c r="Y24" s="193"/>
      <c r="Z24" s="577"/>
      <c r="AA24" s="193"/>
      <c r="AB24" s="193"/>
      <c r="AC24" s="193"/>
      <c r="AD24" s="537"/>
      <c r="AE24" s="561">
        <f t="shared" si="13"/>
        <v>4956190</v>
      </c>
      <c r="AF24" s="534"/>
      <c r="AG24" s="639" t="s">
        <v>496</v>
      </c>
      <c r="AH24" s="624"/>
      <c r="AI24" s="200">
        <f>AI12</f>
        <v>1041.402</v>
      </c>
      <c r="AJ24" s="639">
        <f>AI13</f>
        <v>109979758.64150946</v>
      </c>
      <c r="AL24" s="164" t="s">
        <v>519</v>
      </c>
      <c r="AM24" s="640">
        <v>100</v>
      </c>
      <c r="AN24" s="640">
        <v>100</v>
      </c>
    </row>
    <row r="25" spans="1:40" x14ac:dyDescent="0.25">
      <c r="A25" s="178" t="s">
        <v>217</v>
      </c>
      <c r="B25" s="499"/>
      <c r="C25" s="500"/>
      <c r="D25" s="498"/>
      <c r="E25" s="583"/>
      <c r="F25" s="500"/>
      <c r="G25" s="498"/>
      <c r="H25" s="520"/>
      <c r="I25" s="520"/>
      <c r="J25" s="520"/>
      <c r="K25" s="520"/>
      <c r="L25" s="584"/>
      <c r="M25" s="520"/>
      <c r="N25" s="520"/>
      <c r="O25" s="520"/>
      <c r="P25" s="520"/>
      <c r="Q25" s="520"/>
      <c r="R25" s="520"/>
      <c r="S25" s="584"/>
      <c r="T25" s="498"/>
      <c r="U25" s="498"/>
      <c r="V25" s="583"/>
      <c r="W25" s="193"/>
      <c r="X25" s="193"/>
      <c r="Y25" s="193"/>
      <c r="Z25" s="577"/>
      <c r="AA25" s="193"/>
      <c r="AB25" s="193"/>
      <c r="AC25" s="193"/>
      <c r="AD25" s="537"/>
      <c r="AE25" s="179">
        <f t="shared" si="13"/>
        <v>0</v>
      </c>
      <c r="AG25" s="617" t="s">
        <v>512</v>
      </c>
      <c r="AH25" s="619"/>
      <c r="AI25" s="632">
        <f>AI16</f>
        <v>140.54</v>
      </c>
      <c r="AJ25" s="628"/>
      <c r="AL25" s="164" t="s">
        <v>223</v>
      </c>
      <c r="AM25" s="640">
        <f>AM23-AM24</f>
        <v>2487</v>
      </c>
      <c r="AN25" s="640">
        <f>AN23-AN24</f>
        <v>2198.598</v>
      </c>
    </row>
    <row r="26" spans="1:40" x14ac:dyDescent="0.25">
      <c r="A26" s="565" t="s">
        <v>148</v>
      </c>
      <c r="B26" s="566"/>
      <c r="C26" s="567"/>
      <c r="D26" s="568"/>
      <c r="E26" s="583"/>
      <c r="F26" s="567"/>
      <c r="G26" s="568"/>
      <c r="H26" s="569"/>
      <c r="I26" s="569"/>
      <c r="J26" s="569"/>
      <c r="K26" s="569"/>
      <c r="L26" s="584"/>
      <c r="M26" s="569"/>
      <c r="N26" s="569"/>
      <c r="O26" s="569"/>
      <c r="P26" s="569"/>
      <c r="Q26" s="569"/>
      <c r="R26" s="569"/>
      <c r="S26" s="584"/>
      <c r="T26" s="568"/>
      <c r="U26" s="569"/>
      <c r="V26" s="583"/>
      <c r="W26" s="570">
        <v>4000000</v>
      </c>
      <c r="X26" s="570"/>
      <c r="Y26" s="570"/>
      <c r="Z26" s="577"/>
      <c r="AA26" s="571"/>
      <c r="AB26" s="571">
        <v>2400000</v>
      </c>
      <c r="AC26" s="571"/>
      <c r="AD26" s="602"/>
      <c r="AE26" s="572">
        <f t="shared" si="13"/>
        <v>6400000</v>
      </c>
      <c r="AG26" s="200" t="s">
        <v>497</v>
      </c>
      <c r="AH26" s="619"/>
      <c r="AI26" s="200">
        <f>AI24-AI25</f>
        <v>900.86200000000008</v>
      </c>
      <c r="AJ26" s="214"/>
      <c r="AM26" s="640"/>
      <c r="AN26" s="640"/>
    </row>
    <row r="27" spans="1:40" x14ac:dyDescent="0.25">
      <c r="A27" s="178" t="s">
        <v>466</v>
      </c>
      <c r="B27" s="499"/>
      <c r="C27" s="501">
        <v>12273935</v>
      </c>
      <c r="D27" s="498"/>
      <c r="E27" s="583"/>
      <c r="F27" s="498"/>
      <c r="G27" s="498"/>
      <c r="H27" s="501"/>
      <c r="I27" s="501"/>
      <c r="J27" s="520"/>
      <c r="K27" s="520"/>
      <c r="L27" s="584"/>
      <c r="M27" s="520"/>
      <c r="N27" s="520"/>
      <c r="O27" s="520"/>
      <c r="P27" s="520"/>
      <c r="Q27" s="520"/>
      <c r="R27" s="520"/>
      <c r="S27" s="584"/>
      <c r="T27" s="498"/>
      <c r="U27" s="498"/>
      <c r="V27" s="583"/>
      <c r="W27" s="193"/>
      <c r="X27" s="193"/>
      <c r="Y27" s="193"/>
      <c r="Z27" s="577"/>
      <c r="AA27" s="193"/>
      <c r="AB27" s="193"/>
      <c r="AC27" s="193">
        <v>8600000</v>
      </c>
      <c r="AD27" s="537"/>
      <c r="AE27" s="179">
        <f t="shared" si="13"/>
        <v>20873935</v>
      </c>
      <c r="AG27" s="617" t="s">
        <v>500</v>
      </c>
      <c r="AH27" s="620"/>
      <c r="AI27" s="632">
        <v>99</v>
      </c>
      <c r="AJ27" s="214"/>
      <c r="AK27" s="168"/>
      <c r="AL27" s="168"/>
      <c r="AM27" s="640"/>
      <c r="AN27" s="640">
        <f>AN25-AN20</f>
        <v>1040.9999999999998</v>
      </c>
    </row>
    <row r="28" spans="1:40" ht="15" thickBot="1" x14ac:dyDescent="0.3">
      <c r="A28" s="180" t="s">
        <v>218</v>
      </c>
      <c r="B28" s="530">
        <f>SUM(B20:B27)</f>
        <v>16688952.5</v>
      </c>
      <c r="C28" s="530">
        <f>SUM(C20:C27)</f>
        <v>13907930</v>
      </c>
      <c r="D28" s="530">
        <f t="shared" ref="D28:AC28" si="14">SUM(D20:D27)</f>
        <v>283408</v>
      </c>
      <c r="E28" s="531">
        <f t="shared" si="14"/>
        <v>0</v>
      </c>
      <c r="F28" s="530">
        <f t="shared" si="14"/>
        <v>0</v>
      </c>
      <c r="G28" s="530">
        <f t="shared" si="14"/>
        <v>7377280</v>
      </c>
      <c r="H28" s="530">
        <f t="shared" si="14"/>
        <v>14670160</v>
      </c>
      <c r="I28" s="530">
        <f t="shared" si="14"/>
        <v>7275280</v>
      </c>
      <c r="J28" s="530">
        <f t="shared" si="14"/>
        <v>18000</v>
      </c>
      <c r="K28" s="530">
        <f t="shared" si="14"/>
        <v>14550560</v>
      </c>
      <c r="L28" s="531">
        <f t="shared" si="14"/>
        <v>0</v>
      </c>
      <c r="M28" s="530">
        <f t="shared" si="14"/>
        <v>0</v>
      </c>
      <c r="N28" s="530">
        <f t="shared" si="14"/>
        <v>10372604</v>
      </c>
      <c r="O28" s="530">
        <f t="shared" si="14"/>
        <v>9033270</v>
      </c>
      <c r="P28" s="530">
        <f t="shared" si="14"/>
        <v>7870358</v>
      </c>
      <c r="Q28" s="530">
        <f t="shared" si="14"/>
        <v>7741750</v>
      </c>
      <c r="R28" s="530">
        <f t="shared" si="14"/>
        <v>9747749</v>
      </c>
      <c r="S28" s="531">
        <f t="shared" si="14"/>
        <v>0</v>
      </c>
      <c r="T28" s="530">
        <f t="shared" si="14"/>
        <v>0</v>
      </c>
      <c r="U28" s="530">
        <f t="shared" si="14"/>
        <v>7741750</v>
      </c>
      <c r="V28" s="531">
        <f t="shared" si="14"/>
        <v>0</v>
      </c>
      <c r="W28" s="532">
        <f t="shared" si="14"/>
        <v>34967000</v>
      </c>
      <c r="X28" s="532">
        <f t="shared" si="14"/>
        <v>8041750</v>
      </c>
      <c r="Y28" s="532">
        <f t="shared" si="14"/>
        <v>7991750</v>
      </c>
      <c r="Z28" s="533">
        <f t="shared" si="14"/>
        <v>0</v>
      </c>
      <c r="AA28" s="532">
        <f t="shared" si="14"/>
        <v>0</v>
      </c>
      <c r="AB28" s="532">
        <f t="shared" si="14"/>
        <v>10391750</v>
      </c>
      <c r="AC28" s="532">
        <f t="shared" si="14"/>
        <v>24083500</v>
      </c>
      <c r="AD28" s="603"/>
      <c r="AE28" s="529">
        <f>SUM(AE20:AE27)</f>
        <v>212754801.5</v>
      </c>
      <c r="AF28" s="168"/>
      <c r="AG28" s="618" t="s">
        <v>501</v>
      </c>
      <c r="AH28" s="619"/>
      <c r="AI28" s="554">
        <f>AI26+AI27</f>
        <v>999.86200000000008</v>
      </c>
      <c r="AJ28" s="591">
        <f>7741750*AI28/100</f>
        <v>77406816.385000005</v>
      </c>
    </row>
    <row r="29" spans="1:40" x14ac:dyDescent="0.25">
      <c r="AG29" s="639" t="s">
        <v>487</v>
      </c>
      <c r="AH29" s="625"/>
      <c r="AI29" s="200">
        <v>500</v>
      </c>
      <c r="AJ29" s="639">
        <f>SUM(X21:AC21)</f>
        <v>38708750</v>
      </c>
    </row>
    <row r="30" spans="1:40" ht="15" thickBot="1" x14ac:dyDescent="0.3">
      <c r="AG30" s="552" t="s">
        <v>486</v>
      </c>
      <c r="AH30" s="622"/>
      <c r="AI30" s="633">
        <v>500</v>
      </c>
      <c r="AJ30" s="630">
        <f>AJ28-AJ29</f>
        <v>38698066.385000005</v>
      </c>
    </row>
    <row r="31" spans="1:40" ht="15" thickTop="1" x14ac:dyDescent="0.3">
      <c r="A31" s="196"/>
      <c r="AG31" s="620"/>
      <c r="AH31" s="620"/>
      <c r="AI31" s="626"/>
      <c r="AJ31" s="627"/>
    </row>
    <row r="32" spans="1:40" x14ac:dyDescent="0.25">
      <c r="A32" s="200"/>
      <c r="B32" s="544"/>
      <c r="C32" s="544"/>
      <c r="D32" s="544"/>
      <c r="E32" s="585"/>
      <c r="F32" s="544"/>
      <c r="G32" s="544"/>
      <c r="H32" s="544"/>
      <c r="I32" s="544"/>
      <c r="J32" s="544"/>
      <c r="K32" s="544"/>
      <c r="L32" s="585"/>
      <c r="M32" s="544"/>
      <c r="N32" s="544"/>
      <c r="O32" s="544"/>
      <c r="P32" s="544"/>
      <c r="Q32" s="544"/>
      <c r="R32" s="544"/>
      <c r="AG32" s="622"/>
      <c r="AH32" s="618"/>
      <c r="AI32" s="618"/>
      <c r="AJ32" s="618"/>
    </row>
    <row r="33" spans="1:36" x14ac:dyDescent="0.3">
      <c r="A33" s="196"/>
      <c r="AG33" s="622"/>
      <c r="AH33" s="617"/>
      <c r="AI33" s="617"/>
      <c r="AJ33" s="617"/>
    </row>
    <row r="34" spans="1:36" x14ac:dyDescent="0.3">
      <c r="A34" s="196"/>
    </row>
    <row r="35" spans="1:36" x14ac:dyDescent="0.25">
      <c r="A35" s="200"/>
    </row>
    <row r="37" spans="1:36" x14ac:dyDescent="0.25">
      <c r="A37" s="190"/>
    </row>
  </sheetData>
  <mergeCells count="2">
    <mergeCell ref="A4:A5"/>
    <mergeCell ref="AE4:AE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2"/>
  <sheetViews>
    <sheetView topLeftCell="A198" workbookViewId="0">
      <selection activeCell="Q220" sqref="Q219:Q220"/>
    </sheetView>
  </sheetViews>
  <sheetFormatPr defaultRowHeight="14.4" outlineLevelRow="1" x14ac:dyDescent="0.3"/>
  <cols>
    <col min="1" max="1" width="4.109375" style="309" bestFit="1" customWidth="1"/>
    <col min="2" max="2" width="41.44140625" style="312" customWidth="1"/>
    <col min="3" max="3" width="15.33203125" style="312" bestFit="1" customWidth="1"/>
    <col min="4" max="4" width="13.88671875" style="312" hidden="1" customWidth="1"/>
    <col min="5" max="5" width="13" style="312" hidden="1" customWidth="1"/>
    <col min="6" max="6" width="14.109375" style="310" hidden="1" customWidth="1"/>
    <col min="7" max="7" width="13.33203125" style="312" hidden="1" customWidth="1"/>
    <col min="8" max="9" width="16.88671875" style="310" hidden="1" customWidth="1"/>
    <col min="10" max="10" width="15.88671875" style="196" customWidth="1"/>
    <col min="12" max="12" width="13.6640625" bestFit="1" customWidth="1"/>
    <col min="13" max="13" width="11" bestFit="1" customWidth="1"/>
    <col min="16" max="16" width="10" bestFit="1" customWidth="1"/>
  </cols>
  <sheetData>
    <row r="1" spans="1:9" hidden="1" outlineLevel="1" x14ac:dyDescent="0.3">
      <c r="A1" s="309">
        <v>1</v>
      </c>
      <c r="B1" s="313" t="s">
        <v>225</v>
      </c>
      <c r="C1" s="313"/>
      <c r="D1" s="313"/>
      <c r="E1" s="315"/>
      <c r="F1" s="309"/>
      <c r="G1" s="309"/>
      <c r="H1" s="309"/>
      <c r="I1" s="309"/>
    </row>
    <row r="2" spans="1:9" hidden="1" outlineLevel="1" x14ac:dyDescent="0.3">
      <c r="B2" s="316" t="s">
        <v>226</v>
      </c>
      <c r="C2" s="316"/>
      <c r="D2" s="316"/>
      <c r="F2" s="317"/>
      <c r="G2" s="316"/>
    </row>
    <row r="3" spans="1:9" hidden="1" outlineLevel="1" x14ac:dyDescent="0.3">
      <c r="B3" s="311" t="s">
        <v>227</v>
      </c>
      <c r="C3" s="318">
        <f>'[8]Annexure-20-21'!E7</f>
        <v>22558214</v>
      </c>
      <c r="D3" s="319">
        <v>22558214</v>
      </c>
      <c r="F3" s="319">
        <v>29648614</v>
      </c>
      <c r="G3" s="319">
        <v>21958214</v>
      </c>
      <c r="H3" s="320">
        <v>9964164</v>
      </c>
      <c r="I3" s="320"/>
    </row>
    <row r="4" spans="1:9" hidden="1" outlineLevel="1" x14ac:dyDescent="0.3">
      <c r="B4" s="311" t="s">
        <v>228</v>
      </c>
      <c r="C4" s="318">
        <f>'[8]Annexure-20-21'!E8+'[8]Annexure-20-21'!E9</f>
        <v>696204308</v>
      </c>
      <c r="D4" s="319">
        <v>696204308</v>
      </c>
      <c r="F4" s="319">
        <v>695305520</v>
      </c>
      <c r="G4" s="319">
        <v>693627291</v>
      </c>
      <c r="H4" s="318">
        <v>692773038</v>
      </c>
      <c r="I4" s="318"/>
    </row>
    <row r="5" spans="1:9" hidden="1" outlineLevel="1" x14ac:dyDescent="0.3">
      <c r="B5" s="311" t="s">
        <v>229</v>
      </c>
      <c r="C5" s="318">
        <f>'[8]Annexure-20-21'!E10+'[8]Annexure-20-21'!E11+'[8]Annexure-20-21'!E12</f>
        <v>2065605800.8200002</v>
      </c>
      <c r="D5" s="319">
        <v>2065605800.8200002</v>
      </c>
      <c r="F5" s="319">
        <f>1471924586.21+584162608</f>
        <v>2056087194.21</v>
      </c>
      <c r="G5" s="319">
        <f>1450669189.46+584162607.61</f>
        <v>2034831797.0700002</v>
      </c>
      <c r="H5" s="320">
        <v>2033422802.4099998</v>
      </c>
      <c r="I5" s="320"/>
    </row>
    <row r="6" spans="1:9" hidden="1" outlineLevel="1" x14ac:dyDescent="0.3">
      <c r="B6" s="311" t="s">
        <v>230</v>
      </c>
      <c r="C6" s="318">
        <f>'[8]Annexure-20-21'!E13</f>
        <v>77140859.560000002</v>
      </c>
      <c r="D6" s="319">
        <v>77140859.560000002</v>
      </c>
      <c r="F6" s="319">
        <v>77140859.560000002</v>
      </c>
      <c r="G6" s="319">
        <v>77140859.560000002</v>
      </c>
      <c r="H6" s="320">
        <v>77140859.560000002</v>
      </c>
      <c r="I6" s="320"/>
    </row>
    <row r="7" spans="1:9" hidden="1" outlineLevel="1" x14ac:dyDescent="0.3">
      <c r="B7" s="311" t="s">
        <v>231</v>
      </c>
      <c r="C7" s="318">
        <f>'[8]Annexure-20-21'!E19</f>
        <v>6319342</v>
      </c>
      <c r="D7" s="319">
        <v>6319342</v>
      </c>
      <c r="F7" s="319">
        <v>6319342</v>
      </c>
      <c r="G7" s="319">
        <v>5400502</v>
      </c>
      <c r="H7" s="320">
        <v>5276403</v>
      </c>
      <c r="I7" s="320"/>
    </row>
    <row r="8" spans="1:9" hidden="1" outlineLevel="1" x14ac:dyDescent="0.3">
      <c r="B8" s="311" t="s">
        <v>232</v>
      </c>
      <c r="C8" s="318">
        <f>'[8]Annexure-20-21'!E21+'[8]Annexure-20-21'!E22</f>
        <v>144502521.07999998</v>
      </c>
      <c r="D8" s="319">
        <v>144502521.07999998</v>
      </c>
      <c r="F8" s="319">
        <v>143278921.07999998</v>
      </c>
      <c r="G8" s="319">
        <v>129044064.55</v>
      </c>
      <c r="H8" s="320">
        <v>70543684.480000004</v>
      </c>
      <c r="I8" s="320"/>
    </row>
    <row r="9" spans="1:9" hidden="1" outlineLevel="1" x14ac:dyDescent="0.3">
      <c r="B9" s="311" t="s">
        <v>233</v>
      </c>
      <c r="C9" s="318">
        <f>'[8]Annexure-20-21'!E17+'[8]Annexure-20-21'!E18</f>
        <v>19562861.079999998</v>
      </c>
      <c r="D9" s="319">
        <v>19562861.079999998</v>
      </c>
      <c r="F9" s="319">
        <v>19480588.079999998</v>
      </c>
      <c r="G9" s="319">
        <v>18656390.079999998</v>
      </c>
      <c r="H9" s="320">
        <v>15766389</v>
      </c>
      <c r="I9" s="320"/>
    </row>
    <row r="10" spans="1:9" hidden="1" outlineLevel="1" x14ac:dyDescent="0.3">
      <c r="B10" s="311" t="s">
        <v>234</v>
      </c>
      <c r="C10" s="318">
        <f>'[8]Annexure-20-21'!E20</f>
        <v>2596943</v>
      </c>
      <c r="D10" s="319">
        <v>2596943</v>
      </c>
      <c r="F10" s="319">
        <v>2596943</v>
      </c>
      <c r="G10" s="319">
        <v>1216154</v>
      </c>
      <c r="H10" s="320">
        <v>660983</v>
      </c>
      <c r="I10" s="320"/>
    </row>
    <row r="11" spans="1:9" hidden="1" outlineLevel="1" x14ac:dyDescent="0.3">
      <c r="B11" s="311" t="s">
        <v>235</v>
      </c>
      <c r="C11" s="318">
        <f>'[8]Annexure-20-21'!E14+'[8]Annexure-20-21'!E15</f>
        <v>2428583716.0699997</v>
      </c>
      <c r="D11" s="319">
        <v>2428583716.0699997</v>
      </c>
      <c r="F11" s="319">
        <v>2299041058.0699997</v>
      </c>
      <c r="G11" s="321">
        <f>1797134286.07+346953233+148162007</f>
        <v>2292249526.0699997</v>
      </c>
      <c r="H11" s="321">
        <f>1167553196.07+148162007</f>
        <v>1315715203.0699999</v>
      </c>
      <c r="I11" s="319"/>
    </row>
    <row r="12" spans="1:9" hidden="1" outlineLevel="1" x14ac:dyDescent="0.3">
      <c r="B12" s="313" t="s">
        <v>0</v>
      </c>
      <c r="C12" s="322">
        <f>SUM(C3:C11)</f>
        <v>5463074565.6099997</v>
      </c>
      <c r="D12" s="322">
        <f>SUM(D3:D11)</f>
        <v>5463074565.6099997</v>
      </c>
      <c r="F12" s="314">
        <f>SUM(F3:F11)</f>
        <v>5328899040</v>
      </c>
      <c r="G12" s="323">
        <f>SUM(G3:G11)</f>
        <v>5274124798.3299999</v>
      </c>
      <c r="H12" s="323">
        <f>SUM(H3:H11)</f>
        <v>4221263526.5199995</v>
      </c>
      <c r="I12" s="323"/>
    </row>
    <row r="13" spans="1:9" hidden="1" outlineLevel="1" x14ac:dyDescent="0.3">
      <c r="B13" s="316" t="s">
        <v>236</v>
      </c>
      <c r="C13" s="316"/>
      <c r="D13" s="316"/>
      <c r="E13" s="316"/>
      <c r="F13" s="317"/>
      <c r="G13" s="324" t="s">
        <v>142</v>
      </c>
    </row>
    <row r="14" spans="1:9" hidden="1" outlineLevel="1" x14ac:dyDescent="0.3">
      <c r="B14" s="311" t="s">
        <v>227</v>
      </c>
      <c r="C14" s="318">
        <f>'[8]Annexure-20-21'!J7</f>
        <v>0</v>
      </c>
      <c r="D14" s="311"/>
      <c r="E14" s="311"/>
      <c r="F14" s="318"/>
      <c r="G14" s="324"/>
    </row>
    <row r="15" spans="1:9" hidden="1" outlineLevel="1" x14ac:dyDescent="0.3">
      <c r="B15" s="311" t="s">
        <v>228</v>
      </c>
      <c r="C15" s="318">
        <f>'[8]Annexure-20-21'!J8+'[8]Annexure-20-21'!J9</f>
        <v>190790628.11432111</v>
      </c>
      <c r="D15" s="324">
        <v>177682810.11432111</v>
      </c>
      <c r="F15" s="324">
        <v>88255810.027439445</v>
      </c>
      <c r="G15" s="324">
        <f>47353622.62</f>
        <v>47353622.619999997</v>
      </c>
      <c r="H15" s="318">
        <v>19235463.170000002</v>
      </c>
      <c r="I15" s="318"/>
    </row>
    <row r="16" spans="1:9" hidden="1" outlineLevel="1" x14ac:dyDescent="0.3">
      <c r="B16" s="311" t="s">
        <v>229</v>
      </c>
      <c r="C16" s="318">
        <f>'[8]Annexure-20-21'!J10+'[8]Annexure-20-21'!J11+'[8]Annexure-20-21'!J12</f>
        <v>694914004.88866401</v>
      </c>
      <c r="D16" s="324">
        <v>648782270.28866398</v>
      </c>
      <c r="F16" s="324">
        <v>323064160.68574089</v>
      </c>
      <c r="G16" s="324">
        <f>135735078.26+45159615.76+16845284+23392695</f>
        <v>221132673.01999998</v>
      </c>
      <c r="H16" s="318">
        <f>57317350.79+17101131.4+16845284</f>
        <v>91263766.189999998</v>
      </c>
      <c r="I16" s="318"/>
    </row>
    <row r="17" spans="1:9" hidden="1" outlineLevel="1" x14ac:dyDescent="0.3">
      <c r="B17" s="311" t="s">
        <v>230</v>
      </c>
      <c r="C17" s="318">
        <f>'[8]Annexure-20-21'!J13</f>
        <v>20858511.583705414</v>
      </c>
      <c r="D17" s="324">
        <v>19411283.103705414</v>
      </c>
      <c r="F17" s="324">
        <v>9730519.0612759609</v>
      </c>
      <c r="G17" s="324">
        <f>6175152.46</f>
        <v>6175152.46</v>
      </c>
      <c r="H17" s="318">
        <v>2528869.54</v>
      </c>
      <c r="I17" s="318"/>
    </row>
    <row r="18" spans="1:9" hidden="1" outlineLevel="1" x14ac:dyDescent="0.3">
      <c r="B18" s="311" t="s">
        <v>231</v>
      </c>
      <c r="C18" s="318">
        <f>'[8]Annexure-20-21'!J19</f>
        <v>2607939.3894794607</v>
      </c>
      <c r="D18" s="324">
        <v>2471237.6194794606</v>
      </c>
      <c r="F18" s="324">
        <v>1481490.7541694171</v>
      </c>
      <c r="G18" s="324">
        <v>2194077.87</v>
      </c>
      <c r="H18" s="318">
        <v>396118.1</v>
      </c>
      <c r="I18" s="318"/>
    </row>
    <row r="19" spans="1:9" hidden="1" outlineLevel="1" x14ac:dyDescent="0.3">
      <c r="B19" s="311" t="s">
        <v>232</v>
      </c>
      <c r="C19" s="318">
        <f>'[8]Annexure-20-21'!J21+'[8]Annexure-20-21'!J22</f>
        <v>37706004.375754543</v>
      </c>
      <c r="D19" s="324">
        <v>34940250.395754546</v>
      </c>
      <c r="F19" s="324">
        <v>16937606.856225211</v>
      </c>
      <c r="G19" s="324">
        <v>7565810.4299999997</v>
      </c>
      <c r="H19" s="318">
        <v>1737659.81</v>
      </c>
      <c r="I19" s="318"/>
    </row>
    <row r="20" spans="1:9" hidden="1" outlineLevel="1" x14ac:dyDescent="0.3">
      <c r="B20" s="311" t="s">
        <v>233</v>
      </c>
      <c r="C20" s="318">
        <f>'[8]Annexure-20-21'!J17+'[8]Annexure-20-21'!J18</f>
        <v>10287480.138857367</v>
      </c>
      <c r="D20" s="324">
        <v>9816312.828857366</v>
      </c>
      <c r="F20" s="324">
        <v>6212200.4951459114</v>
      </c>
      <c r="G20" s="324">
        <v>4507513.13</v>
      </c>
      <c r="H20" s="318">
        <v>1755159.48</v>
      </c>
      <c r="I20" s="318"/>
    </row>
    <row r="21" spans="1:9" hidden="1" outlineLevel="1" x14ac:dyDescent="0.3">
      <c r="B21" s="311" t="s">
        <v>234</v>
      </c>
      <c r="C21" s="318">
        <f>'[8]Annexure-20-21'!J20</f>
        <v>1045235.1721678444</v>
      </c>
      <c r="D21" s="324">
        <v>965341.62216784433</v>
      </c>
      <c r="F21" s="324">
        <v>350129.14194287243</v>
      </c>
      <c r="G21" s="324">
        <f>265937.59-1</f>
        <v>265936.59000000003</v>
      </c>
      <c r="H21" s="318">
        <v>72498.41</v>
      </c>
      <c r="I21" s="318"/>
    </row>
    <row r="22" spans="1:9" hidden="1" outlineLevel="1" x14ac:dyDescent="0.3">
      <c r="B22" s="311" t="s">
        <v>235</v>
      </c>
      <c r="C22" s="318">
        <f>'[8]Annexure-20-21'!J14+'[8]Annexure-20-21'!J15</f>
        <v>589484845.61456299</v>
      </c>
      <c r="D22" s="324">
        <v>544500094.68456304</v>
      </c>
      <c r="F22" s="324">
        <v>238972868.04318342</v>
      </c>
      <c r="G22" s="325">
        <f>117434926.96</f>
        <v>117434926.95999999</v>
      </c>
      <c r="H22" s="321">
        <f>24021133.87</f>
        <v>24021133.870000001</v>
      </c>
      <c r="I22" s="318"/>
    </row>
    <row r="23" spans="1:9" hidden="1" outlineLevel="1" x14ac:dyDescent="0.3">
      <c r="B23" s="313" t="s">
        <v>0</v>
      </c>
      <c r="C23" s="326">
        <f>SUM(C15:C22)</f>
        <v>1547694649.277513</v>
      </c>
      <c r="D23" s="326">
        <f>SUM(D15:D22)</f>
        <v>1438569600.6575127</v>
      </c>
      <c r="F23" s="327">
        <f>SUM(F15:F22)</f>
        <v>685004785.06512308</v>
      </c>
      <c r="G23" s="327">
        <f>SUM(G15:G22)</f>
        <v>406629713.07999992</v>
      </c>
      <c r="H23" s="327">
        <f>SUM(H15:H22)</f>
        <v>141010668.56999999</v>
      </c>
      <c r="I23" s="327"/>
    </row>
    <row r="24" spans="1:9" ht="15" hidden="1" outlineLevel="1" thickBot="1" x14ac:dyDescent="0.35">
      <c r="B24" s="313" t="s">
        <v>237</v>
      </c>
      <c r="C24" s="328">
        <f>C12-C23</f>
        <v>3915379916.3324866</v>
      </c>
      <c r="D24" s="328">
        <f>D12-D23</f>
        <v>4024504964.952487</v>
      </c>
      <c r="F24" s="328">
        <f>F12-F23</f>
        <v>4643894254.9348774</v>
      </c>
      <c r="G24" s="328">
        <f>G12-G23</f>
        <v>4867495085.25</v>
      </c>
      <c r="H24" s="328">
        <f>H12-H23</f>
        <v>4080252857.9499993</v>
      </c>
      <c r="I24" s="323"/>
    </row>
    <row r="25" spans="1:9" ht="15" hidden="1" outlineLevel="1" thickTop="1" x14ac:dyDescent="0.3">
      <c r="A25" s="309">
        <v>2</v>
      </c>
      <c r="B25" s="313" t="s">
        <v>238</v>
      </c>
      <c r="C25" s="313"/>
      <c r="D25" s="313"/>
      <c r="E25" s="313"/>
      <c r="F25" s="314"/>
      <c r="G25" s="313"/>
    </row>
    <row r="26" spans="1:9" hidden="1" outlineLevel="1" x14ac:dyDescent="0.3">
      <c r="B26" s="311" t="s">
        <v>226</v>
      </c>
      <c r="C26" s="318">
        <f>'[8]Annexure-20-21'!E16</f>
        <v>8622900</v>
      </c>
      <c r="D26" s="324">
        <v>8622900</v>
      </c>
      <c r="F26" s="319">
        <v>8402900</v>
      </c>
      <c r="G26" s="319">
        <v>932500</v>
      </c>
      <c r="H26" s="318">
        <v>932500</v>
      </c>
      <c r="I26" s="318"/>
    </row>
    <row r="27" spans="1:9" hidden="1" outlineLevel="1" x14ac:dyDescent="0.3">
      <c r="B27" s="311" t="s">
        <v>239</v>
      </c>
      <c r="C27" s="318">
        <f>'[8]Annexure-20-21'!J16</f>
        <v>1827082.5747760595</v>
      </c>
      <c r="D27" s="324">
        <v>1639319.5947760595</v>
      </c>
      <c r="F27" s="318">
        <v>512362.52627517807</v>
      </c>
      <c r="G27" s="318">
        <v>81928.649999999994</v>
      </c>
      <c r="H27" s="318">
        <v>16167.78</v>
      </c>
      <c r="I27" s="318"/>
    </row>
    <row r="28" spans="1:9" ht="15" hidden="1" outlineLevel="1" thickBot="1" x14ac:dyDescent="0.35">
      <c r="B28" s="330" t="s">
        <v>240</v>
      </c>
      <c r="C28" s="328">
        <f>C26-C27</f>
        <v>6795817.425223941</v>
      </c>
      <c r="D28" s="328">
        <f>D26-D27</f>
        <v>6983580.4052239405</v>
      </c>
      <c r="F28" s="328">
        <f>F26-F27</f>
        <v>7890537.4737248216</v>
      </c>
      <c r="G28" s="328">
        <f>G26-G27</f>
        <v>850571.35</v>
      </c>
      <c r="H28" s="328">
        <f>H26-H27</f>
        <v>916332.22</v>
      </c>
      <c r="I28" s="323"/>
    </row>
    <row r="29" spans="1:9" ht="15" hidden="1" outlineLevel="1" thickTop="1" x14ac:dyDescent="0.3">
      <c r="A29" s="309">
        <v>3</v>
      </c>
      <c r="B29" s="313" t="s">
        <v>241</v>
      </c>
      <c r="C29" s="313"/>
      <c r="D29" s="313"/>
      <c r="E29" s="313"/>
      <c r="F29" s="314"/>
      <c r="G29" s="331"/>
    </row>
    <row r="30" spans="1:9" hidden="1" outlineLevel="1" x14ac:dyDescent="0.3">
      <c r="B30" s="313"/>
      <c r="C30" s="313"/>
      <c r="D30" s="313"/>
      <c r="E30" s="313"/>
      <c r="F30" s="314"/>
      <c r="G30" s="331"/>
    </row>
    <row r="31" spans="1:9" hidden="1" outlineLevel="1" x14ac:dyDescent="0.3">
      <c r="B31" s="311" t="s">
        <v>242</v>
      </c>
      <c r="C31" s="318">
        <f>6046810.89</f>
        <v>6046810.8899999997</v>
      </c>
      <c r="D31" s="318">
        <v>6046810.8899999997</v>
      </c>
      <c r="E31" s="318">
        <f>5689540.89+357270</f>
        <v>6046810.8899999997</v>
      </c>
      <c r="F31" s="319">
        <f>5689540.89+100200</f>
        <v>5789740.8899999997</v>
      </c>
      <c r="G31" s="319">
        <v>5689540.8899999997</v>
      </c>
      <c r="H31" s="319">
        <v>5689540.8899999997</v>
      </c>
      <c r="I31" s="319"/>
    </row>
    <row r="32" spans="1:9" hidden="1" outlineLevel="1" x14ac:dyDescent="0.3">
      <c r="B32" s="311" t="s">
        <v>243</v>
      </c>
      <c r="C32" s="318"/>
      <c r="D32" s="318"/>
      <c r="E32" s="318"/>
      <c r="F32" s="319"/>
      <c r="G32" s="319">
        <v>0</v>
      </c>
      <c r="H32" s="319">
        <f>199500+679.74+9607.58+638.84+4435</f>
        <v>214861.15999999997</v>
      </c>
      <c r="I32" s="319"/>
    </row>
    <row r="33" spans="1:10" hidden="1" outlineLevel="1" x14ac:dyDescent="0.3">
      <c r="B33" s="311" t="s">
        <v>244</v>
      </c>
      <c r="C33" s="318">
        <v>421159</v>
      </c>
      <c r="D33" s="318">
        <v>421159</v>
      </c>
      <c r="E33" s="318">
        <f>1953649+465931</f>
        <v>2419580</v>
      </c>
      <c r="F33" s="319">
        <v>1678229</v>
      </c>
      <c r="G33" s="319">
        <v>1678229</v>
      </c>
      <c r="H33" s="318">
        <v>0</v>
      </c>
      <c r="I33" s="318"/>
    </row>
    <row r="34" spans="1:10" hidden="1" outlineLevel="1" x14ac:dyDescent="0.3">
      <c r="B34" s="311" t="s">
        <v>245</v>
      </c>
      <c r="C34" s="318">
        <v>4754120.53</v>
      </c>
      <c r="D34" s="318">
        <v>4754120.53</v>
      </c>
      <c r="E34" s="318">
        <f>4738120.53+16000</f>
        <v>4754120.53</v>
      </c>
      <c r="F34" s="319">
        <f>3064970.8+16000</f>
        <v>3080970.8</v>
      </c>
      <c r="G34" s="319">
        <f>5628123.81+9231684.8+6137512.67</f>
        <v>20997321.280000001</v>
      </c>
      <c r="H34" s="318">
        <v>0</v>
      </c>
      <c r="I34" s="318"/>
    </row>
    <row r="35" spans="1:10" hidden="1" outlineLevel="1" x14ac:dyDescent="0.3">
      <c r="B35" s="311" t="s">
        <v>246</v>
      </c>
      <c r="C35" s="318">
        <v>332497</v>
      </c>
      <c r="D35" s="318">
        <v>332497</v>
      </c>
      <c r="E35" s="318">
        <v>332497</v>
      </c>
      <c r="F35" s="319">
        <v>332497</v>
      </c>
      <c r="G35" s="319">
        <v>5180000</v>
      </c>
      <c r="H35" s="318">
        <v>0</v>
      </c>
      <c r="I35" s="318"/>
    </row>
    <row r="36" spans="1:10" ht="15" hidden="1" outlineLevel="1" thickBot="1" x14ac:dyDescent="0.35">
      <c r="B36" s="332" t="s">
        <v>247</v>
      </c>
      <c r="C36" s="328">
        <f t="shared" ref="C36:H36" si="0">SUM(C31:C35)</f>
        <v>11554587.42</v>
      </c>
      <c r="D36" s="328">
        <f t="shared" si="0"/>
        <v>11554587.42</v>
      </c>
      <c r="E36" s="328">
        <f t="shared" si="0"/>
        <v>13553008.420000002</v>
      </c>
      <c r="F36" s="328">
        <f t="shared" si="0"/>
        <v>10881437.689999999</v>
      </c>
      <c r="G36" s="328">
        <f t="shared" si="0"/>
        <v>33545091.170000002</v>
      </c>
      <c r="H36" s="328">
        <f t="shared" si="0"/>
        <v>5904402.0499999998</v>
      </c>
      <c r="I36" s="323"/>
    </row>
    <row r="37" spans="1:10" ht="15" hidden="1" outlineLevel="1" thickTop="1" x14ac:dyDescent="0.3">
      <c r="A37" s="309">
        <v>5</v>
      </c>
      <c r="B37" s="313" t="s">
        <v>248</v>
      </c>
      <c r="C37" s="313"/>
      <c r="D37" s="313"/>
      <c r="E37" s="313"/>
      <c r="F37" s="314"/>
      <c r="G37" s="313"/>
    </row>
    <row r="38" spans="1:10" hidden="1" outlineLevel="1" x14ac:dyDescent="0.3">
      <c r="B38" s="311" t="s">
        <v>249</v>
      </c>
      <c r="C38" s="318">
        <v>1767450.3800000781</v>
      </c>
      <c r="D38" s="318">
        <v>1585372.3300000019</v>
      </c>
      <c r="E38" s="318">
        <v>11142484.98</v>
      </c>
      <c r="F38" s="318">
        <v>11431924.98</v>
      </c>
      <c r="G38" s="318">
        <v>1724645.94</v>
      </c>
      <c r="H38" s="318">
        <v>2829461.94</v>
      </c>
      <c r="I38" s="318"/>
    </row>
    <row r="39" spans="1:10" hidden="1" outlineLevel="1" x14ac:dyDescent="0.3">
      <c r="B39" s="311" t="s">
        <v>250</v>
      </c>
      <c r="C39" s="318">
        <f>214804107.56+433500</f>
        <v>215237607.56</v>
      </c>
      <c r="D39" s="318">
        <v>214804107.56</v>
      </c>
      <c r="E39" s="318">
        <v>178298052.03</v>
      </c>
      <c r="F39" s="318">
        <v>27034828</v>
      </c>
      <c r="G39" s="318">
        <v>148347978.66999999</v>
      </c>
      <c r="H39" s="318">
        <v>68277679.599999994</v>
      </c>
      <c r="I39" s="333"/>
    </row>
    <row r="40" spans="1:10" hidden="1" outlineLevel="1" x14ac:dyDescent="0.3">
      <c r="B40" s="311" t="s">
        <v>251</v>
      </c>
      <c r="C40" s="318">
        <f>793867.55+218161</f>
        <v>1012028.55</v>
      </c>
      <c r="D40" s="318">
        <v>944324</v>
      </c>
      <c r="E40" s="318">
        <f>1392662.77+150000</f>
        <v>1542662.77</v>
      </c>
      <c r="F40" s="318">
        <f>165000+2753343.77</f>
        <v>2918343.77</v>
      </c>
      <c r="G40" s="318">
        <f>2922634-180000</f>
        <v>2742634</v>
      </c>
      <c r="H40" s="318">
        <v>22152490</v>
      </c>
      <c r="I40" s="318"/>
    </row>
    <row r="41" spans="1:10" hidden="1" outlineLevel="1" x14ac:dyDescent="0.3">
      <c r="B41" s="311" t="s">
        <v>252</v>
      </c>
      <c r="C41" s="318">
        <v>3185148.4400000274</v>
      </c>
      <c r="D41" s="318">
        <v>3185148.4400000274</v>
      </c>
      <c r="E41" s="318">
        <v>5428560.4900000002</v>
      </c>
      <c r="F41" s="318">
        <v>4134266.48</v>
      </c>
      <c r="G41" s="318">
        <v>13394958</v>
      </c>
      <c r="H41" s="318">
        <v>33673550.329999998</v>
      </c>
      <c r="I41" s="319"/>
    </row>
    <row r="42" spans="1:10" hidden="1" outlineLevel="1" x14ac:dyDescent="0.3">
      <c r="B42" s="311" t="s">
        <v>253</v>
      </c>
      <c r="C42" s="318">
        <v>22232238</v>
      </c>
      <c r="D42" s="318">
        <v>22267622</v>
      </c>
      <c r="E42" s="318">
        <v>41318885</v>
      </c>
      <c r="F42" s="318">
        <v>41469165</v>
      </c>
      <c r="G42" s="318">
        <f>16382025+345000+5000000+1800000+271005+202515+6610000-671626.82</f>
        <v>29938918.18</v>
      </c>
      <c r="H42" s="318">
        <v>15306403</v>
      </c>
      <c r="I42" s="318"/>
    </row>
    <row r="43" spans="1:10" hidden="1" outlineLevel="1" x14ac:dyDescent="0.3">
      <c r="B43" s="311" t="s">
        <v>254</v>
      </c>
      <c r="C43" s="318">
        <v>61436219.920000002</v>
      </c>
      <c r="D43" s="318">
        <v>52436219.920000002</v>
      </c>
      <c r="E43" s="318"/>
      <c r="F43" s="318"/>
      <c r="G43" s="318">
        <v>0</v>
      </c>
      <c r="H43" s="318"/>
      <c r="I43" s="318"/>
    </row>
    <row r="44" spans="1:10" hidden="1" outlineLevel="1" x14ac:dyDescent="0.3">
      <c r="B44" s="311" t="s">
        <v>255</v>
      </c>
      <c r="C44" s="318">
        <v>1820000</v>
      </c>
      <c r="D44" s="318">
        <v>1820000</v>
      </c>
      <c r="E44" s="318"/>
      <c r="F44" s="318"/>
      <c r="G44" s="318">
        <v>0</v>
      </c>
      <c r="H44" s="318"/>
      <c r="I44" s="318"/>
    </row>
    <row r="45" spans="1:10" hidden="1" outlineLevel="1" x14ac:dyDescent="0.3">
      <c r="B45" s="311" t="s">
        <v>256</v>
      </c>
      <c r="C45" s="318">
        <v>2497282.5</v>
      </c>
      <c r="D45" s="318">
        <v>4994565</v>
      </c>
      <c r="E45" s="318">
        <v>8058696.5</v>
      </c>
      <c r="F45" s="318">
        <v>980843</v>
      </c>
      <c r="G45" s="318">
        <v>3853019</v>
      </c>
      <c r="H45" s="318">
        <v>3346223</v>
      </c>
      <c r="I45" s="318"/>
    </row>
    <row r="46" spans="1:10" hidden="1" outlineLevel="1" x14ac:dyDescent="0.3">
      <c r="B46" s="311" t="s">
        <v>257</v>
      </c>
      <c r="C46" s="318">
        <v>11781434.809999999</v>
      </c>
      <c r="D46" s="318">
        <v>11781435</v>
      </c>
      <c r="E46" s="318">
        <v>11168092</v>
      </c>
      <c r="F46" s="318">
        <v>11168092</v>
      </c>
      <c r="G46" s="318">
        <v>11168092</v>
      </c>
      <c r="H46" s="318">
        <v>12368092</v>
      </c>
      <c r="I46" s="318"/>
      <c r="J46" s="196" t="s">
        <v>142</v>
      </c>
    </row>
    <row r="47" spans="1:10" ht="15" hidden="1" outlineLevel="1" thickBot="1" x14ac:dyDescent="0.35">
      <c r="B47" s="313" t="s">
        <v>0</v>
      </c>
      <c r="C47" s="328">
        <f t="shared" ref="C47:H47" si="1">SUM(C38:C46)</f>
        <v>320969410.16000015</v>
      </c>
      <c r="D47" s="328">
        <f t="shared" si="1"/>
        <v>313818794.25000006</v>
      </c>
      <c r="E47" s="328">
        <f t="shared" si="1"/>
        <v>256957433.77000001</v>
      </c>
      <c r="F47" s="328">
        <f t="shared" si="1"/>
        <v>99137463.230000004</v>
      </c>
      <c r="G47" s="328">
        <f t="shared" si="1"/>
        <v>211170245.78999999</v>
      </c>
      <c r="H47" s="328">
        <f t="shared" si="1"/>
        <v>157953899.87</v>
      </c>
      <c r="I47" s="323"/>
    </row>
    <row r="48" spans="1:10" ht="15" hidden="1" outlineLevel="1" thickTop="1" x14ac:dyDescent="0.3">
      <c r="B48" s="330" t="s">
        <v>258</v>
      </c>
      <c r="C48" s="330"/>
      <c r="D48" s="330"/>
      <c r="E48" s="330"/>
      <c r="F48" s="334"/>
      <c r="G48" s="330"/>
    </row>
    <row r="49" spans="1:9" hidden="1" outlineLevel="1" x14ac:dyDescent="0.3">
      <c r="B49" s="318" t="s">
        <v>259</v>
      </c>
      <c r="C49" s="318">
        <v>27000</v>
      </c>
      <c r="D49" s="318">
        <v>27000</v>
      </c>
      <c r="E49" s="318"/>
      <c r="F49" s="318">
        <v>27000</v>
      </c>
      <c r="G49" s="318">
        <v>27000</v>
      </c>
      <c r="H49" s="318">
        <v>0</v>
      </c>
      <c r="I49" s="318"/>
    </row>
    <row r="50" spans="1:9" hidden="1" outlineLevel="1" x14ac:dyDescent="0.3">
      <c r="B50" s="318" t="s">
        <v>260</v>
      </c>
      <c r="C50" s="318">
        <v>511614.61000001431</v>
      </c>
      <c r="D50" s="318">
        <v>511614.61000001431</v>
      </c>
      <c r="E50" s="318"/>
      <c r="F50" s="318">
        <v>500674.61</v>
      </c>
      <c r="G50" s="318">
        <v>8675674.6099999994</v>
      </c>
      <c r="H50" s="335">
        <v>500494.61</v>
      </c>
      <c r="I50" s="335"/>
    </row>
    <row r="51" spans="1:9" hidden="1" outlineLevel="1" x14ac:dyDescent="0.3">
      <c r="B51" s="318" t="s">
        <v>261</v>
      </c>
      <c r="C51" s="318">
        <v>1076533.8300000131</v>
      </c>
      <c r="D51" s="318">
        <v>1076533.8300000131</v>
      </c>
      <c r="E51" s="318"/>
      <c r="F51" s="318">
        <v>1220688.51</v>
      </c>
      <c r="G51" s="318">
        <v>878386.26</v>
      </c>
      <c r="H51" s="335">
        <v>29144110.359999999</v>
      </c>
      <c r="I51" s="335"/>
    </row>
    <row r="52" spans="1:9" hidden="1" outlineLevel="1" x14ac:dyDescent="0.3">
      <c r="B52" s="318" t="s">
        <v>262</v>
      </c>
      <c r="C52" s="318">
        <v>1500000</v>
      </c>
      <c r="D52" s="318">
        <v>1500000</v>
      </c>
      <c r="E52" s="318"/>
      <c r="F52" s="318">
        <v>1500000</v>
      </c>
      <c r="G52" s="318">
        <v>1500000</v>
      </c>
      <c r="H52" s="318">
        <v>1500000</v>
      </c>
      <c r="I52" s="318"/>
    </row>
    <row r="53" spans="1:9" hidden="1" outlineLevel="1" x14ac:dyDescent="0.3">
      <c r="B53" s="318" t="s">
        <v>263</v>
      </c>
      <c r="C53" s="318">
        <v>70000</v>
      </c>
      <c r="D53" s="318">
        <v>70000</v>
      </c>
      <c r="E53" s="318"/>
      <c r="F53" s="318">
        <v>70000</v>
      </c>
      <c r="G53" s="318">
        <v>70000</v>
      </c>
      <c r="H53" s="318">
        <v>0</v>
      </c>
      <c r="I53" s="318"/>
    </row>
    <row r="54" spans="1:9" ht="15" hidden="1" outlineLevel="1" thickBot="1" x14ac:dyDescent="0.35">
      <c r="B54" s="330"/>
      <c r="C54" s="328">
        <f>SUM(C49:C53)</f>
        <v>3185148.4400000274</v>
      </c>
      <c r="D54" s="328">
        <f>SUM(D49:D53)</f>
        <v>3185148.4400000274</v>
      </c>
      <c r="E54" s="330"/>
      <c r="F54" s="328">
        <f>SUM(F49:F53)</f>
        <v>3318363.12</v>
      </c>
      <c r="G54" s="328">
        <f>SUM(G49:G53)</f>
        <v>11151060.869999999</v>
      </c>
      <c r="H54" s="328">
        <f>SUM(H49:H53)</f>
        <v>31144604.969999999</v>
      </c>
      <c r="I54" s="323"/>
    </row>
    <row r="55" spans="1:9" ht="15" hidden="1" outlineLevel="1" thickTop="1" x14ac:dyDescent="0.3">
      <c r="A55" s="309">
        <v>6</v>
      </c>
      <c r="B55" s="330" t="s">
        <v>264</v>
      </c>
      <c r="C55" s="330"/>
      <c r="D55" s="330"/>
      <c r="E55" s="330"/>
      <c r="F55" s="334"/>
      <c r="G55" s="330"/>
    </row>
    <row r="56" spans="1:9" hidden="1" outlineLevel="1" x14ac:dyDescent="0.3">
      <c r="B56" s="311" t="s">
        <v>265</v>
      </c>
      <c r="C56" s="318">
        <f>361830596.08-9204200</f>
        <v>352626396.07999998</v>
      </c>
      <c r="D56" s="318">
        <v>361830596.07999998</v>
      </c>
      <c r="E56" s="318">
        <v>219826132</v>
      </c>
      <c r="F56" s="318">
        <v>219826132</v>
      </c>
      <c r="G56" s="318">
        <f>217826132-27840298</f>
        <v>189985834</v>
      </c>
      <c r="H56" s="318">
        <f>207826132-27840298</f>
        <v>179985834</v>
      </c>
      <c r="I56" s="318"/>
    </row>
    <row r="57" spans="1:9" hidden="1" outlineLevel="1" x14ac:dyDescent="0.3">
      <c r="B57" s="311" t="s">
        <v>266</v>
      </c>
      <c r="C57" s="318">
        <v>41400000</v>
      </c>
      <c r="D57" s="318">
        <v>41400000</v>
      </c>
      <c r="E57" s="318">
        <v>58900000</v>
      </c>
      <c r="F57" s="318">
        <v>57400000</v>
      </c>
      <c r="G57" s="319">
        <v>26400000</v>
      </c>
      <c r="H57" s="318">
        <v>50400000</v>
      </c>
      <c r="I57" s="318"/>
    </row>
    <row r="58" spans="1:9" hidden="1" outlineLevel="1" x14ac:dyDescent="0.3">
      <c r="B58" s="311" t="s">
        <v>267</v>
      </c>
      <c r="C58" s="318">
        <v>7500000</v>
      </c>
      <c r="D58" s="318">
        <v>7500000</v>
      </c>
      <c r="E58" s="318">
        <v>7500000</v>
      </c>
      <c r="F58" s="318">
        <v>7500000</v>
      </c>
      <c r="G58" s="319">
        <v>7500000</v>
      </c>
      <c r="H58" s="319">
        <v>7500000</v>
      </c>
      <c r="I58" s="319"/>
    </row>
    <row r="59" spans="1:9" hidden="1" outlineLevel="1" x14ac:dyDescent="0.3">
      <c r="B59" s="311" t="s">
        <v>268</v>
      </c>
      <c r="C59" s="318">
        <v>83021450</v>
      </c>
      <c r="D59" s="318">
        <v>83021450</v>
      </c>
      <c r="E59" s="318">
        <v>70121450</v>
      </c>
      <c r="F59" s="318">
        <v>69121450</v>
      </c>
      <c r="G59" s="318">
        <v>50121450</v>
      </c>
      <c r="H59" s="318">
        <v>0</v>
      </c>
      <c r="I59" s="318"/>
    </row>
    <row r="60" spans="1:9" hidden="1" outlineLevel="1" x14ac:dyDescent="0.3">
      <c r="B60" s="311" t="s">
        <v>220</v>
      </c>
      <c r="C60" s="318">
        <v>154737728</v>
      </c>
      <c r="D60" s="318">
        <v>154737728</v>
      </c>
      <c r="E60" s="318">
        <v>164237728</v>
      </c>
      <c r="F60" s="318">
        <v>164091976</v>
      </c>
      <c r="G60" s="318">
        <v>164091976</v>
      </c>
      <c r="H60" s="318">
        <v>144091976</v>
      </c>
      <c r="I60" s="318"/>
    </row>
    <row r="61" spans="1:9" hidden="1" outlineLevel="1" x14ac:dyDescent="0.3">
      <c r="B61" s="311" t="s">
        <v>269</v>
      </c>
      <c r="C61" s="318">
        <v>10000000</v>
      </c>
      <c r="D61" s="318">
        <v>10000000</v>
      </c>
      <c r="E61" s="318">
        <v>10000000</v>
      </c>
      <c r="F61" s="318">
        <v>10000000</v>
      </c>
      <c r="G61" s="318">
        <v>10000000</v>
      </c>
      <c r="H61" s="318">
        <v>0</v>
      </c>
      <c r="I61" s="318"/>
    </row>
    <row r="62" spans="1:9" hidden="1" outlineLevel="1" x14ac:dyDescent="0.3">
      <c r="B62" s="311" t="s">
        <v>270</v>
      </c>
      <c r="C62" s="318">
        <v>57500000</v>
      </c>
      <c r="D62" s="318">
        <v>57500000</v>
      </c>
      <c r="E62" s="318">
        <v>61000000</v>
      </c>
      <c r="F62" s="318">
        <v>54000000</v>
      </c>
      <c r="G62" s="318">
        <v>4000000</v>
      </c>
      <c r="H62" s="318">
        <v>0</v>
      </c>
      <c r="I62" s="318"/>
    </row>
    <row r="63" spans="1:9" ht="15" hidden="1" outlineLevel="1" thickBot="1" x14ac:dyDescent="0.35">
      <c r="B63" s="313" t="s">
        <v>0</v>
      </c>
      <c r="C63" s="328">
        <f t="shared" ref="C63:H63" si="2">SUM(C56:C62)</f>
        <v>706785574.07999992</v>
      </c>
      <c r="D63" s="328">
        <f>SUM(D56:D62)</f>
        <v>715989774.07999992</v>
      </c>
      <c r="E63" s="328">
        <f t="shared" si="2"/>
        <v>591585310</v>
      </c>
      <c r="F63" s="328">
        <f t="shared" si="2"/>
        <v>581939558</v>
      </c>
      <c r="G63" s="328">
        <f t="shared" si="2"/>
        <v>452099260</v>
      </c>
      <c r="H63" s="328">
        <f t="shared" si="2"/>
        <v>381977810</v>
      </c>
      <c r="I63" s="323"/>
    </row>
    <row r="64" spans="1:9" ht="15" hidden="1" outlineLevel="1" thickTop="1" x14ac:dyDescent="0.3">
      <c r="A64" s="309">
        <f>A55+1</f>
        <v>7</v>
      </c>
      <c r="B64" s="330" t="s">
        <v>271</v>
      </c>
      <c r="C64" s="330"/>
      <c r="D64" s="330"/>
      <c r="E64" s="330"/>
      <c r="F64" s="334"/>
      <c r="G64" s="330"/>
      <c r="H64" s="318"/>
      <c r="I64" s="318"/>
    </row>
    <row r="65" spans="1:9" hidden="1" outlineLevel="1" x14ac:dyDescent="0.3">
      <c r="B65" s="336" t="s">
        <v>272</v>
      </c>
      <c r="C65" s="337">
        <v>218400</v>
      </c>
      <c r="D65" s="337">
        <v>218400</v>
      </c>
      <c r="E65" s="337"/>
      <c r="F65" s="337"/>
      <c r="G65" s="319"/>
      <c r="H65" s="318"/>
      <c r="I65" s="318"/>
    </row>
    <row r="66" spans="1:9" hidden="1" outlineLevel="1" x14ac:dyDescent="0.3">
      <c r="B66" s="336" t="s">
        <v>273</v>
      </c>
      <c r="C66" s="337">
        <v>431343</v>
      </c>
      <c r="D66" s="337">
        <v>404776</v>
      </c>
      <c r="E66" s="337"/>
      <c r="F66" s="337"/>
      <c r="G66" s="319"/>
      <c r="H66" s="318"/>
      <c r="I66" s="318"/>
    </row>
    <row r="67" spans="1:9" hidden="1" outlineLevel="1" x14ac:dyDescent="0.3">
      <c r="B67" s="336" t="s">
        <v>274</v>
      </c>
      <c r="C67" s="337">
        <v>25986.66</v>
      </c>
      <c r="D67" s="337">
        <v>25986.66</v>
      </c>
      <c r="E67" s="337"/>
      <c r="F67" s="337"/>
      <c r="G67" s="319"/>
      <c r="H67" s="318"/>
      <c r="I67" s="318"/>
    </row>
    <row r="68" spans="1:9" ht="15" hidden="1" outlineLevel="1" thickBot="1" x14ac:dyDescent="0.35">
      <c r="B68" s="330" t="s">
        <v>0</v>
      </c>
      <c r="C68" s="328">
        <f>SUM(C65:C67)</f>
        <v>675729.66</v>
      </c>
      <c r="D68" s="328">
        <f>SUM(D65:D67)</f>
        <v>649162.66</v>
      </c>
      <c r="E68" s="328" t="e">
        <f>SUM(#REF!)</f>
        <v>#REF!</v>
      </c>
      <c r="F68" s="328" t="e">
        <f>SUM(#REF!)</f>
        <v>#REF!</v>
      </c>
      <c r="G68" s="328" t="e">
        <f>SUM(#REF!)</f>
        <v>#REF!</v>
      </c>
      <c r="H68" s="328" t="e">
        <f>SUM(#REF!)</f>
        <v>#REF!</v>
      </c>
      <c r="I68" s="323" t="s">
        <v>142</v>
      </c>
    </row>
    <row r="69" spans="1:9" ht="15" hidden="1" outlineLevel="1" thickTop="1" x14ac:dyDescent="0.3">
      <c r="A69" s="309">
        <v>8</v>
      </c>
      <c r="B69" s="330" t="s">
        <v>275</v>
      </c>
      <c r="C69" s="330"/>
      <c r="D69" s="330"/>
      <c r="E69" s="323"/>
      <c r="F69" s="323"/>
      <c r="G69" s="323"/>
      <c r="H69" s="323"/>
      <c r="I69" s="323"/>
    </row>
    <row r="70" spans="1:9" hidden="1" outlineLevel="1" x14ac:dyDescent="0.3">
      <c r="B70" s="336" t="s">
        <v>276</v>
      </c>
      <c r="C70" s="337">
        <f>98963953-19134772</f>
        <v>79829181</v>
      </c>
      <c r="D70" s="318">
        <v>79554906</v>
      </c>
      <c r="E70" s="319">
        <v>119830739.86</v>
      </c>
      <c r="F70" s="319">
        <v>142374970.90000001</v>
      </c>
      <c r="G70" s="319">
        <v>131986228.40000001</v>
      </c>
      <c r="H70" s="323"/>
      <c r="I70" s="323"/>
    </row>
    <row r="71" spans="1:9" hidden="1" outlineLevel="1" x14ac:dyDescent="0.3">
      <c r="B71" s="336" t="s">
        <v>277</v>
      </c>
      <c r="C71" s="337">
        <v>19134772</v>
      </c>
      <c r="D71" s="318">
        <v>16998668</v>
      </c>
      <c r="E71" s="319">
        <f>14987776.29-324824.99</f>
        <v>14662951.299999999</v>
      </c>
      <c r="F71" s="319">
        <f>9092893.54+1400921.41</f>
        <v>10493814.949999999</v>
      </c>
      <c r="G71" s="319">
        <f>23195620.89+1400921.41</f>
        <v>24596542.300000001</v>
      </c>
      <c r="H71" s="323"/>
      <c r="I71" s="323"/>
    </row>
    <row r="72" spans="1:9" ht="15" hidden="1" outlineLevel="1" thickBot="1" x14ac:dyDescent="0.35">
      <c r="B72" s="330"/>
      <c r="C72" s="338">
        <f>C70+C71</f>
        <v>98963953</v>
      </c>
      <c r="D72" s="338">
        <f>D70+D71</f>
        <v>96553574</v>
      </c>
      <c r="E72" s="338">
        <f>E70+E71</f>
        <v>134493691.16</v>
      </c>
      <c r="F72" s="338">
        <f>F70+F71</f>
        <v>152868785.84999999</v>
      </c>
      <c r="G72" s="338">
        <f>G70+G71</f>
        <v>156582770.70000002</v>
      </c>
      <c r="H72" s="323"/>
      <c r="I72" s="323" t="s">
        <v>142</v>
      </c>
    </row>
    <row r="73" spans="1:9" ht="15" hidden="1" outlineLevel="1" thickTop="1" x14ac:dyDescent="0.3">
      <c r="A73" s="309">
        <v>9</v>
      </c>
      <c r="B73" s="313" t="s">
        <v>278</v>
      </c>
      <c r="C73" s="313"/>
      <c r="D73" s="313"/>
      <c r="E73" s="313"/>
      <c r="F73" s="314"/>
      <c r="G73" s="313"/>
      <c r="I73" s="310" t="s">
        <v>142</v>
      </c>
    </row>
    <row r="74" spans="1:9" hidden="1" outlineLevel="1" x14ac:dyDescent="0.3">
      <c r="B74" s="313"/>
      <c r="C74" s="313"/>
      <c r="D74" s="313"/>
      <c r="E74" s="313"/>
      <c r="F74" s="314"/>
      <c r="G74" s="313"/>
    </row>
    <row r="75" spans="1:9" hidden="1" outlineLevel="1" x14ac:dyDescent="0.3">
      <c r="B75" s="313" t="s">
        <v>279</v>
      </c>
      <c r="C75" s="313"/>
      <c r="D75" s="313"/>
      <c r="E75" s="313"/>
      <c r="F75" s="314"/>
      <c r="G75" s="313"/>
    </row>
    <row r="76" spans="1:9" hidden="1" outlineLevel="1" x14ac:dyDescent="0.3">
      <c r="B76" s="311" t="s">
        <v>280</v>
      </c>
      <c r="C76" s="318">
        <v>123488.1</v>
      </c>
      <c r="D76" s="318">
        <v>74466</v>
      </c>
      <c r="E76" s="318">
        <v>269622.56</v>
      </c>
      <c r="F76" s="318">
        <v>323480.06</v>
      </c>
      <c r="G76" s="318">
        <v>1441369.06</v>
      </c>
      <c r="H76" s="318">
        <v>596596.06000000006</v>
      </c>
      <c r="I76" s="318"/>
    </row>
    <row r="77" spans="1:9" hidden="1" outlineLevel="1" x14ac:dyDescent="0.3">
      <c r="B77" s="311" t="s">
        <v>281</v>
      </c>
      <c r="C77" s="318">
        <v>257898.04</v>
      </c>
      <c r="D77" s="318">
        <v>598760.02</v>
      </c>
      <c r="E77" s="318">
        <v>599975.42000000004</v>
      </c>
      <c r="F77" s="318">
        <v>429929.92</v>
      </c>
      <c r="G77" s="318">
        <v>697600.92</v>
      </c>
      <c r="H77" s="318">
        <v>1594360.75</v>
      </c>
      <c r="I77" s="318"/>
    </row>
    <row r="78" spans="1:9" hidden="1" outlineLevel="1" x14ac:dyDescent="0.3">
      <c r="B78" s="311" t="s">
        <v>282</v>
      </c>
      <c r="C78" s="318">
        <v>202823.98</v>
      </c>
      <c r="D78" s="318">
        <v>169374.98</v>
      </c>
      <c r="E78" s="318">
        <v>306653</v>
      </c>
      <c r="F78" s="318">
        <v>396506</v>
      </c>
      <c r="G78" s="318">
        <v>356379</v>
      </c>
      <c r="H78" s="318">
        <v>265730</v>
      </c>
      <c r="I78" s="318"/>
    </row>
    <row r="79" spans="1:9" hidden="1" outlineLevel="1" x14ac:dyDescent="0.3">
      <c r="B79" s="313"/>
      <c r="C79" s="339">
        <f t="shared" ref="C79:H79" si="3">SUM(C76:C78)</f>
        <v>584210.12</v>
      </c>
      <c r="D79" s="339">
        <f t="shared" si="3"/>
        <v>842601</v>
      </c>
      <c r="E79" s="339">
        <f t="shared" si="3"/>
        <v>1176250.98</v>
      </c>
      <c r="F79" s="339">
        <f t="shared" si="3"/>
        <v>1149915.98</v>
      </c>
      <c r="G79" s="339">
        <f t="shared" si="3"/>
        <v>2495348.98</v>
      </c>
      <c r="H79" s="339">
        <f t="shared" si="3"/>
        <v>2456686.81</v>
      </c>
      <c r="I79" s="323"/>
    </row>
    <row r="80" spans="1:9" hidden="1" outlineLevel="1" x14ac:dyDescent="0.3">
      <c r="B80" s="313" t="s">
        <v>283</v>
      </c>
      <c r="C80" s="314"/>
      <c r="D80" s="340" t="s">
        <v>142</v>
      </c>
      <c r="E80" s="313"/>
      <c r="F80" s="314"/>
      <c r="G80" s="313"/>
    </row>
    <row r="81" spans="2:9" hidden="1" outlineLevel="1" x14ac:dyDescent="0.3">
      <c r="B81" s="311" t="s">
        <v>284</v>
      </c>
      <c r="C81" s="318">
        <v>3516</v>
      </c>
      <c r="D81" s="318">
        <v>3930728</v>
      </c>
      <c r="E81" s="318">
        <f>804994.5-102520</f>
        <v>702474.5</v>
      </c>
      <c r="F81" s="318">
        <v>4871576.5</v>
      </c>
      <c r="G81" s="318">
        <v>488098.5</v>
      </c>
    </row>
    <row r="82" spans="2:9" hidden="1" outlineLevel="1" x14ac:dyDescent="0.3">
      <c r="B82" s="311" t="s">
        <v>285</v>
      </c>
      <c r="C82" s="318">
        <v>7767154.5099999998</v>
      </c>
      <c r="D82" s="318">
        <v>1252536</v>
      </c>
      <c r="E82" s="318">
        <v>1074431.25</v>
      </c>
      <c r="F82" s="318">
        <v>10372658.439999999</v>
      </c>
      <c r="G82" s="318">
        <v>4748560.4400000004</v>
      </c>
      <c r="H82" s="341">
        <v>724517</v>
      </c>
      <c r="I82" s="341"/>
    </row>
    <row r="83" spans="2:9" hidden="1" outlineLevel="1" x14ac:dyDescent="0.3">
      <c r="B83" s="311" t="s">
        <v>286</v>
      </c>
      <c r="C83" s="318">
        <v>80192</v>
      </c>
      <c r="D83" s="318">
        <v>80192</v>
      </c>
      <c r="E83" s="318"/>
      <c r="F83" s="318"/>
      <c r="G83" s="318"/>
      <c r="H83" s="341"/>
      <c r="I83" s="341"/>
    </row>
    <row r="84" spans="2:9" hidden="1" outlineLevel="1" x14ac:dyDescent="0.3">
      <c r="B84" s="311" t="s">
        <v>287</v>
      </c>
      <c r="C84" s="318">
        <v>3026104.21</v>
      </c>
      <c r="D84" s="318">
        <v>26104.21</v>
      </c>
      <c r="E84" s="318"/>
      <c r="F84" s="318"/>
      <c r="G84" s="318"/>
      <c r="H84" s="341"/>
      <c r="I84" s="341"/>
    </row>
    <row r="85" spans="2:9" hidden="1" outlineLevel="1" x14ac:dyDescent="0.3">
      <c r="B85" s="311" t="s">
        <v>288</v>
      </c>
      <c r="C85" s="318">
        <v>564502.79</v>
      </c>
      <c r="D85" s="318">
        <v>564502.79</v>
      </c>
      <c r="E85" s="318">
        <v>1.71</v>
      </c>
      <c r="F85" s="318">
        <v>1.71</v>
      </c>
      <c r="G85" s="318">
        <v>1920603.58</v>
      </c>
      <c r="H85" s="341">
        <v>603039.52</v>
      </c>
      <c r="I85" s="341"/>
    </row>
    <row r="86" spans="2:9" hidden="1" outlineLevel="1" x14ac:dyDescent="0.3">
      <c r="B86" s="311" t="s">
        <v>289</v>
      </c>
      <c r="C86" s="318">
        <v>13317983.060000001</v>
      </c>
      <c r="D86" s="318">
        <v>2474183.9300000002</v>
      </c>
      <c r="E86" s="318">
        <f>2453520.1-431200</f>
        <v>2022320.1</v>
      </c>
      <c r="F86" s="318">
        <v>5655286.0999999996</v>
      </c>
      <c r="G86" s="318">
        <v>27197849.359999999</v>
      </c>
      <c r="H86" s="341">
        <v>7752442.2199999997</v>
      </c>
      <c r="I86" s="341"/>
    </row>
    <row r="87" spans="2:9" hidden="1" outlineLevel="1" x14ac:dyDescent="0.3">
      <c r="B87" s="311" t="s">
        <v>290</v>
      </c>
      <c r="C87" s="318">
        <v>6601698.2199999997</v>
      </c>
      <c r="D87" s="318">
        <v>8094864</v>
      </c>
      <c r="E87" s="318">
        <v>9955984.6300000008</v>
      </c>
      <c r="F87" s="318">
        <v>22127490.670000002</v>
      </c>
      <c r="G87" s="318">
        <v>7691687.29</v>
      </c>
      <c r="H87" s="341">
        <v>587210.87</v>
      </c>
      <c r="I87" s="341"/>
    </row>
    <row r="88" spans="2:9" hidden="1" outlineLevel="1" x14ac:dyDescent="0.3">
      <c r="B88" s="311" t="s">
        <v>291</v>
      </c>
      <c r="C88" s="318">
        <v>2872</v>
      </c>
      <c r="D88" s="318">
        <v>2872</v>
      </c>
      <c r="E88" s="318">
        <v>5000</v>
      </c>
      <c r="F88" s="318">
        <v>5000</v>
      </c>
      <c r="G88" s="318">
        <v>5000</v>
      </c>
      <c r="H88" s="341"/>
      <c r="I88" s="341"/>
    </row>
    <row r="89" spans="2:9" hidden="1" outlineLevel="1" x14ac:dyDescent="0.3">
      <c r="B89" s="311" t="s">
        <v>292</v>
      </c>
      <c r="C89" s="318">
        <v>244160</v>
      </c>
      <c r="D89" s="318">
        <v>244160</v>
      </c>
      <c r="E89" s="318">
        <v>244160.63</v>
      </c>
      <c r="F89" s="318">
        <v>244160.63</v>
      </c>
      <c r="G89" s="318">
        <v>244160.63</v>
      </c>
      <c r="H89" s="341">
        <v>244275.63</v>
      </c>
      <c r="I89" s="341"/>
    </row>
    <row r="90" spans="2:9" hidden="1" outlineLevel="1" x14ac:dyDescent="0.3">
      <c r="B90" s="311" t="s">
        <v>293</v>
      </c>
      <c r="C90" s="318">
        <v>1724575.79</v>
      </c>
      <c r="D90" s="318">
        <v>722810.29</v>
      </c>
      <c r="E90" s="318">
        <v>899760.29</v>
      </c>
      <c r="F90" s="318">
        <v>1391938.29</v>
      </c>
      <c r="G90" s="318">
        <v>1361540.29</v>
      </c>
      <c r="H90" s="341">
        <v>467041.29</v>
      </c>
      <c r="I90" s="341"/>
    </row>
    <row r="91" spans="2:9" hidden="1" outlineLevel="1" x14ac:dyDescent="0.3">
      <c r="B91" s="311" t="s">
        <v>294</v>
      </c>
      <c r="C91" s="318">
        <v>98036.25</v>
      </c>
      <c r="D91" s="318">
        <v>98036.25</v>
      </c>
      <c r="E91" s="318">
        <v>98870</v>
      </c>
      <c r="F91" s="318">
        <v>98870</v>
      </c>
      <c r="G91" s="318">
        <v>98870</v>
      </c>
      <c r="H91" s="341"/>
      <c r="I91" s="341"/>
    </row>
    <row r="92" spans="2:9" hidden="1" outlineLevel="1" x14ac:dyDescent="0.3">
      <c r="B92" s="311" t="s">
        <v>295</v>
      </c>
      <c r="C92" s="318">
        <v>16435</v>
      </c>
      <c r="D92" s="318">
        <v>16435</v>
      </c>
      <c r="E92" s="318">
        <v>20000</v>
      </c>
      <c r="F92" s="318">
        <v>20000</v>
      </c>
      <c r="G92" s="318">
        <v>20000</v>
      </c>
      <c r="H92" s="341"/>
      <c r="I92" s="341"/>
    </row>
    <row r="93" spans="2:9" hidden="1" outlineLevel="1" x14ac:dyDescent="0.3">
      <c r="B93" s="311" t="s">
        <v>296</v>
      </c>
      <c r="C93" s="318">
        <v>4762.6499999999996</v>
      </c>
      <c r="D93" s="318">
        <v>5337.65</v>
      </c>
      <c r="E93" s="318">
        <v>2612785.7000000002</v>
      </c>
      <c r="F93" s="318">
        <v>0</v>
      </c>
      <c r="G93" s="318">
        <v>6563721.1299999999</v>
      </c>
      <c r="H93" s="341">
        <v>747642.38</v>
      </c>
      <c r="I93" s="341"/>
    </row>
    <row r="94" spans="2:9" hidden="1" outlineLevel="1" x14ac:dyDescent="0.3">
      <c r="B94" s="311" t="s">
        <v>297</v>
      </c>
      <c r="C94" s="318">
        <f>126977+10000</f>
        <v>136977</v>
      </c>
      <c r="D94" s="318">
        <v>951687</v>
      </c>
      <c r="E94" s="318">
        <f>1169901+10000</f>
        <v>1179901</v>
      </c>
      <c r="F94" s="318">
        <f>10000+2524078</f>
        <v>2534078</v>
      </c>
      <c r="G94" s="318">
        <v>10000</v>
      </c>
      <c r="H94" s="341"/>
      <c r="I94" s="341"/>
    </row>
    <row r="95" spans="2:9" hidden="1" outlineLevel="1" x14ac:dyDescent="0.3">
      <c r="B95" s="311" t="s">
        <v>298</v>
      </c>
      <c r="C95" s="318">
        <v>49655</v>
      </c>
      <c r="D95" s="318">
        <v>49655</v>
      </c>
      <c r="E95" s="318">
        <v>50000</v>
      </c>
      <c r="F95" s="318">
        <v>50000</v>
      </c>
      <c r="G95" s="318">
        <v>468542</v>
      </c>
      <c r="H95" s="318">
        <v>0</v>
      </c>
      <c r="I95" s="318"/>
    </row>
    <row r="96" spans="2:9" hidden="1" outlineLevel="1" x14ac:dyDescent="0.3">
      <c r="B96" s="311" t="s">
        <v>299</v>
      </c>
      <c r="C96" s="318">
        <v>57240</v>
      </c>
      <c r="D96" s="318">
        <v>57240</v>
      </c>
      <c r="E96" s="318">
        <v>60000</v>
      </c>
      <c r="F96" s="318">
        <v>60000</v>
      </c>
      <c r="G96" s="318">
        <v>60000</v>
      </c>
      <c r="H96" s="318">
        <v>0</v>
      </c>
      <c r="I96" s="318"/>
    </row>
    <row r="97" spans="1:9" hidden="1" outlineLevel="1" x14ac:dyDescent="0.3">
      <c r="B97" s="311" t="s">
        <v>300</v>
      </c>
      <c r="C97" s="318">
        <v>142.93</v>
      </c>
      <c r="D97" s="318">
        <v>142.93</v>
      </c>
      <c r="E97" s="318">
        <v>33054793.75</v>
      </c>
      <c r="F97" s="318"/>
      <c r="G97" s="318"/>
      <c r="H97" s="318"/>
      <c r="I97" s="318"/>
    </row>
    <row r="98" spans="1:9" hidden="1" outlineLevel="1" x14ac:dyDescent="0.3">
      <c r="B98" s="311" t="s">
        <v>301</v>
      </c>
      <c r="C98" s="318">
        <v>3477.58</v>
      </c>
      <c r="D98" s="318">
        <v>3477.58</v>
      </c>
      <c r="E98" s="318">
        <v>24677.07</v>
      </c>
      <c r="F98" s="318">
        <v>98527.07</v>
      </c>
      <c r="G98" s="318">
        <v>2284938.27</v>
      </c>
      <c r="H98" s="341">
        <v>282908.57</v>
      </c>
      <c r="I98" s="341"/>
    </row>
    <row r="99" spans="1:9" hidden="1" outlineLevel="1" x14ac:dyDescent="0.3">
      <c r="B99" s="311" t="s">
        <v>302</v>
      </c>
      <c r="C99" s="318">
        <v>13936.25</v>
      </c>
      <c r="D99" s="318">
        <v>13936.25</v>
      </c>
      <c r="E99" s="318">
        <v>15000</v>
      </c>
      <c r="F99" s="318">
        <v>15000</v>
      </c>
      <c r="G99" s="312">
        <v>0</v>
      </c>
      <c r="H99" s="341"/>
      <c r="I99" s="341"/>
    </row>
    <row r="100" spans="1:9" hidden="1" outlineLevel="1" x14ac:dyDescent="0.3">
      <c r="B100" s="311" t="s">
        <v>303</v>
      </c>
      <c r="C100" s="318">
        <v>14167.4</v>
      </c>
      <c r="D100" s="318">
        <v>653417.6</v>
      </c>
      <c r="E100" s="318">
        <v>297777.09999999998</v>
      </c>
      <c r="F100" s="318">
        <v>1652.7</v>
      </c>
      <c r="G100" s="311"/>
      <c r="H100" s="318"/>
      <c r="I100" s="318"/>
    </row>
    <row r="101" spans="1:9" hidden="1" outlineLevel="1" x14ac:dyDescent="0.3">
      <c r="B101" s="313" t="s">
        <v>219</v>
      </c>
      <c r="C101" s="339">
        <f>SUM(C80:C100)</f>
        <v>33727588.639999993</v>
      </c>
      <c r="D101" s="339">
        <f>SUM(D80:D100)</f>
        <v>19242318.479999997</v>
      </c>
      <c r="E101" s="339">
        <f>SUM(E81:E100)</f>
        <v>52317937.730000004</v>
      </c>
      <c r="F101" s="339">
        <f>SUM(F81:F100)</f>
        <v>47546240.110000007</v>
      </c>
      <c r="G101" s="339">
        <f>SUM(G81:G99)</f>
        <v>53163571.49000001</v>
      </c>
      <c r="H101" s="339">
        <f>SUM(H81:H98)</f>
        <v>11409077.48</v>
      </c>
      <c r="I101" s="323"/>
    </row>
    <row r="102" spans="1:9" ht="15" hidden="1" outlineLevel="1" thickBot="1" x14ac:dyDescent="0.35">
      <c r="B102" s="313" t="s">
        <v>304</v>
      </c>
      <c r="C102" s="328">
        <f t="shared" ref="C102:H102" si="4">C79+C101</f>
        <v>34311798.75999999</v>
      </c>
      <c r="D102" s="328">
        <f t="shared" si="4"/>
        <v>20084919.479999997</v>
      </c>
      <c r="E102" s="328">
        <f t="shared" si="4"/>
        <v>53494188.710000001</v>
      </c>
      <c r="F102" s="328">
        <f t="shared" si="4"/>
        <v>48696156.090000004</v>
      </c>
      <c r="G102" s="328">
        <f t="shared" si="4"/>
        <v>55658920.470000006</v>
      </c>
      <c r="H102" s="328">
        <f t="shared" si="4"/>
        <v>13865764.290000001</v>
      </c>
      <c r="I102" s="323"/>
    </row>
    <row r="103" spans="1:9" ht="15" hidden="1" outlineLevel="1" thickTop="1" x14ac:dyDescent="0.3">
      <c r="B103" s="331"/>
      <c r="C103" s="331"/>
      <c r="D103" s="331"/>
      <c r="E103" s="331"/>
      <c r="F103" s="342"/>
      <c r="G103" s="331"/>
    </row>
    <row r="104" spans="1:9" hidden="1" outlineLevel="1" x14ac:dyDescent="0.3">
      <c r="B104" s="331"/>
      <c r="C104" s="331"/>
      <c r="D104" s="331"/>
      <c r="E104" s="331"/>
      <c r="F104" s="342"/>
      <c r="G104" s="343"/>
    </row>
    <row r="105" spans="1:9" hidden="1" outlineLevel="1" x14ac:dyDescent="0.3">
      <c r="A105" s="309">
        <f>A73+1</f>
        <v>10</v>
      </c>
      <c r="B105" s="313" t="s">
        <v>305</v>
      </c>
      <c r="C105" s="313"/>
      <c r="D105" s="313"/>
      <c r="E105" s="313"/>
      <c r="F105" s="314"/>
      <c r="G105" s="313"/>
    </row>
    <row r="106" spans="1:9" hidden="1" outlineLevel="1" x14ac:dyDescent="0.3">
      <c r="B106" s="311" t="s">
        <v>306</v>
      </c>
      <c r="C106" s="311"/>
      <c r="D106" s="311"/>
      <c r="E106" s="311"/>
      <c r="F106" s="318"/>
      <c r="G106" s="311"/>
    </row>
    <row r="107" spans="1:9" hidden="1" outlineLevel="1" x14ac:dyDescent="0.3">
      <c r="B107" s="311" t="s">
        <v>307</v>
      </c>
      <c r="C107" s="318">
        <v>500</v>
      </c>
      <c r="D107" s="319">
        <f>100000*10*0.05%</f>
        <v>500</v>
      </c>
      <c r="E107" s="319">
        <f>100000*10*0.05%</f>
        <v>500</v>
      </c>
      <c r="F107" s="319">
        <f>100000*10*0.05%</f>
        <v>500</v>
      </c>
      <c r="G107" s="319">
        <f>100000*10*0.05%</f>
        <v>500</v>
      </c>
      <c r="H107" s="319">
        <f>100000*10*0.05%</f>
        <v>500</v>
      </c>
      <c r="I107" s="319"/>
    </row>
    <row r="108" spans="1:9" hidden="1" outlineLevel="1" x14ac:dyDescent="0.3">
      <c r="B108" s="311" t="s">
        <v>308</v>
      </c>
      <c r="C108" s="318">
        <v>999500</v>
      </c>
      <c r="D108" s="319">
        <f>100000*10*99.95%</f>
        <v>999500</v>
      </c>
      <c r="E108" s="319">
        <f>100000*10*99.95%</f>
        <v>999500</v>
      </c>
      <c r="F108" s="319">
        <f>100000*10*99.95%</f>
        <v>999500</v>
      </c>
      <c r="G108" s="319">
        <f>100000*10*99.95%</f>
        <v>999500</v>
      </c>
      <c r="H108" s="319">
        <f>100000*10*99.95%</f>
        <v>999500</v>
      </c>
      <c r="I108" s="319"/>
    </row>
    <row r="109" spans="1:9" ht="15" hidden="1" outlineLevel="1" thickBot="1" x14ac:dyDescent="0.35">
      <c r="B109" s="313"/>
      <c r="C109" s="328">
        <f t="shared" ref="C109:H109" si="5">SUM(C107:C108)</f>
        <v>1000000</v>
      </c>
      <c r="D109" s="328">
        <f t="shared" si="5"/>
        <v>1000000</v>
      </c>
      <c r="E109" s="328">
        <f t="shared" si="5"/>
        <v>1000000</v>
      </c>
      <c r="F109" s="328">
        <f t="shared" si="5"/>
        <v>1000000</v>
      </c>
      <c r="G109" s="328">
        <f t="shared" si="5"/>
        <v>1000000</v>
      </c>
      <c r="H109" s="328">
        <f t="shared" si="5"/>
        <v>1000000</v>
      </c>
      <c r="I109" s="323"/>
    </row>
    <row r="110" spans="1:9" ht="15" hidden="1" outlineLevel="1" thickTop="1" x14ac:dyDescent="0.3">
      <c r="A110" s="309">
        <f>A105+1</f>
        <v>11</v>
      </c>
      <c r="B110" s="313" t="s">
        <v>309</v>
      </c>
      <c r="C110" s="313"/>
      <c r="D110" s="313"/>
      <c r="E110" s="313"/>
      <c r="F110" s="314"/>
      <c r="G110" s="313"/>
    </row>
    <row r="111" spans="1:9" hidden="1" outlineLevel="1" x14ac:dyDescent="0.3">
      <c r="B111" s="311" t="s">
        <v>310</v>
      </c>
      <c r="C111" s="329">
        <f>D113</f>
        <v>-2740174218.2760019</v>
      </c>
      <c r="D111" s="329">
        <v>-1596859920</v>
      </c>
      <c r="E111" s="318">
        <f>F113</f>
        <v>-2212764424.9560738</v>
      </c>
      <c r="F111" s="318">
        <f>G113</f>
        <v>-557562721.24075246</v>
      </c>
      <c r="G111" s="318">
        <f>H113</f>
        <v>-300425914.18000019</v>
      </c>
      <c r="H111" s="318">
        <f>-33435</f>
        <v>-33435</v>
      </c>
      <c r="I111" s="318"/>
    </row>
    <row r="112" spans="1:9" hidden="1" outlineLevel="1" x14ac:dyDescent="0.3">
      <c r="B112" s="311" t="s">
        <v>311</v>
      </c>
      <c r="C112" s="318">
        <f>'[8]IS -2021'!D24</f>
        <v>-438520582.2572729</v>
      </c>
      <c r="D112" s="318">
        <f>'[8]IS -2021'!H24</f>
        <v>-1143314298.2760017</v>
      </c>
      <c r="E112" s="318" t="e">
        <f>'[8]IS -2021'!N24</f>
        <v>#N/A</v>
      </c>
      <c r="F112" s="318">
        <f>'[8]IS -2021'!O24</f>
        <v>-1655201703.7153215</v>
      </c>
      <c r="G112" s="319">
        <f>'[8]IS -2021'!P24</f>
        <v>-257136807.06075224</v>
      </c>
      <c r="H112" s="321">
        <f>'[8]IS -2021'!Q24</f>
        <v>-300392479.18000019</v>
      </c>
      <c r="I112" s="319"/>
    </row>
    <row r="113" spans="1:9" ht="15" hidden="1" outlineLevel="1" thickBot="1" x14ac:dyDescent="0.35">
      <c r="B113" s="313" t="s">
        <v>312</v>
      </c>
      <c r="C113" s="328">
        <f>SUM(C111:C112)</f>
        <v>-3178694800.5332747</v>
      </c>
      <c r="D113" s="328">
        <f>SUM(D111:D112)</f>
        <v>-2740174218.2760019</v>
      </c>
      <c r="E113" s="344" t="e">
        <f>E111+E112</f>
        <v>#N/A</v>
      </c>
      <c r="F113" s="328">
        <f>SUM(F111:F112)</f>
        <v>-2212764424.9560738</v>
      </c>
      <c r="G113" s="328">
        <f>SUM(G111:G112)</f>
        <v>-557562721.24075246</v>
      </c>
      <c r="H113" s="314">
        <f>SUM(H111:H112)</f>
        <v>-300425914.18000019</v>
      </c>
      <c r="I113" s="314"/>
    </row>
    <row r="114" spans="1:9" ht="15" hidden="1" outlineLevel="1" thickTop="1" x14ac:dyDescent="0.3">
      <c r="B114" s="331"/>
      <c r="C114" s="331"/>
      <c r="D114" s="331"/>
      <c r="E114" s="331"/>
      <c r="F114" s="342"/>
      <c r="G114" s="331"/>
    </row>
    <row r="115" spans="1:9" hidden="1" outlineLevel="1" x14ac:dyDescent="0.3">
      <c r="A115" s="309">
        <f>A110+1</f>
        <v>12</v>
      </c>
      <c r="B115" s="313" t="s">
        <v>313</v>
      </c>
      <c r="C115" s="313"/>
      <c r="D115" s="313"/>
      <c r="E115" s="313"/>
      <c r="F115" s="314"/>
      <c r="G115" s="313"/>
    </row>
    <row r="116" spans="1:9" hidden="1" outlineLevel="1" x14ac:dyDescent="0.3">
      <c r="B116" s="313"/>
      <c r="C116" s="313"/>
      <c r="D116" s="313"/>
      <c r="E116" s="313"/>
      <c r="F116" s="314"/>
      <c r="G116" s="313"/>
    </row>
    <row r="117" spans="1:9" hidden="1" outlineLevel="1" x14ac:dyDescent="0.3">
      <c r="B117" s="311" t="s">
        <v>314</v>
      </c>
      <c r="C117" s="318">
        <v>4105102476.0699997</v>
      </c>
      <c r="D117" s="318">
        <v>3397729858.77</v>
      </c>
      <c r="E117" s="318">
        <v>3061998094.0300002</v>
      </c>
      <c r="F117" s="318">
        <v>2969348188.8699999</v>
      </c>
      <c r="G117" s="345">
        <v>2977697541.5900002</v>
      </c>
      <c r="H117" s="329">
        <v>2416864873.29</v>
      </c>
      <c r="I117" s="329"/>
    </row>
    <row r="118" spans="1:9" hidden="1" outlineLevel="1" x14ac:dyDescent="0.3">
      <c r="B118" s="311" t="s">
        <v>315</v>
      </c>
      <c r="C118" s="318">
        <v>1018007094.87</v>
      </c>
      <c r="D118" s="318">
        <v>998539349.26999998</v>
      </c>
      <c r="E118" s="318">
        <v>904762044.86000013</v>
      </c>
      <c r="F118" s="318">
        <v>881629109.40999997</v>
      </c>
      <c r="G118" s="345">
        <v>868388786.00999975</v>
      </c>
      <c r="H118" s="329">
        <v>611259106.45000005</v>
      </c>
      <c r="I118" s="329"/>
    </row>
    <row r="119" spans="1:9" ht="15" hidden="1" outlineLevel="1" thickBot="1" x14ac:dyDescent="0.35">
      <c r="B119" s="313" t="s">
        <v>0</v>
      </c>
      <c r="C119" s="328">
        <f t="shared" ref="C119:H119" si="6">SUM(C117:C118)</f>
        <v>5123109570.9399996</v>
      </c>
      <c r="D119" s="328">
        <f t="shared" si="6"/>
        <v>4396269208.04</v>
      </c>
      <c r="E119" s="328">
        <f t="shared" si="6"/>
        <v>3966760138.8900003</v>
      </c>
      <c r="F119" s="328">
        <f t="shared" si="6"/>
        <v>3850977298.2799997</v>
      </c>
      <c r="G119" s="328">
        <f t="shared" si="6"/>
        <v>3846086327.5999999</v>
      </c>
      <c r="H119" s="328">
        <f t="shared" si="6"/>
        <v>3028123979.7399998</v>
      </c>
      <c r="I119" s="323"/>
    </row>
    <row r="120" spans="1:9" ht="15" hidden="1" outlineLevel="1" thickTop="1" x14ac:dyDescent="0.3">
      <c r="B120" s="331"/>
      <c r="C120" s="331"/>
      <c r="D120" s="342" t="s">
        <v>142</v>
      </c>
      <c r="E120" s="331"/>
      <c r="F120" s="342"/>
      <c r="G120" s="331"/>
    </row>
    <row r="121" spans="1:9" hidden="1" outlineLevel="1" x14ac:dyDescent="0.3">
      <c r="A121" s="309">
        <f>A115+1</f>
        <v>13</v>
      </c>
      <c r="B121" s="313" t="s">
        <v>316</v>
      </c>
      <c r="C121" s="313"/>
      <c r="D121" s="313"/>
      <c r="E121" s="313"/>
      <c r="F121" s="314"/>
      <c r="G121" s="313"/>
    </row>
    <row r="122" spans="1:9" hidden="1" outlineLevel="1" x14ac:dyDescent="0.3">
      <c r="B122" s="311" t="s">
        <v>276</v>
      </c>
      <c r="C122" s="318">
        <v>110048442</v>
      </c>
      <c r="D122" s="318">
        <v>110048442</v>
      </c>
      <c r="E122" s="329">
        <v>77927924</v>
      </c>
      <c r="F122" s="318">
        <v>84406507</v>
      </c>
      <c r="G122" s="345">
        <v>178362165</v>
      </c>
      <c r="H122" s="341">
        <v>93021500</v>
      </c>
      <c r="I122" s="341"/>
    </row>
    <row r="123" spans="1:9" hidden="1" outlineLevel="1" x14ac:dyDescent="0.3">
      <c r="B123" s="311" t="s">
        <v>317</v>
      </c>
      <c r="C123" s="318">
        <v>10009320</v>
      </c>
      <c r="D123" s="318">
        <v>10009320</v>
      </c>
      <c r="E123" s="329">
        <f>F123</f>
        <v>10009320</v>
      </c>
      <c r="F123" s="318">
        <v>10009320</v>
      </c>
      <c r="G123" s="345">
        <v>11798445</v>
      </c>
      <c r="H123" s="341">
        <v>25385122</v>
      </c>
      <c r="I123" s="341"/>
    </row>
    <row r="124" spans="1:9" ht="15" hidden="1" outlineLevel="1" thickBot="1" x14ac:dyDescent="0.35">
      <c r="B124" s="313" t="s">
        <v>0</v>
      </c>
      <c r="C124" s="328">
        <f t="shared" ref="C124:H124" si="7">SUM(C122:C123)</f>
        <v>120057762</v>
      </c>
      <c r="D124" s="328">
        <f t="shared" si="7"/>
        <v>120057762</v>
      </c>
      <c r="E124" s="328">
        <f t="shared" si="7"/>
        <v>87937244</v>
      </c>
      <c r="F124" s="328">
        <f t="shared" si="7"/>
        <v>94415827</v>
      </c>
      <c r="G124" s="328">
        <f t="shared" si="7"/>
        <v>190160610</v>
      </c>
      <c r="H124" s="328">
        <f t="shared" si="7"/>
        <v>118406622</v>
      </c>
      <c r="I124" s="323"/>
    </row>
    <row r="125" spans="1:9" ht="15" hidden="1" outlineLevel="1" thickTop="1" x14ac:dyDescent="0.3">
      <c r="B125" s="331"/>
      <c r="C125" s="331"/>
      <c r="D125" s="331"/>
      <c r="E125" s="331"/>
      <c r="F125" s="342"/>
      <c r="G125" s="331"/>
    </row>
    <row r="126" spans="1:9" hidden="1" outlineLevel="1" x14ac:dyDescent="0.3">
      <c r="A126" s="309">
        <f>A121+1</f>
        <v>14</v>
      </c>
      <c r="B126" s="313" t="s">
        <v>318</v>
      </c>
      <c r="C126" s="313"/>
      <c r="D126" s="313"/>
      <c r="E126" s="313"/>
      <c r="F126" s="314"/>
      <c r="G126" s="313"/>
    </row>
    <row r="127" spans="1:9" hidden="1" outlineLevel="1" x14ac:dyDescent="0.3">
      <c r="B127" s="313"/>
      <c r="C127" s="313"/>
      <c r="D127" s="313"/>
      <c r="E127" s="313"/>
      <c r="F127" s="314"/>
      <c r="G127" s="313"/>
    </row>
    <row r="128" spans="1:9" hidden="1" outlineLevel="1" x14ac:dyDescent="0.3">
      <c r="B128" s="311" t="s">
        <v>319</v>
      </c>
      <c r="C128" s="318">
        <v>3109741.69</v>
      </c>
      <c r="D128" s="318">
        <v>629478850.72000003</v>
      </c>
      <c r="E128" s="318">
        <v>399919554.19</v>
      </c>
      <c r="F128" s="318">
        <v>263923366.80000001</v>
      </c>
      <c r="G128" s="318">
        <v>227268445.88</v>
      </c>
      <c r="H128" s="335">
        <v>165492992.03</v>
      </c>
      <c r="I128" s="335"/>
    </row>
    <row r="129" spans="1:10" hidden="1" outlineLevel="1" x14ac:dyDescent="0.3">
      <c r="B129" s="311" t="s">
        <v>315</v>
      </c>
      <c r="C129" s="346">
        <v>1077828447.45</v>
      </c>
      <c r="D129" s="318">
        <v>1054712000.61</v>
      </c>
      <c r="E129" s="318">
        <v>392264681.99000001</v>
      </c>
      <c r="F129" s="318">
        <v>380127429.16000003</v>
      </c>
      <c r="G129" s="318">
        <v>338544721.37</v>
      </c>
      <c r="H129" s="329">
        <f>199402447.29+3364</f>
        <v>199405811.28999999</v>
      </c>
      <c r="I129" s="329"/>
    </row>
    <row r="130" spans="1:10" hidden="1" outlineLevel="1" x14ac:dyDescent="0.3">
      <c r="B130" s="311" t="s">
        <v>320</v>
      </c>
      <c r="C130" s="318">
        <v>201571882.44999999</v>
      </c>
      <c r="D130" s="318">
        <v>202276082.5</v>
      </c>
      <c r="E130" s="318"/>
      <c r="F130" s="318"/>
      <c r="G130" s="318">
        <v>0</v>
      </c>
      <c r="H130" s="329"/>
      <c r="I130" s="329"/>
    </row>
    <row r="131" spans="1:10" ht="15" hidden="1" outlineLevel="1" thickBot="1" x14ac:dyDescent="0.35">
      <c r="B131" s="313" t="s">
        <v>0</v>
      </c>
      <c r="C131" s="328">
        <f>SUM(C128:C130)</f>
        <v>1282510071.5900002</v>
      </c>
      <c r="D131" s="328">
        <f>SUM(D128:D130)</f>
        <v>1886466933.8299999</v>
      </c>
      <c r="E131" s="328">
        <f>SUM(E128:E129)</f>
        <v>792184236.18000007</v>
      </c>
      <c r="F131" s="328">
        <f>SUM(F128:F129)</f>
        <v>644050795.96000004</v>
      </c>
      <c r="G131" s="328">
        <f>SUM(G128:G129)</f>
        <v>565813167.25</v>
      </c>
      <c r="H131" s="328">
        <f>SUM(H128:H129)</f>
        <v>364898803.31999999</v>
      </c>
      <c r="I131" s="323"/>
    </row>
    <row r="132" spans="1:10" ht="15" hidden="1" outlineLevel="1" thickTop="1" x14ac:dyDescent="0.3">
      <c r="B132" s="313"/>
      <c r="C132" s="313"/>
      <c r="D132" s="323"/>
      <c r="E132" s="323"/>
      <c r="F132" s="323"/>
      <c r="G132" s="323"/>
      <c r="H132" s="323"/>
      <c r="I132" s="323"/>
      <c r="J132" s="196" t="s">
        <v>142</v>
      </c>
    </row>
    <row r="133" spans="1:10" hidden="1" outlineLevel="1" x14ac:dyDescent="0.3">
      <c r="A133" s="309">
        <v>15</v>
      </c>
      <c r="B133" s="313" t="s">
        <v>321</v>
      </c>
      <c r="C133" s="313"/>
      <c r="D133" s="323"/>
      <c r="E133" s="323"/>
      <c r="F133" s="323"/>
      <c r="G133" s="323"/>
      <c r="H133" s="323"/>
      <c r="I133" s="323"/>
    </row>
    <row r="134" spans="1:10" hidden="1" outlineLevel="1" x14ac:dyDescent="0.3">
      <c r="B134" s="311" t="s">
        <v>322</v>
      </c>
      <c r="C134" s="318">
        <v>118295019.79000001</v>
      </c>
      <c r="D134" s="318">
        <v>118295019.79000001</v>
      </c>
      <c r="E134" s="323"/>
      <c r="F134" s="323"/>
      <c r="G134" s="323"/>
      <c r="H134" s="323"/>
      <c r="I134" s="323"/>
    </row>
    <row r="135" spans="1:10" ht="15" hidden="1" outlineLevel="1" thickBot="1" x14ac:dyDescent="0.35">
      <c r="B135" s="331"/>
      <c r="C135" s="328">
        <f>SUM(C134:C134)</f>
        <v>118295019.79000001</v>
      </c>
      <c r="D135" s="328">
        <f>SUM(D134:D134)</f>
        <v>118295019.79000001</v>
      </c>
      <c r="E135" s="331"/>
      <c r="F135" s="342"/>
      <c r="G135" s="347"/>
    </row>
    <row r="136" spans="1:10" ht="15" hidden="1" outlineLevel="1" thickTop="1" x14ac:dyDescent="0.3">
      <c r="A136" s="309">
        <v>16</v>
      </c>
      <c r="B136" s="313" t="s">
        <v>323</v>
      </c>
      <c r="C136" s="313"/>
      <c r="D136" s="323"/>
      <c r="E136" s="331"/>
      <c r="F136" s="342"/>
      <c r="G136" s="347"/>
    </row>
    <row r="137" spans="1:10" hidden="1" outlineLevel="1" x14ac:dyDescent="0.3">
      <c r="B137" s="311" t="s">
        <v>324</v>
      </c>
      <c r="C137" s="318">
        <v>32352833.779999971</v>
      </c>
      <c r="D137" s="318">
        <v>31547121.780000001</v>
      </c>
      <c r="E137" s="331"/>
      <c r="F137" s="342"/>
      <c r="G137" s="347"/>
    </row>
    <row r="138" spans="1:10" hidden="1" outlineLevel="1" x14ac:dyDescent="0.3">
      <c r="B138" s="311" t="s">
        <v>325</v>
      </c>
      <c r="C138" s="318">
        <v>401804</v>
      </c>
      <c r="D138" s="318">
        <v>899504</v>
      </c>
      <c r="E138" s="331"/>
      <c r="F138" s="342"/>
      <c r="G138" s="347"/>
    </row>
    <row r="139" spans="1:10" ht="15" hidden="1" outlineLevel="1" thickBot="1" x14ac:dyDescent="0.35">
      <c r="B139" s="331"/>
      <c r="C139" s="328">
        <f>SUM(C137:C138)</f>
        <v>32754637.779999971</v>
      </c>
      <c r="D139" s="328">
        <f>SUM(D137:D138)</f>
        <v>32446625.780000001</v>
      </c>
      <c r="E139" s="331"/>
      <c r="F139" s="342"/>
      <c r="G139" s="347"/>
    </row>
    <row r="140" spans="1:10" ht="15" hidden="1" outlineLevel="1" thickTop="1" x14ac:dyDescent="0.3">
      <c r="B140" s="331"/>
      <c r="C140" s="331"/>
      <c r="D140" s="323"/>
      <c r="E140" s="331"/>
      <c r="F140" s="342"/>
      <c r="G140" s="347"/>
    </row>
    <row r="141" spans="1:10" hidden="1" outlineLevel="1" x14ac:dyDescent="0.3">
      <c r="A141" s="309">
        <v>17</v>
      </c>
      <c r="B141" s="348" t="s">
        <v>326</v>
      </c>
      <c r="C141" s="348"/>
      <c r="D141" s="348"/>
      <c r="E141" s="348"/>
      <c r="F141" s="349"/>
      <c r="G141" s="348"/>
    </row>
    <row r="142" spans="1:10" hidden="1" outlineLevel="1" x14ac:dyDescent="0.3">
      <c r="B142" s="350" t="s">
        <v>327</v>
      </c>
      <c r="C142" s="351">
        <f>5295911+306930</f>
        <v>5602841</v>
      </c>
      <c r="D142" s="318">
        <v>461183</v>
      </c>
      <c r="E142" s="318">
        <v>6691881.0199999996</v>
      </c>
      <c r="F142" s="318">
        <f>5895234+36234+35046</f>
        <v>5966514</v>
      </c>
      <c r="G142" s="318">
        <v>9014798</v>
      </c>
      <c r="H142" s="318">
        <f>7012948+1218335+83333+15000+1164+129039</f>
        <v>8459819</v>
      </c>
      <c r="I142" s="318"/>
    </row>
    <row r="143" spans="1:10" hidden="1" outlineLevel="1" x14ac:dyDescent="0.3">
      <c r="B143" s="350" t="s">
        <v>328</v>
      </c>
      <c r="C143" s="351">
        <v>2570903</v>
      </c>
      <c r="D143" s="318">
        <v>2570903</v>
      </c>
      <c r="E143" s="318">
        <v>2570902.9500000002</v>
      </c>
      <c r="F143" s="318">
        <v>2570902.9500000002</v>
      </c>
      <c r="G143" s="318">
        <v>3574295.95</v>
      </c>
      <c r="H143" s="318">
        <v>1672840.95</v>
      </c>
      <c r="I143" s="318"/>
    </row>
    <row r="144" spans="1:10" hidden="1" outlineLevel="1" x14ac:dyDescent="0.3">
      <c r="B144" s="350" t="s">
        <v>329</v>
      </c>
      <c r="C144" s="351">
        <v>911630</v>
      </c>
      <c r="D144" s="318">
        <v>832766</v>
      </c>
      <c r="E144" s="318">
        <f>482485+211500</f>
        <v>693985</v>
      </c>
      <c r="F144" s="318">
        <f>168220+87900</f>
        <v>256120</v>
      </c>
      <c r="G144" s="318">
        <v>4046704</v>
      </c>
      <c r="H144" s="318">
        <f>1250136+2403500+1495500</f>
        <v>5149136</v>
      </c>
      <c r="I144" s="318"/>
    </row>
    <row r="145" spans="1:9" hidden="1" outlineLevel="1" x14ac:dyDescent="0.3">
      <c r="B145" s="350" t="s">
        <v>330</v>
      </c>
      <c r="C145" s="351">
        <v>1731600</v>
      </c>
      <c r="D145" s="318">
        <v>1731600</v>
      </c>
      <c r="E145" s="318"/>
      <c r="F145" s="318"/>
      <c r="G145" s="318"/>
      <c r="H145" s="318"/>
      <c r="I145" s="318"/>
    </row>
    <row r="146" spans="1:9" hidden="1" outlineLevel="1" x14ac:dyDescent="0.3">
      <c r="B146" s="350" t="s">
        <v>331</v>
      </c>
      <c r="C146" s="351">
        <v>23584047.029999282</v>
      </c>
      <c r="D146" s="318">
        <v>23888070.079999302</v>
      </c>
      <c r="E146" s="318">
        <f>29399254.32-E142-E143-E144</f>
        <v>19442485.350000001</v>
      </c>
      <c r="F146" s="318">
        <f>17493042</f>
        <v>17493042</v>
      </c>
      <c r="G146" s="318">
        <f>24928633.65-4988434</f>
        <v>19940199.649999999</v>
      </c>
      <c r="H146" s="318">
        <v>10195506.850000001</v>
      </c>
      <c r="I146" s="318"/>
    </row>
    <row r="147" spans="1:9" ht="15" hidden="1" outlineLevel="1" thickBot="1" x14ac:dyDescent="0.35">
      <c r="B147" s="311"/>
      <c r="C147" s="328">
        <f t="shared" ref="C147:H147" si="8">SUM(C142:C146)</f>
        <v>34401021.029999286</v>
      </c>
      <c r="D147" s="328">
        <f t="shared" si="8"/>
        <v>29484522.079999302</v>
      </c>
      <c r="E147" s="328">
        <f t="shared" si="8"/>
        <v>29399254.32</v>
      </c>
      <c r="F147" s="328">
        <f t="shared" si="8"/>
        <v>26286578.949999999</v>
      </c>
      <c r="G147" s="328">
        <f t="shared" si="8"/>
        <v>36575997.599999994</v>
      </c>
      <c r="H147" s="328">
        <f t="shared" si="8"/>
        <v>25477302.800000001</v>
      </c>
      <c r="I147" s="323"/>
    </row>
    <row r="148" spans="1:9" ht="15" hidden="1" outlineLevel="1" thickTop="1" x14ac:dyDescent="0.3">
      <c r="B148" s="313"/>
      <c r="C148" s="313"/>
      <c r="D148" s="313"/>
      <c r="E148" s="313"/>
      <c r="F148" s="314"/>
      <c r="G148" s="352"/>
    </row>
    <row r="149" spans="1:9" hidden="1" outlineLevel="1" x14ac:dyDescent="0.3">
      <c r="A149" s="309">
        <f>A141+1</f>
        <v>18</v>
      </c>
      <c r="B149" s="313" t="s">
        <v>332</v>
      </c>
      <c r="C149" s="313"/>
      <c r="D149" s="313"/>
      <c r="E149" s="313"/>
      <c r="F149" s="314"/>
      <c r="G149" s="313"/>
    </row>
    <row r="150" spans="1:9" ht="15.6" hidden="1" outlineLevel="1" x14ac:dyDescent="0.3">
      <c r="B150" s="311" t="s">
        <v>333</v>
      </c>
      <c r="C150" s="318">
        <v>7129981.9400000004</v>
      </c>
      <c r="D150" s="318">
        <v>7074114.1699999999</v>
      </c>
      <c r="E150" s="318">
        <v>6977918</v>
      </c>
      <c r="F150" s="318">
        <v>6796694</v>
      </c>
      <c r="G150" s="318">
        <v>7016185</v>
      </c>
      <c r="H150" s="353">
        <v>8469233</v>
      </c>
      <c r="I150" s="353"/>
    </row>
    <row r="151" spans="1:9" ht="15.6" hidden="1" outlineLevel="1" x14ac:dyDescent="0.3">
      <c r="B151" s="311" t="s">
        <v>334</v>
      </c>
      <c r="C151" s="318">
        <f>11833460.72-183491+49817</f>
        <v>11699786.720000001</v>
      </c>
      <c r="D151" s="318">
        <v>11822629.220000001</v>
      </c>
      <c r="E151" s="318">
        <v>11728100.800000001</v>
      </c>
      <c r="F151" s="318">
        <v>11721795.800000001</v>
      </c>
      <c r="G151" s="318">
        <v>12201747.800000001</v>
      </c>
      <c r="H151" s="353">
        <v>13953909</v>
      </c>
      <c r="I151" s="353"/>
    </row>
    <row r="152" spans="1:9" ht="15.6" hidden="1" outlineLevel="1" x14ac:dyDescent="0.3">
      <c r="B152" s="311" t="s">
        <v>335</v>
      </c>
      <c r="C152" s="318">
        <f>8554933.7</f>
        <v>8554933.6999999993</v>
      </c>
      <c r="D152" s="318">
        <v>11821261.220000001</v>
      </c>
      <c r="E152" s="318">
        <f>91774256.88-94454.75</f>
        <v>91679802.129999995</v>
      </c>
      <c r="F152" s="318">
        <f>78442797.12-68762913</f>
        <v>9679884.1200000048</v>
      </c>
      <c r="G152" s="318">
        <v>4286954.79</v>
      </c>
      <c r="H152" s="353">
        <v>1339711.1100000001</v>
      </c>
      <c r="I152" s="353"/>
    </row>
    <row r="153" spans="1:9" ht="15.6" hidden="1" outlineLevel="1" x14ac:dyDescent="0.3">
      <c r="B153" s="311" t="s">
        <v>336</v>
      </c>
      <c r="C153" s="318">
        <v>390357</v>
      </c>
      <c r="D153" s="318">
        <v>390357</v>
      </c>
      <c r="E153" s="318">
        <f>388000+300000+16485</f>
        <v>704485</v>
      </c>
      <c r="F153" s="318">
        <f>388000+300000+624000+16485</f>
        <v>1328485</v>
      </c>
      <c r="G153" s="318">
        <f>388000+300000+16485+624000</f>
        <v>1328485</v>
      </c>
      <c r="H153" s="353">
        <f>388000+156000+564000</f>
        <v>1108000</v>
      </c>
      <c r="I153" s="353"/>
    </row>
    <row r="154" spans="1:9" ht="15.6" hidden="1" outlineLevel="1" x14ac:dyDescent="0.3">
      <c r="B154" s="311" t="s">
        <v>337</v>
      </c>
      <c r="C154" s="318">
        <v>414075</v>
      </c>
      <c r="D154" s="318">
        <v>414075</v>
      </c>
      <c r="E154" s="318">
        <v>414075</v>
      </c>
      <c r="F154" s="318">
        <f>414075-94454.75</f>
        <v>319620.25</v>
      </c>
      <c r="G154" s="354">
        <v>414075</v>
      </c>
      <c r="H154" s="355">
        <v>514075</v>
      </c>
      <c r="I154" s="353"/>
    </row>
    <row r="155" spans="1:9" hidden="1" outlineLevel="1" x14ac:dyDescent="0.3">
      <c r="B155" s="311" t="s">
        <v>3</v>
      </c>
      <c r="C155" s="318">
        <f>5554+1572+19160+153350</f>
        <v>179636</v>
      </c>
      <c r="D155" s="318">
        <v>1572</v>
      </c>
      <c r="E155" s="318">
        <v>25000</v>
      </c>
      <c r="F155" s="318">
        <f>25000</f>
        <v>25000</v>
      </c>
      <c r="G155" s="318">
        <v>0</v>
      </c>
      <c r="H155" s="318">
        <f>357860</f>
        <v>357860</v>
      </c>
      <c r="I155" s="318"/>
    </row>
    <row r="156" spans="1:9" ht="15" hidden="1" outlineLevel="1" thickBot="1" x14ac:dyDescent="0.35">
      <c r="B156" s="313" t="s">
        <v>0</v>
      </c>
      <c r="C156" s="328">
        <f t="shared" ref="C156:H156" si="9">SUM(C150:C155)</f>
        <v>28368770.359999999</v>
      </c>
      <c r="D156" s="328">
        <f t="shared" si="9"/>
        <v>31524008.609999999</v>
      </c>
      <c r="E156" s="328">
        <f t="shared" si="9"/>
        <v>111529380.92999999</v>
      </c>
      <c r="F156" s="328">
        <f t="shared" si="9"/>
        <v>29871479.170000006</v>
      </c>
      <c r="G156" s="328">
        <f t="shared" si="9"/>
        <v>25247447.59</v>
      </c>
      <c r="H156" s="328">
        <f t="shared" si="9"/>
        <v>25742788.109999999</v>
      </c>
      <c r="I156" s="323"/>
    </row>
    <row r="157" spans="1:9" ht="15" hidden="1" outlineLevel="1" thickTop="1" x14ac:dyDescent="0.3">
      <c r="B157" s="313"/>
      <c r="C157" s="313"/>
      <c r="D157" s="313" t="s">
        <v>142</v>
      </c>
      <c r="E157" s="313"/>
      <c r="F157" s="323"/>
      <c r="G157" s="323"/>
      <c r="H157" s="323"/>
      <c r="I157" s="323"/>
    </row>
    <row r="158" spans="1:9" hidden="1" outlineLevel="1" x14ac:dyDescent="0.3">
      <c r="A158" s="309">
        <v>15</v>
      </c>
      <c r="B158" s="356" t="s">
        <v>338</v>
      </c>
      <c r="C158" s="356"/>
      <c r="D158" s="356"/>
      <c r="E158" s="356"/>
      <c r="F158" s="323"/>
      <c r="G158" s="323"/>
      <c r="H158" s="323"/>
      <c r="I158" s="323"/>
    </row>
    <row r="159" spans="1:9" hidden="1" outlineLevel="1" x14ac:dyDescent="0.3">
      <c r="B159" s="313"/>
      <c r="C159" s="313"/>
      <c r="D159" s="313"/>
      <c r="E159" s="313"/>
      <c r="F159" s="323"/>
      <c r="G159" s="323"/>
      <c r="H159" s="323"/>
      <c r="I159" s="323"/>
    </row>
    <row r="160" spans="1:9" hidden="1" outlineLevel="1" x14ac:dyDescent="0.3">
      <c r="B160" s="357" t="s">
        <v>339</v>
      </c>
      <c r="C160" s="357"/>
      <c r="D160" s="357"/>
      <c r="E160" s="357"/>
      <c r="F160" s="358">
        <f>G164</f>
        <v>21478926.870000001</v>
      </c>
      <c r="G160" s="358">
        <v>3399813</v>
      </c>
      <c r="H160" s="323"/>
      <c r="I160" s="323"/>
    </row>
    <row r="161" spans="1:9" hidden="1" outlineLevel="1" x14ac:dyDescent="0.3">
      <c r="B161" s="357" t="s">
        <v>340</v>
      </c>
      <c r="C161" s="357"/>
      <c r="D161" s="357"/>
      <c r="E161" s="357"/>
      <c r="F161" s="359">
        <f>'[8]IS -2021'!O8*0.1%</f>
        <v>447957.62373999995</v>
      </c>
      <c r="G161" s="358">
        <v>18079113.870000001</v>
      </c>
      <c r="H161" s="323"/>
      <c r="I161" s="323"/>
    </row>
    <row r="162" spans="1:9" hidden="1" outlineLevel="1" x14ac:dyDescent="0.3">
      <c r="B162" s="313"/>
      <c r="C162" s="313"/>
      <c r="D162" s="313"/>
      <c r="E162" s="313"/>
      <c r="F162" s="323">
        <f>SUM(F160:F161)</f>
        <v>21926884.49374</v>
      </c>
      <c r="G162" s="360">
        <v>21478926.870000001</v>
      </c>
      <c r="H162" s="323"/>
      <c r="I162" s="323"/>
    </row>
    <row r="163" spans="1:9" hidden="1" outlineLevel="1" x14ac:dyDescent="0.3">
      <c r="B163" s="357" t="s">
        <v>341</v>
      </c>
      <c r="C163" s="357"/>
      <c r="D163" s="357"/>
      <c r="E163" s="357"/>
      <c r="F163" s="323"/>
      <c r="G163" s="361">
        <v>0</v>
      </c>
      <c r="H163" s="323"/>
      <c r="I163" s="323"/>
    </row>
    <row r="164" spans="1:9" ht="15" hidden="1" outlineLevel="1" thickBot="1" x14ac:dyDescent="0.35">
      <c r="B164" s="313"/>
      <c r="C164" s="313"/>
      <c r="D164" s="313"/>
      <c r="E164" s="313"/>
      <c r="F164" s="328">
        <f>F162</f>
        <v>21926884.49374</v>
      </c>
      <c r="G164" s="328">
        <v>21478926.870000001</v>
      </c>
      <c r="H164" s="323"/>
      <c r="I164" s="323"/>
    </row>
    <row r="165" spans="1:9" ht="15" hidden="1" outlineLevel="1" thickTop="1" x14ac:dyDescent="0.3">
      <c r="B165" s="313"/>
      <c r="C165" s="313"/>
      <c r="D165" s="313"/>
      <c r="E165" s="313"/>
      <c r="F165" s="314" t="s">
        <v>142</v>
      </c>
      <c r="G165" s="313"/>
    </row>
    <row r="166" spans="1:9" hidden="1" outlineLevel="1" x14ac:dyDescent="0.3">
      <c r="A166" s="309">
        <v>19</v>
      </c>
      <c r="B166" s="313" t="s">
        <v>342</v>
      </c>
      <c r="C166" s="313"/>
      <c r="D166" s="313"/>
      <c r="E166" s="313"/>
      <c r="F166" s="314" t="s">
        <v>142</v>
      </c>
      <c r="G166" s="313"/>
    </row>
    <row r="167" spans="1:9" hidden="1" outlineLevel="1" x14ac:dyDescent="0.3"/>
    <row r="168" spans="1:9" hidden="1" outlineLevel="1" x14ac:dyDescent="0.3">
      <c r="B168" s="311" t="s">
        <v>343</v>
      </c>
      <c r="C168" s="318">
        <v>1056268145</v>
      </c>
      <c r="D168" s="329">
        <v>2129603770</v>
      </c>
      <c r="E168" s="329">
        <v>545793031.75100005</v>
      </c>
      <c r="F168" s="329">
        <v>53717472.350000001</v>
      </c>
      <c r="G168" s="329">
        <f>393485397+3924738+1697968954</f>
        <v>2095379089</v>
      </c>
      <c r="H168" s="318">
        <f>373135850+119412215</f>
        <v>492548065</v>
      </c>
      <c r="I168" s="318"/>
    </row>
    <row r="169" spans="1:9" hidden="1" outlineLevel="1" x14ac:dyDescent="0.3">
      <c r="B169" s="311" t="s">
        <v>344</v>
      </c>
      <c r="C169" s="318">
        <v>198852669</v>
      </c>
      <c r="D169" s="329">
        <v>661004465</v>
      </c>
      <c r="E169" s="329">
        <v>226700547.836</v>
      </c>
      <c r="F169" s="329">
        <v>35827751.350000001</v>
      </c>
      <c r="G169" s="329">
        <f>59285760+450750+266015697</f>
        <v>325752207</v>
      </c>
      <c r="H169" s="318">
        <f>26196935.5+28661640.5</f>
        <v>54858576</v>
      </c>
      <c r="I169" s="318"/>
    </row>
    <row r="170" spans="1:9" hidden="1" outlineLevel="1" x14ac:dyDescent="0.3">
      <c r="B170" s="311" t="s">
        <v>345</v>
      </c>
      <c r="C170" s="318">
        <v>4573768</v>
      </c>
      <c r="D170" s="329">
        <v>21211841</v>
      </c>
      <c r="E170" s="329">
        <v>9850869.4120000005</v>
      </c>
      <c r="F170" s="329">
        <v>3196791.5100000002</v>
      </c>
      <c r="G170" s="329"/>
      <c r="H170" s="318"/>
      <c r="I170" s="318"/>
    </row>
    <row r="171" spans="1:9" hidden="1" outlineLevel="1" x14ac:dyDescent="0.3">
      <c r="B171" s="311" t="s">
        <v>346</v>
      </c>
      <c r="C171" s="318">
        <v>25813551</v>
      </c>
      <c r="D171" s="329">
        <v>115140237</v>
      </c>
      <c r="E171" s="329">
        <f>18713402+88622729</f>
        <v>107336131</v>
      </c>
      <c r="F171" s="329">
        <v>429361255.83999997</v>
      </c>
      <c r="G171" s="329">
        <f>613862706.16+175275</f>
        <v>614037981.15999997</v>
      </c>
      <c r="H171" s="318">
        <v>0</v>
      </c>
      <c r="I171" s="318"/>
    </row>
    <row r="172" spans="1:9" hidden="1" outlineLevel="1" x14ac:dyDescent="0.3">
      <c r="B172" s="311" t="s">
        <v>347</v>
      </c>
      <c r="C172" s="318">
        <v>0</v>
      </c>
      <c r="D172" s="329">
        <v>101675</v>
      </c>
      <c r="E172" s="329">
        <v>370</v>
      </c>
      <c r="F172" s="329">
        <f>340+555</f>
        <v>895</v>
      </c>
      <c r="G172" s="329">
        <f>162903.15+24436.85+626314</f>
        <v>813654</v>
      </c>
      <c r="H172" s="318">
        <f>1054289.15+4620421</f>
        <v>5674710.1500000004</v>
      </c>
      <c r="I172" s="318"/>
    </row>
    <row r="173" spans="1:9" hidden="1" outlineLevel="1" x14ac:dyDescent="0.3">
      <c r="B173" s="311" t="s">
        <v>348</v>
      </c>
      <c r="C173" s="318">
        <v>0</v>
      </c>
      <c r="D173" s="329">
        <v>78120</v>
      </c>
      <c r="E173" s="329">
        <v>5400</v>
      </c>
      <c r="F173" s="329">
        <v>9300</v>
      </c>
      <c r="G173" s="329">
        <f>543443.04+81516.96</f>
        <v>624960</v>
      </c>
      <c r="H173" s="318">
        <v>13418621.029999999</v>
      </c>
      <c r="I173" s="318"/>
    </row>
    <row r="174" spans="1:9" hidden="1" outlineLevel="1" x14ac:dyDescent="0.3">
      <c r="B174" s="311" t="s">
        <v>349</v>
      </c>
      <c r="C174" s="318">
        <v>0</v>
      </c>
      <c r="D174" s="329">
        <v>36800</v>
      </c>
      <c r="E174" s="311"/>
      <c r="F174" s="329"/>
      <c r="G174" s="329">
        <f>170000+25500</f>
        <v>195500</v>
      </c>
      <c r="H174" s="318">
        <v>8170539.1499999994</v>
      </c>
      <c r="I174" s="318"/>
    </row>
    <row r="175" spans="1:9" ht="15" hidden="1" outlineLevel="1" thickBot="1" x14ac:dyDescent="0.35">
      <c r="B175" s="313" t="s">
        <v>0</v>
      </c>
      <c r="C175" s="362">
        <f t="shared" ref="C175:H175" si="10">SUM(C168:C174)</f>
        <v>1285508133</v>
      </c>
      <c r="D175" s="363">
        <f t="shared" si="10"/>
        <v>2927176908</v>
      </c>
      <c r="E175" s="363">
        <f t="shared" si="10"/>
        <v>889686349.99900007</v>
      </c>
      <c r="F175" s="363">
        <f t="shared" si="10"/>
        <v>522113466.04999995</v>
      </c>
      <c r="G175" s="363">
        <f t="shared" si="10"/>
        <v>3036803391.1599998</v>
      </c>
      <c r="H175" s="363">
        <f t="shared" si="10"/>
        <v>574670511.32999992</v>
      </c>
      <c r="I175" s="323"/>
    </row>
    <row r="176" spans="1:9" hidden="1" outlineLevel="1" x14ac:dyDescent="0.3">
      <c r="B176" s="313" t="s">
        <v>350</v>
      </c>
      <c r="C176" s="313"/>
      <c r="D176" s="313"/>
      <c r="E176" s="313"/>
      <c r="F176" s="314"/>
      <c r="G176" s="323"/>
    </row>
    <row r="177" spans="2:9" hidden="1" outlineLevel="1" x14ac:dyDescent="0.3">
      <c r="B177" s="311" t="s">
        <v>351</v>
      </c>
      <c r="C177" s="311"/>
      <c r="D177" s="311"/>
      <c r="E177" s="311"/>
      <c r="F177" s="318"/>
      <c r="G177" s="319">
        <v>686256</v>
      </c>
      <c r="H177" s="318">
        <v>132392</v>
      </c>
      <c r="I177" s="318"/>
    </row>
    <row r="178" spans="2:9" hidden="1" outlineLevel="1" x14ac:dyDescent="0.3">
      <c r="B178" s="311" t="s">
        <v>352</v>
      </c>
      <c r="C178" s="311"/>
      <c r="D178" s="311"/>
      <c r="E178" s="311"/>
      <c r="F178" s="318"/>
      <c r="G178" s="319">
        <v>10605</v>
      </c>
      <c r="H178" s="318">
        <v>0</v>
      </c>
      <c r="I178" s="318"/>
    </row>
    <row r="179" spans="2:9" hidden="1" outlineLevel="1" x14ac:dyDescent="0.3">
      <c r="B179" s="311" t="s">
        <v>353</v>
      </c>
      <c r="C179" s="311"/>
      <c r="D179" s="311"/>
      <c r="E179" s="311"/>
      <c r="F179" s="318"/>
      <c r="G179" s="319">
        <v>60146</v>
      </c>
      <c r="H179" s="318">
        <v>0</v>
      </c>
      <c r="I179" s="318"/>
    </row>
    <row r="180" spans="2:9" hidden="1" outlineLevel="1" x14ac:dyDescent="0.3">
      <c r="B180" s="311" t="s">
        <v>354</v>
      </c>
      <c r="C180" s="311"/>
      <c r="D180" s="311"/>
      <c r="E180" s="311"/>
      <c r="F180" s="318"/>
      <c r="G180" s="319">
        <v>50373.75</v>
      </c>
      <c r="H180" s="318">
        <v>0</v>
      </c>
      <c r="I180" s="318"/>
    </row>
    <row r="181" spans="2:9" hidden="1" outlineLevel="1" x14ac:dyDescent="0.3">
      <c r="B181" s="311" t="s">
        <v>355</v>
      </c>
      <c r="C181" s="311"/>
      <c r="D181" s="311"/>
      <c r="E181" s="311"/>
      <c r="F181" s="318"/>
      <c r="G181" s="319">
        <v>0</v>
      </c>
      <c r="H181" s="341">
        <v>12547.86</v>
      </c>
      <c r="I181" s="341"/>
    </row>
    <row r="182" spans="2:9" hidden="1" outlineLevel="1" x14ac:dyDescent="0.3">
      <c r="B182" s="311" t="s">
        <v>348</v>
      </c>
      <c r="C182" s="311"/>
      <c r="D182" s="311"/>
      <c r="E182" s="311"/>
      <c r="F182" s="318"/>
      <c r="G182" s="319">
        <v>0</v>
      </c>
      <c r="H182" s="335">
        <v>76017.33</v>
      </c>
      <c r="I182" s="335"/>
    </row>
    <row r="183" spans="2:9" hidden="1" outlineLevel="1" x14ac:dyDescent="0.3">
      <c r="B183" s="311" t="s">
        <v>349</v>
      </c>
      <c r="C183" s="311"/>
      <c r="D183" s="311"/>
      <c r="E183" s="311"/>
      <c r="F183" s="318"/>
      <c r="G183" s="319">
        <v>0</v>
      </c>
      <c r="H183" s="335">
        <v>32000</v>
      </c>
      <c r="I183" s="335"/>
    </row>
    <row r="184" spans="2:9" hidden="1" outlineLevel="1" x14ac:dyDescent="0.3">
      <c r="B184" s="311" t="s">
        <v>34</v>
      </c>
      <c r="C184" s="311"/>
      <c r="D184" s="311"/>
      <c r="E184" s="311"/>
      <c r="F184" s="318"/>
      <c r="G184" s="319">
        <v>0</v>
      </c>
      <c r="H184" s="335">
        <v>1200</v>
      </c>
      <c r="I184" s="335"/>
    </row>
    <row r="185" spans="2:9" ht="15" hidden="1" outlineLevel="1" thickBot="1" x14ac:dyDescent="0.35">
      <c r="B185" s="311"/>
      <c r="C185" s="364"/>
      <c r="D185" s="365"/>
      <c r="E185" s="339">
        <f>SUM(E177:E184)</f>
        <v>0</v>
      </c>
      <c r="F185" s="339">
        <f>SUM(F177:F184)</f>
        <v>0</v>
      </c>
      <c r="G185" s="366">
        <f>SUM(G177:G184)</f>
        <v>807380.75</v>
      </c>
      <c r="H185" s="363">
        <f>SUM(H177:H184)</f>
        <v>254157.19</v>
      </c>
      <c r="I185" s="323"/>
    </row>
    <row r="186" spans="2:9" hidden="1" outlineLevel="1" x14ac:dyDescent="0.3">
      <c r="B186" s="313" t="s">
        <v>356</v>
      </c>
      <c r="C186" s="313"/>
      <c r="D186" s="313"/>
      <c r="E186" s="313"/>
      <c r="F186" s="314"/>
      <c r="G186" s="313"/>
    </row>
    <row r="187" spans="2:9" hidden="1" outlineLevel="1" x14ac:dyDescent="0.3">
      <c r="B187" s="311" t="s">
        <v>357</v>
      </c>
      <c r="C187" s="318">
        <v>69781984</v>
      </c>
      <c r="D187" s="318">
        <v>101409703</v>
      </c>
      <c r="E187" s="318">
        <v>25990144.369095244</v>
      </c>
      <c r="F187" s="318">
        <f>2581700+51075600.51</f>
        <v>53657300.509999998</v>
      </c>
      <c r="G187" s="318">
        <v>20101629.25</v>
      </c>
      <c r="H187" s="341">
        <v>5230857</v>
      </c>
      <c r="I187" s="341"/>
    </row>
    <row r="188" spans="2:9" hidden="1" outlineLevel="1" x14ac:dyDescent="0.3">
      <c r="B188" s="311" t="s">
        <v>358</v>
      </c>
      <c r="C188" s="318">
        <v>13009053</v>
      </c>
      <c r="D188" s="318">
        <v>31476403</v>
      </c>
      <c r="E188" s="318">
        <v>10795264.182666667</v>
      </c>
      <c r="F188" s="318">
        <f>1704703.45+16809410.48</f>
        <v>18514113.93</v>
      </c>
      <c r="G188" s="318">
        <v>2430768.75</v>
      </c>
      <c r="H188" s="341">
        <v>459300</v>
      </c>
      <c r="I188" s="341"/>
    </row>
    <row r="189" spans="2:9" hidden="1" outlineLevel="1" x14ac:dyDescent="0.3">
      <c r="B189" s="311" t="s">
        <v>359</v>
      </c>
      <c r="C189" s="318">
        <v>299217</v>
      </c>
      <c r="D189" s="318">
        <v>1010088</v>
      </c>
      <c r="E189" s="318">
        <v>469089.01961904758</v>
      </c>
      <c r="F189" s="318">
        <f>152210.39+371906.11</f>
        <v>524116.5</v>
      </c>
      <c r="G189" s="318"/>
      <c r="H189" s="341"/>
      <c r="I189" s="341"/>
    </row>
    <row r="190" spans="2:9" hidden="1" outlineLevel="1" x14ac:dyDescent="0.3">
      <c r="B190" s="311" t="s">
        <v>360</v>
      </c>
      <c r="C190" s="318">
        <v>974972.85</v>
      </c>
      <c r="D190" s="318">
        <v>3066817</v>
      </c>
      <c r="E190" s="318">
        <v>891114.39850000013</v>
      </c>
      <c r="F190" s="318">
        <v>1458981.58</v>
      </c>
      <c r="G190" s="318">
        <v>175275</v>
      </c>
      <c r="H190" s="341"/>
      <c r="I190" s="341"/>
    </row>
    <row r="191" spans="2:9" hidden="1" outlineLevel="1" x14ac:dyDescent="0.3">
      <c r="B191" s="311" t="s">
        <v>361</v>
      </c>
      <c r="C191" s="318"/>
      <c r="D191" s="318">
        <v>13262</v>
      </c>
      <c r="E191" s="318"/>
      <c r="F191" s="318">
        <f>44.35+72.39</f>
        <v>116.74000000000001</v>
      </c>
      <c r="G191" s="318">
        <f>80642.46+24436.85</f>
        <v>105079.31</v>
      </c>
      <c r="H191" s="341">
        <f>140687.15+607869.81</f>
        <v>748556.96000000008</v>
      </c>
      <c r="I191" s="341"/>
    </row>
    <row r="192" spans="2:9" hidden="1" outlineLevel="1" x14ac:dyDescent="0.3">
      <c r="B192" s="311" t="s">
        <v>362</v>
      </c>
      <c r="C192" s="318"/>
      <c r="D192" s="318">
        <v>10190</v>
      </c>
      <c r="E192" s="318"/>
      <c r="F192" s="318"/>
      <c r="G192" s="318"/>
      <c r="H192" s="341"/>
      <c r="I192" s="341"/>
    </row>
    <row r="193" spans="1:10" hidden="1" outlineLevel="1" x14ac:dyDescent="0.3">
      <c r="B193" s="311" t="s">
        <v>363</v>
      </c>
      <c r="C193" s="318"/>
      <c r="D193" s="318">
        <v>4800</v>
      </c>
      <c r="E193" s="318"/>
      <c r="F193" s="318"/>
      <c r="G193" s="318"/>
      <c r="H193" s="341"/>
      <c r="I193" s="341"/>
    </row>
    <row r="194" spans="1:10" hidden="1" outlineLevel="1" x14ac:dyDescent="0.3">
      <c r="B194" s="311" t="s">
        <v>364</v>
      </c>
      <c r="C194" s="318">
        <v>0</v>
      </c>
      <c r="D194" s="367">
        <v>0</v>
      </c>
      <c r="E194" s="311"/>
      <c r="F194" s="318">
        <v>1213.05</v>
      </c>
      <c r="G194" s="318">
        <f>81516.96+25500</f>
        <v>107016.96000000001</v>
      </c>
      <c r="H194" s="341">
        <f>1743934.68+1063669.55</f>
        <v>2807604.23</v>
      </c>
      <c r="I194" s="341"/>
    </row>
    <row r="195" spans="1:10" ht="15" hidden="1" outlineLevel="1" thickBot="1" x14ac:dyDescent="0.35">
      <c r="B195" s="313" t="s">
        <v>142</v>
      </c>
      <c r="C195" s="363">
        <f t="shared" ref="C195:H195" si="11">SUM(C187:C194)</f>
        <v>84065226.849999994</v>
      </c>
      <c r="D195" s="363">
        <f t="shared" si="11"/>
        <v>136991263</v>
      </c>
      <c r="E195" s="363">
        <f t="shared" si="11"/>
        <v>38145611.969880961</v>
      </c>
      <c r="F195" s="363">
        <f t="shared" si="11"/>
        <v>74155842.309999987</v>
      </c>
      <c r="G195" s="363">
        <f t="shared" si="11"/>
        <v>22919769.27</v>
      </c>
      <c r="H195" s="363">
        <f t="shared" si="11"/>
        <v>9246318.1899999995</v>
      </c>
      <c r="I195" s="323"/>
    </row>
    <row r="196" spans="1:10" ht="15" hidden="1" outlineLevel="1" thickBot="1" x14ac:dyDescent="0.35">
      <c r="B196" s="368" t="s">
        <v>365</v>
      </c>
      <c r="C196" s="369">
        <f t="shared" ref="C196:H196" si="12">C175-C185-C195</f>
        <v>1201442906.1500001</v>
      </c>
      <c r="D196" s="328">
        <f t="shared" si="12"/>
        <v>2790185645</v>
      </c>
      <c r="E196" s="328">
        <f t="shared" si="12"/>
        <v>851540738.02911913</v>
      </c>
      <c r="F196" s="328">
        <f t="shared" si="12"/>
        <v>447957623.73999995</v>
      </c>
      <c r="G196" s="328">
        <f t="shared" si="12"/>
        <v>3013076241.1399999</v>
      </c>
      <c r="H196" s="328">
        <f t="shared" si="12"/>
        <v>565170035.94999981</v>
      </c>
      <c r="I196" s="323"/>
    </row>
    <row r="197" spans="1:10" ht="15" hidden="1" outlineLevel="1" thickTop="1" x14ac:dyDescent="0.3">
      <c r="B197" s="368"/>
      <c r="C197" s="368"/>
      <c r="D197" s="368"/>
      <c r="E197" s="368"/>
      <c r="F197" s="370"/>
      <c r="G197" s="323"/>
      <c r="H197" s="323"/>
      <c r="I197" s="323"/>
    </row>
    <row r="198" spans="1:10" collapsed="1" x14ac:dyDescent="0.3">
      <c r="A198" s="309">
        <f>A166+1</f>
        <v>20</v>
      </c>
      <c r="B198" s="313" t="s">
        <v>366</v>
      </c>
      <c r="C198" s="313"/>
      <c r="D198" s="313"/>
      <c r="E198" s="313"/>
      <c r="F198" s="314"/>
      <c r="G198" s="371"/>
    </row>
    <row r="199" spans="1:10" x14ac:dyDescent="0.3">
      <c r="A199" s="372"/>
      <c r="B199" s="373" t="s">
        <v>367</v>
      </c>
      <c r="C199" s="374">
        <f t="shared" ref="C199:H199" si="13">C212</f>
        <v>1024784483.9315</v>
      </c>
      <c r="D199" s="375">
        <f t="shared" si="13"/>
        <v>2113614347.7744057</v>
      </c>
      <c r="E199" s="375">
        <f t="shared" si="13"/>
        <v>756150643.76043987</v>
      </c>
      <c r="F199" s="375">
        <f t="shared" si="13"/>
        <v>1290979868.4677763</v>
      </c>
      <c r="G199" s="376">
        <f t="shared" si="13"/>
        <v>2577555539.52</v>
      </c>
      <c r="H199" s="375">
        <f t="shared" si="13"/>
        <v>570408360.21000004</v>
      </c>
    </row>
    <row r="200" spans="1:10" x14ac:dyDescent="0.3">
      <c r="A200" s="372"/>
      <c r="B200" s="373" t="s">
        <v>368</v>
      </c>
      <c r="C200" s="374">
        <f>C218</f>
        <v>332459.48000000021</v>
      </c>
      <c r="D200" s="375">
        <f>D218</f>
        <v>2909509</v>
      </c>
      <c r="E200" s="375"/>
      <c r="F200" s="319"/>
      <c r="G200" s="376"/>
      <c r="H200" s="375"/>
    </row>
    <row r="201" spans="1:10" x14ac:dyDescent="0.3">
      <c r="A201" s="372"/>
      <c r="B201" s="373" t="s">
        <v>369</v>
      </c>
      <c r="C201" s="377">
        <f>C258</f>
        <v>34262998</v>
      </c>
      <c r="D201" s="375">
        <f>D258</f>
        <v>86464252.279999986</v>
      </c>
      <c r="E201" s="375">
        <f>'[8]F OH'!D38</f>
        <v>11182674</v>
      </c>
      <c r="F201" s="378">
        <f>'[8]F OH'!B38</f>
        <v>25432496.5</v>
      </c>
      <c r="G201" s="375">
        <f>81300055.38-40608058</f>
        <v>40691997.379999995</v>
      </c>
      <c r="H201" s="375">
        <f>46522823.39-15651021</f>
        <v>30871802.390000001</v>
      </c>
      <c r="I201" s="375"/>
    </row>
    <row r="202" spans="1:10" x14ac:dyDescent="0.3">
      <c r="A202" s="372"/>
      <c r="B202" s="373" t="s">
        <v>370</v>
      </c>
      <c r="C202" s="374">
        <f>D204*-1</f>
        <v>9795795.3299999982</v>
      </c>
      <c r="D202" s="376">
        <v>125033801.27</v>
      </c>
      <c r="E202" s="375">
        <f>-F204</f>
        <v>9890137.4600000009</v>
      </c>
      <c r="F202" s="375">
        <f>-G204</f>
        <v>125352346.75</v>
      </c>
      <c r="G202" s="375">
        <v>40677429.609999999</v>
      </c>
      <c r="H202" s="375">
        <v>0</v>
      </c>
    </row>
    <row r="203" spans="1:10" x14ac:dyDescent="0.3">
      <c r="A203" s="372"/>
      <c r="B203" s="373" t="s">
        <v>371</v>
      </c>
      <c r="C203" s="374">
        <v>0</v>
      </c>
      <c r="D203" s="379">
        <v>0</v>
      </c>
      <c r="E203" s="375"/>
      <c r="F203" s="375">
        <v>0</v>
      </c>
      <c r="G203" s="375">
        <v>93700</v>
      </c>
      <c r="H203" s="375">
        <v>12876005.48</v>
      </c>
    </row>
    <row r="204" spans="1:10" x14ac:dyDescent="0.3">
      <c r="A204" s="372"/>
      <c r="B204" s="380" t="s">
        <v>372</v>
      </c>
      <c r="C204" s="381">
        <f>-'[8]FG Stock 31 Dec''21'!L20</f>
        <v>-9795195.4499999974</v>
      </c>
      <c r="D204" s="382">
        <v>-9795795.3299999982</v>
      </c>
      <c r="E204" s="375">
        <f>-'[8]FG Stock'!L36</f>
        <v>0</v>
      </c>
      <c r="F204" s="383">
        <f>-'[8]FG Stock'!L18</f>
        <v>-9890137.4600000009</v>
      </c>
      <c r="G204" s="375">
        <v>-125352346.75</v>
      </c>
      <c r="H204" s="375">
        <v>-40677429.609999999</v>
      </c>
    </row>
    <row r="205" spans="1:10" x14ac:dyDescent="0.3">
      <c r="A205" s="372"/>
      <c r="B205" s="384" t="s">
        <v>373</v>
      </c>
      <c r="C205" s="385">
        <v>0</v>
      </c>
      <c r="D205" s="386">
        <v>0</v>
      </c>
      <c r="E205" s="375"/>
      <c r="F205" s="385">
        <f>-'[8]FG Stock'!D16</f>
        <v>-89133799.19402127</v>
      </c>
      <c r="G205" s="375">
        <f>-'[8]CMP Cylinder '!N6</f>
        <v>-282952480.0799349</v>
      </c>
      <c r="H205" s="375">
        <v>-115665702</v>
      </c>
      <c r="I205" s="319"/>
    </row>
    <row r="206" spans="1:10" ht="25.8" x14ac:dyDescent="0.3">
      <c r="A206" s="372"/>
      <c r="B206" s="387" t="s">
        <v>374</v>
      </c>
      <c r="C206" s="388">
        <f>'[8]Annexure-20-21 (July to Dec''21)'!H26</f>
        <v>64814762.255355932</v>
      </c>
      <c r="D206" s="389">
        <v>231981615.46999991</v>
      </c>
      <c r="E206" s="375">
        <v>63535948.023773566</v>
      </c>
      <c r="F206" s="390">
        <v>133404792.347259</v>
      </c>
      <c r="G206" s="375">
        <v>138240654</v>
      </c>
      <c r="H206" s="375">
        <v>0</v>
      </c>
      <c r="I206" s="391"/>
      <c r="J206" s="434">
        <f>C206/6</f>
        <v>10802460.375892656</v>
      </c>
    </row>
    <row r="207" spans="1:10" x14ac:dyDescent="0.3">
      <c r="A207" s="392"/>
      <c r="B207" s="393" t="s">
        <v>366</v>
      </c>
      <c r="C207" s="394">
        <f t="shared" ref="C207:H207" si="14">SUM(C199:C206)</f>
        <v>1124195303.5468559</v>
      </c>
      <c r="D207" s="395">
        <f t="shared" si="14"/>
        <v>2550207730.4644055</v>
      </c>
      <c r="E207" s="395">
        <f t="shared" si="14"/>
        <v>840759403.24421346</v>
      </c>
      <c r="F207" s="395">
        <f t="shared" si="14"/>
        <v>1476145567.4110141</v>
      </c>
      <c r="G207" s="395">
        <f t="shared" si="14"/>
        <v>2388954493.6800652</v>
      </c>
      <c r="H207" s="395">
        <f t="shared" si="14"/>
        <v>457813036.47000003</v>
      </c>
      <c r="I207" s="319"/>
    </row>
    <row r="208" spans="1:10" x14ac:dyDescent="0.3">
      <c r="A208" s="392"/>
      <c r="B208" s="313" t="s">
        <v>375</v>
      </c>
      <c r="C208" s="314"/>
      <c r="D208" s="313"/>
      <c r="E208" s="313"/>
      <c r="F208" s="314"/>
      <c r="G208" s="371"/>
    </row>
    <row r="209" spans="1:10" x14ac:dyDescent="0.3">
      <c r="A209" s="372"/>
      <c r="B209" s="373" t="s">
        <v>376</v>
      </c>
      <c r="C209" s="375">
        <f>D211*-1</f>
        <v>16627726.195</v>
      </c>
      <c r="D209" s="376">
        <v>94449534</v>
      </c>
      <c r="E209" s="375">
        <v>15084357.108240001</v>
      </c>
      <c r="F209" s="375">
        <f>-1*G211</f>
        <v>17933954.199999988</v>
      </c>
      <c r="G209" s="375">
        <f>354292216-115665702</f>
        <v>238626514</v>
      </c>
      <c r="H209" s="375">
        <v>0</v>
      </c>
    </row>
    <row r="210" spans="1:10" x14ac:dyDescent="0.3">
      <c r="A210" s="372"/>
      <c r="B210" s="373" t="s">
        <v>377</v>
      </c>
      <c r="C210" s="375">
        <f>'[8]RM Purchase'!G54</f>
        <v>1060811858.0845001</v>
      </c>
      <c r="D210" s="375">
        <v>2035792539.9694057</v>
      </c>
      <c r="E210" s="375">
        <v>741066292.47219992</v>
      </c>
      <c r="F210" s="375">
        <f>'[8]LPG Purchase'!D24+'[8]FG Stock'!D16</f>
        <v>1288130271.3760161</v>
      </c>
      <c r="G210" s="375">
        <v>2356862979.7199998</v>
      </c>
      <c r="H210" s="375">
        <v>809034874.21000004</v>
      </c>
    </row>
    <row r="211" spans="1:10" x14ac:dyDescent="0.3">
      <c r="A211" s="372"/>
      <c r="B211" s="373" t="s">
        <v>378</v>
      </c>
      <c r="C211" s="396">
        <f>-'[8]FG Stock 31 Dec''21'!L8</f>
        <v>-52655100.348000005</v>
      </c>
      <c r="D211" s="396">
        <v>-16627726.195</v>
      </c>
      <c r="E211" s="375">
        <f>-'[8]FG Stock'!L28</f>
        <v>-5.82</v>
      </c>
      <c r="F211" s="375">
        <f>-(262.219+59.823)*46.83972*1000</f>
        <v>-15084357.108239999</v>
      </c>
      <c r="G211" s="375">
        <f>-(416552136.2-115665702-282952480)</f>
        <v>-17933954.199999988</v>
      </c>
      <c r="H211" s="375">
        <f>-354292216+115665702</f>
        <v>-238626514</v>
      </c>
    </row>
    <row r="212" spans="1:10" x14ac:dyDescent="0.3">
      <c r="A212" s="392"/>
      <c r="B212" s="393" t="s">
        <v>379</v>
      </c>
      <c r="C212" s="394">
        <f t="shared" ref="C212:H212" si="15">SUM(C209:C211)</f>
        <v>1024784483.9315</v>
      </c>
      <c r="D212" s="395">
        <f t="shared" si="15"/>
        <v>2113614347.7744057</v>
      </c>
      <c r="E212" s="397">
        <f t="shared" si="15"/>
        <v>756150643.76043987</v>
      </c>
      <c r="F212" s="395">
        <f t="shared" si="15"/>
        <v>1290979868.4677763</v>
      </c>
      <c r="G212" s="395">
        <f t="shared" si="15"/>
        <v>2577555539.52</v>
      </c>
      <c r="H212" s="395">
        <f t="shared" si="15"/>
        <v>570408360.21000004</v>
      </c>
    </row>
    <row r="213" spans="1:10" x14ac:dyDescent="0.3">
      <c r="A213" s="392"/>
      <c r="B213" s="398"/>
      <c r="C213" s="323"/>
      <c r="D213" s="323"/>
      <c r="E213" s="399"/>
      <c r="F213" s="323"/>
      <c r="G213" s="323"/>
      <c r="H213" s="323"/>
    </row>
    <row r="214" spans="1:10" x14ac:dyDescent="0.3">
      <c r="A214" s="392"/>
      <c r="B214" s="393" t="s">
        <v>380</v>
      </c>
      <c r="C214" s="395"/>
      <c r="D214" s="395"/>
      <c r="E214" s="397"/>
      <c r="F214" s="395"/>
      <c r="G214" s="395"/>
      <c r="H214" s="323"/>
    </row>
    <row r="215" spans="1:10" x14ac:dyDescent="0.3">
      <c r="A215" s="392"/>
      <c r="B215" s="373" t="s">
        <v>381</v>
      </c>
      <c r="C215" s="375">
        <f>D217*-1</f>
        <v>1100748</v>
      </c>
      <c r="D215" s="375">
        <v>0</v>
      </c>
      <c r="E215" s="397"/>
      <c r="F215" s="395"/>
      <c r="G215" s="395"/>
      <c r="H215" s="323"/>
    </row>
    <row r="216" spans="1:10" x14ac:dyDescent="0.3">
      <c r="A216" s="392"/>
      <c r="B216" s="373" t="s">
        <v>377</v>
      </c>
      <c r="C216" s="375">
        <f>'[8]IRM Purchase'!G8</f>
        <v>382450</v>
      </c>
      <c r="D216" s="375">
        <v>4010257</v>
      </c>
      <c r="E216" s="397"/>
      <c r="F216" s="395"/>
      <c r="G216" s="395"/>
      <c r="H216" s="323"/>
    </row>
    <row r="217" spans="1:10" x14ac:dyDescent="0.3">
      <c r="A217" s="392"/>
      <c r="B217" s="373" t="s">
        <v>382</v>
      </c>
      <c r="C217" s="375">
        <f>-'[8]FG Stock 31 Dec''21'!L12</f>
        <v>-1150738.5199999998</v>
      </c>
      <c r="D217" s="375">
        <v>-1100748</v>
      </c>
      <c r="E217" s="397"/>
      <c r="F217" s="395"/>
      <c r="G217" s="395"/>
      <c r="H217" s="323"/>
    </row>
    <row r="218" spans="1:10" x14ac:dyDescent="0.3">
      <c r="A218" s="392"/>
      <c r="B218" s="393" t="s">
        <v>383</v>
      </c>
      <c r="C218" s="394">
        <f>C215+C216+C217</f>
        <v>332459.48000000021</v>
      </c>
      <c r="D218" s="395">
        <f>D216+D217</f>
        <v>2909509</v>
      </c>
      <c r="E218" s="397"/>
      <c r="F218" s="395"/>
      <c r="G218" s="395"/>
      <c r="H218" s="323"/>
    </row>
    <row r="219" spans="1:10" x14ac:dyDescent="0.3">
      <c r="A219" s="392"/>
      <c r="B219" s="398"/>
      <c r="C219" s="323"/>
      <c r="D219" s="323"/>
      <c r="E219" s="399"/>
      <c r="F219" s="323"/>
      <c r="G219" s="323"/>
      <c r="H219" s="323"/>
    </row>
    <row r="220" spans="1:10" x14ac:dyDescent="0.3">
      <c r="A220" s="392"/>
      <c r="B220" s="313" t="s">
        <v>384</v>
      </c>
      <c r="C220" s="313"/>
      <c r="D220" s="323"/>
      <c r="E220" s="399"/>
      <c r="F220" s="323"/>
      <c r="G220" s="323"/>
      <c r="H220" s="323"/>
    </row>
    <row r="221" spans="1:10" x14ac:dyDescent="0.3">
      <c r="A221" s="392"/>
      <c r="B221" s="400" t="s">
        <v>385</v>
      </c>
      <c r="C221" s="401">
        <v>458089</v>
      </c>
      <c r="D221" s="402">
        <v>820164</v>
      </c>
      <c r="E221" s="399"/>
      <c r="F221" s="323"/>
      <c r="G221" s="323"/>
      <c r="H221" s="323"/>
      <c r="J221" s="196">
        <f>C221/6</f>
        <v>76348.166666666672</v>
      </c>
    </row>
    <row r="222" spans="1:10" x14ac:dyDescent="0.3">
      <c r="A222" s="392"/>
      <c r="B222" s="400" t="s">
        <v>58</v>
      </c>
      <c r="C222" s="401">
        <v>11520</v>
      </c>
      <c r="D222" s="402">
        <v>43630</v>
      </c>
      <c r="E222" s="399"/>
      <c r="F222" s="323"/>
      <c r="G222" s="323"/>
      <c r="H222" s="323"/>
      <c r="J222" s="196">
        <f t="shared" ref="J222:J274" si="16">C222/6</f>
        <v>1920</v>
      </c>
    </row>
    <row r="223" spans="1:10" x14ac:dyDescent="0.3">
      <c r="A223" s="392"/>
      <c r="B223" s="400" t="s">
        <v>52</v>
      </c>
      <c r="C223" s="401">
        <v>15342</v>
      </c>
      <c r="D223" s="402">
        <v>17634.68</v>
      </c>
      <c r="E223" s="399"/>
      <c r="F223" s="323"/>
      <c r="G223" s="323"/>
      <c r="H223" s="323"/>
      <c r="J223" s="196">
        <f t="shared" si="16"/>
        <v>2557</v>
      </c>
    </row>
    <row r="224" spans="1:10" x14ac:dyDescent="0.3">
      <c r="A224" s="392"/>
      <c r="B224" s="400" t="s">
        <v>386</v>
      </c>
      <c r="C224" s="401">
        <v>22964</v>
      </c>
      <c r="D224" s="402">
        <v>60504</v>
      </c>
      <c r="E224" s="399"/>
      <c r="F224" s="323"/>
      <c r="G224" s="323"/>
      <c r="H224" s="323"/>
      <c r="J224" s="196">
        <f t="shared" si="16"/>
        <v>3827.3333333333335</v>
      </c>
    </row>
    <row r="225" spans="1:12" x14ac:dyDescent="0.3">
      <c r="A225" s="392"/>
      <c r="B225" s="400" t="s">
        <v>387</v>
      </c>
      <c r="C225" s="401">
        <v>642982</v>
      </c>
      <c r="D225" s="402">
        <v>4164118</v>
      </c>
      <c r="E225" s="399"/>
      <c r="F225" s="323"/>
      <c r="G225" s="323"/>
      <c r="H225" s="323"/>
      <c r="J225" s="196">
        <f t="shared" si="16"/>
        <v>107163.66666666667</v>
      </c>
    </row>
    <row r="226" spans="1:12" x14ac:dyDescent="0.3">
      <c r="A226" s="392"/>
      <c r="B226" s="400" t="s">
        <v>54</v>
      </c>
      <c r="C226" s="401">
        <v>284170</v>
      </c>
      <c r="D226" s="402">
        <v>1068710</v>
      </c>
      <c r="E226" s="399"/>
      <c r="F226" s="323"/>
      <c r="G226" s="323"/>
      <c r="H226" s="323"/>
      <c r="J226" s="196">
        <f t="shared" si="16"/>
        <v>47361.666666666664</v>
      </c>
    </row>
    <row r="227" spans="1:12" x14ac:dyDescent="0.3">
      <c r="A227" s="392"/>
      <c r="B227" s="400" t="s">
        <v>61</v>
      </c>
      <c r="C227" s="401">
        <v>4202</v>
      </c>
      <c r="D227" s="402">
        <v>7191.0400000000009</v>
      </c>
      <c r="E227" s="399"/>
      <c r="F227" s="323"/>
      <c r="G227" s="323"/>
      <c r="H227" s="323"/>
      <c r="J227" s="196">
        <f t="shared" si="16"/>
        <v>700.33333333333337</v>
      </c>
    </row>
    <row r="228" spans="1:12" x14ac:dyDescent="0.3">
      <c r="A228" s="392"/>
      <c r="B228" s="400" t="s">
        <v>84</v>
      </c>
      <c r="C228" s="401">
        <v>3590</v>
      </c>
      <c r="D228" s="402">
        <v>10965</v>
      </c>
      <c r="E228" s="399"/>
      <c r="F228" s="323"/>
      <c r="G228" s="323"/>
      <c r="H228" s="323"/>
      <c r="J228" s="196">
        <f t="shared" si="16"/>
        <v>598.33333333333337</v>
      </c>
    </row>
    <row r="229" spans="1:12" x14ac:dyDescent="0.3">
      <c r="A229" s="392"/>
      <c r="B229" s="400" t="s">
        <v>388</v>
      </c>
      <c r="C229" s="401">
        <v>144000</v>
      </c>
      <c r="D229" s="402">
        <v>300000</v>
      </c>
      <c r="E229" s="399"/>
      <c r="F229" s="323"/>
      <c r="G229" s="323"/>
      <c r="H229" s="323"/>
      <c r="J229" s="196">
        <f t="shared" si="16"/>
        <v>24000</v>
      </c>
    </row>
    <row r="230" spans="1:12" s="431" customFormat="1" x14ac:dyDescent="0.3">
      <c r="A230" s="423"/>
      <c r="B230" s="424" t="s">
        <v>389</v>
      </c>
      <c r="C230" s="425">
        <v>621940</v>
      </c>
      <c r="D230" s="426">
        <v>2249340</v>
      </c>
      <c r="E230" s="427"/>
      <c r="F230" s="428"/>
      <c r="G230" s="428"/>
      <c r="H230" s="428"/>
      <c r="I230" s="429"/>
      <c r="J230" s="430">
        <f>C230/6*0</f>
        <v>0</v>
      </c>
      <c r="L230" s="196">
        <v>103656.66666666667</v>
      </c>
    </row>
    <row r="231" spans="1:12" x14ac:dyDescent="0.3">
      <c r="A231" s="392"/>
      <c r="B231" s="400" t="s">
        <v>390</v>
      </c>
      <c r="C231" s="401">
        <v>360640</v>
      </c>
      <c r="D231" s="402">
        <v>469980</v>
      </c>
      <c r="E231" s="399"/>
      <c r="F231" s="323"/>
      <c r="G231" s="323"/>
      <c r="H231" s="323"/>
      <c r="J231" s="196">
        <f t="shared" si="16"/>
        <v>60106.666666666664</v>
      </c>
    </row>
    <row r="232" spans="1:12" x14ac:dyDescent="0.3">
      <c r="A232" s="392"/>
      <c r="B232" s="400" t="s">
        <v>49</v>
      </c>
      <c r="C232" s="401">
        <v>176130</v>
      </c>
      <c r="D232" s="402">
        <v>365555.5</v>
      </c>
      <c r="E232" s="399"/>
      <c r="F232" s="323"/>
      <c r="G232" s="323"/>
      <c r="H232" s="323"/>
      <c r="J232" s="196">
        <f t="shared" si="16"/>
        <v>29355</v>
      </c>
    </row>
    <row r="233" spans="1:12" x14ac:dyDescent="0.3">
      <c r="A233" s="392"/>
      <c r="B233" s="400" t="s">
        <v>391</v>
      </c>
      <c r="C233" s="401">
        <v>950458</v>
      </c>
      <c r="D233" s="402">
        <v>491769</v>
      </c>
      <c r="E233" s="399"/>
      <c r="F233" s="323"/>
      <c r="G233" s="323"/>
      <c r="H233" s="323"/>
      <c r="J233" s="196">
        <f t="shared" si="16"/>
        <v>158409.66666666666</v>
      </c>
    </row>
    <row r="234" spans="1:12" x14ac:dyDescent="0.3">
      <c r="A234" s="392"/>
      <c r="B234" s="400" t="s">
        <v>70</v>
      </c>
      <c r="C234" s="401">
        <v>79472</v>
      </c>
      <c r="D234" s="402">
        <v>46270</v>
      </c>
      <c r="E234" s="399"/>
      <c r="F234" s="323"/>
      <c r="G234" s="323"/>
      <c r="H234" s="323"/>
      <c r="J234" s="196">
        <f t="shared" si="16"/>
        <v>13245.333333333334</v>
      </c>
    </row>
    <row r="235" spans="1:12" x14ac:dyDescent="0.3">
      <c r="A235" s="392"/>
      <c r="B235" s="400" t="s">
        <v>392</v>
      </c>
      <c r="C235" s="401">
        <v>3500</v>
      </c>
      <c r="D235" s="402">
        <v>8500</v>
      </c>
      <c r="E235" s="399"/>
      <c r="F235" s="323"/>
      <c r="G235" s="323"/>
      <c r="H235" s="323"/>
      <c r="J235" s="196">
        <f t="shared" si="16"/>
        <v>583.33333333333337</v>
      </c>
    </row>
    <row r="236" spans="1:12" x14ac:dyDescent="0.3">
      <c r="A236" s="392"/>
      <c r="B236" s="400" t="s">
        <v>59</v>
      </c>
      <c r="C236" s="401">
        <v>500</v>
      </c>
      <c r="D236" s="402">
        <v>8700</v>
      </c>
      <c r="E236" s="399"/>
      <c r="F236" s="323"/>
      <c r="G236" s="323"/>
      <c r="H236" s="323"/>
      <c r="J236" s="196">
        <f t="shared" si="16"/>
        <v>83.333333333333329</v>
      </c>
    </row>
    <row r="237" spans="1:12" x14ac:dyDescent="0.3">
      <c r="A237" s="392"/>
      <c r="B237" s="400" t="s">
        <v>393</v>
      </c>
      <c r="C237" s="401">
        <v>19800</v>
      </c>
      <c r="D237" s="402">
        <v>3290</v>
      </c>
      <c r="E237" s="399"/>
      <c r="F237" s="323"/>
      <c r="G237" s="323"/>
      <c r="H237" s="323"/>
      <c r="J237" s="196">
        <f t="shared" si="16"/>
        <v>3300</v>
      </c>
    </row>
    <row r="238" spans="1:12" x14ac:dyDescent="0.3">
      <c r="A238" s="392"/>
      <c r="B238" s="400" t="s">
        <v>57</v>
      </c>
      <c r="C238" s="401">
        <v>204442</v>
      </c>
      <c r="D238" s="402">
        <v>203481</v>
      </c>
      <c r="E238" s="399"/>
      <c r="F238" s="323"/>
      <c r="G238" s="323"/>
      <c r="H238" s="323"/>
      <c r="J238" s="196">
        <f t="shared" si="16"/>
        <v>34073.666666666664</v>
      </c>
    </row>
    <row r="239" spans="1:12" x14ac:dyDescent="0.3">
      <c r="A239" s="392"/>
      <c r="B239" s="403" t="s">
        <v>394</v>
      </c>
      <c r="C239" s="404">
        <v>2415721</v>
      </c>
      <c r="D239" s="402">
        <v>5596005.5</v>
      </c>
      <c r="E239" s="399"/>
      <c r="F239" s="323"/>
      <c r="G239" s="323"/>
      <c r="H239" s="323"/>
      <c r="J239" s="196">
        <f t="shared" si="16"/>
        <v>402620.16666666669</v>
      </c>
    </row>
    <row r="240" spans="1:12" x14ac:dyDescent="0.3">
      <c r="A240" s="392"/>
      <c r="B240" s="403" t="s">
        <v>395</v>
      </c>
      <c r="C240" s="404">
        <f>190200+193787</f>
        <v>383987</v>
      </c>
      <c r="D240" s="402">
        <v>768256.71</v>
      </c>
      <c r="E240" s="399"/>
      <c r="F240" s="323"/>
      <c r="G240" s="323"/>
      <c r="H240" s="323"/>
      <c r="J240" s="196">
        <f t="shared" si="16"/>
        <v>63997.833333333336</v>
      </c>
    </row>
    <row r="241" spans="1:10" x14ac:dyDescent="0.3">
      <c r="A241" s="392"/>
      <c r="B241" s="400" t="s">
        <v>396</v>
      </c>
      <c r="C241" s="401">
        <v>10635</v>
      </c>
      <c r="D241" s="402">
        <v>10840</v>
      </c>
      <c r="E241" s="399"/>
      <c r="F241" s="323"/>
      <c r="G241" s="323"/>
      <c r="H241" s="323"/>
      <c r="J241" s="196">
        <f t="shared" si="16"/>
        <v>1772.5</v>
      </c>
    </row>
    <row r="242" spans="1:10" x14ac:dyDescent="0.3">
      <c r="A242" s="392"/>
      <c r="B242" s="403" t="s">
        <v>48</v>
      </c>
      <c r="C242" s="404">
        <v>263234</v>
      </c>
      <c r="D242" s="402">
        <v>711938</v>
      </c>
      <c r="E242" s="399"/>
      <c r="F242" s="323"/>
      <c r="G242" s="323"/>
      <c r="H242" s="323"/>
      <c r="J242" s="196">
        <f t="shared" si="16"/>
        <v>43872.333333333336</v>
      </c>
    </row>
    <row r="243" spans="1:10" s="431" customFormat="1" x14ac:dyDescent="0.3">
      <c r="A243" s="423"/>
      <c r="B243" s="432" t="s">
        <v>397</v>
      </c>
      <c r="C243" s="433">
        <v>1109368</v>
      </c>
      <c r="D243" s="426">
        <v>6260496.1600000001</v>
      </c>
      <c r="E243" s="427"/>
      <c r="F243" s="428"/>
      <c r="G243" s="428"/>
      <c r="H243" s="428"/>
      <c r="I243" s="429"/>
      <c r="J243" s="430">
        <f t="shared" si="16"/>
        <v>184894.66666666666</v>
      </c>
    </row>
    <row r="244" spans="1:10" x14ac:dyDescent="0.3">
      <c r="A244" s="392"/>
      <c r="B244" s="403" t="s">
        <v>398</v>
      </c>
      <c r="C244" s="404">
        <v>4994565</v>
      </c>
      <c r="D244" s="402">
        <v>10484830</v>
      </c>
      <c r="E244" s="399"/>
      <c r="F244" s="323"/>
      <c r="G244" s="323"/>
      <c r="H244" s="323"/>
      <c r="J244" s="196">
        <f>C244/12</f>
        <v>416213.75</v>
      </c>
    </row>
    <row r="245" spans="1:10" x14ac:dyDescent="0.3">
      <c r="A245" s="392"/>
      <c r="B245" s="403" t="s">
        <v>56</v>
      </c>
      <c r="C245" s="404">
        <v>63825</v>
      </c>
      <c r="D245" s="402">
        <v>142083</v>
      </c>
      <c r="E245" s="399"/>
      <c r="F245" s="323"/>
      <c r="G245" s="323"/>
      <c r="H245" s="323"/>
      <c r="J245" s="196">
        <f t="shared" si="16"/>
        <v>10637.5</v>
      </c>
    </row>
    <row r="246" spans="1:10" x14ac:dyDescent="0.3">
      <c r="A246" s="392"/>
      <c r="B246" s="403" t="s">
        <v>399</v>
      </c>
      <c r="C246" s="404">
        <v>2729706</v>
      </c>
      <c r="D246" s="402">
        <v>11256228</v>
      </c>
      <c r="E246" s="399"/>
      <c r="F246" s="323"/>
      <c r="G246" s="323"/>
      <c r="H246" s="323"/>
      <c r="J246" s="196">
        <f t="shared" si="16"/>
        <v>454951</v>
      </c>
    </row>
    <row r="247" spans="1:10" x14ac:dyDescent="0.3">
      <c r="A247" s="392"/>
      <c r="B247" s="403" t="s">
        <v>45</v>
      </c>
      <c r="C247" s="404">
        <f>354560+6634</f>
        <v>361194</v>
      </c>
      <c r="D247" s="402">
        <v>382172</v>
      </c>
      <c r="E247" s="399"/>
      <c r="F247" s="323"/>
      <c r="G247" s="323"/>
      <c r="H247" s="323"/>
      <c r="J247" s="196">
        <f t="shared" si="16"/>
        <v>60199</v>
      </c>
    </row>
    <row r="248" spans="1:10" x14ac:dyDescent="0.3">
      <c r="A248" s="392"/>
      <c r="B248" s="403" t="s">
        <v>50</v>
      </c>
      <c r="C248" s="404">
        <f>122252+313</f>
        <v>122565</v>
      </c>
      <c r="D248" s="402">
        <v>143596.95999999996</v>
      </c>
      <c r="E248" s="399"/>
      <c r="F248" s="323"/>
      <c r="G248" s="323"/>
      <c r="H248" s="323"/>
      <c r="J248" s="196">
        <f t="shared" si="16"/>
        <v>20427.5</v>
      </c>
    </row>
    <row r="249" spans="1:10" x14ac:dyDescent="0.3">
      <c r="A249" s="392"/>
      <c r="B249" s="403" t="s">
        <v>400</v>
      </c>
      <c r="C249" s="404">
        <v>559</v>
      </c>
      <c r="D249" s="402">
        <v>1834</v>
      </c>
      <c r="E249" s="399"/>
      <c r="F249" s="323"/>
      <c r="G249" s="323"/>
      <c r="H249" s="323"/>
      <c r="J249" s="196">
        <f t="shared" si="16"/>
        <v>93.166666666666671</v>
      </c>
    </row>
    <row r="250" spans="1:10" x14ac:dyDescent="0.3">
      <c r="A250" s="392"/>
      <c r="B250" s="403" t="s">
        <v>43</v>
      </c>
      <c r="C250" s="404">
        <v>838398</v>
      </c>
      <c r="D250" s="402">
        <v>8258452.72999998</v>
      </c>
      <c r="E250" s="399"/>
      <c r="F250" s="323"/>
      <c r="G250" s="323"/>
      <c r="H250" s="323"/>
      <c r="J250" s="196">
        <f t="shared" si="16"/>
        <v>139733</v>
      </c>
    </row>
    <row r="251" spans="1:10" x14ac:dyDescent="0.3">
      <c r="A251" s="392"/>
      <c r="B251" s="405" t="s">
        <v>401</v>
      </c>
      <c r="C251" s="406">
        <v>11513099</v>
      </c>
      <c r="D251" s="402">
        <v>21799014</v>
      </c>
      <c r="E251" s="399"/>
      <c r="F251" s="323"/>
      <c r="G251" s="323"/>
      <c r="H251" s="323"/>
      <c r="J251" s="196">
        <f t="shared" si="16"/>
        <v>1918849.8333333333</v>
      </c>
    </row>
    <row r="252" spans="1:10" x14ac:dyDescent="0.3">
      <c r="A252" s="392"/>
      <c r="B252" s="405" t="s">
        <v>46</v>
      </c>
      <c r="C252" s="406">
        <v>1087420</v>
      </c>
      <c r="D252" s="402">
        <v>1571821</v>
      </c>
      <c r="E252" s="399"/>
      <c r="F252" s="323"/>
      <c r="G252" s="323"/>
      <c r="H252" s="323"/>
      <c r="J252" s="196">
        <f t="shared" si="16"/>
        <v>181236.66666666666</v>
      </c>
    </row>
    <row r="253" spans="1:10" x14ac:dyDescent="0.3">
      <c r="A253" s="392"/>
      <c r="B253" s="405" t="s">
        <v>75</v>
      </c>
      <c r="C253" s="406">
        <v>179128</v>
      </c>
      <c r="D253" s="402">
        <v>255830</v>
      </c>
      <c r="E253" s="399"/>
      <c r="F253" s="323"/>
      <c r="G253" s="323"/>
      <c r="H253" s="323"/>
      <c r="J253" s="196">
        <f t="shared" si="16"/>
        <v>29854.666666666668</v>
      </c>
    </row>
    <row r="254" spans="1:10" x14ac:dyDescent="0.3">
      <c r="A254" s="392"/>
      <c r="B254" s="400" t="s">
        <v>402</v>
      </c>
      <c r="C254" s="401">
        <v>318842</v>
      </c>
      <c r="D254" s="402">
        <v>690450</v>
      </c>
      <c r="E254" s="399"/>
      <c r="F254" s="323"/>
      <c r="G254" s="323"/>
      <c r="H254" s="323"/>
      <c r="J254" s="196">
        <f t="shared" si="16"/>
        <v>53140.333333333336</v>
      </c>
    </row>
    <row r="255" spans="1:10" x14ac:dyDescent="0.3">
      <c r="A255" s="392"/>
      <c r="B255" s="403" t="s">
        <v>403</v>
      </c>
      <c r="C255" s="404">
        <v>3787643</v>
      </c>
      <c r="D255" s="402">
        <v>7626328</v>
      </c>
      <c r="E255" s="399"/>
      <c r="F255" s="323"/>
      <c r="G255" s="323"/>
      <c r="H255" s="323"/>
      <c r="J255" s="196">
        <f t="shared" si="16"/>
        <v>631273.83333333337</v>
      </c>
    </row>
    <row r="256" spans="1:10" x14ac:dyDescent="0.3">
      <c r="A256" s="392"/>
      <c r="B256" s="405" t="s">
        <v>404</v>
      </c>
      <c r="C256" s="406">
        <v>77868</v>
      </c>
      <c r="D256" s="402">
        <v>154044</v>
      </c>
      <c r="E256" s="399"/>
      <c r="F256" s="323"/>
      <c r="G256" s="323"/>
      <c r="H256" s="323"/>
      <c r="J256" s="196">
        <f t="shared" si="16"/>
        <v>12978</v>
      </c>
    </row>
    <row r="257" spans="1:16" x14ac:dyDescent="0.3">
      <c r="A257" s="392"/>
      <c r="B257" s="403" t="s">
        <v>405</v>
      </c>
      <c r="C257" s="404">
        <v>1500</v>
      </c>
      <c r="D257" s="402">
        <v>10230</v>
      </c>
      <c r="E257" s="399"/>
      <c r="F257" s="323"/>
      <c r="G257" s="323"/>
      <c r="H257" s="323"/>
      <c r="J257" s="196">
        <f t="shared" si="16"/>
        <v>250</v>
      </c>
    </row>
    <row r="258" spans="1:16" ht="15" thickBot="1" x14ac:dyDescent="0.35">
      <c r="A258" s="392"/>
      <c r="B258" s="398"/>
      <c r="C258" s="328">
        <f>SUM(C221:C257)</f>
        <v>34262998</v>
      </c>
      <c r="D258" s="328">
        <f t="shared" ref="D258:J258" si="17">SUM(D221:D257)</f>
        <v>86464252.279999986</v>
      </c>
      <c r="E258" s="328">
        <f t="shared" si="17"/>
        <v>0</v>
      </c>
      <c r="F258" s="328">
        <f t="shared" si="17"/>
        <v>0</v>
      </c>
      <c r="G258" s="328">
        <f t="shared" si="17"/>
        <v>0</v>
      </c>
      <c r="H258" s="328">
        <f t="shared" si="17"/>
        <v>0</v>
      </c>
      <c r="I258" s="328">
        <f t="shared" si="17"/>
        <v>0</v>
      </c>
      <c r="J258" s="328">
        <f t="shared" si="17"/>
        <v>5190629.25</v>
      </c>
      <c r="L258" s="133">
        <f>J258+J292+J305+J316+J335</f>
        <v>10450053.666666666</v>
      </c>
      <c r="O258" s="123" t="s">
        <v>451</v>
      </c>
      <c r="P258" s="133">
        <f>J251+J252+J253+J284+J287+J286+J300+J314+J315+J319+J330+J327</f>
        <v>5038069.0000000009</v>
      </c>
    </row>
    <row r="259" spans="1:16" ht="15" thickTop="1" x14ac:dyDescent="0.3">
      <c r="A259" s="309">
        <f>A198+1</f>
        <v>21</v>
      </c>
      <c r="B259" s="313" t="s">
        <v>65</v>
      </c>
      <c r="C259" s="313"/>
      <c r="D259" s="313"/>
      <c r="E259" s="313"/>
      <c r="F259" s="314"/>
      <c r="G259" s="313"/>
    </row>
    <row r="260" spans="1:16" x14ac:dyDescent="0.3">
      <c r="B260" s="311" t="s">
        <v>82</v>
      </c>
      <c r="C260" s="318">
        <v>57500</v>
      </c>
      <c r="D260" s="318">
        <v>126500</v>
      </c>
      <c r="E260" s="407"/>
      <c r="F260" s="407">
        <v>57500</v>
      </c>
      <c r="G260" s="407">
        <v>154000</v>
      </c>
      <c r="H260" s="318">
        <v>31250</v>
      </c>
      <c r="I260" s="318">
        <v>57500</v>
      </c>
      <c r="J260" s="196">
        <f t="shared" si="16"/>
        <v>9583.3333333333339</v>
      </c>
    </row>
    <row r="261" spans="1:16" x14ac:dyDescent="0.3">
      <c r="B261" s="408" t="s">
        <v>406</v>
      </c>
      <c r="C261" s="409">
        <v>15000</v>
      </c>
      <c r="D261" s="318">
        <v>940654</v>
      </c>
      <c r="E261" s="407"/>
      <c r="F261" s="407">
        <v>1015849</v>
      </c>
      <c r="G261" s="407">
        <v>2354881</v>
      </c>
      <c r="H261" s="318">
        <v>911836</v>
      </c>
      <c r="I261" s="318">
        <v>1015849</v>
      </c>
      <c r="J261" s="196">
        <f t="shared" si="16"/>
        <v>2500</v>
      </c>
    </row>
    <row r="262" spans="1:16" x14ac:dyDescent="0.3">
      <c r="B262" s="408" t="s">
        <v>52</v>
      </c>
      <c r="C262" s="409">
        <v>141260</v>
      </c>
      <c r="D262" s="318">
        <v>350244</v>
      </c>
      <c r="E262" s="407">
        <v>113580</v>
      </c>
      <c r="F262" s="407">
        <v>196890</v>
      </c>
      <c r="G262" s="407">
        <v>432495</v>
      </c>
      <c r="H262" s="318">
        <v>434358</v>
      </c>
      <c r="I262" s="318">
        <v>460212</v>
      </c>
      <c r="J262" s="196">
        <f t="shared" si="16"/>
        <v>23543.333333333332</v>
      </c>
    </row>
    <row r="263" spans="1:16" x14ac:dyDescent="0.3">
      <c r="B263" s="408" t="s">
        <v>78</v>
      </c>
      <c r="C263" s="409">
        <v>1000</v>
      </c>
      <c r="D263" s="318">
        <v>31500</v>
      </c>
      <c r="E263" s="407">
        <v>147405</v>
      </c>
      <c r="F263" s="407">
        <v>318015</v>
      </c>
      <c r="G263" s="407">
        <v>180893</v>
      </c>
      <c r="H263" s="318">
        <v>133805</v>
      </c>
      <c r="I263" s="318">
        <v>428330</v>
      </c>
      <c r="J263" s="196">
        <f t="shared" si="16"/>
        <v>166.66666666666666</v>
      </c>
    </row>
    <row r="264" spans="1:16" x14ac:dyDescent="0.3">
      <c r="B264" s="408" t="s">
        <v>79</v>
      </c>
      <c r="C264" s="409">
        <v>23065</v>
      </c>
      <c r="D264" s="318">
        <v>138182</v>
      </c>
      <c r="E264" s="407">
        <v>21292.5</v>
      </c>
      <c r="F264" s="407">
        <v>123664</v>
      </c>
      <c r="G264" s="407">
        <v>218822</v>
      </c>
      <c r="H264" s="318">
        <v>216821</v>
      </c>
      <c r="I264" s="318">
        <v>176559</v>
      </c>
      <c r="J264" s="196">
        <f t="shared" si="16"/>
        <v>3844.1666666666665</v>
      </c>
    </row>
    <row r="265" spans="1:16" x14ac:dyDescent="0.3">
      <c r="B265" s="408" t="s">
        <v>72</v>
      </c>
      <c r="C265" s="409">
        <f>47516+5040</f>
        <v>52556</v>
      </c>
      <c r="D265" s="410">
        <v>176687.64</v>
      </c>
      <c r="E265" s="407">
        <v>4924.5</v>
      </c>
      <c r="F265" s="407">
        <v>753976</v>
      </c>
      <c r="G265" s="407">
        <f>1050651+49967</f>
        <v>1100618</v>
      </c>
      <c r="H265" s="318">
        <f>1171595+79380+207386+397624</f>
        <v>1855985</v>
      </c>
      <c r="I265" s="411">
        <v>922704</v>
      </c>
      <c r="J265" s="196">
        <f t="shared" si="16"/>
        <v>8759.3333333333339</v>
      </c>
    </row>
    <row r="266" spans="1:16" x14ac:dyDescent="0.3">
      <c r="B266" s="408" t="s">
        <v>60</v>
      </c>
      <c r="C266" s="409">
        <v>165248</v>
      </c>
      <c r="D266" s="318">
        <v>19000</v>
      </c>
      <c r="E266" s="407">
        <v>463180.5</v>
      </c>
      <c r="F266" s="407">
        <v>2997492</v>
      </c>
      <c r="G266" s="407">
        <v>2956848</v>
      </c>
      <c r="H266" s="318">
        <v>0</v>
      </c>
      <c r="I266" s="318">
        <v>3927688</v>
      </c>
      <c r="J266" s="196">
        <f t="shared" si="16"/>
        <v>27541.333333333332</v>
      </c>
    </row>
    <row r="267" spans="1:16" x14ac:dyDescent="0.3">
      <c r="B267" s="408" t="s">
        <v>77</v>
      </c>
      <c r="C267" s="409">
        <v>117789</v>
      </c>
      <c r="D267" s="318">
        <v>264897</v>
      </c>
      <c r="E267" s="407">
        <v>125875.5</v>
      </c>
      <c r="F267" s="407">
        <v>251489</v>
      </c>
      <c r="G267" s="407">
        <v>629838</v>
      </c>
      <c r="H267" s="318">
        <v>485938</v>
      </c>
      <c r="I267" s="318">
        <v>429817</v>
      </c>
      <c r="J267" s="196">
        <f t="shared" si="16"/>
        <v>19631.5</v>
      </c>
    </row>
    <row r="268" spans="1:16" x14ac:dyDescent="0.3">
      <c r="B268" s="408" t="s">
        <v>81</v>
      </c>
      <c r="C268" s="409">
        <v>5670</v>
      </c>
      <c r="D268" s="410">
        <v>153043.45000000001</v>
      </c>
      <c r="E268" s="407">
        <v>22882.5</v>
      </c>
      <c r="F268" s="407">
        <v>106018</v>
      </c>
      <c r="G268" s="407">
        <v>155357</v>
      </c>
      <c r="H268" s="318">
        <v>36115</v>
      </c>
      <c r="I268" s="411">
        <v>148613</v>
      </c>
      <c r="J268" s="196">
        <f t="shared" si="16"/>
        <v>945</v>
      </c>
    </row>
    <row r="269" spans="1:16" x14ac:dyDescent="0.3">
      <c r="B269" s="408" t="s">
        <v>66</v>
      </c>
      <c r="C269" s="409">
        <v>500340</v>
      </c>
      <c r="D269" s="318">
        <v>807608</v>
      </c>
      <c r="E269" s="407">
        <v>503704</v>
      </c>
      <c r="F269" s="407">
        <v>15142190</v>
      </c>
      <c r="G269" s="407">
        <v>21884771.98</v>
      </c>
      <c r="H269" s="318">
        <v>3824029.7</v>
      </c>
      <c r="I269" s="318">
        <v>17684023</v>
      </c>
      <c r="J269" s="196">
        <f t="shared" si="16"/>
        <v>83390</v>
      </c>
    </row>
    <row r="270" spans="1:16" x14ac:dyDescent="0.3">
      <c r="B270" s="408" t="s">
        <v>68</v>
      </c>
      <c r="C270" s="409">
        <f>309925+2172</f>
        <v>312097</v>
      </c>
      <c r="D270" s="318">
        <v>1337910</v>
      </c>
      <c r="E270" s="407">
        <v>574862</v>
      </c>
      <c r="F270" s="407">
        <v>822056</v>
      </c>
      <c r="G270" s="407">
        <v>1544283</v>
      </c>
      <c r="H270" s="318">
        <f>766634+86150</f>
        <v>852784</v>
      </c>
      <c r="I270" s="318">
        <v>1845164</v>
      </c>
      <c r="J270" s="196">
        <f t="shared" si="16"/>
        <v>52016.166666666664</v>
      </c>
    </row>
    <row r="271" spans="1:16" x14ac:dyDescent="0.3">
      <c r="B271" s="408" t="s">
        <v>67</v>
      </c>
      <c r="C271" s="409">
        <v>681202</v>
      </c>
      <c r="D271" s="318">
        <v>2047928</v>
      </c>
      <c r="E271" s="407">
        <v>723123</v>
      </c>
      <c r="F271" s="407">
        <v>1701978</v>
      </c>
      <c r="G271" s="407">
        <v>3410452</v>
      </c>
      <c r="H271" s="318">
        <v>2249768</v>
      </c>
      <c r="I271" s="318">
        <v>2907183</v>
      </c>
      <c r="J271" s="196">
        <f t="shared" si="16"/>
        <v>113533.66666666667</v>
      </c>
    </row>
    <row r="272" spans="1:16" x14ac:dyDescent="0.3">
      <c r="B272" s="408" t="s">
        <v>407</v>
      </c>
      <c r="C272" s="409">
        <v>1065188</v>
      </c>
      <c r="D272" s="318">
        <v>742801</v>
      </c>
      <c r="E272" s="407"/>
      <c r="F272" s="407"/>
      <c r="G272" s="407"/>
      <c r="H272" s="318"/>
      <c r="I272" s="318"/>
      <c r="J272" s="196">
        <f>C272/6*0</f>
        <v>0</v>
      </c>
    </row>
    <row r="273" spans="2:10" x14ac:dyDescent="0.3">
      <c r="B273" s="408" t="s">
        <v>408</v>
      </c>
      <c r="C273" s="409">
        <v>309904</v>
      </c>
      <c r="D273" s="410">
        <v>653012</v>
      </c>
      <c r="E273" s="407"/>
      <c r="F273" s="407"/>
      <c r="G273" s="407"/>
      <c r="H273" s="318"/>
      <c r="I273" s="411"/>
      <c r="J273" s="196">
        <f t="shared" si="16"/>
        <v>51650.666666666664</v>
      </c>
    </row>
    <row r="274" spans="2:10" x14ac:dyDescent="0.3">
      <c r="B274" s="408" t="s">
        <v>44</v>
      </c>
      <c r="C274" s="409">
        <v>41780</v>
      </c>
      <c r="D274" s="410">
        <v>66290</v>
      </c>
      <c r="E274" s="407"/>
      <c r="F274" s="407"/>
      <c r="G274" s="407"/>
      <c r="H274" s="318"/>
      <c r="I274" s="411"/>
      <c r="J274" s="196">
        <f t="shared" si="16"/>
        <v>6963.333333333333</v>
      </c>
    </row>
    <row r="275" spans="2:10" x14ac:dyDescent="0.3">
      <c r="B275" s="408" t="s">
        <v>42</v>
      </c>
      <c r="C275" s="409">
        <v>124239</v>
      </c>
      <c r="D275" s="410">
        <v>1371941</v>
      </c>
      <c r="E275" s="407"/>
      <c r="F275" s="407"/>
      <c r="G275" s="407"/>
      <c r="H275" s="318"/>
      <c r="I275" s="411"/>
      <c r="J275" s="196">
        <f t="shared" ref="J275:J313" si="18">C275/6</f>
        <v>20706.5</v>
      </c>
    </row>
    <row r="276" spans="2:10" x14ac:dyDescent="0.3">
      <c r="B276" s="408" t="s">
        <v>409</v>
      </c>
      <c r="C276" s="409">
        <v>20000</v>
      </c>
      <c r="D276" s="410">
        <v>12236</v>
      </c>
      <c r="E276" s="407"/>
      <c r="F276" s="407"/>
      <c r="G276" s="407"/>
      <c r="H276" s="318"/>
      <c r="I276" s="411"/>
      <c r="J276" s="196">
        <f t="shared" si="18"/>
        <v>3333.3333333333335</v>
      </c>
    </row>
    <row r="277" spans="2:10" x14ac:dyDescent="0.3">
      <c r="B277" s="408" t="s">
        <v>410</v>
      </c>
      <c r="C277" s="409">
        <v>245206</v>
      </c>
      <c r="D277" s="410">
        <v>385223</v>
      </c>
      <c r="E277" s="407"/>
      <c r="F277" s="407"/>
      <c r="G277" s="407"/>
      <c r="H277" s="318"/>
      <c r="I277" s="411"/>
      <c r="J277" s="196">
        <f>C277/12</f>
        <v>20433.833333333332</v>
      </c>
    </row>
    <row r="278" spans="2:10" x14ac:dyDescent="0.3">
      <c r="B278" s="408" t="s">
        <v>76</v>
      </c>
      <c r="C278" s="409">
        <v>51765</v>
      </c>
      <c r="D278" s="410">
        <v>153585</v>
      </c>
      <c r="E278" s="407">
        <v>131505</v>
      </c>
      <c r="F278" s="407">
        <v>288438</v>
      </c>
      <c r="G278" s="407">
        <v>1138675</v>
      </c>
      <c r="H278" s="318">
        <v>331560</v>
      </c>
      <c r="I278" s="411">
        <v>488138</v>
      </c>
      <c r="J278" s="196">
        <f t="shared" si="18"/>
        <v>8627.5</v>
      </c>
    </row>
    <row r="279" spans="2:10" x14ac:dyDescent="0.3">
      <c r="B279" s="408" t="s">
        <v>80</v>
      </c>
      <c r="C279" s="409">
        <v>2807</v>
      </c>
      <c r="D279" s="318">
        <v>14775</v>
      </c>
      <c r="E279" s="407">
        <v>67830</v>
      </c>
      <c r="F279" s="407">
        <v>56800</v>
      </c>
      <c r="G279" s="407">
        <v>210628</v>
      </c>
      <c r="H279" s="318">
        <v>219430</v>
      </c>
      <c r="I279" s="318">
        <v>105770</v>
      </c>
      <c r="J279" s="196">
        <f t="shared" si="18"/>
        <v>467.83333333333331</v>
      </c>
    </row>
    <row r="280" spans="2:10" x14ac:dyDescent="0.3">
      <c r="B280" s="408" t="s">
        <v>71</v>
      </c>
      <c r="C280" s="409">
        <f>9200+22202+35559</f>
        <v>66961</v>
      </c>
      <c r="D280" s="318">
        <v>638981.98000000091</v>
      </c>
      <c r="E280" s="407">
        <v>201702</v>
      </c>
      <c r="F280" s="407">
        <v>420374</v>
      </c>
      <c r="G280" s="407">
        <v>703274</v>
      </c>
      <c r="H280" s="318">
        <v>1608807</v>
      </c>
      <c r="I280" s="318">
        <v>600464</v>
      </c>
      <c r="J280" s="196">
        <f t="shared" si="18"/>
        <v>11160.166666666666</v>
      </c>
    </row>
    <row r="281" spans="2:10" x14ac:dyDescent="0.3">
      <c r="B281" s="412" t="s">
        <v>69</v>
      </c>
      <c r="C281" s="413">
        <v>668411</v>
      </c>
      <c r="D281" s="410">
        <v>343005</v>
      </c>
      <c r="E281" s="407">
        <v>179083.5</v>
      </c>
      <c r="F281" s="407">
        <v>1089677.5</v>
      </c>
      <c r="G281" s="407">
        <f>539159+40800+125486+92000</f>
        <v>797445</v>
      </c>
      <c r="H281" s="318">
        <v>1834804</v>
      </c>
      <c r="I281" s="411">
        <v>1221803</v>
      </c>
      <c r="J281" s="196">
        <f>C281/12</f>
        <v>55700.916666666664</v>
      </c>
    </row>
    <row r="282" spans="2:10" x14ac:dyDescent="0.3">
      <c r="B282" s="408" t="s">
        <v>411</v>
      </c>
      <c r="C282" s="409">
        <f>2308262+1674+40230</f>
        <v>2350166</v>
      </c>
      <c r="D282" s="318">
        <v>3258310</v>
      </c>
      <c r="E282" s="407">
        <v>116500</v>
      </c>
      <c r="F282" s="407">
        <f>259685+3821115</f>
        <v>4080800</v>
      </c>
      <c r="G282" s="407">
        <v>3618751</v>
      </c>
      <c r="H282" s="318">
        <f>939760+30067</f>
        <v>969827</v>
      </c>
      <c r="I282" s="318">
        <v>4273302</v>
      </c>
      <c r="J282" s="196">
        <f>C282/12</f>
        <v>195847.16666666666</v>
      </c>
    </row>
    <row r="283" spans="2:10" x14ac:dyDescent="0.3">
      <c r="B283" s="408" t="s">
        <v>412</v>
      </c>
      <c r="C283" s="409">
        <v>8802</v>
      </c>
      <c r="D283" s="318"/>
      <c r="E283" s="407"/>
      <c r="F283" s="407"/>
      <c r="G283" s="407"/>
      <c r="H283" s="318"/>
      <c r="I283" s="318"/>
      <c r="J283" s="196">
        <f t="shared" si="18"/>
        <v>1467</v>
      </c>
    </row>
    <row r="284" spans="2:10" x14ac:dyDescent="0.3">
      <c r="B284" s="408" t="s">
        <v>46</v>
      </c>
      <c r="C284" s="409">
        <v>299305</v>
      </c>
      <c r="D284" s="318"/>
      <c r="E284" s="407"/>
      <c r="F284" s="407"/>
      <c r="G284" s="407"/>
      <c r="H284" s="318"/>
      <c r="I284" s="318"/>
      <c r="J284" s="196">
        <f t="shared" si="18"/>
        <v>49884.166666666664</v>
      </c>
    </row>
    <row r="285" spans="2:10" x14ac:dyDescent="0.3">
      <c r="B285" s="408" t="s">
        <v>74</v>
      </c>
      <c r="C285" s="409">
        <f>21025+350000</f>
        <v>371025</v>
      </c>
      <c r="D285" s="318">
        <v>108485</v>
      </c>
      <c r="E285" s="407">
        <f>11700+6630</f>
        <v>18330</v>
      </c>
      <c r="F285" s="407">
        <v>1473133</v>
      </c>
      <c r="G285" s="407">
        <v>898735</v>
      </c>
      <c r="H285" s="318">
        <v>211841</v>
      </c>
      <c r="I285" s="318">
        <v>1517468</v>
      </c>
      <c r="J285" s="196">
        <f t="shared" si="18"/>
        <v>61837.5</v>
      </c>
    </row>
    <row r="286" spans="2:10" x14ac:dyDescent="0.3">
      <c r="B286" s="311" t="s">
        <v>75</v>
      </c>
      <c r="C286" s="318">
        <v>95127</v>
      </c>
      <c r="D286" s="410">
        <v>225438</v>
      </c>
      <c r="E286" s="407">
        <v>164143</v>
      </c>
      <c r="F286" s="407">
        <f>169578+36234+35046</f>
        <v>240858</v>
      </c>
      <c r="G286" s="407">
        <v>1252356</v>
      </c>
      <c r="H286" s="318">
        <v>522101</v>
      </c>
      <c r="I286" s="411">
        <v>367579</v>
      </c>
      <c r="J286" s="196">
        <f t="shared" si="18"/>
        <v>15854.5</v>
      </c>
    </row>
    <row r="287" spans="2:10" x14ac:dyDescent="0.3">
      <c r="B287" s="408" t="s">
        <v>413</v>
      </c>
      <c r="C287" s="409">
        <v>3702272</v>
      </c>
      <c r="D287" s="318">
        <v>9205807</v>
      </c>
      <c r="E287" s="407">
        <f>3253339+(250000*3)</f>
        <v>4003339</v>
      </c>
      <c r="F287" s="407">
        <f>13048591</f>
        <v>13048591</v>
      </c>
      <c r="G287" s="407">
        <v>30136799</v>
      </c>
      <c r="H287" s="318">
        <v>16876206</v>
      </c>
      <c r="I287" s="318">
        <v>26120628</v>
      </c>
      <c r="J287" s="196">
        <f t="shared" si="18"/>
        <v>617045.33333333337</v>
      </c>
    </row>
    <row r="288" spans="2:10" x14ac:dyDescent="0.3">
      <c r="B288" s="408" t="s">
        <v>70</v>
      </c>
      <c r="C288" s="409">
        <v>373967</v>
      </c>
      <c r="D288" s="318">
        <v>2151816</v>
      </c>
      <c r="E288" s="407">
        <v>195453</v>
      </c>
      <c r="F288" s="407">
        <v>418606</v>
      </c>
      <c r="G288" s="407">
        <v>607850</v>
      </c>
      <c r="H288" s="318">
        <f>138930+20900</f>
        <v>159830</v>
      </c>
      <c r="I288" s="318">
        <v>873163</v>
      </c>
      <c r="J288" s="196">
        <f t="shared" si="18"/>
        <v>62327.833333333336</v>
      </c>
    </row>
    <row r="289" spans="1:12" x14ac:dyDescent="0.3">
      <c r="B289" s="408" t="s">
        <v>73</v>
      </c>
      <c r="C289" s="409">
        <v>7417</v>
      </c>
      <c r="D289" s="318">
        <v>879533</v>
      </c>
      <c r="E289" s="407">
        <f>154864.5+44265</f>
        <v>199129.5</v>
      </c>
      <c r="F289" s="407">
        <f>143299+150980+23192</f>
        <v>317471</v>
      </c>
      <c r="G289" s="407">
        <f>1158665+50682+48000</f>
        <v>1257347</v>
      </c>
      <c r="H289" s="318">
        <f>396357+4800</f>
        <v>401157</v>
      </c>
      <c r="I289" s="318">
        <v>371495</v>
      </c>
      <c r="J289" s="196">
        <f t="shared" si="18"/>
        <v>1236.1666666666667</v>
      </c>
    </row>
    <row r="290" spans="1:12" x14ac:dyDescent="0.3">
      <c r="B290" s="414" t="s">
        <v>414</v>
      </c>
      <c r="C290" s="409">
        <v>12018</v>
      </c>
      <c r="D290" s="318">
        <v>2760</v>
      </c>
      <c r="G290" s="312">
        <v>15001</v>
      </c>
      <c r="H290" s="318">
        <v>44447</v>
      </c>
      <c r="J290" s="196">
        <f t="shared" si="18"/>
        <v>2003</v>
      </c>
    </row>
    <row r="291" spans="1:12" x14ac:dyDescent="0.3">
      <c r="B291" s="408" t="s">
        <v>415</v>
      </c>
      <c r="C291" s="415">
        <f>'[8]Annexure-20-21 (July to Dec''21)'!H28</f>
        <v>94652755.867320091</v>
      </c>
      <c r="D291" s="318">
        <v>386583.35999999964</v>
      </c>
      <c r="E291" s="407">
        <v>110370</v>
      </c>
      <c r="F291" s="407">
        <v>104416.71394287245</v>
      </c>
      <c r="G291" s="407">
        <v>193439.18</v>
      </c>
      <c r="H291" s="318">
        <v>0</v>
      </c>
      <c r="I291" s="318">
        <v>0</v>
      </c>
      <c r="J291" s="196">
        <f>C291/6*0</f>
        <v>0</v>
      </c>
      <c r="L291" s="196">
        <v>15775459.311220014</v>
      </c>
    </row>
    <row r="292" spans="1:12" ht="15" thickBot="1" x14ac:dyDescent="0.35">
      <c r="B292" s="313" t="s">
        <v>416</v>
      </c>
      <c r="C292" s="328">
        <f t="shared" ref="C292:J292" si="19">SUM(C260:C291)</f>
        <v>106541842.86732009</v>
      </c>
      <c r="D292" s="328">
        <f t="shared" si="19"/>
        <v>26994736.43</v>
      </c>
      <c r="E292" s="328">
        <f t="shared" si="19"/>
        <v>8088214.5</v>
      </c>
      <c r="F292" s="328">
        <f t="shared" si="19"/>
        <v>45026282.21394287</v>
      </c>
      <c r="G292" s="328">
        <f t="shared" si="19"/>
        <v>75853559.160000011</v>
      </c>
      <c r="H292" s="328">
        <f t="shared" si="19"/>
        <v>34212699.700000003</v>
      </c>
      <c r="I292" s="328">
        <f t="shared" si="19"/>
        <v>65943452</v>
      </c>
      <c r="J292" s="328">
        <f t="shared" si="19"/>
        <v>1532001.25</v>
      </c>
    </row>
    <row r="293" spans="1:12" ht="15" thickTop="1" x14ac:dyDescent="0.3">
      <c r="F293" s="407"/>
      <c r="G293" s="312" t="s">
        <v>142</v>
      </c>
    </row>
    <row r="294" spans="1:12" x14ac:dyDescent="0.3">
      <c r="A294" s="309">
        <f>A259+1</f>
        <v>22</v>
      </c>
      <c r="B294" s="313" t="s">
        <v>166</v>
      </c>
      <c r="C294" s="313"/>
      <c r="D294" s="416" t="s">
        <v>142</v>
      </c>
      <c r="E294" s="313"/>
      <c r="F294" s="407"/>
      <c r="G294" s="352" t="s">
        <v>142</v>
      </c>
    </row>
    <row r="295" spans="1:12" x14ac:dyDescent="0.3">
      <c r="B295" s="408" t="s">
        <v>417</v>
      </c>
      <c r="C295" s="409">
        <v>729500</v>
      </c>
      <c r="D295" s="409">
        <v>1521220</v>
      </c>
      <c r="E295" s="409">
        <v>0</v>
      </c>
      <c r="F295" s="407">
        <f>76236+974573</f>
        <v>1050809</v>
      </c>
      <c r="G295" s="407">
        <v>1788540</v>
      </c>
      <c r="H295" s="318">
        <v>0</v>
      </c>
      <c r="I295" s="318"/>
      <c r="J295" s="196">
        <f t="shared" si="18"/>
        <v>121583.33333333333</v>
      </c>
    </row>
    <row r="296" spans="1:12" x14ac:dyDescent="0.3">
      <c r="B296" s="408" t="s">
        <v>37</v>
      </c>
      <c r="C296" s="409">
        <v>284426</v>
      </c>
      <c r="D296" s="409">
        <v>41180</v>
      </c>
      <c r="E296" s="409">
        <v>0</v>
      </c>
      <c r="F296" s="407">
        <v>259550</v>
      </c>
      <c r="G296" s="407">
        <v>117400</v>
      </c>
      <c r="H296" s="318">
        <v>0</v>
      </c>
      <c r="I296" s="318"/>
      <c r="J296" s="196">
        <f>C296/6*0</f>
        <v>0</v>
      </c>
      <c r="L296">
        <v>47404.333333333336</v>
      </c>
    </row>
    <row r="297" spans="1:12" x14ac:dyDescent="0.3">
      <c r="B297" s="408" t="s">
        <v>85</v>
      </c>
      <c r="C297" s="409">
        <v>1119</v>
      </c>
      <c r="D297" s="409">
        <v>16125</v>
      </c>
      <c r="E297" s="407">
        <v>0</v>
      </c>
      <c r="F297" s="407">
        <v>1464</v>
      </c>
      <c r="G297" s="407">
        <v>14194</v>
      </c>
      <c r="H297" s="318">
        <v>0</v>
      </c>
      <c r="I297" s="318"/>
      <c r="J297" s="196">
        <f t="shared" si="18"/>
        <v>186.5</v>
      </c>
    </row>
    <row r="298" spans="1:12" x14ac:dyDescent="0.3">
      <c r="B298" s="408" t="s">
        <v>418</v>
      </c>
      <c r="C298" s="409">
        <v>23324152</v>
      </c>
      <c r="D298" s="409">
        <v>127197396</v>
      </c>
      <c r="E298" s="407" t="e">
        <f>VLOOKUP(B298,'[9]Notes SPL'!$C$122:$E$137,3,0)</f>
        <v>#N/A</v>
      </c>
      <c r="F298" s="407">
        <f>30481220-2660790+6197670</f>
        <v>34018100</v>
      </c>
      <c r="G298" s="407">
        <v>47633161</v>
      </c>
      <c r="H298" s="318">
        <v>0</v>
      </c>
      <c r="I298" s="318"/>
      <c r="J298" s="196">
        <f>C298/6*0</f>
        <v>0</v>
      </c>
      <c r="L298" s="196">
        <v>3887358.6666666665</v>
      </c>
    </row>
    <row r="299" spans="1:12" x14ac:dyDescent="0.3">
      <c r="B299" s="408" t="s">
        <v>419</v>
      </c>
      <c r="C299" s="409">
        <v>599320</v>
      </c>
      <c r="D299" s="409">
        <v>4865575</v>
      </c>
      <c r="E299" s="407">
        <f>VLOOKUP(B299,'[9]Notes SPL'!$C$122:$E$137,3,0)</f>
        <v>967585</v>
      </c>
      <c r="F299" s="407">
        <v>2159960</v>
      </c>
      <c r="G299" s="407"/>
      <c r="H299" s="318"/>
      <c r="I299" s="318"/>
      <c r="J299" s="196">
        <f t="shared" si="18"/>
        <v>99886.666666666672</v>
      </c>
    </row>
    <row r="300" spans="1:12" x14ac:dyDescent="0.3">
      <c r="B300" s="408" t="s">
        <v>420</v>
      </c>
      <c r="C300" s="409">
        <v>7378847</v>
      </c>
      <c r="D300" s="409">
        <v>20886188</v>
      </c>
      <c r="E300" s="407">
        <f>VLOOKUP(B300,'[9]Notes SPL'!$C$122:$E$137,3,0)</f>
        <v>7335330</v>
      </c>
      <c r="F300" s="407">
        <f>274220+10902261+762360</f>
        <v>11938841</v>
      </c>
      <c r="G300" s="407">
        <v>25344919</v>
      </c>
      <c r="H300" s="318">
        <v>11049607</v>
      </c>
      <c r="I300" s="318"/>
      <c r="J300" s="196">
        <f t="shared" si="18"/>
        <v>1229807.8333333333</v>
      </c>
    </row>
    <row r="301" spans="1:12" x14ac:dyDescent="0.3">
      <c r="B301" s="408" t="s">
        <v>421</v>
      </c>
      <c r="C301" s="409">
        <v>1719431</v>
      </c>
      <c r="D301" s="409">
        <v>5138203</v>
      </c>
      <c r="E301" s="407"/>
      <c r="F301" s="407"/>
      <c r="G301" s="407"/>
      <c r="H301" s="318"/>
      <c r="I301" s="318"/>
      <c r="J301" s="196">
        <f t="shared" si="18"/>
        <v>286571.83333333331</v>
      </c>
    </row>
    <row r="302" spans="1:12" x14ac:dyDescent="0.3">
      <c r="B302" s="408" t="s">
        <v>422</v>
      </c>
      <c r="C302" s="409">
        <v>601248</v>
      </c>
      <c r="D302" s="409">
        <v>147395738.5</v>
      </c>
      <c r="E302" s="407"/>
      <c r="F302" s="407"/>
      <c r="G302" s="407"/>
      <c r="H302" s="318"/>
      <c r="I302" s="318"/>
      <c r="J302" s="196">
        <f>C302/6*0</f>
        <v>0</v>
      </c>
      <c r="L302">
        <v>100208</v>
      </c>
    </row>
    <row r="303" spans="1:12" x14ac:dyDescent="0.3">
      <c r="B303" s="408" t="s">
        <v>423</v>
      </c>
      <c r="C303" s="409">
        <v>30</v>
      </c>
      <c r="D303" s="409"/>
      <c r="E303" s="407"/>
      <c r="F303" s="407"/>
      <c r="G303" s="407"/>
      <c r="H303" s="318"/>
      <c r="I303" s="318"/>
      <c r="J303" s="196">
        <f t="shared" si="18"/>
        <v>5</v>
      </c>
    </row>
    <row r="304" spans="1:12" x14ac:dyDescent="0.3">
      <c r="B304" s="408" t="s">
        <v>424</v>
      </c>
      <c r="C304" s="409">
        <v>533157</v>
      </c>
      <c r="D304" s="409"/>
      <c r="E304" s="407"/>
      <c r="F304" s="407"/>
      <c r="G304" s="407"/>
      <c r="H304" s="318"/>
      <c r="I304" s="318"/>
      <c r="J304" s="196">
        <f t="shared" si="18"/>
        <v>88859.5</v>
      </c>
    </row>
    <row r="305" spans="1:10" ht="15" thickBot="1" x14ac:dyDescent="0.35">
      <c r="C305" s="328">
        <f>SUM(C295:C304)</f>
        <v>35171230</v>
      </c>
      <c r="D305" s="328">
        <f t="shared" ref="D305:J305" si="20">SUM(D295:D304)</f>
        <v>307061625.5</v>
      </c>
      <c r="E305" s="328" t="e">
        <f t="shared" si="20"/>
        <v>#N/A</v>
      </c>
      <c r="F305" s="328">
        <f t="shared" si="20"/>
        <v>49428724</v>
      </c>
      <c r="G305" s="328">
        <f t="shared" si="20"/>
        <v>74898214</v>
      </c>
      <c r="H305" s="328">
        <f t="shared" si="20"/>
        <v>11049607</v>
      </c>
      <c r="I305" s="328">
        <f t="shared" si="20"/>
        <v>0</v>
      </c>
      <c r="J305" s="328">
        <f t="shared" si="20"/>
        <v>1826900.6666666665</v>
      </c>
    </row>
    <row r="306" spans="1:10" ht="15" thickTop="1" x14ac:dyDescent="0.3">
      <c r="A306" s="309">
        <f>A294+1</f>
        <v>23</v>
      </c>
      <c r="B306" s="313" t="s">
        <v>425</v>
      </c>
      <c r="C306" s="313"/>
      <c r="D306" s="313"/>
      <c r="E306" s="313"/>
      <c r="F306" s="407"/>
      <c r="G306" s="313"/>
      <c r="J306" s="196">
        <f t="shared" si="18"/>
        <v>0</v>
      </c>
    </row>
    <row r="307" spans="1:10" x14ac:dyDescent="0.3">
      <c r="B307" s="311" t="s">
        <v>426</v>
      </c>
      <c r="C307" s="318">
        <v>70000</v>
      </c>
      <c r="D307" s="318">
        <v>2395000</v>
      </c>
      <c r="E307" s="407">
        <v>4794403.5</v>
      </c>
      <c r="F307" s="407">
        <f>35350+711269+2362378</f>
        <v>3108997</v>
      </c>
      <c r="G307" s="318">
        <v>23516111</v>
      </c>
      <c r="H307" s="318">
        <v>11986410</v>
      </c>
      <c r="I307" s="318"/>
      <c r="J307" s="196">
        <f t="shared" si="18"/>
        <v>11666.666666666666</v>
      </c>
    </row>
    <row r="308" spans="1:10" x14ac:dyDescent="0.3">
      <c r="B308" s="311" t="s">
        <v>427</v>
      </c>
      <c r="C308" s="318">
        <v>150</v>
      </c>
      <c r="D308" s="318">
        <v>72417.59</v>
      </c>
      <c r="E308" s="407"/>
      <c r="F308" s="407"/>
      <c r="G308" s="318"/>
      <c r="H308" s="318"/>
      <c r="I308" s="318"/>
      <c r="J308" s="196">
        <f t="shared" si="18"/>
        <v>25</v>
      </c>
    </row>
    <row r="309" spans="1:10" x14ac:dyDescent="0.3">
      <c r="B309" s="311" t="s">
        <v>428</v>
      </c>
      <c r="C309" s="318">
        <v>6689</v>
      </c>
      <c r="D309" s="318">
        <v>524110</v>
      </c>
      <c r="E309" s="407"/>
      <c r="F309" s="407"/>
      <c r="G309" s="318"/>
      <c r="H309" s="318"/>
      <c r="I309" s="318"/>
      <c r="J309" s="196">
        <f t="shared" si="18"/>
        <v>1114.8333333333333</v>
      </c>
    </row>
    <row r="310" spans="1:10" x14ac:dyDescent="0.3">
      <c r="B310" s="311" t="s">
        <v>55</v>
      </c>
      <c r="C310" s="318">
        <v>8847</v>
      </c>
      <c r="D310" s="318">
        <v>84172</v>
      </c>
      <c r="E310" s="407"/>
      <c r="F310" s="407"/>
      <c r="G310" s="318"/>
      <c r="H310" s="318"/>
      <c r="I310" s="318"/>
      <c r="J310" s="196">
        <f t="shared" si="18"/>
        <v>1474.5</v>
      </c>
    </row>
    <row r="311" spans="1:10" x14ac:dyDescent="0.3">
      <c r="B311" s="311" t="s">
        <v>53</v>
      </c>
      <c r="C311" s="318">
        <v>670</v>
      </c>
      <c r="D311" s="318">
        <v>0</v>
      </c>
      <c r="E311" s="407"/>
      <c r="F311" s="407"/>
      <c r="G311" s="318"/>
      <c r="H311" s="318"/>
      <c r="I311" s="318"/>
      <c r="J311" s="196">
        <f t="shared" si="18"/>
        <v>111.66666666666667</v>
      </c>
    </row>
    <row r="312" spans="1:10" x14ac:dyDescent="0.3">
      <c r="B312" s="311" t="s">
        <v>429</v>
      </c>
      <c r="C312" s="318">
        <v>1450725</v>
      </c>
      <c r="D312" s="318"/>
      <c r="E312" s="407"/>
      <c r="F312" s="407"/>
      <c r="G312" s="318"/>
      <c r="H312" s="318"/>
      <c r="I312" s="318"/>
      <c r="J312" s="196">
        <f t="shared" si="18"/>
        <v>241787.5</v>
      </c>
    </row>
    <row r="313" spans="1:10" x14ac:dyDescent="0.3">
      <c r="B313" s="311" t="s">
        <v>57</v>
      </c>
      <c r="C313" s="318">
        <v>37753</v>
      </c>
      <c r="D313" s="318">
        <v>41792</v>
      </c>
      <c r="E313" s="407"/>
      <c r="F313" s="407"/>
      <c r="G313" s="318"/>
      <c r="H313" s="318"/>
      <c r="I313" s="318"/>
      <c r="J313" s="196">
        <f t="shared" si="18"/>
        <v>6292.166666666667</v>
      </c>
    </row>
    <row r="314" spans="1:10" x14ac:dyDescent="0.3">
      <c r="B314" s="311" t="s">
        <v>431</v>
      </c>
      <c r="C314" s="318">
        <v>54212</v>
      </c>
      <c r="D314" s="318">
        <v>69888</v>
      </c>
      <c r="E314" s="407"/>
      <c r="F314" s="407">
        <v>72717</v>
      </c>
      <c r="G314" s="318">
        <v>84601</v>
      </c>
      <c r="H314" s="318">
        <v>0</v>
      </c>
      <c r="I314" s="318"/>
      <c r="J314" s="196">
        <f t="shared" ref="J314:J349" si="21">C314/6</f>
        <v>9035.3333333333339</v>
      </c>
    </row>
    <row r="315" spans="1:10" x14ac:dyDescent="0.3">
      <c r="B315" s="408" t="s">
        <v>432</v>
      </c>
      <c r="C315" s="409">
        <v>383538</v>
      </c>
      <c r="D315" s="409">
        <v>1453152</v>
      </c>
      <c r="E315" s="407">
        <v>462842</v>
      </c>
      <c r="F315" s="407">
        <v>750938</v>
      </c>
      <c r="G315" s="318">
        <v>1892141</v>
      </c>
      <c r="H315" s="318">
        <v>0</v>
      </c>
      <c r="I315" s="318"/>
      <c r="J315" s="196">
        <f t="shared" si="21"/>
        <v>63923</v>
      </c>
    </row>
    <row r="316" spans="1:10" ht="15" thickBot="1" x14ac:dyDescent="0.35">
      <c r="B316" s="313" t="s">
        <v>416</v>
      </c>
      <c r="C316" s="417">
        <f>SUM(C307:C315)</f>
        <v>2012584</v>
      </c>
      <c r="D316" s="417">
        <f t="shared" ref="D316:J316" si="22">SUM(D307:D315)</f>
        <v>4640531.59</v>
      </c>
      <c r="E316" s="417">
        <f t="shared" si="22"/>
        <v>5257245.5</v>
      </c>
      <c r="F316" s="417">
        <f t="shared" si="22"/>
        <v>3932652</v>
      </c>
      <c r="G316" s="417">
        <f t="shared" si="22"/>
        <v>25492853</v>
      </c>
      <c r="H316" s="417">
        <f t="shared" si="22"/>
        <v>11986410</v>
      </c>
      <c r="I316" s="417">
        <f t="shared" si="22"/>
        <v>0</v>
      </c>
      <c r="J316" s="417">
        <f t="shared" si="22"/>
        <v>335430.66666666663</v>
      </c>
    </row>
    <row r="317" spans="1:10" ht="15" thickTop="1" x14ac:dyDescent="0.3">
      <c r="B317" s="313" t="s">
        <v>450</v>
      </c>
      <c r="C317" s="435"/>
      <c r="D317" s="435"/>
      <c r="E317" s="435"/>
      <c r="F317" s="435"/>
      <c r="G317" s="435"/>
      <c r="H317" s="435"/>
      <c r="I317" s="435"/>
      <c r="J317" s="435">
        <f>J305+J316</f>
        <v>2162331.333333333</v>
      </c>
    </row>
    <row r="318" spans="1:10" x14ac:dyDescent="0.3">
      <c r="A318" s="309">
        <f>A306+1</f>
        <v>24</v>
      </c>
      <c r="B318" s="313" t="s">
        <v>433</v>
      </c>
      <c r="C318" s="313"/>
      <c r="D318" s="313"/>
      <c r="E318" s="313"/>
      <c r="F318" s="314"/>
      <c r="G318" s="313"/>
    </row>
    <row r="319" spans="1:10" x14ac:dyDescent="0.3">
      <c r="B319" s="311" t="s">
        <v>434</v>
      </c>
      <c r="C319" s="318">
        <v>431282</v>
      </c>
      <c r="D319" s="318">
        <v>833264</v>
      </c>
      <c r="E319" s="318"/>
      <c r="F319" s="318">
        <v>398997</v>
      </c>
      <c r="G319" s="318">
        <v>550760</v>
      </c>
      <c r="H319" s="318">
        <v>182250</v>
      </c>
      <c r="I319" s="318"/>
      <c r="J319" s="196">
        <f t="shared" si="21"/>
        <v>71880.333333333328</v>
      </c>
    </row>
    <row r="320" spans="1:10" x14ac:dyDescent="0.3">
      <c r="B320" s="311" t="s">
        <v>397</v>
      </c>
      <c r="C320" s="318">
        <v>655586</v>
      </c>
      <c r="D320" s="318">
        <v>14377286.5</v>
      </c>
      <c r="E320" s="318"/>
      <c r="F320" s="318"/>
      <c r="G320" s="318"/>
      <c r="H320" s="318"/>
      <c r="I320" s="318"/>
      <c r="J320" s="196">
        <f>C320/6*0</f>
        <v>0</v>
      </c>
    </row>
    <row r="321" spans="1:13" x14ac:dyDescent="0.3">
      <c r="B321" s="311" t="s">
        <v>435</v>
      </c>
      <c r="C321" s="318">
        <f>133682+1620</f>
        <v>135302</v>
      </c>
      <c r="D321" s="318">
        <v>4092332</v>
      </c>
      <c r="E321" s="318"/>
      <c r="F321" s="318"/>
      <c r="G321" s="318"/>
      <c r="H321" s="318"/>
      <c r="I321" s="318"/>
      <c r="J321" s="196">
        <f t="shared" si="21"/>
        <v>22550.333333333332</v>
      </c>
    </row>
    <row r="322" spans="1:13" x14ac:dyDescent="0.3">
      <c r="B322" s="311" t="s">
        <v>54</v>
      </c>
      <c r="C322" s="318">
        <v>484420</v>
      </c>
      <c r="D322" s="318">
        <v>2647650</v>
      </c>
      <c r="E322" s="318"/>
      <c r="F322" s="318"/>
      <c r="G322" s="318"/>
      <c r="H322" s="318"/>
      <c r="I322" s="318"/>
      <c r="J322" s="196">
        <f t="shared" si="21"/>
        <v>80736.666666666672</v>
      </c>
    </row>
    <row r="323" spans="1:13" x14ac:dyDescent="0.3">
      <c r="B323" s="311" t="s">
        <v>47</v>
      </c>
      <c r="C323" s="318">
        <v>70945</v>
      </c>
      <c r="D323" s="318">
        <v>5754070</v>
      </c>
      <c r="E323" s="318"/>
      <c r="F323" s="318"/>
      <c r="G323" s="318"/>
      <c r="H323" s="318"/>
      <c r="I323" s="318"/>
      <c r="J323" s="196">
        <f t="shared" si="21"/>
        <v>11824.166666666666</v>
      </c>
    </row>
    <row r="324" spans="1:13" x14ac:dyDescent="0.3">
      <c r="B324" s="311" t="s">
        <v>436</v>
      </c>
      <c r="C324" s="318">
        <v>2478775</v>
      </c>
      <c r="D324" s="318">
        <v>0</v>
      </c>
      <c r="E324" s="318"/>
      <c r="F324" s="318"/>
      <c r="G324" s="318"/>
      <c r="H324" s="318"/>
      <c r="I324" s="318"/>
      <c r="J324" s="196">
        <f t="shared" si="21"/>
        <v>413129.16666666669</v>
      </c>
    </row>
    <row r="325" spans="1:13" x14ac:dyDescent="0.3">
      <c r="B325" s="311" t="s">
        <v>430</v>
      </c>
      <c r="C325" s="318">
        <v>18760</v>
      </c>
      <c r="D325" s="318">
        <v>269555</v>
      </c>
      <c r="E325" s="318"/>
      <c r="F325" s="318"/>
      <c r="G325" s="318"/>
      <c r="H325" s="318"/>
      <c r="I325" s="318"/>
      <c r="J325" s="196">
        <f t="shared" si="21"/>
        <v>3126.6666666666665</v>
      </c>
    </row>
    <row r="326" spans="1:13" x14ac:dyDescent="0.3">
      <c r="B326" s="311" t="s">
        <v>437</v>
      </c>
      <c r="C326" s="318">
        <v>4007</v>
      </c>
      <c r="D326" s="318"/>
      <c r="E326" s="318"/>
      <c r="F326" s="318"/>
      <c r="G326" s="318"/>
      <c r="H326" s="318"/>
      <c r="I326" s="318"/>
      <c r="J326" s="196">
        <f t="shared" si="21"/>
        <v>667.83333333333337</v>
      </c>
    </row>
    <row r="327" spans="1:13" x14ac:dyDescent="0.3">
      <c r="B327" s="311" t="s">
        <v>438</v>
      </c>
      <c r="C327" s="318">
        <v>15724</v>
      </c>
      <c r="D327" s="318">
        <v>37386</v>
      </c>
      <c r="E327" s="318"/>
      <c r="F327" s="318"/>
      <c r="G327" s="318"/>
      <c r="H327" s="318"/>
      <c r="I327" s="318"/>
      <c r="J327" s="196">
        <f t="shared" si="21"/>
        <v>2620.6666666666665</v>
      </c>
    </row>
    <row r="328" spans="1:13" x14ac:dyDescent="0.3">
      <c r="B328" s="311" t="s">
        <v>439</v>
      </c>
      <c r="C328" s="318">
        <v>9189</v>
      </c>
      <c r="D328" s="318">
        <v>15628</v>
      </c>
      <c r="E328" s="318"/>
      <c r="F328" s="318"/>
      <c r="G328" s="318"/>
      <c r="H328" s="318"/>
      <c r="I328" s="318"/>
      <c r="J328" s="196">
        <f t="shared" si="21"/>
        <v>1531.5</v>
      </c>
    </row>
    <row r="329" spans="1:13" x14ac:dyDescent="0.3">
      <c r="B329" s="311" t="s">
        <v>53</v>
      </c>
      <c r="C329" s="318">
        <v>1580</v>
      </c>
      <c r="D329" s="318">
        <v>3610</v>
      </c>
      <c r="E329" s="318"/>
      <c r="F329" s="318"/>
      <c r="G329" s="318"/>
      <c r="H329" s="318"/>
      <c r="I329" s="318"/>
      <c r="J329" s="196">
        <f t="shared" si="21"/>
        <v>263.33333333333331</v>
      </c>
    </row>
    <row r="330" spans="1:13" x14ac:dyDescent="0.3">
      <c r="B330" s="311" t="s">
        <v>440</v>
      </c>
      <c r="C330" s="318">
        <v>5088460</v>
      </c>
      <c r="D330" s="318">
        <v>10888912</v>
      </c>
      <c r="E330" s="318">
        <f>VLOOKUP(B330,'[9]Notes SPL'!$C$148:$E$155,3,0)</f>
        <v>3230933</v>
      </c>
      <c r="F330" s="318">
        <v>5758574</v>
      </c>
      <c r="G330" s="318">
        <v>8309137</v>
      </c>
      <c r="H330" s="318">
        <v>2901675</v>
      </c>
      <c r="I330" s="318"/>
      <c r="J330" s="196">
        <f t="shared" si="21"/>
        <v>848076.66666666663</v>
      </c>
    </row>
    <row r="331" spans="1:13" x14ac:dyDescent="0.3">
      <c r="B331" s="311" t="s">
        <v>441</v>
      </c>
      <c r="C331" s="318">
        <v>66605389</v>
      </c>
      <c r="D331" s="318"/>
      <c r="E331" s="318"/>
      <c r="F331" s="318"/>
      <c r="G331" s="318"/>
      <c r="H331" s="318"/>
      <c r="I331" s="318"/>
      <c r="J331" s="196">
        <f>C331/6*0</f>
        <v>0</v>
      </c>
      <c r="L331" s="196">
        <v>11100898.166666666</v>
      </c>
    </row>
    <row r="332" spans="1:13" x14ac:dyDescent="0.3">
      <c r="B332" s="311" t="s">
        <v>442</v>
      </c>
      <c r="C332" s="318">
        <v>127608</v>
      </c>
      <c r="D332" s="318">
        <v>1764210</v>
      </c>
      <c r="E332" s="318">
        <v>0</v>
      </c>
      <c r="F332" s="318"/>
      <c r="G332" s="318">
        <v>698702</v>
      </c>
      <c r="H332" s="318">
        <v>0</v>
      </c>
      <c r="I332" s="318"/>
      <c r="J332" s="196">
        <f t="shared" si="21"/>
        <v>21268</v>
      </c>
    </row>
    <row r="333" spans="1:13" x14ac:dyDescent="0.3">
      <c r="B333" s="311" t="s">
        <v>51</v>
      </c>
      <c r="C333" s="318">
        <v>524499</v>
      </c>
      <c r="D333" s="318">
        <v>310815</v>
      </c>
      <c r="E333" s="318">
        <f>VLOOKUP(B333,'[9]Notes SPL'!$C$148:$E$155,3,0)</f>
        <v>29332</v>
      </c>
      <c r="F333" s="318">
        <v>923628</v>
      </c>
      <c r="G333" s="318">
        <v>851716</v>
      </c>
      <c r="H333" s="318">
        <v>0</v>
      </c>
      <c r="I333" s="318"/>
      <c r="J333" s="196">
        <f t="shared" si="21"/>
        <v>87416.5</v>
      </c>
    </row>
    <row r="334" spans="1:13" x14ac:dyDescent="0.3">
      <c r="B334" s="311" t="s">
        <v>443</v>
      </c>
      <c r="C334" s="318">
        <v>5874396</v>
      </c>
      <c r="D334" s="318">
        <v>10917093.80000001</v>
      </c>
      <c r="E334" s="318">
        <f>VLOOKUP(B334,'[9]Notes SPL'!$C$148:$E$155,3,0)</f>
        <v>2690213</v>
      </c>
      <c r="F334" s="318">
        <v>5346807</v>
      </c>
      <c r="G334" s="318">
        <v>4881007</v>
      </c>
      <c r="H334" s="318">
        <v>0</v>
      </c>
      <c r="I334" s="318"/>
      <c r="J334" s="196">
        <f>C334/6*0</f>
        <v>0</v>
      </c>
      <c r="L334" s="196">
        <v>979066</v>
      </c>
      <c r="M334" s="133">
        <f>L334+L291</f>
        <v>16754525.311220014</v>
      </c>
    </row>
    <row r="335" spans="1:13" ht="15" thickBot="1" x14ac:dyDescent="0.35">
      <c r="C335" s="328">
        <f>SUM(C319:C334)</f>
        <v>82525922</v>
      </c>
      <c r="D335" s="328">
        <f t="shared" ref="D335:J335" si="23">SUM(D319:D334)</f>
        <v>51911812.300000012</v>
      </c>
      <c r="E335" s="328">
        <f t="shared" si="23"/>
        <v>5950478</v>
      </c>
      <c r="F335" s="328">
        <f t="shared" si="23"/>
        <v>12428006</v>
      </c>
      <c r="G335" s="328">
        <f t="shared" si="23"/>
        <v>15291322</v>
      </c>
      <c r="H335" s="328">
        <f t="shared" si="23"/>
        <v>3083925</v>
      </c>
      <c r="I335" s="328">
        <f t="shared" si="23"/>
        <v>0</v>
      </c>
      <c r="J335" s="328">
        <f t="shared" si="23"/>
        <v>1565091.8333333333</v>
      </c>
    </row>
    <row r="336" spans="1:13" ht="15" thickTop="1" x14ac:dyDescent="0.3">
      <c r="A336" s="309">
        <f>A318+1</f>
        <v>25</v>
      </c>
      <c r="B336" s="313" t="s">
        <v>168</v>
      </c>
      <c r="C336" s="313"/>
      <c r="D336" s="313"/>
      <c r="E336" s="313"/>
      <c r="F336" s="314"/>
      <c r="G336" s="313"/>
    </row>
    <row r="337" spans="2:10" x14ac:dyDescent="0.3">
      <c r="B337" s="316" t="s">
        <v>444</v>
      </c>
      <c r="C337" s="316"/>
      <c r="D337" s="316"/>
      <c r="E337" s="316"/>
      <c r="F337" s="317"/>
      <c r="G337" s="316"/>
    </row>
    <row r="338" spans="2:10" x14ac:dyDescent="0.3">
      <c r="B338" s="311" t="s">
        <v>445</v>
      </c>
      <c r="C338" s="310">
        <v>542985</v>
      </c>
      <c r="D338" s="318">
        <v>30839482.992083333</v>
      </c>
      <c r="E338" s="378">
        <f>VLOOKUP(B338,'[9]Notes SPL'!$C$158:$E$171,3,0)</f>
        <v>800412.70089583332</v>
      </c>
      <c r="F338" s="378">
        <v>6210335.2400000002</v>
      </c>
      <c r="G338" s="318">
        <f>54200.47+774193.94+2550860.12</f>
        <v>3379254.5300000003</v>
      </c>
      <c r="H338" s="318">
        <v>0</v>
      </c>
      <c r="J338" s="196">
        <f t="shared" si="21"/>
        <v>90497.5</v>
      </c>
    </row>
    <row r="339" spans="2:10" x14ac:dyDescent="0.3">
      <c r="B339" s="311" t="s">
        <v>446</v>
      </c>
      <c r="C339" s="310">
        <v>396694</v>
      </c>
      <c r="D339" s="318">
        <v>19816515.533333331</v>
      </c>
      <c r="E339" s="378">
        <f>VLOOKUP(B339,'[9]Notes SPL'!$C$158:$E$171,3,0)</f>
        <v>7566141.9109236114</v>
      </c>
      <c r="F339" s="378">
        <v>14592370.789999999</v>
      </c>
      <c r="G339" s="318">
        <v>10242012</v>
      </c>
      <c r="H339" s="318">
        <v>1078878.29</v>
      </c>
      <c r="I339" s="318"/>
      <c r="J339" s="196">
        <f t="shared" si="21"/>
        <v>66115.666666666672</v>
      </c>
    </row>
    <row r="340" spans="2:10" x14ac:dyDescent="0.3">
      <c r="B340" s="311" t="s">
        <v>447</v>
      </c>
      <c r="C340" s="310">
        <v>163336</v>
      </c>
      <c r="D340" s="318">
        <v>227921.8299999999</v>
      </c>
      <c r="E340" s="378">
        <f>VLOOKUP(B340,'[9]Notes SPL'!$C$158:$E$171,3,0)</f>
        <v>92148.577763888898</v>
      </c>
      <c r="F340" s="378">
        <v>1697829.71</v>
      </c>
      <c r="G340" s="318">
        <v>9698343</v>
      </c>
      <c r="H340" s="318">
        <v>4332177.0599999996</v>
      </c>
      <c r="I340" s="318"/>
      <c r="J340" s="196">
        <f t="shared" si="21"/>
        <v>27222.666666666668</v>
      </c>
    </row>
    <row r="341" spans="2:10" x14ac:dyDescent="0.3">
      <c r="B341" s="311" t="s">
        <v>448</v>
      </c>
      <c r="C341" s="310">
        <v>186310009</v>
      </c>
      <c r="D341" s="318">
        <v>270666425.56617922</v>
      </c>
      <c r="E341" s="378">
        <f>VLOOKUP(B341,'[9]Notes SPL'!$C$158:$E$171,3,0)</f>
        <v>92649903.137819439</v>
      </c>
      <c r="F341" s="378">
        <v>189825944.17000002</v>
      </c>
      <c r="G341" s="318">
        <v>345721177.95999998</v>
      </c>
      <c r="H341" s="318">
        <v>164226375.19</v>
      </c>
      <c r="I341" s="318"/>
      <c r="J341" s="196">
        <f t="shared" si="21"/>
        <v>31051668.166666668</v>
      </c>
    </row>
    <row r="342" spans="2:10" x14ac:dyDescent="0.3">
      <c r="C342" s="418">
        <f t="shared" ref="C342:J342" si="24">SUM(C338:C341)</f>
        <v>187413024</v>
      </c>
      <c r="D342" s="418">
        <f t="shared" si="24"/>
        <v>321550345.92159587</v>
      </c>
      <c r="E342" s="418">
        <f t="shared" si="24"/>
        <v>101108606.32740277</v>
      </c>
      <c r="F342" s="418">
        <f t="shared" si="24"/>
        <v>212326479.91000003</v>
      </c>
      <c r="G342" s="418">
        <f t="shared" si="24"/>
        <v>369040787.49000001</v>
      </c>
      <c r="H342" s="418">
        <f t="shared" si="24"/>
        <v>169637430.53999999</v>
      </c>
      <c r="I342" s="418">
        <f t="shared" si="24"/>
        <v>0</v>
      </c>
      <c r="J342" s="418">
        <f t="shared" si="24"/>
        <v>31235504</v>
      </c>
    </row>
    <row r="343" spans="2:10" x14ac:dyDescent="0.3">
      <c r="B343" s="316" t="s">
        <v>315</v>
      </c>
      <c r="C343" s="316"/>
      <c r="D343" s="316"/>
      <c r="E343" s="311" t="s">
        <v>142</v>
      </c>
      <c r="F343" s="317"/>
      <c r="G343" s="316"/>
    </row>
    <row r="344" spans="2:10" x14ac:dyDescent="0.3">
      <c r="B344" s="311" t="s">
        <v>445</v>
      </c>
      <c r="C344" s="310">
        <v>3570474</v>
      </c>
      <c r="D344" s="419">
        <v>19897214.399999995</v>
      </c>
      <c r="E344" s="378">
        <v>1178154</v>
      </c>
      <c r="F344" s="317"/>
      <c r="G344" s="316"/>
      <c r="J344" s="196">
        <f t="shared" si="21"/>
        <v>595079</v>
      </c>
    </row>
    <row r="345" spans="2:10" x14ac:dyDescent="0.3">
      <c r="B345" s="311" t="s">
        <v>447</v>
      </c>
      <c r="C345" s="310">
        <v>44644966</v>
      </c>
      <c r="D345" s="420">
        <v>61320818.960000008</v>
      </c>
      <c r="E345" s="378">
        <f>VLOOKUP(B345,'[9]Notes SPL'!$C$164:$E$171,3,0)</f>
        <v>6640222.7199999951</v>
      </c>
      <c r="F345" s="378">
        <v>9010805.1700000111</v>
      </c>
      <c r="G345" s="318">
        <v>18986944.620000001</v>
      </c>
      <c r="H345" s="318">
        <v>9963679.1999999993</v>
      </c>
      <c r="I345" s="318"/>
      <c r="J345" s="196">
        <f t="shared" si="21"/>
        <v>7440827.666666667</v>
      </c>
    </row>
    <row r="346" spans="2:10" x14ac:dyDescent="0.3">
      <c r="B346" s="311" t="s">
        <v>448</v>
      </c>
      <c r="C346" s="310">
        <v>39297096</v>
      </c>
      <c r="D346" s="419">
        <v>76036164.310000017</v>
      </c>
      <c r="E346" s="378">
        <f>VLOOKUP(B346,'[9]Notes SPL'!$C$164:$E$171,3,0)</f>
        <v>26098351.16</v>
      </c>
      <c r="F346" s="378">
        <v>52969321.400000006</v>
      </c>
      <c r="G346" s="318">
        <v>89272471.930000007</v>
      </c>
      <c r="H346" s="318">
        <v>28439399</v>
      </c>
      <c r="I346" s="318"/>
      <c r="J346" s="196">
        <f t="shared" si="21"/>
        <v>6549516</v>
      </c>
    </row>
    <row r="347" spans="2:10" x14ac:dyDescent="0.3">
      <c r="C347" s="418">
        <f>SUM(C344:C346)</f>
        <v>87512536</v>
      </c>
      <c r="D347" s="418">
        <f t="shared" ref="D347:J347" si="25">SUM(D344:D346)</f>
        <v>157254197.67000002</v>
      </c>
      <c r="E347" s="418">
        <f t="shared" si="25"/>
        <v>33916727.879999995</v>
      </c>
      <c r="F347" s="418">
        <f t="shared" si="25"/>
        <v>61980126.570000015</v>
      </c>
      <c r="G347" s="418">
        <f t="shared" si="25"/>
        <v>108259416.55000001</v>
      </c>
      <c r="H347" s="418">
        <f t="shared" si="25"/>
        <v>38403078.200000003</v>
      </c>
      <c r="I347" s="418">
        <f t="shared" si="25"/>
        <v>0</v>
      </c>
      <c r="J347" s="418">
        <f t="shared" si="25"/>
        <v>14585422.666666668</v>
      </c>
    </row>
    <row r="348" spans="2:10" x14ac:dyDescent="0.3">
      <c r="B348" s="311" t="s">
        <v>449</v>
      </c>
      <c r="C348" s="310"/>
      <c r="D348" s="318"/>
      <c r="E348" s="323"/>
      <c r="F348" s="323"/>
      <c r="G348" s="323"/>
      <c r="H348" s="323"/>
      <c r="I348" s="323"/>
    </row>
    <row r="349" spans="2:10" x14ac:dyDescent="0.3">
      <c r="B349" s="408" t="s">
        <v>87</v>
      </c>
      <c r="C349" s="421">
        <v>287158</v>
      </c>
      <c r="D349" s="409">
        <v>423604.83</v>
      </c>
      <c r="E349" s="409">
        <f>VLOOKUP(B349,'[9]Notes SPL'!$C$158:$E$171,3,0)</f>
        <v>101454.16500000001</v>
      </c>
      <c r="F349" s="409">
        <v>649071.55000000005</v>
      </c>
      <c r="G349" s="318">
        <f>747371.76+575</f>
        <v>747946.76</v>
      </c>
      <c r="H349" s="318">
        <v>467933.76</v>
      </c>
      <c r="I349" s="318"/>
      <c r="J349" s="196">
        <f t="shared" si="21"/>
        <v>47859.666666666664</v>
      </c>
    </row>
    <row r="350" spans="2:10" ht="15" thickBot="1" x14ac:dyDescent="0.35">
      <c r="B350" s="313" t="s">
        <v>416</v>
      </c>
      <c r="C350" s="328">
        <f>C342+C347+C348+C349</f>
        <v>275212718</v>
      </c>
      <c r="D350" s="328">
        <f t="shared" ref="D350:J350" si="26">D342+D347+D348+D349</f>
        <v>479228148.42159587</v>
      </c>
      <c r="E350" s="328">
        <f t="shared" si="26"/>
        <v>135126788.37240276</v>
      </c>
      <c r="F350" s="328">
        <f t="shared" si="26"/>
        <v>274955678.03000003</v>
      </c>
      <c r="G350" s="328">
        <f t="shared" si="26"/>
        <v>478048150.80000001</v>
      </c>
      <c r="H350" s="328">
        <f t="shared" si="26"/>
        <v>208508442.5</v>
      </c>
      <c r="I350" s="328">
        <f t="shared" si="26"/>
        <v>0</v>
      </c>
      <c r="J350" s="328">
        <f t="shared" si="26"/>
        <v>45868786.333333336</v>
      </c>
    </row>
    <row r="351" spans="2:10" ht="15" thickTop="1" x14ac:dyDescent="0.3"/>
    <row r="352" spans="2:10" x14ac:dyDescent="0.3">
      <c r="G352" s="42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I102" sqref="I102"/>
    </sheetView>
  </sheetViews>
  <sheetFormatPr defaultRowHeight="14.4" outlineLevelRow="1" x14ac:dyDescent="0.3"/>
  <cols>
    <col min="1" max="1" width="3" style="134" bestFit="1" customWidth="1"/>
    <col min="2" max="2" width="47.33203125" style="5" bestFit="1" customWidth="1"/>
    <col min="3" max="3" width="10.44140625" style="5" bestFit="1" customWidth="1"/>
    <col min="4" max="4" width="8.88671875" style="6"/>
  </cols>
  <sheetData>
    <row r="1" spans="1:4" s="1755" customFormat="1" ht="18" x14ac:dyDescent="0.3">
      <c r="A1" s="1756" t="s">
        <v>30</v>
      </c>
      <c r="B1" s="1756"/>
      <c r="C1" s="1756"/>
      <c r="D1" s="1756"/>
    </row>
    <row r="2" spans="1:4" s="1" customFormat="1" x14ac:dyDescent="0.3">
      <c r="A2" s="4" t="s">
        <v>690</v>
      </c>
      <c r="B2" s="4"/>
      <c r="C2" s="4"/>
      <c r="D2" s="4"/>
    </row>
    <row r="3" spans="1:4" ht="15" thickBot="1" x14ac:dyDescent="0.35">
      <c r="A3" s="6"/>
      <c r="B3" s="6"/>
      <c r="C3" s="6"/>
    </row>
    <row r="4" spans="1:4" ht="15" thickBot="1" x14ac:dyDescent="0.35">
      <c r="A4" s="1617" t="s">
        <v>16</v>
      </c>
      <c r="B4" s="1618" t="s">
        <v>173</v>
      </c>
      <c r="C4" s="2548" t="s">
        <v>1001</v>
      </c>
    </row>
    <row r="5" spans="1:4" ht="14.4" hidden="1" customHeight="1" outlineLevel="1" x14ac:dyDescent="0.25">
      <c r="A5" s="1556" t="s">
        <v>41</v>
      </c>
      <c r="B5" s="1562" t="s">
        <v>165</v>
      </c>
      <c r="C5" s="2549"/>
    </row>
    <row r="6" spans="1:4" ht="14.4" hidden="1" customHeight="1" outlineLevel="1" x14ac:dyDescent="0.25">
      <c r="A6" s="1557" t="s">
        <v>32</v>
      </c>
      <c r="B6" s="1565" t="s">
        <v>455</v>
      </c>
      <c r="C6" s="2550"/>
    </row>
    <row r="7" spans="1:4" ht="14.4" hidden="1" customHeight="1" outlineLevel="1" x14ac:dyDescent="0.25">
      <c r="A7" s="1558">
        <v>1</v>
      </c>
      <c r="B7" s="1566" t="s">
        <v>698</v>
      </c>
      <c r="C7" s="2551">
        <v>23064</v>
      </c>
    </row>
    <row r="8" spans="1:4" ht="14.4" hidden="1" customHeight="1" outlineLevel="1" x14ac:dyDescent="0.25">
      <c r="A8" s="1558">
        <v>2</v>
      </c>
      <c r="B8" s="1566" t="s">
        <v>699</v>
      </c>
      <c r="C8" s="2551">
        <v>27747.294999999998</v>
      </c>
    </row>
    <row r="9" spans="1:4" ht="14.4" hidden="1" customHeight="1" outlineLevel="1" x14ac:dyDescent="0.25">
      <c r="A9" s="1558">
        <v>3</v>
      </c>
      <c r="B9" s="1566" t="s">
        <v>700</v>
      </c>
      <c r="C9" s="2551">
        <v>16145.07</v>
      </c>
    </row>
    <row r="10" spans="1:4" ht="14.4" hidden="1" customHeight="1" outlineLevel="1" x14ac:dyDescent="0.25">
      <c r="A10" s="1558">
        <v>4</v>
      </c>
      <c r="B10" s="1566" t="s">
        <v>701</v>
      </c>
      <c r="C10" s="2551">
        <v>9990.5</v>
      </c>
    </row>
    <row r="11" spans="1:4" ht="14.4" hidden="1" customHeight="1" outlineLevel="1" x14ac:dyDescent="0.25">
      <c r="A11" s="1558">
        <v>5</v>
      </c>
      <c r="B11" s="1566" t="s">
        <v>702</v>
      </c>
      <c r="C11" s="2551">
        <v>5970</v>
      </c>
    </row>
    <row r="12" spans="1:4" ht="14.4" hidden="1" customHeight="1" outlineLevel="1" x14ac:dyDescent="0.25">
      <c r="A12" s="1558">
        <v>6</v>
      </c>
      <c r="B12" s="1566" t="s">
        <v>703</v>
      </c>
      <c r="C12" s="2551">
        <v>44900</v>
      </c>
    </row>
    <row r="13" spans="1:4" ht="14.4" hidden="1" customHeight="1" outlineLevel="1" x14ac:dyDescent="0.25">
      <c r="A13" s="1558">
        <v>7</v>
      </c>
      <c r="B13" s="1566" t="s">
        <v>704</v>
      </c>
      <c r="C13" s="2551">
        <v>68591.744999999995</v>
      </c>
    </row>
    <row r="14" spans="1:4" ht="14.4" hidden="1" customHeight="1" outlineLevel="1" x14ac:dyDescent="0.25">
      <c r="A14" s="1558">
        <v>8</v>
      </c>
      <c r="B14" s="1566" t="s">
        <v>705</v>
      </c>
      <c r="C14" s="2551">
        <v>21507.040000000001</v>
      </c>
    </row>
    <row r="15" spans="1:4" ht="14.4" hidden="1" customHeight="1" outlineLevel="1" x14ac:dyDescent="0.25">
      <c r="A15" s="1558">
        <v>9</v>
      </c>
      <c r="B15" s="1566" t="s">
        <v>706</v>
      </c>
      <c r="C15" s="2551">
        <v>733928</v>
      </c>
    </row>
    <row r="16" spans="1:4" ht="14.4" hidden="1" customHeight="1" outlineLevel="1" x14ac:dyDescent="0.25">
      <c r="A16" s="1558">
        <v>10</v>
      </c>
      <c r="B16" s="1566" t="s">
        <v>707</v>
      </c>
      <c r="C16" s="2551">
        <v>7111.9449999999997</v>
      </c>
    </row>
    <row r="17" spans="1:3" ht="14.4" hidden="1" customHeight="1" outlineLevel="1" x14ac:dyDescent="0.25">
      <c r="A17" s="1558">
        <v>11</v>
      </c>
      <c r="B17" s="1566" t="s">
        <v>708</v>
      </c>
      <c r="C17" s="2551">
        <v>8000</v>
      </c>
    </row>
    <row r="18" spans="1:3" ht="14.4" hidden="1" customHeight="1" outlineLevel="1" x14ac:dyDescent="0.25">
      <c r="A18" s="1558">
        <v>12</v>
      </c>
      <c r="B18" s="1566" t="s">
        <v>709</v>
      </c>
      <c r="C18" s="2551">
        <v>454951</v>
      </c>
    </row>
    <row r="19" spans="1:3" ht="14.4" hidden="1" customHeight="1" outlineLevel="1" x14ac:dyDescent="0.25">
      <c r="A19" s="1558">
        <v>13</v>
      </c>
      <c r="B19" s="1566" t="s">
        <v>710</v>
      </c>
      <c r="C19" s="2551">
        <v>29834.25</v>
      </c>
    </row>
    <row r="20" spans="1:3" ht="14.4" hidden="1" customHeight="1" outlineLevel="1" x14ac:dyDescent="0.25">
      <c r="A20" s="1558">
        <v>14</v>
      </c>
      <c r="B20" s="1566" t="s">
        <v>711</v>
      </c>
      <c r="C20" s="2551">
        <v>362719.5</v>
      </c>
    </row>
    <row r="21" spans="1:3" ht="14.4" hidden="1" customHeight="1" outlineLevel="1" x14ac:dyDescent="0.25">
      <c r="A21" s="1558">
        <v>15</v>
      </c>
      <c r="B21" s="1566" t="s">
        <v>712</v>
      </c>
      <c r="C21" s="2551">
        <v>18879.5</v>
      </c>
    </row>
    <row r="22" spans="1:3" ht="14.4" hidden="1" customHeight="1" outlineLevel="1" x14ac:dyDescent="0.25">
      <c r="A22" s="1558">
        <v>16</v>
      </c>
      <c r="B22" s="1566" t="s">
        <v>713</v>
      </c>
      <c r="C22" s="2551">
        <v>264</v>
      </c>
    </row>
    <row r="23" spans="1:3" ht="14.4" hidden="1" customHeight="1" outlineLevel="1" x14ac:dyDescent="0.25">
      <c r="A23" s="1558">
        <v>17</v>
      </c>
      <c r="B23" s="1566" t="s">
        <v>714</v>
      </c>
      <c r="C23" s="2551">
        <v>15674.33</v>
      </c>
    </row>
    <row r="24" spans="1:3" ht="14.4" hidden="1" customHeight="1" outlineLevel="1" x14ac:dyDescent="0.25">
      <c r="A24" s="1558">
        <v>18</v>
      </c>
      <c r="B24" s="1566" t="s">
        <v>715</v>
      </c>
      <c r="C24" s="2551">
        <v>25322.5</v>
      </c>
    </row>
    <row r="25" spans="1:3" ht="14.4" hidden="1" customHeight="1" outlineLevel="1" x14ac:dyDescent="0.25">
      <c r="A25" s="1558">
        <v>19</v>
      </c>
      <c r="B25" s="1566" t="s">
        <v>716</v>
      </c>
      <c r="C25" s="2551">
        <v>390</v>
      </c>
    </row>
    <row r="26" spans="1:3" ht="14.4" hidden="1" customHeight="1" outlineLevel="1" x14ac:dyDescent="0.25">
      <c r="A26" s="1558">
        <v>20</v>
      </c>
      <c r="B26" s="1566" t="s">
        <v>717</v>
      </c>
      <c r="C26" s="2551">
        <v>43225</v>
      </c>
    </row>
    <row r="27" spans="1:3" ht="14.4" hidden="1" customHeight="1" outlineLevel="1" x14ac:dyDescent="0.25">
      <c r="A27" s="1558">
        <v>21</v>
      </c>
      <c r="B27" s="1566" t="s">
        <v>718</v>
      </c>
      <c r="C27" s="2551">
        <v>137220</v>
      </c>
    </row>
    <row r="28" spans="1:3" ht="14.4" hidden="1" customHeight="1" outlineLevel="1" x14ac:dyDescent="0.25">
      <c r="A28" s="1558">
        <v>22</v>
      </c>
      <c r="B28" s="1566" t="s">
        <v>719</v>
      </c>
      <c r="C28" s="2551">
        <v>506</v>
      </c>
    </row>
    <row r="29" spans="1:3" ht="14.4" hidden="1" customHeight="1" outlineLevel="1" x14ac:dyDescent="0.25">
      <c r="A29" s="1558">
        <v>23</v>
      </c>
      <c r="B29" s="1566" t="s">
        <v>720</v>
      </c>
      <c r="C29" s="2551">
        <v>500</v>
      </c>
    </row>
    <row r="30" spans="1:3" ht="14.4" hidden="1" customHeight="1" outlineLevel="1" x14ac:dyDescent="0.25">
      <c r="A30" s="1558">
        <v>24</v>
      </c>
      <c r="B30" s="1566" t="s">
        <v>721</v>
      </c>
      <c r="C30" s="2551">
        <v>85285.5</v>
      </c>
    </row>
    <row r="31" spans="1:3" ht="14.4" hidden="1" customHeight="1" outlineLevel="1" x14ac:dyDescent="0.25">
      <c r="A31" s="1558">
        <v>25</v>
      </c>
      <c r="B31" s="1566" t="s">
        <v>722</v>
      </c>
      <c r="C31" s="2551">
        <v>32000</v>
      </c>
    </row>
    <row r="32" spans="1:3" ht="14.4" hidden="1" customHeight="1" outlineLevel="1" x14ac:dyDescent="0.25">
      <c r="A32" s="1558">
        <v>26</v>
      </c>
      <c r="B32" s="1566" t="s">
        <v>723</v>
      </c>
      <c r="C32" s="2551">
        <v>5000</v>
      </c>
    </row>
    <row r="33" spans="1:3" ht="14.4" hidden="1" customHeight="1" outlineLevel="1" x14ac:dyDescent="0.25">
      <c r="A33" s="1558">
        <v>27</v>
      </c>
      <c r="B33" s="1566" t="s">
        <v>724</v>
      </c>
      <c r="C33" s="2551">
        <v>13770</v>
      </c>
    </row>
    <row r="34" spans="1:3" ht="14.4" hidden="1" customHeight="1" outlineLevel="1" x14ac:dyDescent="0.25">
      <c r="A34" s="1558">
        <v>28</v>
      </c>
      <c r="B34" s="1566" t="s">
        <v>725</v>
      </c>
      <c r="C34" s="2551">
        <v>1676758.5</v>
      </c>
    </row>
    <row r="35" spans="1:3" ht="14.4" hidden="1" customHeight="1" outlineLevel="1" x14ac:dyDescent="0.25">
      <c r="A35" s="1558">
        <v>29</v>
      </c>
      <c r="B35" s="1566" t="s">
        <v>726</v>
      </c>
      <c r="C35" s="2551">
        <v>22081</v>
      </c>
    </row>
    <row r="36" spans="1:3" ht="14.4" hidden="1" customHeight="1" outlineLevel="1" x14ac:dyDescent="0.25">
      <c r="A36" s="1558">
        <v>30</v>
      </c>
      <c r="B36" s="1566" t="s">
        <v>727</v>
      </c>
      <c r="C36" s="2551">
        <v>11209</v>
      </c>
    </row>
    <row r="37" spans="1:3" ht="14.4" hidden="1" customHeight="1" outlineLevel="1" x14ac:dyDescent="0.25">
      <c r="A37" s="1558">
        <v>31</v>
      </c>
      <c r="B37" s="1566" t="s">
        <v>728</v>
      </c>
      <c r="C37" s="2551">
        <v>1219.5</v>
      </c>
    </row>
    <row r="38" spans="1:3" ht="14.4" hidden="1" customHeight="1" outlineLevel="1" x14ac:dyDescent="0.25">
      <c r="A38" s="1558">
        <v>32</v>
      </c>
      <c r="B38" s="1566" t="s">
        <v>729</v>
      </c>
      <c r="C38" s="2551">
        <v>45741.5</v>
      </c>
    </row>
    <row r="39" spans="1:3" ht="14.4" hidden="1" customHeight="1" outlineLevel="1" x14ac:dyDescent="0.25">
      <c r="A39" s="1558">
        <v>33</v>
      </c>
      <c r="B39" s="1566" t="s">
        <v>730</v>
      </c>
      <c r="C39" s="2551">
        <v>34495</v>
      </c>
    </row>
    <row r="40" spans="1:3" ht="14.4" hidden="1" customHeight="1" outlineLevel="1" x14ac:dyDescent="0.25">
      <c r="A40" s="1558">
        <v>34</v>
      </c>
      <c r="B40" s="1566" t="s">
        <v>731</v>
      </c>
      <c r="C40" s="2551">
        <v>190405</v>
      </c>
    </row>
    <row r="41" spans="1:3" ht="14.4" hidden="1" customHeight="1" outlineLevel="1" x14ac:dyDescent="0.25">
      <c r="A41" s="1558">
        <v>35</v>
      </c>
      <c r="B41" s="1566" t="s">
        <v>732</v>
      </c>
      <c r="C41" s="2551">
        <v>11000</v>
      </c>
    </row>
    <row r="42" spans="1:3" ht="14.4" hidden="1" customHeight="1" outlineLevel="1" x14ac:dyDescent="0.25">
      <c r="A42" s="1558">
        <v>36</v>
      </c>
      <c r="B42" s="1566" t="s">
        <v>733</v>
      </c>
      <c r="C42" s="2551">
        <v>202049.625</v>
      </c>
    </row>
    <row r="43" spans="1:3" ht="14.4" hidden="1" customHeight="1" outlineLevel="1" x14ac:dyDescent="0.25">
      <c r="A43" s="1558">
        <v>37</v>
      </c>
      <c r="B43" s="1566" t="s">
        <v>734</v>
      </c>
      <c r="C43" s="2551">
        <v>2750</v>
      </c>
    </row>
    <row r="44" spans="1:3" ht="14.4" hidden="1" customHeight="1" outlineLevel="1" x14ac:dyDescent="0.25">
      <c r="A44" s="1558">
        <v>38</v>
      </c>
      <c r="B44" s="1566" t="s">
        <v>735</v>
      </c>
      <c r="C44" s="2551">
        <v>2550</v>
      </c>
    </row>
    <row r="45" spans="1:3" ht="14.4" hidden="1" customHeight="1" outlineLevel="1" x14ac:dyDescent="0.25">
      <c r="A45" s="1558">
        <v>39</v>
      </c>
      <c r="B45" s="1566" t="s">
        <v>736</v>
      </c>
      <c r="C45" s="2551">
        <v>534598.25</v>
      </c>
    </row>
    <row r="46" spans="1:3" ht="14.4" hidden="1" customHeight="1" outlineLevel="1" x14ac:dyDescent="0.25">
      <c r="A46" s="1558">
        <v>40</v>
      </c>
      <c r="B46" s="1566" t="s">
        <v>737</v>
      </c>
      <c r="C46" s="2551">
        <v>750</v>
      </c>
    </row>
    <row r="47" spans="1:3" collapsed="1" x14ac:dyDescent="0.25">
      <c r="A47" s="1613"/>
      <c r="B47" s="1614" t="s">
        <v>456</v>
      </c>
      <c r="C47" s="2552">
        <f>SUM(C7:C46)</f>
        <v>4928104.55</v>
      </c>
    </row>
    <row r="48" spans="1:3" ht="14.4" hidden="1" customHeight="1" outlineLevel="1" x14ac:dyDescent="0.25">
      <c r="A48" s="1615" t="s">
        <v>33</v>
      </c>
      <c r="B48" s="1616" t="s">
        <v>457</v>
      </c>
      <c r="C48" s="2553"/>
    </row>
    <row r="49" spans="1:3" ht="14.4" hidden="1" customHeight="1" outlineLevel="1" x14ac:dyDescent="0.25">
      <c r="A49" s="1540">
        <v>1</v>
      </c>
      <c r="B49" s="1563" t="s">
        <v>701</v>
      </c>
      <c r="C49" s="2551">
        <v>1245</v>
      </c>
    </row>
    <row r="50" spans="1:3" ht="14.4" hidden="1" customHeight="1" outlineLevel="1" x14ac:dyDescent="0.25">
      <c r="A50" s="1540">
        <v>2</v>
      </c>
      <c r="B50" s="1563" t="s">
        <v>738</v>
      </c>
      <c r="C50" s="2551">
        <v>45450</v>
      </c>
    </row>
    <row r="51" spans="1:3" ht="14.4" hidden="1" customHeight="1" outlineLevel="1" x14ac:dyDescent="0.25">
      <c r="A51" s="1540">
        <v>3</v>
      </c>
      <c r="B51" s="1563" t="s">
        <v>739</v>
      </c>
      <c r="C51" s="2551">
        <v>65712.5</v>
      </c>
    </row>
    <row r="52" spans="1:3" ht="14.4" hidden="1" customHeight="1" outlineLevel="1" x14ac:dyDescent="0.25">
      <c r="A52" s="1540">
        <v>4</v>
      </c>
      <c r="B52" s="1563" t="s">
        <v>740</v>
      </c>
      <c r="C52" s="2551">
        <v>6852</v>
      </c>
    </row>
    <row r="53" spans="1:3" ht="14.4" hidden="1" customHeight="1" outlineLevel="1" x14ac:dyDescent="0.25">
      <c r="A53" s="1540">
        <v>5</v>
      </c>
      <c r="B53" s="1563" t="s">
        <v>699</v>
      </c>
      <c r="C53" s="2551">
        <v>3368.4650000000001</v>
      </c>
    </row>
    <row r="54" spans="1:3" ht="14.4" hidden="1" customHeight="1" outlineLevel="1" x14ac:dyDescent="0.25">
      <c r="A54" s="1540">
        <v>6</v>
      </c>
      <c r="B54" s="1563" t="s">
        <v>715</v>
      </c>
      <c r="C54" s="2551">
        <v>200</v>
      </c>
    </row>
    <row r="55" spans="1:3" ht="14.4" hidden="1" customHeight="1" outlineLevel="1" x14ac:dyDescent="0.25">
      <c r="A55" s="1540">
        <v>7</v>
      </c>
      <c r="B55" s="1563" t="s">
        <v>741</v>
      </c>
      <c r="C55" s="2551">
        <v>1125</v>
      </c>
    </row>
    <row r="56" spans="1:3" ht="14.4" hidden="1" customHeight="1" outlineLevel="1" x14ac:dyDescent="0.25">
      <c r="A56" s="1540">
        <v>8</v>
      </c>
      <c r="B56" s="1563" t="s">
        <v>721</v>
      </c>
      <c r="C56" s="2551">
        <v>5545</v>
      </c>
    </row>
    <row r="57" spans="1:3" ht="14.4" hidden="1" customHeight="1" outlineLevel="1" x14ac:dyDescent="0.25">
      <c r="A57" s="1540">
        <v>9</v>
      </c>
      <c r="B57" s="1563" t="s">
        <v>742</v>
      </c>
      <c r="C57" s="2551">
        <v>27010</v>
      </c>
    </row>
    <row r="58" spans="1:3" ht="14.4" hidden="1" customHeight="1" outlineLevel="1" x14ac:dyDescent="0.25">
      <c r="A58" s="1540">
        <v>10</v>
      </c>
      <c r="B58" s="1563" t="s">
        <v>734</v>
      </c>
      <c r="C58" s="2551">
        <v>54661</v>
      </c>
    </row>
    <row r="59" spans="1:3" ht="14.4" hidden="1" customHeight="1" outlineLevel="1" x14ac:dyDescent="0.25">
      <c r="A59" s="1540">
        <v>11</v>
      </c>
      <c r="B59" s="1563" t="s">
        <v>705</v>
      </c>
      <c r="C59" s="2551">
        <v>7873.2849999999989</v>
      </c>
    </row>
    <row r="60" spans="1:3" ht="14.4" hidden="1" customHeight="1" outlineLevel="1" x14ac:dyDescent="0.25">
      <c r="A60" s="1540">
        <v>12</v>
      </c>
      <c r="B60" s="1563" t="s">
        <v>723</v>
      </c>
      <c r="C60" s="2551">
        <v>0</v>
      </c>
    </row>
    <row r="61" spans="1:3" ht="14.4" hidden="1" customHeight="1" outlineLevel="1" x14ac:dyDescent="0.25">
      <c r="A61" s="1540">
        <v>13</v>
      </c>
      <c r="B61" s="1563" t="s">
        <v>719</v>
      </c>
      <c r="C61" s="2551">
        <v>915</v>
      </c>
    </row>
    <row r="62" spans="1:3" ht="14.4" hidden="1" customHeight="1" outlineLevel="1" x14ac:dyDescent="0.25">
      <c r="A62" s="1540">
        <v>14</v>
      </c>
      <c r="B62" s="1563" t="s">
        <v>712</v>
      </c>
      <c r="C62" s="2551">
        <v>6900</v>
      </c>
    </row>
    <row r="63" spans="1:3" ht="14.4" hidden="1" customHeight="1" outlineLevel="1" x14ac:dyDescent="0.25">
      <c r="A63" s="1540">
        <v>15</v>
      </c>
      <c r="B63" s="1563" t="s">
        <v>698</v>
      </c>
      <c r="C63" s="2551">
        <v>9325</v>
      </c>
    </row>
    <row r="64" spans="1:3" ht="14.4" hidden="1" customHeight="1" outlineLevel="1" x14ac:dyDescent="0.25">
      <c r="A64" s="1540">
        <v>16</v>
      </c>
      <c r="B64" s="1563" t="s">
        <v>725</v>
      </c>
      <c r="C64" s="2551">
        <v>428765</v>
      </c>
    </row>
    <row r="65" spans="1:3" ht="14.4" hidden="1" customHeight="1" outlineLevel="1" x14ac:dyDescent="0.25">
      <c r="A65" s="1540">
        <v>17</v>
      </c>
      <c r="B65" s="1563" t="s">
        <v>703</v>
      </c>
      <c r="C65" s="2551">
        <v>51500.5</v>
      </c>
    </row>
    <row r="66" spans="1:3" ht="14.4" hidden="1" customHeight="1" outlineLevel="1" x14ac:dyDescent="0.25">
      <c r="A66" s="1540">
        <v>18</v>
      </c>
      <c r="B66" s="1563" t="s">
        <v>729</v>
      </c>
      <c r="C66" s="2551">
        <v>7820.5</v>
      </c>
    </row>
    <row r="67" spans="1:3" ht="14.4" hidden="1" customHeight="1" outlineLevel="1" x14ac:dyDescent="0.25">
      <c r="A67" s="1540">
        <v>19</v>
      </c>
      <c r="B67" s="1563" t="s">
        <v>727</v>
      </c>
      <c r="C67" s="2551">
        <v>3429.5</v>
      </c>
    </row>
    <row r="68" spans="1:3" ht="14.4" hidden="1" customHeight="1" outlineLevel="1" x14ac:dyDescent="0.25">
      <c r="A68" s="1540">
        <v>20</v>
      </c>
      <c r="B68" s="1563" t="s">
        <v>700</v>
      </c>
      <c r="C68" s="2551">
        <v>4675</v>
      </c>
    </row>
    <row r="69" spans="1:3" ht="14.4" hidden="1" customHeight="1" outlineLevel="1" x14ac:dyDescent="0.25">
      <c r="A69" s="1540">
        <v>21</v>
      </c>
      <c r="B69" s="1563" t="s">
        <v>743</v>
      </c>
      <c r="C69" s="2551">
        <v>119600</v>
      </c>
    </row>
    <row r="70" spans="1:3" ht="14.4" hidden="1" customHeight="1" outlineLevel="1" x14ac:dyDescent="0.25">
      <c r="A70" s="1540">
        <v>22</v>
      </c>
      <c r="B70" s="1563" t="s">
        <v>730</v>
      </c>
      <c r="C70" s="2551">
        <v>40036</v>
      </c>
    </row>
    <row r="71" spans="1:3" ht="14.4" hidden="1" customHeight="1" outlineLevel="1" x14ac:dyDescent="0.25">
      <c r="A71" s="1540">
        <v>23</v>
      </c>
      <c r="B71" s="1563" t="s">
        <v>744</v>
      </c>
      <c r="C71" s="2551">
        <v>123532.5</v>
      </c>
    </row>
    <row r="72" spans="1:3" ht="14.4" hidden="1" customHeight="1" outlineLevel="1" x14ac:dyDescent="0.25">
      <c r="A72" s="1540">
        <v>24</v>
      </c>
      <c r="B72" s="1563" t="s">
        <v>745</v>
      </c>
      <c r="C72" s="2551">
        <v>1948</v>
      </c>
    </row>
    <row r="73" spans="1:3" ht="14.4" hidden="1" customHeight="1" outlineLevel="1" x14ac:dyDescent="0.25">
      <c r="A73" s="1540">
        <v>25</v>
      </c>
      <c r="B73" s="1563" t="s">
        <v>731</v>
      </c>
      <c r="C73" s="2551">
        <v>6725.5</v>
      </c>
    </row>
    <row r="74" spans="1:3" ht="14.4" hidden="1" customHeight="1" outlineLevel="1" x14ac:dyDescent="0.25">
      <c r="A74" s="1540">
        <v>26</v>
      </c>
      <c r="B74" s="1563" t="s">
        <v>746</v>
      </c>
      <c r="C74" s="2551">
        <v>5175</v>
      </c>
    </row>
    <row r="75" spans="1:3" ht="14.4" hidden="1" customHeight="1" outlineLevel="1" x14ac:dyDescent="0.25">
      <c r="A75" s="1540">
        <v>27</v>
      </c>
      <c r="B75" s="1563" t="s">
        <v>717</v>
      </c>
      <c r="C75" s="2551">
        <v>1032</v>
      </c>
    </row>
    <row r="76" spans="1:3" ht="14.4" hidden="1" customHeight="1" outlineLevel="1" x14ac:dyDescent="0.25">
      <c r="A76" s="1540">
        <v>28</v>
      </c>
      <c r="B76" s="1563" t="s">
        <v>747</v>
      </c>
      <c r="C76" s="2551">
        <v>4767</v>
      </c>
    </row>
    <row r="77" spans="1:3" collapsed="1" x14ac:dyDescent="0.25">
      <c r="A77" s="1613"/>
      <c r="B77" s="1614" t="s">
        <v>762</v>
      </c>
      <c r="C77" s="2552">
        <f>SUM(C49:C76)</f>
        <v>1035188.75</v>
      </c>
    </row>
    <row r="78" spans="1:3" ht="14.4" hidden="1" customHeight="1" outlineLevel="1" x14ac:dyDescent="0.25">
      <c r="A78" s="1615" t="s">
        <v>35</v>
      </c>
      <c r="B78" s="1616" t="s">
        <v>459</v>
      </c>
      <c r="C78" s="2553"/>
    </row>
    <row r="79" spans="1:3" ht="14.4" hidden="1" customHeight="1" outlineLevel="1" x14ac:dyDescent="0.25">
      <c r="A79" s="1540">
        <v>1</v>
      </c>
      <c r="B79" s="1563" t="s">
        <v>701</v>
      </c>
      <c r="C79" s="2551">
        <v>976</v>
      </c>
    </row>
    <row r="80" spans="1:3" ht="14.4" hidden="1" customHeight="1" outlineLevel="1" x14ac:dyDescent="0.25">
      <c r="A80" s="1540">
        <v>2</v>
      </c>
      <c r="B80" s="1563" t="s">
        <v>719</v>
      </c>
      <c r="C80" s="2551">
        <v>1630</v>
      </c>
    </row>
    <row r="81" spans="1:3" ht="14.4" hidden="1" customHeight="1" outlineLevel="1" x14ac:dyDescent="0.25">
      <c r="A81" s="1540">
        <v>3</v>
      </c>
      <c r="B81" s="1563" t="s">
        <v>705</v>
      </c>
      <c r="C81" s="2551">
        <v>300</v>
      </c>
    </row>
    <row r="82" spans="1:3" ht="14.4" hidden="1" customHeight="1" outlineLevel="1" x14ac:dyDescent="0.25">
      <c r="A82" s="1540">
        <v>4</v>
      </c>
      <c r="B82" s="1563" t="s">
        <v>699</v>
      </c>
      <c r="C82" s="2551">
        <v>407.5</v>
      </c>
    </row>
    <row r="83" spans="1:3" ht="14.4" hidden="1" customHeight="1" outlineLevel="1" x14ac:dyDescent="0.25">
      <c r="A83" s="1540">
        <v>5</v>
      </c>
      <c r="B83" s="1563" t="s">
        <v>733</v>
      </c>
      <c r="C83" s="2551">
        <v>252172.23499999999</v>
      </c>
    </row>
    <row r="84" spans="1:3" ht="14.4" hidden="1" customHeight="1" outlineLevel="1" x14ac:dyDescent="0.25">
      <c r="A84" s="1540">
        <v>6</v>
      </c>
      <c r="B84" s="1563" t="s">
        <v>749</v>
      </c>
      <c r="C84" s="2551">
        <v>987</v>
      </c>
    </row>
    <row r="85" spans="1:3" ht="14.4" hidden="1" customHeight="1" outlineLevel="1" x14ac:dyDescent="0.25">
      <c r="A85" s="1540">
        <v>7</v>
      </c>
      <c r="B85" s="1563" t="s">
        <v>725</v>
      </c>
      <c r="C85" s="2551">
        <v>1099961.5</v>
      </c>
    </row>
    <row r="86" spans="1:3" ht="14.4" hidden="1" customHeight="1" outlineLevel="1" x14ac:dyDescent="0.25">
      <c r="A86" s="1540">
        <v>8</v>
      </c>
      <c r="B86" s="1563" t="s">
        <v>735</v>
      </c>
      <c r="C86" s="2551">
        <v>200</v>
      </c>
    </row>
    <row r="87" spans="1:3" ht="14.4" hidden="1" customHeight="1" outlineLevel="1" x14ac:dyDescent="0.25">
      <c r="A87" s="1540">
        <v>9</v>
      </c>
      <c r="B87" s="1563" t="s">
        <v>750</v>
      </c>
      <c r="C87" s="2551">
        <v>168510</v>
      </c>
    </row>
    <row r="88" spans="1:3" ht="14.4" hidden="1" customHeight="1" outlineLevel="1" x14ac:dyDescent="0.25">
      <c r="A88" s="1540">
        <v>10</v>
      </c>
      <c r="B88" s="1563" t="s">
        <v>751</v>
      </c>
      <c r="C88" s="2551">
        <v>0</v>
      </c>
    </row>
    <row r="89" spans="1:3" collapsed="1" x14ac:dyDescent="0.25">
      <c r="A89" s="1613"/>
      <c r="B89" s="1614" t="s">
        <v>759</v>
      </c>
      <c r="C89" s="2552">
        <f>SUM(C79:C88)</f>
        <v>1525144.2349999999</v>
      </c>
    </row>
    <row r="90" spans="1:3" ht="14.4" hidden="1" customHeight="1" outlineLevel="1" x14ac:dyDescent="0.25">
      <c r="A90" s="1615" t="s">
        <v>36</v>
      </c>
      <c r="B90" s="1616" t="s">
        <v>167</v>
      </c>
      <c r="C90" s="2553"/>
    </row>
    <row r="91" spans="1:3" ht="14.4" hidden="1" customHeight="1" outlineLevel="1" x14ac:dyDescent="0.25">
      <c r="A91" s="1540">
        <v>1</v>
      </c>
      <c r="B91" s="1563" t="s">
        <v>717</v>
      </c>
      <c r="C91" s="2551">
        <v>90065</v>
      </c>
    </row>
    <row r="92" spans="1:3" ht="14.4" hidden="1" customHeight="1" outlineLevel="1" x14ac:dyDescent="0.25">
      <c r="A92" s="1540">
        <v>2</v>
      </c>
      <c r="B92" s="1563" t="s">
        <v>714</v>
      </c>
      <c r="C92" s="2551">
        <v>0</v>
      </c>
    </row>
    <row r="93" spans="1:3" ht="14.4" hidden="1" customHeight="1" outlineLevel="1" x14ac:dyDescent="0.25">
      <c r="A93" s="1540">
        <v>3</v>
      </c>
      <c r="B93" s="1563" t="s">
        <v>715</v>
      </c>
      <c r="C93" s="2551">
        <v>150</v>
      </c>
    </row>
    <row r="94" spans="1:3" ht="14.4" hidden="1" customHeight="1" outlineLevel="1" x14ac:dyDescent="0.25">
      <c r="A94" s="1540">
        <v>4</v>
      </c>
      <c r="B94" s="1563" t="s">
        <v>733</v>
      </c>
      <c r="C94" s="2551">
        <v>109940</v>
      </c>
    </row>
    <row r="95" spans="1:3" ht="14.4" hidden="1" customHeight="1" outlineLevel="1" x14ac:dyDescent="0.25">
      <c r="A95" s="1540">
        <v>5</v>
      </c>
      <c r="B95" s="1563" t="s">
        <v>718</v>
      </c>
      <c r="C95" s="2551">
        <v>4000</v>
      </c>
    </row>
    <row r="96" spans="1:3" ht="14.4" hidden="1" customHeight="1" outlineLevel="1" x14ac:dyDescent="0.25">
      <c r="A96" s="1540">
        <v>6</v>
      </c>
      <c r="B96" s="1563" t="s">
        <v>703</v>
      </c>
      <c r="C96" s="2551">
        <v>17215</v>
      </c>
    </row>
    <row r="97" spans="1:3" ht="14.4" hidden="1" customHeight="1" outlineLevel="1" x14ac:dyDescent="0.25">
      <c r="A97" s="1540">
        <v>7</v>
      </c>
      <c r="B97" s="1563" t="s">
        <v>725</v>
      </c>
      <c r="C97" s="2551">
        <v>649055.5</v>
      </c>
    </row>
    <row r="98" spans="1:3" ht="14.4" hidden="1" customHeight="1" outlineLevel="1" x14ac:dyDescent="0.25">
      <c r="A98" s="1540">
        <v>8</v>
      </c>
      <c r="B98" s="1563" t="s">
        <v>729</v>
      </c>
      <c r="C98" s="2551">
        <v>1965.5</v>
      </c>
    </row>
    <row r="99" spans="1:3" ht="14.4" hidden="1" customHeight="1" outlineLevel="1" x14ac:dyDescent="0.25">
      <c r="A99" s="1540">
        <v>9</v>
      </c>
      <c r="B99" s="1563" t="s">
        <v>752</v>
      </c>
      <c r="C99" s="2551">
        <v>340449.5</v>
      </c>
    </row>
    <row r="100" spans="1:3" collapsed="1" x14ac:dyDescent="0.25">
      <c r="A100" s="1613"/>
      <c r="B100" s="1614" t="s">
        <v>757</v>
      </c>
      <c r="C100" s="2552">
        <f>SUM(C91:C99)</f>
        <v>1212840.5</v>
      </c>
    </row>
    <row r="101" spans="1:3" ht="15" thickBot="1" x14ac:dyDescent="0.3">
      <c r="A101" s="1611"/>
      <c r="B101" s="1612" t="s">
        <v>176</v>
      </c>
      <c r="C101" s="2554">
        <f>C47+C77+C89+C100</f>
        <v>8701278.0350000001</v>
      </c>
    </row>
    <row r="105" spans="1:3" x14ac:dyDescent="0.3">
      <c r="C105" s="48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2" tint="-0.499984740745262"/>
  </sheetPr>
  <dimension ref="A1:J21"/>
  <sheetViews>
    <sheetView zoomScale="174" zoomScaleNormal="17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4" sqref="I14"/>
    </sheetView>
  </sheetViews>
  <sheetFormatPr defaultRowHeight="14.4" x14ac:dyDescent="0.3"/>
  <cols>
    <col min="1" max="1" width="3.33203125" style="57" customWidth="1"/>
    <col min="2" max="2" width="25.5546875" style="10" bestFit="1" customWidth="1"/>
    <col min="3" max="3" width="14" style="54" bestFit="1" customWidth="1"/>
    <col min="4" max="4" width="6.88671875" style="55" customWidth="1"/>
    <col min="5" max="5" width="11.5546875" style="56" customWidth="1"/>
    <col min="6" max="6" width="8.88671875" style="6"/>
    <col min="7" max="7" width="9.21875" style="6" bestFit="1" customWidth="1"/>
    <col min="8" max="8" width="9" style="6" bestFit="1" customWidth="1"/>
    <col min="9" max="10" width="8.88671875" style="6"/>
  </cols>
  <sheetData>
    <row r="1" spans="1:8" ht="17.399999999999999" x14ac:dyDescent="0.3">
      <c r="A1" s="9" t="s">
        <v>14</v>
      </c>
      <c r="C1" s="11"/>
      <c r="D1" s="11"/>
      <c r="E1" s="11"/>
    </row>
    <row r="2" spans="1:8" x14ac:dyDescent="0.3">
      <c r="A2" s="12" t="s">
        <v>15</v>
      </c>
      <c r="C2" s="13"/>
      <c r="D2" s="13"/>
      <c r="E2" s="13"/>
    </row>
    <row r="3" spans="1:8" x14ac:dyDescent="0.25">
      <c r="A3" s="14" t="s">
        <v>16</v>
      </c>
      <c r="B3" s="15" t="s">
        <v>17</v>
      </c>
      <c r="C3" s="16" t="s">
        <v>29</v>
      </c>
      <c r="D3" s="17" t="s">
        <v>18</v>
      </c>
      <c r="E3" s="18" t="s">
        <v>19</v>
      </c>
    </row>
    <row r="4" spans="1:8" ht="16.2" x14ac:dyDescent="0.25">
      <c r="A4" s="19">
        <v>1</v>
      </c>
      <c r="B4" s="20" t="s">
        <v>20</v>
      </c>
      <c r="C4" s="21">
        <v>870</v>
      </c>
      <c r="D4" s="22">
        <v>0.3</v>
      </c>
      <c r="E4" s="23">
        <f>C4*D4</f>
        <v>261</v>
      </c>
    </row>
    <row r="5" spans="1:8" ht="16.2" x14ac:dyDescent="0.25">
      <c r="A5" s="24">
        <v>2</v>
      </c>
      <c r="B5" s="25" t="s">
        <v>21</v>
      </c>
      <c r="C5" s="26">
        <v>830</v>
      </c>
      <c r="D5" s="27">
        <v>0.7</v>
      </c>
      <c r="E5" s="28">
        <f>C5*D5</f>
        <v>581</v>
      </c>
    </row>
    <row r="6" spans="1:8" x14ac:dyDescent="0.25">
      <c r="A6" s="29">
        <v>3</v>
      </c>
      <c r="B6" s="30" t="s">
        <v>22</v>
      </c>
      <c r="C6" s="31"/>
      <c r="D6" s="32">
        <f>SUM(D4:D5)</f>
        <v>1</v>
      </c>
      <c r="E6" s="33">
        <f>(E4+E5)</f>
        <v>842</v>
      </c>
    </row>
    <row r="7" spans="1:8" x14ac:dyDescent="0.25">
      <c r="A7" s="24">
        <v>4</v>
      </c>
      <c r="B7" s="34" t="s">
        <v>23</v>
      </c>
      <c r="C7" s="35"/>
      <c r="D7" s="36"/>
      <c r="E7" s="28">
        <v>115</v>
      </c>
    </row>
    <row r="8" spans="1:8" x14ac:dyDescent="0.25">
      <c r="A8" s="29">
        <v>5</v>
      </c>
      <c r="B8" s="30" t="s">
        <v>24</v>
      </c>
      <c r="C8" s="31"/>
      <c r="D8" s="37"/>
      <c r="E8" s="33">
        <f>SUM(E6+E7)</f>
        <v>957</v>
      </c>
    </row>
    <row r="9" spans="1:8" x14ac:dyDescent="0.25">
      <c r="A9" s="24">
        <v>6</v>
      </c>
      <c r="B9" s="34" t="s">
        <v>25</v>
      </c>
      <c r="C9" s="38">
        <v>86</v>
      </c>
      <c r="D9" s="36"/>
      <c r="E9" s="39"/>
    </row>
    <row r="10" spans="1:8" x14ac:dyDescent="0.25">
      <c r="A10" s="40">
        <v>7</v>
      </c>
      <c r="B10" s="41" t="s">
        <v>26</v>
      </c>
      <c r="C10" s="42"/>
      <c r="D10" s="43"/>
      <c r="E10" s="44">
        <f>E8*C9</f>
        <v>82302</v>
      </c>
      <c r="G10" s="7">
        <v>77782</v>
      </c>
      <c r="H10" s="126">
        <f>E10/G10-1</f>
        <v>5.8111131110025527E-2</v>
      </c>
    </row>
    <row r="11" spans="1:8" x14ac:dyDescent="0.25">
      <c r="A11" s="45">
        <v>8</v>
      </c>
      <c r="B11" s="46" t="s">
        <v>27</v>
      </c>
      <c r="C11" s="47"/>
      <c r="D11" s="48"/>
      <c r="E11" s="49">
        <v>1000</v>
      </c>
    </row>
    <row r="12" spans="1:8" x14ac:dyDescent="0.25">
      <c r="A12" s="40">
        <v>9</v>
      </c>
      <c r="B12" s="50" t="s">
        <v>28</v>
      </c>
      <c r="C12" s="51"/>
      <c r="D12" s="52"/>
      <c r="E12" s="44">
        <f>E10/E11</f>
        <v>82.302000000000007</v>
      </c>
    </row>
    <row r="13" spans="1:8" x14ac:dyDescent="0.25">
      <c r="A13" s="53"/>
      <c r="E13" s="56" t="s">
        <v>150</v>
      </c>
      <c r="G13" s="6" t="s">
        <v>151</v>
      </c>
    </row>
    <row r="14" spans="1:8" x14ac:dyDescent="0.3">
      <c r="A14" s="53"/>
      <c r="B14" s="10" t="s">
        <v>145</v>
      </c>
      <c r="E14" s="56">
        <v>1212</v>
      </c>
      <c r="G14" s="124">
        <v>1160</v>
      </c>
    </row>
    <row r="15" spans="1:8" x14ac:dyDescent="0.25">
      <c r="A15" s="53"/>
      <c r="B15" s="10" t="s">
        <v>147</v>
      </c>
      <c r="E15" s="56">
        <f>E12*12</f>
        <v>987.62400000000002</v>
      </c>
      <c r="G15" s="6">
        <f>12*77.78</f>
        <v>933.36</v>
      </c>
    </row>
    <row r="16" spans="1:8" x14ac:dyDescent="0.25">
      <c r="A16" s="53"/>
      <c r="B16" s="10" t="s">
        <v>143</v>
      </c>
      <c r="E16" s="56">
        <f>E14*0.07</f>
        <v>84.84</v>
      </c>
      <c r="G16" s="6">
        <f>G14*0.07</f>
        <v>81.2</v>
      </c>
    </row>
    <row r="17" spans="1:7" x14ac:dyDescent="0.25">
      <c r="A17" s="53"/>
      <c r="B17" s="10" t="s">
        <v>148</v>
      </c>
      <c r="E17" s="56">
        <v>16</v>
      </c>
      <c r="G17" s="6">
        <v>29</v>
      </c>
    </row>
    <row r="18" spans="1:7" x14ac:dyDescent="0.25">
      <c r="A18" s="53"/>
      <c r="B18" s="10" t="s">
        <v>146</v>
      </c>
      <c r="E18" s="56">
        <f>E14-E15-E16-E17</f>
        <v>123.53599999999997</v>
      </c>
      <c r="G18" s="6">
        <f>G14-G15-G16-G17</f>
        <v>116.44</v>
      </c>
    </row>
    <row r="19" spans="1:7" x14ac:dyDescent="0.25">
      <c r="A19" s="53"/>
      <c r="B19" s="10" t="s">
        <v>149</v>
      </c>
      <c r="E19" s="125">
        <f>E18/E14</f>
        <v>0.10192739273927391</v>
      </c>
      <c r="F19" s="127"/>
      <c r="G19" s="127">
        <f>G18/G14</f>
        <v>0.10037931034482758</v>
      </c>
    </row>
    <row r="20" spans="1:7" x14ac:dyDescent="0.25">
      <c r="A20" s="53"/>
    </row>
    <row r="21" spans="1:7" x14ac:dyDescent="0.25">
      <c r="A21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2" tint="-0.499984740745262"/>
  </sheetPr>
  <dimension ref="A1:H52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I21" sqref="I21"/>
    </sheetView>
  </sheetViews>
  <sheetFormatPr defaultRowHeight="14.4" x14ac:dyDescent="0.3"/>
  <cols>
    <col min="1" max="1" width="3" style="61" bestFit="1" customWidth="1"/>
    <col min="2" max="2" width="29.33203125" style="62" customWidth="1"/>
    <col min="3" max="3" width="8.6640625" style="62" customWidth="1"/>
    <col min="4" max="4" width="10.33203125" style="62" customWidth="1"/>
    <col min="5" max="5" width="11.109375" style="62" customWidth="1"/>
    <col min="6" max="6" width="14.33203125" style="62" bestFit="1" customWidth="1"/>
    <col min="7" max="7" width="18.6640625" style="122" bestFit="1" customWidth="1"/>
    <col min="8" max="8" width="8.88671875" style="57"/>
  </cols>
  <sheetData>
    <row r="1" spans="1:8" ht="24.6" x14ac:dyDescent="0.3">
      <c r="A1" s="2359" t="s">
        <v>30</v>
      </c>
      <c r="B1" s="2359"/>
      <c r="C1" s="2359"/>
      <c r="D1" s="2359"/>
      <c r="E1" s="2359"/>
      <c r="F1" s="2359"/>
      <c r="G1" s="2359"/>
    </row>
    <row r="2" spans="1:8" ht="15.6" x14ac:dyDescent="0.3">
      <c r="A2" s="58" t="s">
        <v>88</v>
      </c>
      <c r="B2" s="59"/>
      <c r="C2" s="59"/>
      <c r="D2" s="59"/>
      <c r="E2" s="59"/>
      <c r="F2" s="59"/>
      <c r="G2" s="63" t="s">
        <v>89</v>
      </c>
      <c r="H2" s="60"/>
    </row>
    <row r="3" spans="1:8" ht="16.2" thickBot="1" x14ac:dyDescent="0.35">
      <c r="A3" s="64" t="s">
        <v>31</v>
      </c>
      <c r="B3" s="65" t="s">
        <v>90</v>
      </c>
      <c r="C3" s="65"/>
      <c r="D3" s="65"/>
      <c r="E3" s="65"/>
      <c r="F3" s="66"/>
      <c r="G3" s="63"/>
    </row>
    <row r="4" spans="1:8" ht="15.6" x14ac:dyDescent="0.3">
      <c r="A4" s="67">
        <v>2</v>
      </c>
      <c r="B4" s="68" t="s">
        <v>91</v>
      </c>
      <c r="C4" s="2360"/>
      <c r="D4" s="2361"/>
      <c r="E4" s="2361"/>
      <c r="F4" s="2361"/>
      <c r="G4" s="2362"/>
    </row>
    <row r="5" spans="1:8" ht="15.6" x14ac:dyDescent="0.3">
      <c r="A5" s="69">
        <v>3</v>
      </c>
      <c r="B5" s="70" t="s">
        <v>92</v>
      </c>
      <c r="C5" s="2363"/>
      <c r="D5" s="2364"/>
      <c r="E5" s="2364"/>
      <c r="F5" s="2364"/>
      <c r="G5" s="2365"/>
    </row>
    <row r="6" spans="1:8" ht="15.6" x14ac:dyDescent="0.3">
      <c r="A6" s="71">
        <v>4</v>
      </c>
      <c r="B6" s="72" t="s">
        <v>93</v>
      </c>
      <c r="C6" s="2366"/>
      <c r="D6" s="2367"/>
      <c r="E6" s="2367"/>
      <c r="F6" s="2367"/>
      <c r="G6" s="2368"/>
    </row>
    <row r="7" spans="1:8" ht="15.6" x14ac:dyDescent="0.3">
      <c r="A7" s="71">
        <v>5</v>
      </c>
      <c r="B7" s="72" t="s">
        <v>94</v>
      </c>
      <c r="C7" s="2369"/>
      <c r="D7" s="2370"/>
      <c r="E7" s="2370"/>
      <c r="F7" s="2370"/>
      <c r="G7" s="2371"/>
    </row>
    <row r="8" spans="1:8" ht="15.6" x14ac:dyDescent="0.3">
      <c r="A8" s="71">
        <v>6</v>
      </c>
      <c r="B8" s="72" t="s">
        <v>95</v>
      </c>
      <c r="C8" s="2366"/>
      <c r="D8" s="2367"/>
      <c r="E8" s="2367"/>
      <c r="F8" s="2367"/>
      <c r="G8" s="2368"/>
    </row>
    <row r="9" spans="1:8" ht="15.6" x14ac:dyDescent="0.3">
      <c r="A9" s="71">
        <v>7</v>
      </c>
      <c r="B9" s="72" t="s">
        <v>96</v>
      </c>
      <c r="C9" s="2372" t="s">
        <v>97</v>
      </c>
      <c r="D9" s="2373"/>
      <c r="E9" s="2373"/>
      <c r="F9" s="2373"/>
      <c r="G9" s="2374"/>
    </row>
    <row r="10" spans="1:8" ht="15.6" x14ac:dyDescent="0.3">
      <c r="A10" s="71">
        <v>8</v>
      </c>
      <c r="B10" s="72" t="s">
        <v>98</v>
      </c>
      <c r="C10" s="2375" t="s">
        <v>99</v>
      </c>
      <c r="D10" s="2376"/>
      <c r="E10" s="2376"/>
      <c r="F10" s="2376"/>
      <c r="G10" s="2377"/>
    </row>
    <row r="11" spans="1:8" ht="16.2" thickBot="1" x14ac:dyDescent="0.35">
      <c r="A11" s="73">
        <v>9</v>
      </c>
      <c r="B11" s="74" t="s">
        <v>100</v>
      </c>
      <c r="C11" s="2378" t="s">
        <v>101</v>
      </c>
      <c r="D11" s="2379"/>
      <c r="E11" s="2379"/>
      <c r="F11" s="2379"/>
      <c r="G11" s="2380"/>
    </row>
    <row r="12" spans="1:8" x14ac:dyDescent="0.3">
      <c r="A12" s="64" t="s">
        <v>38</v>
      </c>
      <c r="B12" s="75" t="s">
        <v>102</v>
      </c>
      <c r="C12" s="75"/>
      <c r="D12" s="75"/>
      <c r="E12" s="75"/>
      <c r="F12" s="75"/>
      <c r="G12" s="76"/>
    </row>
    <row r="13" spans="1:8" x14ac:dyDescent="0.3">
      <c r="A13" s="77" t="s">
        <v>16</v>
      </c>
      <c r="B13" s="2381" t="s">
        <v>17</v>
      </c>
      <c r="C13" s="2382"/>
      <c r="D13" s="2382"/>
      <c r="E13" s="2383"/>
      <c r="F13" s="78" t="s">
        <v>18</v>
      </c>
      <c r="G13" s="79" t="s">
        <v>103</v>
      </c>
    </row>
    <row r="14" spans="1:8" x14ac:dyDescent="0.3">
      <c r="A14" s="80">
        <v>1</v>
      </c>
      <c r="B14" s="2384" t="s">
        <v>104</v>
      </c>
      <c r="C14" s="2385"/>
      <c r="D14" s="2385"/>
      <c r="E14" s="2386"/>
      <c r="F14" s="81"/>
      <c r="G14" s="82">
        <f>310*2000</f>
        <v>620000</v>
      </c>
    </row>
    <row r="15" spans="1:8" x14ac:dyDescent="0.3">
      <c r="A15" s="83">
        <v>2</v>
      </c>
      <c r="B15" s="2356" t="s">
        <v>105</v>
      </c>
      <c r="C15" s="2357"/>
      <c r="D15" s="2357"/>
      <c r="E15" s="2358"/>
      <c r="F15" s="84"/>
      <c r="G15" s="85">
        <f>310*2000</f>
        <v>620000</v>
      </c>
    </row>
    <row r="16" spans="1:8" x14ac:dyDescent="0.3">
      <c r="A16" s="83">
        <v>3</v>
      </c>
      <c r="B16" s="2387" t="s">
        <v>106</v>
      </c>
      <c r="C16" s="2388"/>
      <c r="D16" s="2388"/>
      <c r="E16" s="2389"/>
      <c r="F16" s="86"/>
      <c r="G16" s="85">
        <f>99*2000</f>
        <v>198000</v>
      </c>
    </row>
    <row r="17" spans="1:8" x14ac:dyDescent="0.3">
      <c r="A17" s="87">
        <v>4</v>
      </c>
      <c r="B17" s="2390" t="s">
        <v>107</v>
      </c>
      <c r="C17" s="2391"/>
      <c r="D17" s="2391"/>
      <c r="E17" s="2392"/>
      <c r="F17" s="88"/>
      <c r="G17" s="89">
        <f>SUM(G14:G16)</f>
        <v>1438000</v>
      </c>
      <c r="H17" s="90"/>
    </row>
    <row r="18" spans="1:8" x14ac:dyDescent="0.3">
      <c r="A18" s="83">
        <v>5</v>
      </c>
      <c r="B18" s="2387" t="s">
        <v>108</v>
      </c>
      <c r="C18" s="2388"/>
      <c r="D18" s="2388"/>
      <c r="E18" s="2389"/>
      <c r="F18" s="91">
        <v>85</v>
      </c>
      <c r="G18" s="92"/>
    </row>
    <row r="19" spans="1:8" x14ac:dyDescent="0.3">
      <c r="A19" s="93"/>
      <c r="B19" s="2393" t="s">
        <v>109</v>
      </c>
      <c r="C19" s="2394"/>
      <c r="D19" s="2394"/>
      <c r="E19" s="2395"/>
      <c r="F19" s="94"/>
      <c r="G19" s="95">
        <f>G17*F18</f>
        <v>122230000</v>
      </c>
    </row>
    <row r="20" spans="1:8" x14ac:dyDescent="0.3">
      <c r="A20" s="80">
        <v>6</v>
      </c>
      <c r="B20" s="2396" t="s">
        <v>110</v>
      </c>
      <c r="C20" s="2397"/>
      <c r="D20" s="2397"/>
      <c r="E20" s="2398"/>
      <c r="F20" s="96">
        <v>8.9999999999999998E-4</v>
      </c>
      <c r="G20" s="97">
        <f>G19*F20</f>
        <v>110007</v>
      </c>
    </row>
    <row r="21" spans="1:8" x14ac:dyDescent="0.3">
      <c r="A21" s="93">
        <v>7</v>
      </c>
      <c r="B21" s="2393" t="s">
        <v>111</v>
      </c>
      <c r="C21" s="2394"/>
      <c r="D21" s="2394"/>
      <c r="E21" s="2395"/>
      <c r="F21" s="94"/>
      <c r="G21" s="95">
        <f>G19+G20</f>
        <v>122340007</v>
      </c>
    </row>
    <row r="22" spans="1:8" x14ac:dyDescent="0.3">
      <c r="A22" s="98">
        <v>8</v>
      </c>
      <c r="B22" s="2399" t="s">
        <v>112</v>
      </c>
      <c r="C22" s="2400"/>
      <c r="D22" s="2400"/>
      <c r="E22" s="2401"/>
      <c r="F22" s="99">
        <v>0.01</v>
      </c>
      <c r="G22" s="100">
        <f>G21*F22</f>
        <v>1223400.07</v>
      </c>
    </row>
    <row r="23" spans="1:8" x14ac:dyDescent="0.3">
      <c r="A23" s="87" t="s">
        <v>31</v>
      </c>
      <c r="B23" s="2402" t="s">
        <v>113</v>
      </c>
      <c r="C23" s="2391"/>
      <c r="D23" s="2391"/>
      <c r="E23" s="2392"/>
      <c r="F23" s="101">
        <f>G23/G23</f>
        <v>1</v>
      </c>
      <c r="G23" s="102">
        <f>SUM(G21:G22)</f>
        <v>123563407.06999999</v>
      </c>
    </row>
    <row r="24" spans="1:8" x14ac:dyDescent="0.3">
      <c r="A24" s="83">
        <v>1</v>
      </c>
      <c r="B24" s="2387" t="s">
        <v>114</v>
      </c>
      <c r="C24" s="2388"/>
      <c r="D24" s="2388"/>
      <c r="E24" s="2389"/>
      <c r="F24" s="103"/>
      <c r="G24" s="92">
        <v>3000</v>
      </c>
    </row>
    <row r="25" spans="1:8" x14ac:dyDescent="0.3">
      <c r="A25" s="83">
        <v>2</v>
      </c>
      <c r="B25" s="2387" t="s">
        <v>115</v>
      </c>
      <c r="C25" s="2388"/>
      <c r="D25" s="2388"/>
      <c r="E25" s="2389"/>
      <c r="F25" s="103">
        <v>0.15</v>
      </c>
      <c r="G25" s="92">
        <f>G24*F25</f>
        <v>450</v>
      </c>
    </row>
    <row r="26" spans="1:8" x14ac:dyDescent="0.3">
      <c r="A26" s="83">
        <v>3</v>
      </c>
      <c r="B26" s="2387" t="s">
        <v>116</v>
      </c>
      <c r="C26" s="2388"/>
      <c r="D26" s="2388"/>
      <c r="E26" s="2389"/>
      <c r="F26" s="104">
        <v>4.0000000000000001E-3</v>
      </c>
      <c r="G26" s="92">
        <f>G23*F26</f>
        <v>494253.62828</v>
      </c>
    </row>
    <row r="27" spans="1:8" x14ac:dyDescent="0.3">
      <c r="A27" s="83">
        <v>4</v>
      </c>
      <c r="B27" s="2387" t="s">
        <v>117</v>
      </c>
      <c r="C27" s="2388"/>
      <c r="D27" s="2388"/>
      <c r="E27" s="2389"/>
      <c r="F27" s="103">
        <v>0.05</v>
      </c>
      <c r="G27" s="92">
        <f>G26*F27</f>
        <v>24712.681414000002</v>
      </c>
    </row>
    <row r="28" spans="1:8" x14ac:dyDescent="0.3">
      <c r="A28" s="83">
        <v>5</v>
      </c>
      <c r="B28" s="2387" t="s">
        <v>118</v>
      </c>
      <c r="C28" s="2388"/>
      <c r="D28" s="2388"/>
      <c r="E28" s="2389"/>
      <c r="F28" s="105"/>
      <c r="G28" s="92">
        <v>200</v>
      </c>
    </row>
    <row r="29" spans="1:8" x14ac:dyDescent="0.3">
      <c r="A29" s="83">
        <v>6</v>
      </c>
      <c r="B29" s="2387" t="s">
        <v>119</v>
      </c>
      <c r="C29" s="2388"/>
      <c r="D29" s="2388"/>
      <c r="E29" s="2389"/>
      <c r="F29" s="103">
        <v>0.02</v>
      </c>
      <c r="G29" s="92">
        <f>G23*F29</f>
        <v>2471268.1414000001</v>
      </c>
    </row>
    <row r="30" spans="1:8" x14ac:dyDescent="0.3">
      <c r="A30" s="83">
        <v>7</v>
      </c>
      <c r="B30" s="2387" t="s">
        <v>120</v>
      </c>
      <c r="C30" s="2388"/>
      <c r="D30" s="2388"/>
      <c r="E30" s="2389"/>
      <c r="F30" s="103">
        <v>0.05</v>
      </c>
      <c r="G30" s="92">
        <f>(G23+G29)*F30</f>
        <v>6301733.7605699999</v>
      </c>
    </row>
    <row r="31" spans="1:8" x14ac:dyDescent="0.3">
      <c r="A31" s="83">
        <v>8</v>
      </c>
      <c r="B31" s="2387" t="s">
        <v>121</v>
      </c>
      <c r="C31" s="2388"/>
      <c r="D31" s="2388"/>
      <c r="E31" s="2389"/>
      <c r="F31" s="103"/>
      <c r="G31" s="92">
        <f>250*2000</f>
        <v>500000</v>
      </c>
    </row>
    <row r="32" spans="1:8" x14ac:dyDescent="0.3">
      <c r="A32" s="83">
        <v>9</v>
      </c>
      <c r="B32" s="2387" t="s">
        <v>122</v>
      </c>
      <c r="C32" s="2388"/>
      <c r="D32" s="2388"/>
      <c r="E32" s="2389"/>
      <c r="F32" s="103"/>
      <c r="G32" s="92">
        <v>66000</v>
      </c>
    </row>
    <row r="33" spans="1:7" x14ac:dyDescent="0.3">
      <c r="A33" s="83">
        <v>10</v>
      </c>
      <c r="B33" s="2387" t="s">
        <v>123</v>
      </c>
      <c r="C33" s="2388"/>
      <c r="D33" s="2388"/>
      <c r="E33" s="2389"/>
      <c r="F33" s="103">
        <v>0.15</v>
      </c>
      <c r="G33" s="92">
        <f>(G31+G32)*F33</f>
        <v>84900</v>
      </c>
    </row>
    <row r="34" spans="1:7" x14ac:dyDescent="0.3">
      <c r="A34" s="83">
        <v>11</v>
      </c>
      <c r="B34" s="2387" t="s">
        <v>124</v>
      </c>
      <c r="C34" s="2388"/>
      <c r="D34" s="2388"/>
      <c r="E34" s="2389"/>
      <c r="F34" s="106">
        <v>5.0000000000000001E-4</v>
      </c>
      <c r="G34" s="92">
        <f>G19*F34</f>
        <v>61115</v>
      </c>
    </row>
    <row r="35" spans="1:7" x14ac:dyDescent="0.3">
      <c r="A35" s="83">
        <v>12</v>
      </c>
      <c r="B35" s="2387" t="s">
        <v>125</v>
      </c>
      <c r="C35" s="2388"/>
      <c r="D35" s="2388"/>
      <c r="E35" s="2389"/>
      <c r="F35" s="103">
        <v>0.15</v>
      </c>
      <c r="G35" s="92">
        <f>G34*F35</f>
        <v>9167.25</v>
      </c>
    </row>
    <row r="36" spans="1:7" x14ac:dyDescent="0.3">
      <c r="A36" s="83">
        <v>13</v>
      </c>
      <c r="B36" s="2387" t="s">
        <v>126</v>
      </c>
      <c r="C36" s="2388"/>
      <c r="D36" s="2388"/>
      <c r="E36" s="2389"/>
      <c r="F36" s="103">
        <v>0.1</v>
      </c>
      <c r="G36" s="92">
        <f>G34*F36</f>
        <v>6111.5</v>
      </c>
    </row>
    <row r="37" spans="1:7" x14ac:dyDescent="0.3">
      <c r="A37" s="83">
        <v>14</v>
      </c>
      <c r="B37" s="2387" t="s">
        <v>127</v>
      </c>
      <c r="C37" s="2388"/>
      <c r="D37" s="2388"/>
      <c r="E37" s="2389"/>
      <c r="F37" s="105"/>
      <c r="G37" s="92">
        <v>10000</v>
      </c>
    </row>
    <row r="38" spans="1:7" x14ac:dyDescent="0.3">
      <c r="A38" s="83">
        <v>15</v>
      </c>
      <c r="B38" s="2403" t="s">
        <v>128</v>
      </c>
      <c r="C38" s="2404"/>
      <c r="D38" s="2404"/>
      <c r="E38" s="2405"/>
      <c r="F38" s="105"/>
      <c r="G38" s="92">
        <v>25000</v>
      </c>
    </row>
    <row r="39" spans="1:7" x14ac:dyDescent="0.3">
      <c r="A39" s="83">
        <v>16</v>
      </c>
      <c r="B39" s="2403" t="s">
        <v>129</v>
      </c>
      <c r="C39" s="2404"/>
      <c r="D39" s="2404"/>
      <c r="E39" s="2405"/>
      <c r="F39" s="105"/>
      <c r="G39" s="92">
        <v>28750</v>
      </c>
    </row>
    <row r="40" spans="1:7" x14ac:dyDescent="0.3">
      <c r="A40" s="83">
        <v>17</v>
      </c>
      <c r="B40" s="2403" t="s">
        <v>130</v>
      </c>
      <c r="C40" s="2404"/>
      <c r="D40" s="2404"/>
      <c r="E40" s="2405"/>
      <c r="F40" s="105"/>
      <c r="G40" s="92">
        <v>53500</v>
      </c>
    </row>
    <row r="41" spans="1:7" x14ac:dyDescent="0.3">
      <c r="A41" s="83">
        <v>18</v>
      </c>
      <c r="B41" s="2403" t="s">
        <v>131</v>
      </c>
      <c r="C41" s="2404"/>
      <c r="D41" s="2404"/>
      <c r="E41" s="2405"/>
      <c r="F41" s="105"/>
      <c r="G41" s="92">
        <v>860</v>
      </c>
    </row>
    <row r="42" spans="1:7" x14ac:dyDescent="0.3">
      <c r="A42" s="83">
        <v>19</v>
      </c>
      <c r="B42" s="2403" t="s">
        <v>132</v>
      </c>
      <c r="C42" s="2404"/>
      <c r="D42" s="2404"/>
      <c r="E42" s="2405"/>
      <c r="F42" s="105"/>
      <c r="G42" s="92">
        <v>30</v>
      </c>
    </row>
    <row r="43" spans="1:7" x14ac:dyDescent="0.3">
      <c r="A43" s="93"/>
      <c r="B43" s="2393" t="s">
        <v>133</v>
      </c>
      <c r="C43" s="2394"/>
      <c r="D43" s="2394"/>
      <c r="E43" s="2395"/>
      <c r="F43" s="107"/>
      <c r="G43" s="95">
        <f>SUM(G23:G42)</f>
        <v>133704459.03166398</v>
      </c>
    </row>
    <row r="44" spans="1:7" x14ac:dyDescent="0.3">
      <c r="A44" s="108" t="s">
        <v>38</v>
      </c>
      <c r="B44" s="2406" t="s">
        <v>134</v>
      </c>
      <c r="C44" s="2407"/>
      <c r="D44" s="2407"/>
      <c r="E44" s="2408"/>
      <c r="F44" s="109"/>
      <c r="G44" s="110"/>
    </row>
    <row r="45" spans="1:7" x14ac:dyDescent="0.3">
      <c r="A45" s="83">
        <v>2</v>
      </c>
      <c r="B45" s="2387" t="s">
        <v>135</v>
      </c>
      <c r="C45" s="2388"/>
      <c r="D45" s="2388"/>
      <c r="E45" s="2389"/>
      <c r="F45" s="105"/>
      <c r="G45" s="92">
        <f>$G$29</f>
        <v>2471268.1414000001</v>
      </c>
    </row>
    <row r="46" spans="1:7" x14ac:dyDescent="0.3">
      <c r="A46" s="83">
        <v>3</v>
      </c>
      <c r="B46" s="2387" t="s">
        <v>136</v>
      </c>
      <c r="C46" s="2388"/>
      <c r="D46" s="2388"/>
      <c r="E46" s="2389"/>
      <c r="F46" s="111"/>
      <c r="G46" s="92">
        <f>$G$30</f>
        <v>6301733.7605699999</v>
      </c>
    </row>
    <row r="47" spans="1:7" x14ac:dyDescent="0.3">
      <c r="A47" s="93"/>
      <c r="B47" s="2393" t="s">
        <v>137</v>
      </c>
      <c r="C47" s="2394"/>
      <c r="D47" s="2394"/>
      <c r="E47" s="2395"/>
      <c r="F47" s="112"/>
      <c r="G47" s="95">
        <f>SUM(G45:G46)</f>
        <v>8773001.9019699991</v>
      </c>
    </row>
    <row r="48" spans="1:7" x14ac:dyDescent="0.3">
      <c r="A48" s="113" t="s">
        <v>40</v>
      </c>
      <c r="B48" s="2409" t="s">
        <v>138</v>
      </c>
      <c r="C48" s="2410"/>
      <c r="D48" s="2410"/>
      <c r="E48" s="2411"/>
      <c r="F48" s="114"/>
      <c r="G48" s="115">
        <f>G43-G47</f>
        <v>124931457.12969398</v>
      </c>
    </row>
    <row r="49" spans="1:8" x14ac:dyDescent="0.3">
      <c r="A49" s="108" t="s">
        <v>41</v>
      </c>
      <c r="B49" s="2406" t="s">
        <v>139</v>
      </c>
      <c r="C49" s="2407"/>
      <c r="D49" s="2407"/>
      <c r="E49" s="2408"/>
      <c r="F49" s="116"/>
      <c r="G49" s="117">
        <v>2000</v>
      </c>
      <c r="H49" s="90"/>
    </row>
    <row r="50" spans="1:8" x14ac:dyDescent="0.3">
      <c r="A50" s="87">
        <v>1</v>
      </c>
      <c r="B50" s="2402" t="s">
        <v>140</v>
      </c>
      <c r="C50" s="2391"/>
      <c r="D50" s="2391"/>
      <c r="E50" s="2392"/>
      <c r="F50" s="88"/>
      <c r="G50" s="102">
        <f>G48/G49</f>
        <v>62465.728564846992</v>
      </c>
      <c r="H50" s="90"/>
    </row>
    <row r="51" spans="1:8" x14ac:dyDescent="0.3">
      <c r="A51" s="93">
        <v>2</v>
      </c>
      <c r="B51" s="2393" t="s">
        <v>141</v>
      </c>
      <c r="C51" s="2394"/>
      <c r="D51" s="2394"/>
      <c r="E51" s="2395"/>
      <c r="F51" s="94"/>
      <c r="G51" s="95">
        <f>G50/1000</f>
        <v>62.465728564846991</v>
      </c>
      <c r="H51" s="90"/>
    </row>
    <row r="52" spans="1:8" x14ac:dyDescent="0.3">
      <c r="A52" s="118"/>
      <c r="B52" s="119"/>
      <c r="C52" s="119"/>
      <c r="D52" s="119"/>
      <c r="E52" s="119"/>
      <c r="F52" s="120"/>
      <c r="G52" s="121"/>
    </row>
  </sheetData>
  <mergeCells count="48">
    <mergeCell ref="B51:E51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15:E15"/>
    <mergeCell ref="A1:G1"/>
    <mergeCell ref="C4:G4"/>
    <mergeCell ref="C5:G5"/>
    <mergeCell ref="C6:G6"/>
    <mergeCell ref="C7:G7"/>
    <mergeCell ref="C8:G8"/>
    <mergeCell ref="C9:G9"/>
    <mergeCell ref="C10:G10"/>
    <mergeCell ref="C11:G11"/>
    <mergeCell ref="B13:E13"/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N14" sqref="N14"/>
    </sheetView>
  </sheetViews>
  <sheetFormatPr defaultRowHeight="14.4" x14ac:dyDescent="0.3"/>
  <cols>
    <col min="1" max="1" width="3" style="6" bestFit="1" customWidth="1"/>
    <col min="2" max="2" width="15.109375" style="6" customWidth="1"/>
    <col min="3" max="4" width="8.88671875" style="6"/>
    <col min="5" max="6" width="9.109375" style="6" bestFit="1" customWidth="1"/>
    <col min="7" max="10" width="8.88671875" style="6"/>
  </cols>
  <sheetData>
    <row r="1" spans="1:10" x14ac:dyDescent="0.3">
      <c r="A1" s="2580" t="s">
        <v>16</v>
      </c>
      <c r="B1" s="2580" t="s">
        <v>1009</v>
      </c>
      <c r="C1" s="2581" t="s">
        <v>208</v>
      </c>
      <c r="D1" s="2581"/>
      <c r="E1" s="2581" t="s">
        <v>209</v>
      </c>
      <c r="F1" s="2582"/>
    </row>
    <row r="2" spans="1:10" x14ac:dyDescent="0.3">
      <c r="A2" s="2583"/>
      <c r="B2" s="2583"/>
      <c r="C2" s="2576" t="s">
        <v>1007</v>
      </c>
      <c r="D2" s="2576" t="s">
        <v>1008</v>
      </c>
      <c r="E2" s="2576" t="s">
        <v>1007</v>
      </c>
      <c r="F2" s="2584" t="s">
        <v>1008</v>
      </c>
    </row>
    <row r="3" spans="1:10" x14ac:dyDescent="0.25">
      <c r="A3" s="2585">
        <v>1</v>
      </c>
      <c r="B3" s="2585" t="s">
        <v>777</v>
      </c>
      <c r="C3" s="2503">
        <v>8000</v>
      </c>
      <c r="D3" s="2430">
        <v>1120</v>
      </c>
      <c r="E3" s="2577">
        <v>1</v>
      </c>
      <c r="F3" s="2586">
        <v>3030</v>
      </c>
    </row>
    <row r="4" spans="1:10" s="1" customFormat="1" x14ac:dyDescent="0.25">
      <c r="A4" s="2587">
        <v>2</v>
      </c>
      <c r="B4" s="2587" t="s">
        <v>980</v>
      </c>
      <c r="C4" s="2414">
        <v>5500</v>
      </c>
      <c r="D4" s="1554">
        <v>1122</v>
      </c>
      <c r="E4" s="2578">
        <v>1</v>
      </c>
      <c r="F4" s="2588">
        <v>3035.5</v>
      </c>
      <c r="G4" s="4"/>
      <c r="H4" s="4"/>
      <c r="I4" s="4"/>
      <c r="J4" s="4"/>
    </row>
    <row r="5" spans="1:10" x14ac:dyDescent="0.25">
      <c r="A5" s="2589">
        <v>3</v>
      </c>
      <c r="B5" s="2589" t="s">
        <v>981</v>
      </c>
      <c r="C5" s="2414">
        <v>6000</v>
      </c>
      <c r="D5" s="1554">
        <v>1125</v>
      </c>
      <c r="E5" s="2578">
        <v>1</v>
      </c>
      <c r="F5" s="2588">
        <v>3043.75</v>
      </c>
    </row>
    <row r="6" spans="1:10" x14ac:dyDescent="0.25">
      <c r="A6" s="2590">
        <v>4</v>
      </c>
      <c r="B6" s="2590" t="s">
        <v>982</v>
      </c>
      <c r="C6" s="2498">
        <v>5000</v>
      </c>
      <c r="D6" s="2438">
        <v>1129</v>
      </c>
      <c r="E6" s="2579">
        <v>1</v>
      </c>
      <c r="F6" s="2591">
        <v>3054.75</v>
      </c>
    </row>
    <row r="7" spans="1:10" x14ac:dyDescent="0.25">
      <c r="A7" s="2592">
        <v>5</v>
      </c>
      <c r="B7" s="2592" t="s">
        <v>686</v>
      </c>
      <c r="C7" s="2414">
        <v>7945.0020048785409</v>
      </c>
      <c r="D7" s="1554">
        <v>1135</v>
      </c>
      <c r="E7" s="2578">
        <v>100</v>
      </c>
      <c r="F7" s="2588">
        <v>3071.25</v>
      </c>
    </row>
    <row r="8" spans="1:10" x14ac:dyDescent="0.25">
      <c r="A8" s="2593">
        <v>6</v>
      </c>
      <c r="B8" s="2593" t="s">
        <v>1002</v>
      </c>
      <c r="C8" s="2414">
        <v>6000</v>
      </c>
      <c r="D8" s="1554">
        <v>1129</v>
      </c>
      <c r="E8" s="2578">
        <v>1</v>
      </c>
      <c r="F8" s="2588">
        <v>3054.75</v>
      </c>
    </row>
    <row r="9" spans="1:10" s="1" customFormat="1" x14ac:dyDescent="0.25">
      <c r="A9" s="2589">
        <v>7</v>
      </c>
      <c r="B9" s="2589" t="s">
        <v>859</v>
      </c>
      <c r="C9" s="2414">
        <v>10800</v>
      </c>
      <c r="D9" s="1554">
        <v>1125</v>
      </c>
      <c r="E9" s="2578">
        <v>200</v>
      </c>
      <c r="F9" s="2588">
        <v>3043.75</v>
      </c>
      <c r="G9" s="4"/>
      <c r="H9" s="4"/>
      <c r="I9" s="4"/>
      <c r="J9" s="4"/>
    </row>
    <row r="10" spans="1:10" x14ac:dyDescent="0.25">
      <c r="A10" s="2594">
        <v>8</v>
      </c>
      <c r="B10" s="2594" t="s">
        <v>983</v>
      </c>
      <c r="C10" s="2498">
        <v>5000</v>
      </c>
      <c r="D10" s="2438">
        <v>1132</v>
      </c>
      <c r="E10" s="2579">
        <v>1</v>
      </c>
      <c r="F10" s="2591">
        <v>3063</v>
      </c>
    </row>
    <row r="11" spans="1:10" x14ac:dyDescent="0.25">
      <c r="A11" s="2595">
        <v>9</v>
      </c>
      <c r="B11" s="2595" t="s">
        <v>984</v>
      </c>
      <c r="C11" s="2414">
        <v>6000</v>
      </c>
      <c r="D11" s="1554">
        <v>1130</v>
      </c>
      <c r="E11" s="2578">
        <v>1</v>
      </c>
      <c r="F11" s="2588">
        <v>3057.5</v>
      </c>
    </row>
    <row r="12" spans="1:10" x14ac:dyDescent="0.25">
      <c r="A12" s="2587">
        <v>10</v>
      </c>
      <c r="B12" s="2587" t="s">
        <v>549</v>
      </c>
      <c r="C12" s="2414">
        <v>3000</v>
      </c>
      <c r="D12" s="1554">
        <v>1122</v>
      </c>
      <c r="E12" s="2578">
        <v>1</v>
      </c>
      <c r="F12" s="2588">
        <v>3035.5</v>
      </c>
    </row>
    <row r="13" spans="1:10" x14ac:dyDescent="0.25">
      <c r="A13" s="1725">
        <v>11</v>
      </c>
      <c r="B13" s="1725" t="s">
        <v>546</v>
      </c>
      <c r="C13" s="2414">
        <v>12500</v>
      </c>
      <c r="D13" s="1554">
        <v>1128</v>
      </c>
      <c r="E13" s="2578">
        <v>1</v>
      </c>
      <c r="F13" s="2588">
        <v>3052</v>
      </c>
    </row>
    <row r="14" spans="1:10" x14ac:dyDescent="0.25">
      <c r="A14" s="2596">
        <v>12</v>
      </c>
      <c r="B14" s="2596" t="s">
        <v>810</v>
      </c>
      <c r="C14" s="2503">
        <v>16700</v>
      </c>
      <c r="D14" s="2430">
        <v>1130</v>
      </c>
      <c r="E14" s="2577">
        <v>300</v>
      </c>
      <c r="F14" s="2586">
        <v>3057.5</v>
      </c>
    </row>
    <row r="15" spans="1:10" x14ac:dyDescent="0.25">
      <c r="A15" s="1725">
        <v>13</v>
      </c>
      <c r="B15" s="1725" t="s">
        <v>985</v>
      </c>
      <c r="C15" s="2414">
        <v>10000</v>
      </c>
      <c r="D15" s="1554">
        <v>1128</v>
      </c>
      <c r="E15" s="2578">
        <v>1</v>
      </c>
      <c r="F15" s="2588">
        <v>3052</v>
      </c>
    </row>
    <row r="16" spans="1:10" x14ac:dyDescent="0.25">
      <c r="A16" s="2597">
        <v>14</v>
      </c>
      <c r="B16" s="2597" t="s">
        <v>825</v>
      </c>
      <c r="C16" s="2414">
        <v>6000</v>
      </c>
      <c r="D16" s="1554">
        <v>1133</v>
      </c>
      <c r="E16" s="2578">
        <v>1</v>
      </c>
      <c r="F16" s="2588">
        <v>3065.75</v>
      </c>
    </row>
    <row r="17" spans="1:10" x14ac:dyDescent="0.25">
      <c r="A17" s="2595">
        <v>15</v>
      </c>
      <c r="B17" s="2595" t="s">
        <v>986</v>
      </c>
      <c r="C17" s="2414">
        <v>14000</v>
      </c>
      <c r="D17" s="1554">
        <v>1130</v>
      </c>
      <c r="E17" s="2578">
        <v>1</v>
      </c>
      <c r="F17" s="2588">
        <v>3057.5</v>
      </c>
    </row>
    <row r="18" spans="1:10" x14ac:dyDescent="0.25">
      <c r="A18" s="2592">
        <v>16</v>
      </c>
      <c r="B18" s="2592" t="s">
        <v>987</v>
      </c>
      <c r="C18" s="2414">
        <v>6000</v>
      </c>
      <c r="D18" s="1554">
        <v>1135</v>
      </c>
      <c r="E18" s="2578">
        <v>1000</v>
      </c>
      <c r="F18" s="2588">
        <v>3071.25</v>
      </c>
    </row>
    <row r="19" spans="1:10" x14ac:dyDescent="0.25">
      <c r="A19" s="2598">
        <v>17</v>
      </c>
      <c r="B19" s="2598" t="s">
        <v>988</v>
      </c>
      <c r="C19" s="2498">
        <v>11700</v>
      </c>
      <c r="D19" s="2438">
        <v>1128</v>
      </c>
      <c r="E19" s="2579">
        <v>300</v>
      </c>
      <c r="F19" s="2591">
        <v>3052</v>
      </c>
    </row>
    <row r="20" spans="1:10" x14ac:dyDescent="0.25">
      <c r="A20" s="2592">
        <v>18</v>
      </c>
      <c r="B20" s="2592" t="s">
        <v>989</v>
      </c>
      <c r="C20" s="2414">
        <v>4500</v>
      </c>
      <c r="D20" s="1554">
        <v>1135</v>
      </c>
      <c r="E20" s="2578">
        <v>500</v>
      </c>
      <c r="F20" s="2588">
        <v>3071.25</v>
      </c>
    </row>
    <row r="21" spans="1:10" x14ac:dyDescent="0.25">
      <c r="A21" s="2595">
        <v>19</v>
      </c>
      <c r="B21" s="2595" t="s">
        <v>990</v>
      </c>
      <c r="C21" s="2414">
        <v>12800</v>
      </c>
      <c r="D21" s="1554">
        <v>1130</v>
      </c>
      <c r="E21" s="2578">
        <v>200</v>
      </c>
      <c r="F21" s="2588">
        <v>3057.5</v>
      </c>
    </row>
    <row r="22" spans="1:10" x14ac:dyDescent="0.25">
      <c r="A22" s="2599">
        <v>20</v>
      </c>
      <c r="B22" s="2599" t="s">
        <v>991</v>
      </c>
      <c r="C22" s="2503">
        <v>8006.1482941825107</v>
      </c>
      <c r="D22" s="2430">
        <v>1116</v>
      </c>
      <c r="E22" s="2577">
        <v>1</v>
      </c>
      <c r="F22" s="2586">
        <v>3019</v>
      </c>
    </row>
    <row r="23" spans="1:10" x14ac:dyDescent="0.25">
      <c r="A23" s="2600">
        <v>21</v>
      </c>
      <c r="B23" s="2600" t="s">
        <v>992</v>
      </c>
      <c r="C23" s="2414">
        <v>10850</v>
      </c>
      <c r="D23" s="1554">
        <v>1110</v>
      </c>
      <c r="E23" s="2578">
        <v>150</v>
      </c>
      <c r="F23" s="2588">
        <v>3002.5</v>
      </c>
    </row>
    <row r="24" spans="1:10" x14ac:dyDescent="0.25">
      <c r="A24" s="2601">
        <v>22</v>
      </c>
      <c r="B24" s="2601" t="s">
        <v>683</v>
      </c>
      <c r="C24" s="2414">
        <v>13000</v>
      </c>
      <c r="D24" s="1554">
        <v>1114</v>
      </c>
      <c r="E24" s="2578">
        <v>1</v>
      </c>
      <c r="F24" s="2588">
        <v>3013.5</v>
      </c>
    </row>
    <row r="25" spans="1:10" ht="15" thickBot="1" x14ac:dyDescent="0.3">
      <c r="A25" s="2602">
        <v>23</v>
      </c>
      <c r="B25" s="2602" t="s">
        <v>681</v>
      </c>
      <c r="C25" s="2603">
        <v>12000</v>
      </c>
      <c r="D25" s="2604">
        <v>1112</v>
      </c>
      <c r="E25" s="2605">
        <v>1</v>
      </c>
      <c r="F25" s="2606">
        <v>3008</v>
      </c>
    </row>
    <row r="26" spans="1:10" s="1" customFormat="1" x14ac:dyDescent="0.3">
      <c r="A26" s="4"/>
      <c r="B26" s="4" t="s">
        <v>0</v>
      </c>
      <c r="C26" s="2607">
        <f>SUM(C3:C25)</f>
        <v>201301.15029906106</v>
      </c>
      <c r="D26" s="2607"/>
      <c r="E26" s="2607">
        <f t="shared" ref="D26:F26" si="0">SUM(E3:E25)</f>
        <v>2765</v>
      </c>
      <c r="F26" s="2607"/>
      <c r="G26" s="4"/>
      <c r="H26" s="4"/>
      <c r="I26" s="4"/>
      <c r="J26" s="4"/>
    </row>
  </sheetData>
  <mergeCells count="4">
    <mergeCell ref="C1:D1"/>
    <mergeCell ref="E1:F1"/>
    <mergeCell ref="B1:B2"/>
    <mergeCell ref="A1:A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29"/>
  <sheetViews>
    <sheetView workbookViewId="0">
      <selection activeCell="T10" sqref="T10"/>
    </sheetView>
  </sheetViews>
  <sheetFormatPr defaultRowHeight="14.4" x14ac:dyDescent="0.3"/>
  <cols>
    <col min="1" max="1" width="18.44140625" style="6" customWidth="1"/>
    <col min="2" max="2" width="6.109375" style="6" customWidth="1"/>
    <col min="3" max="3" width="7.5546875" style="6" bestFit="1" customWidth="1"/>
    <col min="4" max="4" width="7.77734375" style="6" bestFit="1" customWidth="1"/>
    <col min="5" max="5" width="7.44140625" style="6" bestFit="1" customWidth="1"/>
    <col min="6" max="6" width="9.77734375" style="6" customWidth="1"/>
    <col min="7" max="9" width="7.44140625" style="6" bestFit="1" customWidth="1"/>
    <col min="10" max="10" width="7.21875" style="6" bestFit="1" customWidth="1"/>
    <col min="11" max="11" width="8.33203125" style="6" bestFit="1" customWidth="1"/>
    <col min="12" max="12" width="6.88671875" style="6" bestFit="1" customWidth="1"/>
    <col min="13" max="13" width="9" style="6" bestFit="1" customWidth="1"/>
    <col min="14" max="14" width="7.44140625" style="6" bestFit="1" customWidth="1"/>
    <col min="15" max="15" width="10.109375" style="6" bestFit="1" customWidth="1"/>
    <col min="16" max="16" width="10.33203125" style="6" bestFit="1" customWidth="1"/>
    <col min="17" max="17" width="10" style="6" customWidth="1"/>
    <col min="18" max="18" width="8.88671875" style="6"/>
  </cols>
  <sheetData>
    <row r="1" spans="1:18" ht="17.399999999999999" x14ac:dyDescent="0.3">
      <c r="A1" s="876" t="s">
        <v>973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ht="41.4" x14ac:dyDescent="0.3">
      <c r="A2" s="809" t="s">
        <v>177</v>
      </c>
      <c r="B2" s="811" t="s">
        <v>558</v>
      </c>
      <c r="C2" s="825" t="s">
        <v>10</v>
      </c>
      <c r="D2" s="818" t="s">
        <v>559</v>
      </c>
      <c r="E2" s="810" t="s">
        <v>560</v>
      </c>
      <c r="F2" s="810" t="s">
        <v>561</v>
      </c>
      <c r="G2" s="810" t="s">
        <v>562</v>
      </c>
      <c r="H2" s="810" t="s">
        <v>563</v>
      </c>
      <c r="I2" s="810" t="s">
        <v>564</v>
      </c>
      <c r="J2" s="810" t="s">
        <v>565</v>
      </c>
      <c r="K2" s="810" t="s">
        <v>566</v>
      </c>
      <c r="L2" s="810" t="s">
        <v>567</v>
      </c>
      <c r="M2" s="810" t="s">
        <v>568</v>
      </c>
      <c r="N2" s="832" t="s">
        <v>569</v>
      </c>
      <c r="O2" s="825" t="s">
        <v>9</v>
      </c>
      <c r="P2" s="839" t="s">
        <v>195</v>
      </c>
      <c r="Q2" s="825" t="s">
        <v>13</v>
      </c>
      <c r="R2" s="4"/>
    </row>
    <row r="3" spans="1:18" x14ac:dyDescent="0.25">
      <c r="A3" s="797" t="s">
        <v>178</v>
      </c>
      <c r="B3" s="812" t="s">
        <v>179</v>
      </c>
      <c r="C3" s="1279">
        <v>1200</v>
      </c>
      <c r="D3" s="1084">
        <v>15</v>
      </c>
      <c r="E3" s="1065"/>
      <c r="F3" s="1065"/>
      <c r="G3" s="1065"/>
      <c r="H3" s="1065">
        <v>12</v>
      </c>
      <c r="I3" s="1065">
        <v>10</v>
      </c>
      <c r="J3" s="1065">
        <v>25</v>
      </c>
      <c r="K3" s="1065"/>
      <c r="L3" s="1065">
        <v>31</v>
      </c>
      <c r="M3" s="1065"/>
      <c r="N3" s="1085">
        <f>SUM(D3:M3)</f>
        <v>93</v>
      </c>
      <c r="O3" s="1083">
        <f>C3-N3</f>
        <v>1107</v>
      </c>
      <c r="P3" s="840">
        <f>C3/12</f>
        <v>100</v>
      </c>
      <c r="Q3" s="841">
        <f>O3/12</f>
        <v>92.25</v>
      </c>
    </row>
    <row r="4" spans="1:18" x14ac:dyDescent="0.25">
      <c r="A4" s="799" t="s">
        <v>182</v>
      </c>
      <c r="B4" s="813" t="s">
        <v>179</v>
      </c>
      <c r="C4" s="1280">
        <v>1200</v>
      </c>
      <c r="D4" s="1086">
        <v>10</v>
      </c>
      <c r="E4" s="1066">
        <v>20</v>
      </c>
      <c r="F4" s="1066"/>
      <c r="G4" s="1066"/>
      <c r="H4" s="1066">
        <v>14</v>
      </c>
      <c r="I4" s="1066"/>
      <c r="J4" s="1066">
        <v>22</v>
      </c>
      <c r="K4" s="1066"/>
      <c r="L4" s="1066"/>
      <c r="M4" s="1066">
        <v>15</v>
      </c>
      <c r="N4" s="1087">
        <f t="shared" ref="N4:N27" si="0">SUM(D4:M4)</f>
        <v>81</v>
      </c>
      <c r="O4" s="1080">
        <f t="shared" ref="O4:O27" si="1">C4-N4</f>
        <v>1119</v>
      </c>
      <c r="P4" s="842">
        <f t="shared" ref="P4:P15" si="2">C4/12</f>
        <v>100</v>
      </c>
      <c r="Q4" s="843">
        <f t="shared" ref="Q4:Q14" si="3">O4/12</f>
        <v>93.25</v>
      </c>
    </row>
    <row r="5" spans="1:18" x14ac:dyDescent="0.25">
      <c r="A5" s="799" t="s">
        <v>2</v>
      </c>
      <c r="B5" s="813" t="s">
        <v>179</v>
      </c>
      <c r="C5" s="1280">
        <v>1200</v>
      </c>
      <c r="D5" s="1086">
        <v>35</v>
      </c>
      <c r="E5" s="1066">
        <v>15</v>
      </c>
      <c r="F5" s="1066"/>
      <c r="G5" s="1066"/>
      <c r="H5" s="1066"/>
      <c r="I5" s="1066">
        <v>20</v>
      </c>
      <c r="J5" s="1066">
        <v>35</v>
      </c>
      <c r="K5" s="1066"/>
      <c r="L5" s="1066"/>
      <c r="M5" s="1066">
        <v>10</v>
      </c>
      <c r="N5" s="1087">
        <f t="shared" si="0"/>
        <v>115</v>
      </c>
      <c r="O5" s="1080">
        <f t="shared" si="1"/>
        <v>1085</v>
      </c>
      <c r="P5" s="842">
        <f t="shared" si="2"/>
        <v>100</v>
      </c>
      <c r="Q5" s="843">
        <f t="shared" si="3"/>
        <v>90.416666666666671</v>
      </c>
    </row>
    <row r="6" spans="1:18" x14ac:dyDescent="0.25">
      <c r="A6" s="799" t="s">
        <v>194</v>
      </c>
      <c r="B6" s="813" t="s">
        <v>179</v>
      </c>
      <c r="C6" s="1280">
        <v>1200</v>
      </c>
      <c r="D6" s="1086">
        <v>35</v>
      </c>
      <c r="E6" s="1066">
        <v>25</v>
      </c>
      <c r="F6" s="1066"/>
      <c r="G6" s="1066"/>
      <c r="H6" s="1066"/>
      <c r="I6" s="1066">
        <v>15</v>
      </c>
      <c r="J6" s="1066"/>
      <c r="K6" s="1066">
        <v>25</v>
      </c>
      <c r="L6" s="1066"/>
      <c r="M6" s="1066">
        <v>10</v>
      </c>
      <c r="N6" s="1087">
        <f t="shared" si="0"/>
        <v>110</v>
      </c>
      <c r="O6" s="1080">
        <f t="shared" si="1"/>
        <v>1090</v>
      </c>
      <c r="P6" s="842">
        <f t="shared" si="2"/>
        <v>100</v>
      </c>
      <c r="Q6" s="843">
        <f t="shared" si="3"/>
        <v>90.833333333333329</v>
      </c>
    </row>
    <row r="7" spans="1:18" x14ac:dyDescent="0.25">
      <c r="A7" s="799" t="s">
        <v>1</v>
      </c>
      <c r="B7" s="813" t="s">
        <v>184</v>
      </c>
      <c r="C7" s="1280">
        <v>1200</v>
      </c>
      <c r="D7" s="1086">
        <v>10</v>
      </c>
      <c r="E7" s="1066">
        <v>25</v>
      </c>
      <c r="F7" s="1066"/>
      <c r="G7" s="1066"/>
      <c r="H7" s="1066">
        <v>12</v>
      </c>
      <c r="I7" s="1066">
        <v>10</v>
      </c>
      <c r="J7" s="1066">
        <v>22</v>
      </c>
      <c r="K7" s="1066"/>
      <c r="L7" s="1066"/>
      <c r="M7" s="1066">
        <v>15</v>
      </c>
      <c r="N7" s="1087">
        <f t="shared" si="0"/>
        <v>94</v>
      </c>
      <c r="O7" s="1080">
        <f t="shared" si="1"/>
        <v>1106</v>
      </c>
      <c r="P7" s="842">
        <f t="shared" si="2"/>
        <v>100</v>
      </c>
      <c r="Q7" s="843">
        <f t="shared" si="3"/>
        <v>92.166666666666671</v>
      </c>
    </row>
    <row r="8" spans="1:18" x14ac:dyDescent="0.25">
      <c r="A8" s="799" t="s">
        <v>553</v>
      </c>
      <c r="B8" s="813" t="s">
        <v>184</v>
      </c>
      <c r="C8" s="1280">
        <v>1200</v>
      </c>
      <c r="D8" s="1086">
        <v>10</v>
      </c>
      <c r="E8" s="1066">
        <v>20</v>
      </c>
      <c r="F8" s="1066"/>
      <c r="G8" s="1066"/>
      <c r="H8" s="1066"/>
      <c r="I8" s="1066">
        <v>20</v>
      </c>
      <c r="J8" s="1066">
        <v>25</v>
      </c>
      <c r="K8" s="1066"/>
      <c r="L8" s="1066"/>
      <c r="M8" s="1066">
        <v>20</v>
      </c>
      <c r="N8" s="1087">
        <f t="shared" si="0"/>
        <v>95</v>
      </c>
      <c r="O8" s="1080">
        <f t="shared" si="1"/>
        <v>1105</v>
      </c>
      <c r="P8" s="842">
        <f t="shared" si="2"/>
        <v>100</v>
      </c>
      <c r="Q8" s="843">
        <f t="shared" si="3"/>
        <v>92.083333333333329</v>
      </c>
    </row>
    <row r="9" spans="1:18" x14ac:dyDescent="0.25">
      <c r="A9" s="799" t="s">
        <v>185</v>
      </c>
      <c r="B9" s="813" t="s">
        <v>184</v>
      </c>
      <c r="C9" s="1280">
        <v>1210</v>
      </c>
      <c r="D9" s="1086">
        <v>40</v>
      </c>
      <c r="E9" s="1066">
        <v>15</v>
      </c>
      <c r="F9" s="1066"/>
      <c r="G9" s="1066"/>
      <c r="H9" s="1066"/>
      <c r="I9" s="1066"/>
      <c r="J9" s="1066">
        <v>30</v>
      </c>
      <c r="K9" s="1066"/>
      <c r="L9" s="1066"/>
      <c r="M9" s="1066"/>
      <c r="N9" s="1087">
        <f t="shared" si="0"/>
        <v>85</v>
      </c>
      <c r="O9" s="1080">
        <f t="shared" si="1"/>
        <v>1125</v>
      </c>
      <c r="P9" s="842">
        <f t="shared" si="2"/>
        <v>100.83333333333333</v>
      </c>
      <c r="Q9" s="843">
        <f t="shared" si="3"/>
        <v>93.75</v>
      </c>
    </row>
    <row r="10" spans="1:18" x14ac:dyDescent="0.25">
      <c r="A10" s="799" t="s">
        <v>555</v>
      </c>
      <c r="B10" s="813" t="s">
        <v>184</v>
      </c>
      <c r="C10" s="1280">
        <v>1200</v>
      </c>
      <c r="D10" s="1086">
        <v>20</v>
      </c>
      <c r="E10" s="1066">
        <v>20</v>
      </c>
      <c r="F10" s="1066"/>
      <c r="G10" s="1066">
        <v>10</v>
      </c>
      <c r="H10" s="1066"/>
      <c r="I10" s="1066">
        <v>32</v>
      </c>
      <c r="J10" s="1066"/>
      <c r="K10" s="1066">
        <v>20</v>
      </c>
      <c r="L10" s="1066"/>
      <c r="M10" s="1066">
        <v>5</v>
      </c>
      <c r="N10" s="1087">
        <f t="shared" si="0"/>
        <v>107</v>
      </c>
      <c r="O10" s="1080">
        <f t="shared" si="1"/>
        <v>1093</v>
      </c>
      <c r="P10" s="842">
        <f t="shared" si="2"/>
        <v>100</v>
      </c>
      <c r="Q10" s="843">
        <f t="shared" si="3"/>
        <v>91.083333333333329</v>
      </c>
    </row>
    <row r="11" spans="1:18" x14ac:dyDescent="0.25">
      <c r="A11" s="799" t="s">
        <v>187</v>
      </c>
      <c r="B11" s="813" t="s">
        <v>184</v>
      </c>
      <c r="C11" s="1280">
        <v>1200</v>
      </c>
      <c r="D11" s="1086">
        <v>20</v>
      </c>
      <c r="E11" s="1066"/>
      <c r="F11" s="1066"/>
      <c r="G11" s="1066"/>
      <c r="H11" s="1066">
        <v>15</v>
      </c>
      <c r="I11" s="1066">
        <v>46</v>
      </c>
      <c r="J11" s="1066"/>
      <c r="K11" s="1066">
        <v>16</v>
      </c>
      <c r="L11" s="1066">
        <v>9</v>
      </c>
      <c r="M11" s="1066"/>
      <c r="N11" s="1087">
        <f t="shared" si="0"/>
        <v>106</v>
      </c>
      <c r="O11" s="1080">
        <f t="shared" si="1"/>
        <v>1094</v>
      </c>
      <c r="P11" s="842">
        <f t="shared" si="2"/>
        <v>100</v>
      </c>
      <c r="Q11" s="843">
        <f t="shared" si="3"/>
        <v>91.166666666666671</v>
      </c>
    </row>
    <row r="12" spans="1:18" x14ac:dyDescent="0.25">
      <c r="A12" s="799" t="s">
        <v>11</v>
      </c>
      <c r="B12" s="813" t="s">
        <v>184</v>
      </c>
      <c r="C12" s="1280">
        <v>1200</v>
      </c>
      <c r="D12" s="1086">
        <v>50</v>
      </c>
      <c r="E12" s="1066">
        <v>10</v>
      </c>
      <c r="F12" s="1066"/>
      <c r="G12" s="1066"/>
      <c r="H12" s="1066">
        <v>15</v>
      </c>
      <c r="I12" s="1066"/>
      <c r="J12" s="1066"/>
      <c r="K12" s="1066">
        <v>20</v>
      </c>
      <c r="L12" s="1066"/>
      <c r="M12" s="1066"/>
      <c r="N12" s="1087">
        <f t="shared" si="0"/>
        <v>95</v>
      </c>
      <c r="O12" s="1080">
        <f t="shared" si="1"/>
        <v>1105</v>
      </c>
      <c r="P12" s="842">
        <f t="shared" si="2"/>
        <v>100</v>
      </c>
      <c r="Q12" s="843">
        <f t="shared" si="3"/>
        <v>92.083333333333329</v>
      </c>
    </row>
    <row r="13" spans="1:18" x14ac:dyDescent="0.25">
      <c r="A13" s="799" t="s">
        <v>188</v>
      </c>
      <c r="B13" s="813" t="s">
        <v>184</v>
      </c>
      <c r="C13" s="1280">
        <v>1200</v>
      </c>
      <c r="D13" s="1086">
        <v>35</v>
      </c>
      <c r="E13" s="1066">
        <v>30</v>
      </c>
      <c r="F13" s="1066"/>
      <c r="G13" s="1066"/>
      <c r="H13" s="1066">
        <v>25</v>
      </c>
      <c r="I13" s="1066"/>
      <c r="J13" s="1066"/>
      <c r="K13" s="1066">
        <v>16</v>
      </c>
      <c r="L13" s="1066"/>
      <c r="M13" s="1066"/>
      <c r="N13" s="1087">
        <f t="shared" si="0"/>
        <v>106</v>
      </c>
      <c r="O13" s="1080">
        <f t="shared" si="1"/>
        <v>1094</v>
      </c>
      <c r="P13" s="842">
        <f t="shared" si="2"/>
        <v>100</v>
      </c>
      <c r="Q13" s="843">
        <f t="shared" si="3"/>
        <v>91.166666666666671</v>
      </c>
    </row>
    <row r="14" spans="1:18" x14ac:dyDescent="0.25">
      <c r="A14" s="799" t="s">
        <v>189</v>
      </c>
      <c r="B14" s="813" t="s">
        <v>184</v>
      </c>
      <c r="C14" s="1280">
        <v>1200</v>
      </c>
      <c r="D14" s="1086">
        <v>20</v>
      </c>
      <c r="E14" s="1066">
        <v>10</v>
      </c>
      <c r="F14" s="1066"/>
      <c r="G14" s="1066"/>
      <c r="H14" s="1066"/>
      <c r="I14" s="1066">
        <v>20</v>
      </c>
      <c r="J14" s="1066"/>
      <c r="K14" s="1066">
        <v>25</v>
      </c>
      <c r="L14" s="1066">
        <v>24</v>
      </c>
      <c r="M14" s="1066"/>
      <c r="N14" s="1087">
        <f t="shared" si="0"/>
        <v>99</v>
      </c>
      <c r="O14" s="1080">
        <f t="shared" si="1"/>
        <v>1101</v>
      </c>
      <c r="P14" s="842">
        <f t="shared" si="2"/>
        <v>100</v>
      </c>
      <c r="Q14" s="843">
        <f t="shared" si="3"/>
        <v>91.75</v>
      </c>
    </row>
    <row r="15" spans="1:18" x14ac:dyDescent="0.25">
      <c r="A15" s="1633" t="s">
        <v>193</v>
      </c>
      <c r="B15" s="1634" t="s">
        <v>179</v>
      </c>
      <c r="C15" s="1635"/>
      <c r="D15" s="1636"/>
      <c r="E15" s="1637"/>
      <c r="F15" s="1637"/>
      <c r="G15" s="1637"/>
      <c r="H15" s="1637"/>
      <c r="I15" s="1637"/>
      <c r="J15" s="1637"/>
      <c r="K15" s="1637"/>
      <c r="L15" s="1637"/>
      <c r="M15" s="1637"/>
      <c r="N15" s="1638"/>
      <c r="O15" s="1635">
        <v>1183.2680934714908</v>
      </c>
      <c r="P15" s="1639">
        <f t="shared" si="2"/>
        <v>0</v>
      </c>
      <c r="Q15" s="1640">
        <f>O15/12</f>
        <v>98.605674455957569</v>
      </c>
      <c r="R15" s="4"/>
    </row>
    <row r="16" spans="1:18" x14ac:dyDescent="0.25">
      <c r="A16" s="801" t="s">
        <v>178</v>
      </c>
      <c r="B16" s="814" t="s">
        <v>655</v>
      </c>
      <c r="C16" s="1088"/>
      <c r="D16" s="1089">
        <v>18</v>
      </c>
      <c r="E16" s="1090"/>
      <c r="F16" s="1090"/>
      <c r="G16" s="1090"/>
      <c r="H16" s="1090">
        <v>30</v>
      </c>
      <c r="I16" s="1090"/>
      <c r="J16" s="1090">
        <v>30</v>
      </c>
      <c r="K16" s="1090"/>
      <c r="L16" s="1090">
        <v>30</v>
      </c>
      <c r="M16" s="1090"/>
      <c r="N16" s="1094">
        <f t="shared" si="0"/>
        <v>108</v>
      </c>
      <c r="O16" s="1091">
        <f t="shared" si="1"/>
        <v>-108</v>
      </c>
      <c r="P16" s="1631">
        <f>C16/33</f>
        <v>0</v>
      </c>
      <c r="Q16" s="845">
        <f>O16/33</f>
        <v>-3.2727272727272729</v>
      </c>
    </row>
    <row r="17" spans="1:18" x14ac:dyDescent="0.25">
      <c r="A17" s="803" t="s">
        <v>185</v>
      </c>
      <c r="B17" s="815" t="s">
        <v>186</v>
      </c>
      <c r="C17" s="1091"/>
      <c r="D17" s="1092"/>
      <c r="E17" s="1093"/>
      <c r="F17" s="1093"/>
      <c r="G17" s="1093"/>
      <c r="H17" s="1093"/>
      <c r="I17" s="1093">
        <v>100</v>
      </c>
      <c r="J17" s="1093"/>
      <c r="K17" s="1093"/>
      <c r="L17" s="1093"/>
      <c r="M17" s="1093"/>
      <c r="N17" s="1094">
        <f t="shared" si="0"/>
        <v>100</v>
      </c>
      <c r="O17" s="1091">
        <f t="shared" si="1"/>
        <v>-100</v>
      </c>
      <c r="P17" s="1632">
        <f>C17/33</f>
        <v>0</v>
      </c>
      <c r="Q17" s="847">
        <f>O17/33</f>
        <v>-3.0303030303030303</v>
      </c>
    </row>
    <row r="18" spans="1:18" x14ac:dyDescent="0.25">
      <c r="A18" s="803" t="s">
        <v>2</v>
      </c>
      <c r="B18" s="815" t="s">
        <v>186</v>
      </c>
      <c r="C18" s="1091"/>
      <c r="D18" s="1092">
        <v>70</v>
      </c>
      <c r="E18" s="1093"/>
      <c r="F18" s="1093"/>
      <c r="G18" s="1093"/>
      <c r="H18" s="1093"/>
      <c r="I18" s="1093">
        <v>100</v>
      </c>
      <c r="J18" s="1093"/>
      <c r="K18" s="1093"/>
      <c r="L18" s="1093"/>
      <c r="M18" s="1093"/>
      <c r="N18" s="1094">
        <f t="shared" si="0"/>
        <v>170</v>
      </c>
      <c r="O18" s="1091">
        <f t="shared" si="1"/>
        <v>-170</v>
      </c>
      <c r="P18" s="1632">
        <f t="shared" ref="P18:P19" si="4">C18/33</f>
        <v>0</v>
      </c>
      <c r="Q18" s="847">
        <f t="shared" ref="Q18:Q19" si="5">O18/33</f>
        <v>-5.1515151515151514</v>
      </c>
    </row>
    <row r="19" spans="1:18" x14ac:dyDescent="0.25">
      <c r="A19" s="1633" t="s">
        <v>193</v>
      </c>
      <c r="B19" s="1634" t="s">
        <v>186</v>
      </c>
      <c r="C19" s="1635"/>
      <c r="D19" s="1636"/>
      <c r="E19" s="1637"/>
      <c r="F19" s="1637"/>
      <c r="G19" s="1637"/>
      <c r="H19" s="1637"/>
      <c r="I19" s="1637"/>
      <c r="J19" s="1637"/>
      <c r="K19" s="1637"/>
      <c r="L19" s="1637"/>
      <c r="M19" s="1637"/>
      <c r="N19" s="1638"/>
      <c r="O19" s="1635">
        <v>3242.25</v>
      </c>
      <c r="P19" s="1641">
        <f t="shared" si="4"/>
        <v>0</v>
      </c>
      <c r="Q19" s="1640">
        <f t="shared" si="5"/>
        <v>98.25</v>
      </c>
      <c r="R19" s="4"/>
    </row>
    <row r="20" spans="1:18" x14ac:dyDescent="0.25">
      <c r="A20" s="805" t="s">
        <v>178</v>
      </c>
      <c r="B20" s="816" t="s">
        <v>181</v>
      </c>
      <c r="C20" s="1095"/>
      <c r="D20" s="1096">
        <v>20</v>
      </c>
      <c r="E20" s="1097"/>
      <c r="F20" s="1097"/>
      <c r="G20" s="1097"/>
      <c r="H20" s="1097">
        <v>45</v>
      </c>
      <c r="I20" s="1097"/>
      <c r="J20" s="1097">
        <v>50</v>
      </c>
      <c r="K20" s="1097"/>
      <c r="L20" s="1097"/>
      <c r="M20" s="1097"/>
      <c r="N20" s="1098">
        <f t="shared" si="0"/>
        <v>115</v>
      </c>
      <c r="O20" s="1095">
        <f t="shared" si="1"/>
        <v>-115</v>
      </c>
      <c r="P20" s="1642">
        <f>C20/45</f>
        <v>0</v>
      </c>
      <c r="Q20" s="1643">
        <f>O20/45</f>
        <v>-2.5555555555555554</v>
      </c>
    </row>
    <row r="21" spans="1:18" x14ac:dyDescent="0.25">
      <c r="A21" s="807" t="s">
        <v>182</v>
      </c>
      <c r="B21" s="817" t="s">
        <v>181</v>
      </c>
      <c r="C21" s="1099">
        <v>4150</v>
      </c>
      <c r="D21" s="1100"/>
      <c r="E21" s="1101">
        <v>40</v>
      </c>
      <c r="F21" s="1101"/>
      <c r="G21" s="1101"/>
      <c r="H21" s="1101"/>
      <c r="I21" s="1101"/>
      <c r="J21" s="1101"/>
      <c r="K21" s="1101"/>
      <c r="L21" s="1101">
        <v>40</v>
      </c>
      <c r="M21" s="1101">
        <v>30</v>
      </c>
      <c r="N21" s="1102">
        <f t="shared" si="0"/>
        <v>110</v>
      </c>
      <c r="O21" s="1099">
        <f t="shared" si="1"/>
        <v>4040</v>
      </c>
      <c r="P21" s="1644">
        <f t="shared" ref="P21:P27" si="6">C21/45</f>
        <v>92.222222222222229</v>
      </c>
      <c r="Q21" s="851">
        <f t="shared" ref="Q21:Q27" si="7">O21/45</f>
        <v>89.777777777777771</v>
      </c>
    </row>
    <row r="22" spans="1:18" x14ac:dyDescent="0.25">
      <c r="A22" s="807" t="s">
        <v>185</v>
      </c>
      <c r="B22" s="817" t="s">
        <v>181</v>
      </c>
      <c r="C22" s="1099">
        <v>4250</v>
      </c>
      <c r="D22" s="1100"/>
      <c r="E22" s="1101"/>
      <c r="F22" s="1101"/>
      <c r="G22" s="1101"/>
      <c r="H22" s="1101"/>
      <c r="I22" s="1101"/>
      <c r="J22" s="1101"/>
      <c r="K22" s="1101"/>
      <c r="L22" s="1101"/>
      <c r="M22" s="1101"/>
      <c r="N22" s="1102"/>
      <c r="O22" s="1099"/>
      <c r="P22" s="1644"/>
      <c r="Q22" s="851"/>
    </row>
    <row r="23" spans="1:18" x14ac:dyDescent="0.25">
      <c r="A23" s="807" t="s">
        <v>1</v>
      </c>
      <c r="B23" s="817" t="s">
        <v>181</v>
      </c>
      <c r="C23" s="1099"/>
      <c r="D23" s="1100"/>
      <c r="E23" s="1101"/>
      <c r="F23" s="1101"/>
      <c r="G23" s="1101"/>
      <c r="H23" s="1101"/>
      <c r="I23" s="1101"/>
      <c r="J23" s="1101"/>
      <c r="K23" s="1101"/>
      <c r="L23" s="1101">
        <v>75</v>
      </c>
      <c r="M23" s="1101">
        <v>70</v>
      </c>
      <c r="N23" s="1102">
        <f t="shared" si="0"/>
        <v>145</v>
      </c>
      <c r="O23" s="1099">
        <f t="shared" si="1"/>
        <v>-145</v>
      </c>
      <c r="P23" s="1644">
        <f t="shared" si="6"/>
        <v>0</v>
      </c>
      <c r="Q23" s="851">
        <f t="shared" si="7"/>
        <v>-3.2222222222222223</v>
      </c>
    </row>
    <row r="24" spans="1:18" x14ac:dyDescent="0.25">
      <c r="A24" s="807" t="s">
        <v>553</v>
      </c>
      <c r="B24" s="817" t="s">
        <v>181</v>
      </c>
      <c r="C24" s="1099"/>
      <c r="D24" s="1100">
        <v>150</v>
      </c>
      <c r="E24" s="1101"/>
      <c r="F24" s="1101"/>
      <c r="G24" s="1101"/>
      <c r="H24" s="1101"/>
      <c r="I24" s="1101"/>
      <c r="J24" s="1101"/>
      <c r="K24" s="1101"/>
      <c r="L24" s="1101">
        <v>50</v>
      </c>
      <c r="M24" s="1101"/>
      <c r="N24" s="1102">
        <f t="shared" si="0"/>
        <v>200</v>
      </c>
      <c r="O24" s="1099">
        <f t="shared" si="1"/>
        <v>-200</v>
      </c>
      <c r="P24" s="1644">
        <f t="shared" si="6"/>
        <v>0</v>
      </c>
      <c r="Q24" s="851">
        <f t="shared" si="7"/>
        <v>-4.4444444444444446</v>
      </c>
    </row>
    <row r="25" spans="1:18" x14ac:dyDescent="0.25">
      <c r="A25" s="807" t="s">
        <v>2</v>
      </c>
      <c r="B25" s="817" t="s">
        <v>181</v>
      </c>
      <c r="C25" s="1099"/>
      <c r="D25" s="1100">
        <v>70</v>
      </c>
      <c r="E25" s="1101"/>
      <c r="F25" s="1101"/>
      <c r="G25" s="1101"/>
      <c r="H25" s="1101"/>
      <c r="I25" s="1101">
        <v>150</v>
      </c>
      <c r="J25" s="1101"/>
      <c r="K25" s="1101"/>
      <c r="L25" s="1101"/>
      <c r="M25" s="1101">
        <v>5</v>
      </c>
      <c r="N25" s="1102">
        <f t="shared" si="0"/>
        <v>225</v>
      </c>
      <c r="O25" s="1099">
        <f t="shared" si="1"/>
        <v>-225</v>
      </c>
      <c r="P25" s="1644">
        <f t="shared" si="6"/>
        <v>0</v>
      </c>
      <c r="Q25" s="851">
        <f t="shared" si="7"/>
        <v>-5</v>
      </c>
    </row>
    <row r="26" spans="1:18" x14ac:dyDescent="0.25">
      <c r="A26" s="807" t="s">
        <v>187</v>
      </c>
      <c r="B26" s="817" t="s">
        <v>181</v>
      </c>
      <c r="C26" s="1099"/>
      <c r="D26" s="1100">
        <v>120</v>
      </c>
      <c r="E26" s="1101"/>
      <c r="F26" s="1101"/>
      <c r="G26" s="1101"/>
      <c r="H26" s="1101">
        <v>25</v>
      </c>
      <c r="I26" s="1101">
        <v>150</v>
      </c>
      <c r="J26" s="1101">
        <v>25</v>
      </c>
      <c r="K26" s="1101">
        <v>25</v>
      </c>
      <c r="L26" s="1101"/>
      <c r="M26" s="1101"/>
      <c r="N26" s="1102">
        <f t="shared" si="0"/>
        <v>345</v>
      </c>
      <c r="O26" s="1099">
        <f t="shared" si="1"/>
        <v>-345</v>
      </c>
      <c r="P26" s="1644">
        <f t="shared" si="6"/>
        <v>0</v>
      </c>
      <c r="Q26" s="851">
        <f t="shared" si="7"/>
        <v>-7.666666666666667</v>
      </c>
    </row>
    <row r="27" spans="1:18" x14ac:dyDescent="0.25">
      <c r="A27" s="807" t="s">
        <v>11</v>
      </c>
      <c r="B27" s="817" t="s">
        <v>181</v>
      </c>
      <c r="C27" s="1099"/>
      <c r="D27" s="1100">
        <v>100</v>
      </c>
      <c r="E27" s="1101"/>
      <c r="F27" s="1101"/>
      <c r="G27" s="1101"/>
      <c r="H27" s="1101">
        <v>15</v>
      </c>
      <c r="I27" s="1101"/>
      <c r="J27" s="1101">
        <v>30</v>
      </c>
      <c r="K27" s="1101">
        <v>70</v>
      </c>
      <c r="L27" s="1101"/>
      <c r="M27" s="1101"/>
      <c r="N27" s="1102">
        <f t="shared" si="0"/>
        <v>215</v>
      </c>
      <c r="O27" s="1099">
        <f t="shared" si="1"/>
        <v>-215</v>
      </c>
      <c r="P27" s="1644">
        <f t="shared" si="6"/>
        <v>0</v>
      </c>
      <c r="Q27" s="851">
        <f t="shared" si="7"/>
        <v>-4.7777777777777777</v>
      </c>
    </row>
    <row r="28" spans="1:18" x14ac:dyDescent="0.25">
      <c r="A28" s="807" t="s">
        <v>194</v>
      </c>
      <c r="B28" s="817" t="s">
        <v>181</v>
      </c>
      <c r="C28" s="1281"/>
      <c r="D28" s="1100"/>
      <c r="E28" s="1101"/>
      <c r="F28" s="1101"/>
      <c r="G28" s="1101"/>
      <c r="H28" s="1101"/>
      <c r="I28" s="1101"/>
      <c r="J28" s="1101"/>
      <c r="K28" s="1101">
        <v>150</v>
      </c>
      <c r="L28" s="1101"/>
      <c r="M28" s="1101"/>
      <c r="N28" s="1102">
        <f>SUM(D28:M28)</f>
        <v>150</v>
      </c>
      <c r="O28" s="1099">
        <f>C28-N28</f>
        <v>-150</v>
      </c>
      <c r="P28" s="1644">
        <f>C28/45</f>
        <v>0</v>
      </c>
      <c r="Q28" s="851">
        <f>O28/45</f>
        <v>-3.3333333333333335</v>
      </c>
    </row>
    <row r="29" spans="1:18" x14ac:dyDescent="0.25">
      <c r="A29" s="1633" t="s">
        <v>193</v>
      </c>
      <c r="B29" s="1634" t="s">
        <v>181</v>
      </c>
      <c r="C29" s="1635"/>
      <c r="D29" s="1636"/>
      <c r="E29" s="1637"/>
      <c r="F29" s="1637"/>
      <c r="G29" s="1637"/>
      <c r="H29" s="1637"/>
      <c r="I29" s="1637"/>
      <c r="J29" s="1637"/>
      <c r="K29" s="1637"/>
      <c r="L29" s="1637"/>
      <c r="M29" s="1637"/>
      <c r="N29" s="1638"/>
      <c r="O29" s="1635">
        <v>4421.25</v>
      </c>
      <c r="P29" s="1641">
        <f>C29/45</f>
        <v>0</v>
      </c>
      <c r="Q29" s="1640">
        <f>O29/45</f>
        <v>98.25</v>
      </c>
      <c r="R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17"/>
  <sheetViews>
    <sheetView zoomScale="110" zoomScaleNormal="110" workbookViewId="0">
      <selection activeCell="U18" sqref="U18"/>
    </sheetView>
  </sheetViews>
  <sheetFormatPr defaultRowHeight="14.4" outlineLevelCol="1" x14ac:dyDescent="0.3"/>
  <cols>
    <col min="1" max="1" width="3" style="6" bestFit="1" customWidth="1"/>
    <col min="2" max="2" width="17.33203125" style="6" bestFit="1" customWidth="1"/>
    <col min="3" max="4" width="8.88671875" style="6" hidden="1" customWidth="1" outlineLevel="1"/>
    <col min="5" max="5" width="6.6640625" style="6" hidden="1" customWidth="1" outlineLevel="1"/>
    <col min="6" max="6" width="8" style="6" hidden="1" customWidth="1" outlineLevel="1"/>
    <col min="7" max="7" width="7.6640625" style="6" hidden="1" customWidth="1" outlineLevel="1"/>
    <col min="8" max="8" width="6.88671875" style="6" bestFit="1" customWidth="1" collapsed="1"/>
    <col min="9" max="9" width="12.44140625" style="6" bestFit="1" customWidth="1"/>
    <col min="10" max="11" width="8.88671875" style="6" hidden="1" customWidth="1" outlineLevel="1"/>
    <col min="12" max="12" width="6.6640625" style="6" hidden="1" customWidth="1" outlineLevel="1"/>
    <col min="13" max="13" width="8" style="6" hidden="1" customWidth="1" outlineLevel="1"/>
    <col min="14" max="14" width="7.6640625" style="6" hidden="1" customWidth="1" outlineLevel="1"/>
    <col min="15" max="15" width="6.88671875" style="6" bestFit="1" customWidth="1" collapsed="1"/>
    <col min="16" max="16" width="12.44140625" style="6" bestFit="1" customWidth="1"/>
    <col min="17" max="17" width="7.77734375" style="6" customWidth="1"/>
    <col min="18" max="18" width="7.88671875" style="6" customWidth="1"/>
  </cols>
  <sheetData>
    <row r="1" spans="1:18" s="1755" customFormat="1" ht="18" x14ac:dyDescent="0.3">
      <c r="A1" s="1756" t="s">
        <v>30</v>
      </c>
      <c r="B1" s="1756"/>
      <c r="C1" s="1756"/>
      <c r="D1" s="1756"/>
      <c r="E1" s="1756"/>
      <c r="F1" s="1756"/>
      <c r="G1" s="1756"/>
      <c r="H1" s="1756"/>
      <c r="I1" s="1756"/>
      <c r="J1" s="1756"/>
      <c r="K1" s="1756"/>
      <c r="L1" s="1756"/>
      <c r="M1" s="1756"/>
      <c r="N1" s="1756"/>
      <c r="O1" s="1756"/>
      <c r="P1" s="1756"/>
      <c r="Q1" s="1756"/>
      <c r="R1" s="1756"/>
    </row>
    <row r="2" spans="1:18" ht="15" thickBot="1" x14ac:dyDescent="0.35">
      <c r="A2" s="6" t="s">
        <v>977</v>
      </c>
    </row>
    <row r="3" spans="1:18" ht="15" thickBot="1" x14ac:dyDescent="0.3">
      <c r="A3" s="1752" t="s">
        <v>16</v>
      </c>
      <c r="B3" s="1753" t="s">
        <v>17</v>
      </c>
      <c r="C3" s="1757"/>
      <c r="D3" s="1754"/>
      <c r="E3" s="1757"/>
      <c r="F3" s="1758"/>
      <c r="G3" s="1759"/>
      <c r="H3" s="2104" t="s">
        <v>223</v>
      </c>
      <c r="I3" s="2105"/>
      <c r="J3" s="1778"/>
      <c r="K3" s="1779"/>
      <c r="L3" s="1778"/>
      <c r="M3" s="1780"/>
      <c r="N3" s="1781"/>
      <c r="O3" s="2106" t="s">
        <v>978</v>
      </c>
      <c r="P3" s="2107"/>
      <c r="Q3" s="2106" t="s">
        <v>979</v>
      </c>
      <c r="R3" s="2107"/>
    </row>
    <row r="4" spans="1:18" x14ac:dyDescent="0.25">
      <c r="A4" s="1752" t="s">
        <v>31</v>
      </c>
      <c r="B4" s="1753" t="s">
        <v>976</v>
      </c>
      <c r="C4" s="1757" t="s">
        <v>535</v>
      </c>
      <c r="D4" s="1754" t="s">
        <v>655</v>
      </c>
      <c r="E4" s="1757" t="s">
        <v>537</v>
      </c>
      <c r="F4" s="1758" t="s">
        <v>974</v>
      </c>
      <c r="G4" s="1759" t="s">
        <v>975</v>
      </c>
      <c r="H4" s="1760" t="s">
        <v>469</v>
      </c>
      <c r="I4" s="1761" t="s">
        <v>653</v>
      </c>
      <c r="J4" s="1778" t="s">
        <v>535</v>
      </c>
      <c r="K4" s="1779" t="s">
        <v>655</v>
      </c>
      <c r="L4" s="1778" t="s">
        <v>537</v>
      </c>
      <c r="M4" s="1780" t="s">
        <v>974</v>
      </c>
      <c r="N4" s="1781" t="s">
        <v>975</v>
      </c>
      <c r="O4" s="1782" t="s">
        <v>469</v>
      </c>
      <c r="P4" s="1783" t="s">
        <v>653</v>
      </c>
      <c r="Q4" s="1782" t="s">
        <v>469</v>
      </c>
      <c r="R4" s="1783" t="s">
        <v>653</v>
      </c>
    </row>
    <row r="5" spans="1:18" x14ac:dyDescent="0.25">
      <c r="A5" s="1733" t="s">
        <v>38</v>
      </c>
      <c r="B5" s="1737" t="s">
        <v>689</v>
      </c>
      <c r="C5" s="1762"/>
      <c r="D5" s="1748"/>
      <c r="E5" s="1762"/>
      <c r="F5" s="1745"/>
      <c r="G5" s="1763"/>
      <c r="H5" s="1764"/>
      <c r="I5" s="1765"/>
      <c r="J5" s="1784"/>
      <c r="K5" s="1785"/>
      <c r="L5" s="1784"/>
      <c r="M5" s="1786"/>
      <c r="N5" s="1787"/>
      <c r="O5" s="1788"/>
      <c r="P5" s="1789"/>
      <c r="Q5" s="1788"/>
      <c r="R5" s="1789"/>
    </row>
    <row r="6" spans="1:18" x14ac:dyDescent="0.25">
      <c r="A6" s="1734">
        <v>1</v>
      </c>
      <c r="B6" s="1738" t="s">
        <v>684</v>
      </c>
      <c r="C6" s="1766">
        <v>61917</v>
      </c>
      <c r="D6" s="1749">
        <v>1</v>
      </c>
      <c r="E6" s="1766">
        <v>1</v>
      </c>
      <c r="F6" s="1528"/>
      <c r="G6" s="1530"/>
      <c r="H6" s="1767">
        <f t="shared" ref="H6:H16" si="0">(C6*12+D6*33+E6*45)/1000+F6+G6</f>
        <v>743.08199999999999</v>
      </c>
      <c r="I6" s="1768">
        <v>74308200</v>
      </c>
      <c r="J6" s="1790">
        <v>32225</v>
      </c>
      <c r="K6" s="1791">
        <v>1936</v>
      </c>
      <c r="L6" s="1790">
        <v>35</v>
      </c>
      <c r="M6" s="1792"/>
      <c r="N6" s="1793"/>
      <c r="O6" s="1794">
        <f t="shared" ref="O6:O16" si="1">(J6*12+K6*33+L6*45)/1000+M6+N6</f>
        <v>452.16300000000001</v>
      </c>
      <c r="P6" s="1795">
        <v>45920162</v>
      </c>
      <c r="Q6" s="1809">
        <f>O6/H6</f>
        <v>0.60849677424564186</v>
      </c>
      <c r="R6" s="1810">
        <f>P6/I6</f>
        <v>0.61796897246871807</v>
      </c>
    </row>
    <row r="7" spans="1:18" x14ac:dyDescent="0.25">
      <c r="A7" s="1734">
        <v>2</v>
      </c>
      <c r="B7" s="1738" t="s">
        <v>686</v>
      </c>
      <c r="C7" s="1766">
        <f>45833-8000</f>
        <v>37833</v>
      </c>
      <c r="D7" s="1749">
        <v>1</v>
      </c>
      <c r="E7" s="1766">
        <v>1</v>
      </c>
      <c r="F7" s="1528"/>
      <c r="G7" s="1530"/>
      <c r="H7" s="1767">
        <f t="shared" si="0"/>
        <v>454.07400000000001</v>
      </c>
      <c r="I7" s="1768">
        <v>45407400</v>
      </c>
      <c r="J7" s="1790">
        <f>6873+13</f>
        <v>6886</v>
      </c>
      <c r="K7" s="1791">
        <v>112</v>
      </c>
      <c r="L7" s="1790">
        <v>0</v>
      </c>
      <c r="M7" s="1792"/>
      <c r="N7" s="1793"/>
      <c r="O7" s="1794">
        <f t="shared" si="1"/>
        <v>86.328000000000003</v>
      </c>
      <c r="P7" s="1795">
        <f>8718342+15600</f>
        <v>8733942</v>
      </c>
      <c r="Q7" s="1809">
        <f t="shared" ref="Q7:Q17" si="2">O7/H7</f>
        <v>0.19011879121024328</v>
      </c>
      <c r="R7" s="1810">
        <f t="shared" ref="R7:R17" si="3">P7/I7</f>
        <v>0.19234622550509389</v>
      </c>
    </row>
    <row r="8" spans="1:18" x14ac:dyDescent="0.25">
      <c r="A8" s="1734">
        <v>3</v>
      </c>
      <c r="B8" s="1739" t="s">
        <v>817</v>
      </c>
      <c r="C8" s="1766">
        <v>29167</v>
      </c>
      <c r="D8" s="1749">
        <v>1</v>
      </c>
      <c r="E8" s="1766">
        <v>1</v>
      </c>
      <c r="F8" s="1528"/>
      <c r="G8" s="1530"/>
      <c r="H8" s="1767">
        <f t="shared" si="0"/>
        <v>350.08199999999999</v>
      </c>
      <c r="I8" s="1768">
        <v>34716465</v>
      </c>
      <c r="J8" s="1790">
        <v>6429</v>
      </c>
      <c r="K8" s="1791">
        <v>20</v>
      </c>
      <c r="L8" s="1790">
        <v>0</v>
      </c>
      <c r="M8" s="1792"/>
      <c r="N8" s="1793"/>
      <c r="O8" s="1794">
        <f t="shared" si="1"/>
        <v>77.808000000000007</v>
      </c>
      <c r="P8" s="1795">
        <v>7826306</v>
      </c>
      <c r="Q8" s="1809">
        <f t="shared" si="2"/>
        <v>0.2222564999057364</v>
      </c>
      <c r="R8" s="1810">
        <f t="shared" si="3"/>
        <v>0.22543499172510795</v>
      </c>
    </row>
    <row r="9" spans="1:18" x14ac:dyDescent="0.25">
      <c r="A9" s="1734">
        <v>4</v>
      </c>
      <c r="B9" s="1739" t="s">
        <v>777</v>
      </c>
      <c r="C9" s="1766">
        <f>54167-10000</f>
        <v>44167</v>
      </c>
      <c r="D9" s="1749">
        <v>1</v>
      </c>
      <c r="E9" s="1766">
        <v>1</v>
      </c>
      <c r="F9" s="1528"/>
      <c r="G9" s="1530"/>
      <c r="H9" s="1767">
        <f t="shared" si="0"/>
        <v>530.08199999999999</v>
      </c>
      <c r="I9" s="1768">
        <v>52566465</v>
      </c>
      <c r="J9" s="1790">
        <v>9679</v>
      </c>
      <c r="K9" s="1791">
        <v>86</v>
      </c>
      <c r="L9" s="1790">
        <v>0</v>
      </c>
      <c r="M9" s="1792"/>
      <c r="N9" s="1793"/>
      <c r="O9" s="1794">
        <f t="shared" si="1"/>
        <v>118.986</v>
      </c>
      <c r="P9" s="1795">
        <v>11904246</v>
      </c>
      <c r="Q9" s="1809">
        <f t="shared" si="2"/>
        <v>0.2244671579114175</v>
      </c>
      <c r="R9" s="1810">
        <f t="shared" si="3"/>
        <v>0.22646084342936129</v>
      </c>
    </row>
    <row r="10" spans="1:18" x14ac:dyDescent="0.25">
      <c r="A10" s="1734">
        <v>5</v>
      </c>
      <c r="B10" s="1740" t="s">
        <v>681</v>
      </c>
      <c r="C10" s="1766">
        <v>50000</v>
      </c>
      <c r="D10" s="1749">
        <v>1</v>
      </c>
      <c r="E10" s="1766">
        <v>1</v>
      </c>
      <c r="F10" s="1528"/>
      <c r="G10" s="1530"/>
      <c r="H10" s="1767">
        <f t="shared" si="0"/>
        <v>600.07799999999997</v>
      </c>
      <c r="I10" s="1768">
        <v>58007540</v>
      </c>
      <c r="J10" s="1790">
        <v>8395</v>
      </c>
      <c r="K10" s="1791">
        <v>124</v>
      </c>
      <c r="L10" s="1790">
        <v>0</v>
      </c>
      <c r="M10" s="1792"/>
      <c r="N10" s="1793"/>
      <c r="O10" s="1794">
        <f t="shared" si="1"/>
        <v>104.83199999999999</v>
      </c>
      <c r="P10" s="1795">
        <v>10319096</v>
      </c>
      <c r="Q10" s="1809">
        <f t="shared" si="2"/>
        <v>0.17469728935238418</v>
      </c>
      <c r="R10" s="1810">
        <f t="shared" si="3"/>
        <v>0.17789232227396645</v>
      </c>
    </row>
    <row r="11" spans="1:18" x14ac:dyDescent="0.25">
      <c r="A11" s="1734">
        <v>6</v>
      </c>
      <c r="B11" s="1741" t="s">
        <v>683</v>
      </c>
      <c r="C11" s="1766">
        <v>18000</v>
      </c>
      <c r="D11" s="1749">
        <v>1</v>
      </c>
      <c r="E11" s="1766">
        <v>1</v>
      </c>
      <c r="F11" s="1528"/>
      <c r="G11" s="1530"/>
      <c r="H11" s="1767">
        <f t="shared" si="0"/>
        <v>216.078</v>
      </c>
      <c r="I11" s="1768">
        <v>21067605</v>
      </c>
      <c r="J11" s="1790">
        <v>10956</v>
      </c>
      <c r="K11" s="1791">
        <v>12</v>
      </c>
      <c r="L11" s="1790">
        <v>0</v>
      </c>
      <c r="M11" s="1792"/>
      <c r="N11" s="1793"/>
      <c r="O11" s="1794">
        <f t="shared" si="1"/>
        <v>131.86799999999999</v>
      </c>
      <c r="P11" s="1795">
        <v>13148784</v>
      </c>
      <c r="Q11" s="1809">
        <f t="shared" si="2"/>
        <v>0.61027962124788271</v>
      </c>
      <c r="R11" s="1810">
        <f t="shared" si="3"/>
        <v>0.62412334007591275</v>
      </c>
    </row>
    <row r="12" spans="1:18" x14ac:dyDescent="0.25">
      <c r="A12" s="1734">
        <v>7</v>
      </c>
      <c r="B12" s="1741" t="s">
        <v>764</v>
      </c>
      <c r="C12" s="1766">
        <f>43083-5000</f>
        <v>38083</v>
      </c>
      <c r="D12" s="1749">
        <v>1</v>
      </c>
      <c r="E12" s="1766">
        <v>1</v>
      </c>
      <c r="F12" s="1528"/>
      <c r="G12" s="1530"/>
      <c r="H12" s="1767">
        <f t="shared" si="0"/>
        <v>457.07400000000001</v>
      </c>
      <c r="I12" s="1768">
        <v>44564715</v>
      </c>
      <c r="J12" s="1790">
        <f>1691+5514</f>
        <v>7205</v>
      </c>
      <c r="K12" s="1791">
        <f>100+48</f>
        <v>148</v>
      </c>
      <c r="L12" s="1790">
        <v>0</v>
      </c>
      <c r="M12" s="1792"/>
      <c r="N12" s="1793"/>
      <c r="O12" s="1794">
        <f t="shared" si="1"/>
        <v>91.343999999999994</v>
      </c>
      <c r="P12" s="1795">
        <f>2353290+6679878</f>
        <v>9033168</v>
      </c>
      <c r="Q12" s="1809">
        <f t="shared" si="2"/>
        <v>0.1998451016684388</v>
      </c>
      <c r="R12" s="1810">
        <f t="shared" si="3"/>
        <v>0.20269776211965004</v>
      </c>
    </row>
    <row r="13" spans="1:18" x14ac:dyDescent="0.25">
      <c r="A13" s="1734">
        <v>8</v>
      </c>
      <c r="B13" s="1741" t="s">
        <v>859</v>
      </c>
      <c r="C13" s="1766">
        <v>8000</v>
      </c>
      <c r="D13" s="1749">
        <v>1</v>
      </c>
      <c r="E13" s="1766">
        <v>1</v>
      </c>
      <c r="F13" s="1528"/>
      <c r="G13" s="1530"/>
      <c r="H13" s="1767">
        <f t="shared" si="0"/>
        <v>96.078000000000003</v>
      </c>
      <c r="I13" s="1768">
        <v>9367605</v>
      </c>
      <c r="J13" s="1790">
        <v>6200</v>
      </c>
      <c r="K13" s="1791">
        <v>120</v>
      </c>
      <c r="L13" s="1790">
        <v>0</v>
      </c>
      <c r="M13" s="1792"/>
      <c r="N13" s="1793"/>
      <c r="O13" s="1794">
        <f t="shared" si="1"/>
        <v>78.36</v>
      </c>
      <c r="P13" s="1795">
        <v>7695312</v>
      </c>
      <c r="Q13" s="1809">
        <f t="shared" si="2"/>
        <v>0.81558733529007676</v>
      </c>
      <c r="R13" s="1810">
        <f t="shared" si="3"/>
        <v>0.82148126442137559</v>
      </c>
    </row>
    <row r="14" spans="1:18" x14ac:dyDescent="0.25">
      <c r="A14" s="1734">
        <v>9</v>
      </c>
      <c r="B14" s="1742" t="s">
        <v>935</v>
      </c>
      <c r="C14" s="1766">
        <v>10000</v>
      </c>
      <c r="D14" s="1749">
        <v>1</v>
      </c>
      <c r="E14" s="1766">
        <v>1</v>
      </c>
      <c r="F14" s="1528"/>
      <c r="G14" s="1530"/>
      <c r="H14" s="1767">
        <f t="shared" si="0"/>
        <v>120.078</v>
      </c>
      <c r="I14" s="1768">
        <v>11807670</v>
      </c>
      <c r="J14" s="1790">
        <v>1726</v>
      </c>
      <c r="K14" s="1791">
        <v>12</v>
      </c>
      <c r="L14" s="1790">
        <v>0</v>
      </c>
      <c r="M14" s="1792"/>
      <c r="N14" s="1793"/>
      <c r="O14" s="1794">
        <f t="shared" si="1"/>
        <v>21.108000000000001</v>
      </c>
      <c r="P14" s="1795">
        <v>2124424</v>
      </c>
      <c r="Q14" s="1809">
        <f t="shared" si="2"/>
        <v>0.17578573926947483</v>
      </c>
      <c r="R14" s="1810">
        <f t="shared" si="3"/>
        <v>0.17991898486322874</v>
      </c>
    </row>
    <row r="15" spans="1:18" x14ac:dyDescent="0.25">
      <c r="A15" s="1734">
        <v>10</v>
      </c>
      <c r="B15" s="1740" t="s">
        <v>941</v>
      </c>
      <c r="C15" s="1766">
        <v>5000</v>
      </c>
      <c r="D15" s="1749">
        <v>1</v>
      </c>
      <c r="E15" s="1766">
        <v>1</v>
      </c>
      <c r="F15" s="1528"/>
      <c r="G15" s="1530"/>
      <c r="H15" s="1767">
        <f t="shared" si="0"/>
        <v>60.078000000000003</v>
      </c>
      <c r="I15" s="1768">
        <v>5807540</v>
      </c>
      <c r="J15" s="1790">
        <v>0</v>
      </c>
      <c r="K15" s="1791">
        <v>0</v>
      </c>
      <c r="L15" s="1790">
        <v>0</v>
      </c>
      <c r="M15" s="1792"/>
      <c r="N15" s="1793"/>
      <c r="O15" s="1794">
        <f t="shared" si="1"/>
        <v>0</v>
      </c>
      <c r="P15" s="1795">
        <v>0</v>
      </c>
      <c r="Q15" s="1809">
        <f t="shared" si="2"/>
        <v>0</v>
      </c>
      <c r="R15" s="1810">
        <f t="shared" si="3"/>
        <v>0</v>
      </c>
    </row>
    <row r="16" spans="1:18" ht="15" thickBot="1" x14ac:dyDescent="0.3">
      <c r="A16" s="1735">
        <v>11</v>
      </c>
      <c r="B16" s="1743" t="s">
        <v>688</v>
      </c>
      <c r="C16" s="1769"/>
      <c r="D16" s="1750"/>
      <c r="E16" s="1769"/>
      <c r="F16" s="1746">
        <v>10</v>
      </c>
      <c r="G16" s="1770">
        <v>10</v>
      </c>
      <c r="H16" s="1771">
        <f t="shared" si="0"/>
        <v>20</v>
      </c>
      <c r="I16" s="1772">
        <v>2006100</v>
      </c>
      <c r="J16" s="1796"/>
      <c r="K16" s="1797"/>
      <c r="L16" s="1796"/>
      <c r="M16" s="1798">
        <v>0</v>
      </c>
      <c r="N16" s="1799">
        <v>0</v>
      </c>
      <c r="O16" s="1800">
        <f t="shared" si="1"/>
        <v>0</v>
      </c>
      <c r="P16" s="1801">
        <v>0</v>
      </c>
      <c r="Q16" s="1811">
        <f t="shared" si="2"/>
        <v>0</v>
      </c>
      <c r="R16" s="1812">
        <f t="shared" si="3"/>
        <v>0</v>
      </c>
    </row>
    <row r="17" spans="1:18" ht="15" thickBot="1" x14ac:dyDescent="0.3">
      <c r="A17" s="1736" t="s">
        <v>38</v>
      </c>
      <c r="B17" s="1744" t="s">
        <v>689</v>
      </c>
      <c r="C17" s="1773">
        <f t="shared" ref="C17:P17" si="4">SUM(C6:C16)</f>
        <v>302167</v>
      </c>
      <c r="D17" s="1751">
        <f t="shared" si="4"/>
        <v>10</v>
      </c>
      <c r="E17" s="1774">
        <f t="shared" si="4"/>
        <v>10</v>
      </c>
      <c r="F17" s="1747">
        <f t="shared" si="4"/>
        <v>10</v>
      </c>
      <c r="G17" s="1775">
        <f t="shared" si="4"/>
        <v>10</v>
      </c>
      <c r="H17" s="1776">
        <f t="shared" si="4"/>
        <v>3646.7839999999997</v>
      </c>
      <c r="I17" s="1777">
        <f t="shared" si="4"/>
        <v>359627305</v>
      </c>
      <c r="J17" s="1802">
        <f t="shared" si="4"/>
        <v>89701</v>
      </c>
      <c r="K17" s="1803">
        <f t="shared" si="4"/>
        <v>2570</v>
      </c>
      <c r="L17" s="1804">
        <f t="shared" si="4"/>
        <v>35</v>
      </c>
      <c r="M17" s="1805">
        <f t="shared" si="4"/>
        <v>0</v>
      </c>
      <c r="N17" s="1806">
        <f t="shared" si="4"/>
        <v>0</v>
      </c>
      <c r="O17" s="1807">
        <f t="shared" si="4"/>
        <v>1162.7969999999998</v>
      </c>
      <c r="P17" s="1808">
        <f t="shared" si="4"/>
        <v>116705440</v>
      </c>
      <c r="Q17" s="1813">
        <f t="shared" si="2"/>
        <v>0.31885546278584087</v>
      </c>
      <c r="R17" s="1814">
        <f t="shared" si="3"/>
        <v>0.32451773927455257</v>
      </c>
    </row>
  </sheetData>
  <mergeCells count="3">
    <mergeCell ref="H3:I3"/>
    <mergeCell ref="O3:P3"/>
    <mergeCell ref="Q3:R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E144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U32" sqref="U31:U32"/>
    </sheetView>
  </sheetViews>
  <sheetFormatPr defaultRowHeight="14.4" outlineLevelRow="1" outlineLevelCol="1" x14ac:dyDescent="0.3"/>
  <cols>
    <col min="1" max="1" width="3" style="134" bestFit="1" customWidth="1"/>
    <col min="2" max="2" width="34.21875" style="5" customWidth="1"/>
    <col min="3" max="3" width="8.88671875" style="5" bestFit="1" customWidth="1"/>
    <col min="4" max="4" width="6.88671875" style="5" bestFit="1" customWidth="1"/>
    <col min="5" max="5" width="12.44140625" style="5" bestFit="1" customWidth="1"/>
    <col min="6" max="6" width="4.33203125" style="5" hidden="1" customWidth="1" outlineLevel="1"/>
    <col min="7" max="7" width="6.88671875" style="5" hidden="1" customWidth="1" outlineLevel="1"/>
    <col min="8" max="8" width="7.88671875" style="5" hidden="1" customWidth="1" outlineLevel="1"/>
    <col min="9" max="9" width="4.33203125" style="5" hidden="1" customWidth="1" outlineLevel="1"/>
    <col min="10" max="10" width="6.88671875" style="5" hidden="1" customWidth="1" outlineLevel="1"/>
    <col min="11" max="11" width="7.88671875" style="5" hidden="1" customWidth="1" outlineLevel="1"/>
    <col min="12" max="12" width="4.33203125" style="5" hidden="1" customWidth="1" outlineLevel="1"/>
    <col min="13" max="13" width="7.88671875" style="5" hidden="1" customWidth="1" outlineLevel="1"/>
    <col min="14" max="14" width="8.88671875" style="5" hidden="1" customWidth="1" outlineLevel="1"/>
    <col min="15" max="15" width="4.33203125" style="5" hidden="1" customWidth="1" outlineLevel="1"/>
    <col min="16" max="16" width="8.88671875" style="5" hidden="1" customWidth="1" outlineLevel="1"/>
    <col min="17" max="17" width="10.44140625" style="5" hidden="1" customWidth="1" outlineLevel="1"/>
    <col min="18" max="18" width="6.88671875" style="5" bestFit="1" customWidth="1" collapsed="1"/>
    <col min="19" max="19" width="12.44140625" style="5" bestFit="1" customWidth="1"/>
    <col min="20" max="20" width="6.88671875" style="6" customWidth="1"/>
    <col min="21" max="21" width="17.109375" style="6" bestFit="1" customWidth="1"/>
    <col min="22" max="22" width="10.44140625" style="6" bestFit="1" customWidth="1"/>
    <col min="23" max="24" width="7.5546875" style="6" bestFit="1" customWidth="1"/>
    <col min="25" max="25" width="2.5546875" style="6" customWidth="1"/>
    <col min="26" max="26" width="9.44140625" style="6" customWidth="1"/>
    <col min="27" max="27" width="24.5546875" style="6" bestFit="1" customWidth="1"/>
    <col min="28" max="28" width="9.21875" style="6" bestFit="1" customWidth="1"/>
    <col min="29" max="29" width="7.88671875" style="6" bestFit="1" customWidth="1"/>
    <col min="30" max="30" width="8.88671875" style="6" bestFit="1" customWidth="1"/>
    <col min="31" max="31" width="28.109375" style="6" bestFit="1" customWidth="1"/>
  </cols>
  <sheetData>
    <row r="1" spans="1:31" s="1107" customFormat="1" ht="18.600000000000001" thickBot="1" x14ac:dyDescent="0.35">
      <c r="A1" s="1103" t="s">
        <v>30</v>
      </c>
      <c r="B1" s="1104"/>
      <c r="C1" s="2093">
        <v>44682</v>
      </c>
      <c r="D1" s="2093"/>
      <c r="E1" s="2093"/>
      <c r="F1" s="2093"/>
      <c r="G1" s="2093"/>
      <c r="H1" s="2093"/>
      <c r="I1" s="2093"/>
      <c r="J1" s="2093"/>
      <c r="K1" s="2093"/>
      <c r="L1" s="2093"/>
      <c r="M1" s="2093"/>
      <c r="N1" s="2093"/>
      <c r="O1" s="2093"/>
      <c r="P1" s="2093"/>
      <c r="Q1" s="2093"/>
      <c r="R1" s="2093"/>
      <c r="S1" s="2093"/>
      <c r="T1" s="1106"/>
      <c r="U1" s="1106"/>
      <c r="V1" s="1106"/>
      <c r="W1" s="1106"/>
      <c r="X1" s="1106"/>
      <c r="Y1" s="1106"/>
      <c r="Z1" s="1106"/>
      <c r="AA1" s="1106"/>
      <c r="AB1" s="1106"/>
      <c r="AC1" s="1106"/>
      <c r="AD1" s="1106"/>
      <c r="AE1" s="1106"/>
    </row>
    <row r="2" spans="1:31" s="123" customFormat="1" x14ac:dyDescent="0.3">
      <c r="A2" s="1108" t="s">
        <v>690</v>
      </c>
      <c r="B2" s="144"/>
      <c r="C2" s="2094" t="s">
        <v>157</v>
      </c>
      <c r="D2" s="2095"/>
      <c r="E2" s="2095"/>
      <c r="F2" s="2095"/>
      <c r="G2" s="2095"/>
      <c r="H2" s="2095"/>
      <c r="I2" s="2096" t="s">
        <v>154</v>
      </c>
      <c r="J2" s="2096"/>
      <c r="K2" s="2096"/>
      <c r="L2" s="2096"/>
      <c r="M2" s="2096"/>
      <c r="N2" s="2096"/>
      <c r="O2" s="2096" t="s">
        <v>153</v>
      </c>
      <c r="P2" s="2096"/>
      <c r="Q2" s="2096"/>
      <c r="R2" s="2096"/>
      <c r="S2" s="2097"/>
      <c r="T2" s="6"/>
      <c r="U2" s="1397"/>
      <c r="V2" s="134" t="s">
        <v>99</v>
      </c>
      <c r="W2" s="6" t="s">
        <v>933</v>
      </c>
      <c r="X2" s="134" t="s">
        <v>97</v>
      </c>
      <c r="Y2" s="6"/>
      <c r="Z2" s="6"/>
      <c r="AA2" s="6"/>
      <c r="AB2" s="6"/>
      <c r="AC2" s="6"/>
      <c r="AD2" s="6"/>
      <c r="AE2" s="6"/>
    </row>
    <row r="3" spans="1:31" x14ac:dyDescent="0.25">
      <c r="A3" s="145"/>
      <c r="B3" s="144"/>
      <c r="C3" s="2098" t="s">
        <v>162</v>
      </c>
      <c r="D3" s="2099"/>
      <c r="E3" s="2099"/>
      <c r="F3" s="2099"/>
      <c r="G3" s="2099"/>
      <c r="H3" s="2099"/>
      <c r="I3" s="2100">
        <v>0.3</v>
      </c>
      <c r="J3" s="2100"/>
      <c r="K3" s="2100"/>
      <c r="L3" s="2100"/>
      <c r="M3" s="2100"/>
      <c r="N3" s="2100"/>
      <c r="O3" s="2101">
        <v>850</v>
      </c>
      <c r="P3" s="2101"/>
      <c r="Q3" s="2101"/>
      <c r="R3" s="2102">
        <f>I3*O3</f>
        <v>255</v>
      </c>
      <c r="S3" s="2103"/>
      <c r="U3" s="1397">
        <v>44652</v>
      </c>
      <c r="V3" s="733">
        <v>94512</v>
      </c>
      <c r="W3" s="6">
        <v>88</v>
      </c>
      <c r="X3" s="1396">
        <v>1074</v>
      </c>
      <c r="Y3" s="1396"/>
      <c r="AA3" s="733"/>
    </row>
    <row r="4" spans="1:31" x14ac:dyDescent="0.25">
      <c r="A4" s="145"/>
      <c r="B4" s="144"/>
      <c r="C4" s="2081" t="s">
        <v>163</v>
      </c>
      <c r="D4" s="2082"/>
      <c r="E4" s="2082"/>
      <c r="F4" s="2082"/>
      <c r="G4" s="2082"/>
      <c r="H4" s="2082"/>
      <c r="I4" s="2083">
        <v>0.7</v>
      </c>
      <c r="J4" s="2083"/>
      <c r="K4" s="2083"/>
      <c r="L4" s="2083"/>
      <c r="M4" s="2083"/>
      <c r="N4" s="2083"/>
      <c r="O4" s="2084">
        <v>860</v>
      </c>
      <c r="P4" s="2084"/>
      <c r="Q4" s="2084"/>
      <c r="R4" s="2085">
        <f>I4*O4</f>
        <v>602</v>
      </c>
      <c r="S4" s="2086"/>
      <c r="U4" s="1397">
        <v>44682</v>
      </c>
      <c r="V4" s="733">
        <f>R6</f>
        <v>87930</v>
      </c>
      <c r="W4" s="6">
        <v>90</v>
      </c>
      <c r="X4" s="1396">
        <f>SUM(R3:R5)</f>
        <v>977</v>
      </c>
      <c r="Y4" s="1396"/>
      <c r="AA4" s="733"/>
    </row>
    <row r="5" spans="1:31" x14ac:dyDescent="0.3">
      <c r="A5" s="145"/>
      <c r="B5" s="144"/>
      <c r="C5" s="2087" t="s">
        <v>152</v>
      </c>
      <c r="D5" s="2088"/>
      <c r="E5" s="2088"/>
      <c r="F5" s="2088"/>
      <c r="G5" s="2088"/>
      <c r="H5" s="2088"/>
      <c r="I5" s="2089"/>
      <c r="J5" s="2089"/>
      <c r="K5" s="2089"/>
      <c r="L5" s="2089"/>
      <c r="M5" s="2089"/>
      <c r="N5" s="2089"/>
      <c r="O5" s="2090"/>
      <c r="P5" s="2090"/>
      <c r="Q5" s="2090"/>
      <c r="R5" s="2091">
        <v>120</v>
      </c>
      <c r="S5" s="2092"/>
      <c r="U5" s="6" t="s">
        <v>930</v>
      </c>
      <c r="V5" s="214">
        <f>V3-V4</f>
        <v>6582</v>
      </c>
      <c r="X5" s="1396">
        <f>X3-X4</f>
        <v>97</v>
      </c>
      <c r="Y5" s="1396"/>
      <c r="AA5" s="214"/>
    </row>
    <row r="6" spans="1:31" ht="15" thickBot="1" x14ac:dyDescent="0.35">
      <c r="A6" s="145"/>
      <c r="B6" s="159"/>
      <c r="C6" s="2059" t="s">
        <v>161</v>
      </c>
      <c r="D6" s="2060"/>
      <c r="E6" s="2060"/>
      <c r="F6" s="2060"/>
      <c r="G6" s="2060"/>
      <c r="H6" s="2060"/>
      <c r="I6" s="2060"/>
      <c r="J6" s="2060"/>
      <c r="K6" s="2060"/>
      <c r="L6" s="2060"/>
      <c r="M6" s="2060"/>
      <c r="N6" s="2060"/>
      <c r="O6" s="2061">
        <v>90</v>
      </c>
      <c r="P6" s="2061"/>
      <c r="Q6" s="2061"/>
      <c r="R6" s="2062">
        <f>SUM(R3:R5)*O6</f>
        <v>87930</v>
      </c>
      <c r="S6" s="2063"/>
      <c r="U6" s="6" t="s">
        <v>931</v>
      </c>
      <c r="V6" s="1398">
        <f>V5/1000*12</f>
        <v>78.983999999999995</v>
      </c>
    </row>
    <row r="7" spans="1:31" ht="15" thickBot="1" x14ac:dyDescent="0.35">
      <c r="A7" s="1617" t="s">
        <v>16</v>
      </c>
      <c r="B7" s="1618" t="s">
        <v>173</v>
      </c>
      <c r="C7" s="2064" t="s">
        <v>208</v>
      </c>
      <c r="D7" s="2065"/>
      <c r="E7" s="2066"/>
      <c r="F7" s="2067" t="s">
        <v>693</v>
      </c>
      <c r="G7" s="2068"/>
      <c r="H7" s="2069"/>
      <c r="I7" s="2070" t="s">
        <v>210</v>
      </c>
      <c r="J7" s="2071"/>
      <c r="K7" s="2072"/>
      <c r="L7" s="2073" t="s">
        <v>656</v>
      </c>
      <c r="M7" s="2074"/>
      <c r="N7" s="2075"/>
      <c r="O7" s="2076" t="s">
        <v>172</v>
      </c>
      <c r="P7" s="2077"/>
      <c r="Q7" s="2078"/>
      <c r="R7" s="2079" t="s">
        <v>0</v>
      </c>
      <c r="S7" s="2080"/>
      <c r="V7" s="1398"/>
    </row>
    <row r="8" spans="1:31" s="1" customFormat="1" ht="15" thickBot="1" x14ac:dyDescent="0.3">
      <c r="A8" s="1619" t="s">
        <v>31</v>
      </c>
      <c r="B8" s="1620" t="s">
        <v>174</v>
      </c>
      <c r="C8" s="1593" t="s">
        <v>692</v>
      </c>
      <c r="D8" s="1594" t="s">
        <v>947</v>
      </c>
      <c r="E8" s="1595" t="s">
        <v>653</v>
      </c>
      <c r="F8" s="1596" t="s">
        <v>692</v>
      </c>
      <c r="G8" s="1597" t="s">
        <v>947</v>
      </c>
      <c r="H8" s="1598" t="s">
        <v>653</v>
      </c>
      <c r="I8" s="1599" t="s">
        <v>692</v>
      </c>
      <c r="J8" s="1600" t="s">
        <v>947</v>
      </c>
      <c r="K8" s="1601" t="s">
        <v>653</v>
      </c>
      <c r="L8" s="1602" t="s">
        <v>469</v>
      </c>
      <c r="M8" s="1603" t="s">
        <v>761</v>
      </c>
      <c r="N8" s="1604" t="s">
        <v>653</v>
      </c>
      <c r="O8" s="1605" t="s">
        <v>469</v>
      </c>
      <c r="P8" s="1606" t="s">
        <v>761</v>
      </c>
      <c r="Q8" s="1607" t="s">
        <v>653</v>
      </c>
      <c r="R8" s="1608" t="s">
        <v>469</v>
      </c>
      <c r="S8" s="1609" t="s">
        <v>653</v>
      </c>
      <c r="T8" s="4"/>
      <c r="U8" s="6"/>
      <c r="V8" s="214"/>
      <c r="W8" s="6"/>
      <c r="X8" s="6"/>
      <c r="Y8" s="6"/>
      <c r="Z8" s="4"/>
      <c r="AA8" s="4"/>
      <c r="AB8" s="4"/>
      <c r="AC8" s="4"/>
      <c r="AD8" s="4"/>
      <c r="AE8" s="4"/>
    </row>
    <row r="9" spans="1:31" s="1" customFormat="1" outlineLevel="1" x14ac:dyDescent="0.25">
      <c r="A9" s="1621" t="s">
        <v>38</v>
      </c>
      <c r="B9" s="1629" t="s">
        <v>689</v>
      </c>
      <c r="C9" s="1576"/>
      <c r="D9" s="1577"/>
      <c r="E9" s="1578"/>
      <c r="F9" s="1579"/>
      <c r="G9" s="1580"/>
      <c r="H9" s="1581"/>
      <c r="I9" s="1582"/>
      <c r="J9" s="1583"/>
      <c r="K9" s="1584"/>
      <c r="L9" s="1585"/>
      <c r="M9" s="1586"/>
      <c r="N9" s="1587"/>
      <c r="O9" s="1588"/>
      <c r="P9" s="1589"/>
      <c r="Q9" s="1590"/>
      <c r="R9" s="1591"/>
      <c r="S9" s="1592"/>
      <c r="T9" s="4"/>
      <c r="U9" s="4" t="s">
        <v>660</v>
      </c>
      <c r="V9" s="4" t="s">
        <v>939</v>
      </c>
      <c r="W9" s="4" t="s">
        <v>929</v>
      </c>
      <c r="X9" s="1399">
        <v>44682</v>
      </c>
      <c r="Y9" s="1399"/>
      <c r="Z9" s="4" t="s">
        <v>940</v>
      </c>
      <c r="AA9" s="4" t="s">
        <v>539</v>
      </c>
      <c r="AB9" s="4"/>
      <c r="AC9" s="4"/>
      <c r="AD9" s="4"/>
      <c r="AE9" s="4"/>
    </row>
    <row r="10" spans="1:31" outlineLevel="1" x14ac:dyDescent="0.25">
      <c r="A10" s="1622">
        <v>1</v>
      </c>
      <c r="B10" s="1625" t="s">
        <v>684</v>
      </c>
      <c r="C10" s="1560">
        <v>61917</v>
      </c>
      <c r="D10" s="1554">
        <v>1200</v>
      </c>
      <c r="E10" s="1497">
        <f>C10*D10</f>
        <v>74300400</v>
      </c>
      <c r="F10" s="1528">
        <v>1</v>
      </c>
      <c r="G10" s="1529">
        <f>D10/12*33</f>
        <v>3300</v>
      </c>
      <c r="H10" s="1530">
        <f>F10*G10</f>
        <v>3300</v>
      </c>
      <c r="I10" s="1499">
        <v>1</v>
      </c>
      <c r="J10" s="1526">
        <f>D10/12*45</f>
        <v>4500</v>
      </c>
      <c r="K10" s="1500">
        <f>I10*J10</f>
        <v>4500</v>
      </c>
      <c r="L10" s="1548"/>
      <c r="M10" s="1527"/>
      <c r="N10" s="1549"/>
      <c r="O10" s="1533"/>
      <c r="P10" s="1531"/>
      <c r="Q10" s="1532"/>
      <c r="R10" s="1543">
        <f>(C10*12+F10*33+I10*45)/1000+L10+O10</f>
        <v>743.08199999999999</v>
      </c>
      <c r="S10" s="1534">
        <f>E10+H10+K10+N10+Q10</f>
        <v>74308200</v>
      </c>
      <c r="U10" s="1625" t="s">
        <v>684</v>
      </c>
      <c r="V10" s="733">
        <v>1300</v>
      </c>
      <c r="W10" s="733">
        <v>79</v>
      </c>
      <c r="X10" s="214">
        <f>V10-W10</f>
        <v>1221</v>
      </c>
      <c r="Y10" s="214"/>
      <c r="Z10" s="733">
        <v>1200</v>
      </c>
    </row>
    <row r="11" spans="1:31" outlineLevel="1" x14ac:dyDescent="0.25">
      <c r="A11" s="1622">
        <v>2</v>
      </c>
      <c r="B11" s="1625" t="s">
        <v>686</v>
      </c>
      <c r="C11" s="1560">
        <f>45833-8000</f>
        <v>37833</v>
      </c>
      <c r="D11" s="1554">
        <f>D10</f>
        <v>1200</v>
      </c>
      <c r="E11" s="1497">
        <f t="shared" ref="E11:E20" si="0">C11*D11</f>
        <v>45399600</v>
      </c>
      <c r="F11" s="1528">
        <v>1</v>
      </c>
      <c r="G11" s="1529">
        <f t="shared" ref="G11:G19" si="1">D11/12*33</f>
        <v>3300</v>
      </c>
      <c r="H11" s="1530">
        <f t="shared" ref="H11:H20" si="2">F11*G11</f>
        <v>3300</v>
      </c>
      <c r="I11" s="1499">
        <v>1</v>
      </c>
      <c r="J11" s="1526">
        <f t="shared" ref="J11:J19" si="3">D11/12*45</f>
        <v>4500</v>
      </c>
      <c r="K11" s="1500">
        <f t="shared" ref="K11:K20" si="4">I11*J11</f>
        <v>4500</v>
      </c>
      <c r="L11" s="1548"/>
      <c r="M11" s="1527"/>
      <c r="N11" s="1549"/>
      <c r="O11" s="1533"/>
      <c r="P11" s="1531"/>
      <c r="Q11" s="1532"/>
      <c r="R11" s="1543">
        <f t="shared" ref="R11:R20" si="5">(C11*12+F11*33+I11*45)/1000+L11+O11</f>
        <v>454.07400000000001</v>
      </c>
      <c r="S11" s="1534">
        <f t="shared" ref="S11:S20" si="6">E11+H11+K11+N11+Q11</f>
        <v>45407400</v>
      </c>
      <c r="U11" s="1625" t="s">
        <v>686</v>
      </c>
      <c r="V11" s="733">
        <v>1300</v>
      </c>
      <c r="W11" s="733">
        <v>79</v>
      </c>
      <c r="X11" s="214">
        <f t="shared" ref="X11:X19" si="7">V11-W11</f>
        <v>1221</v>
      </c>
      <c r="Y11" s="214"/>
      <c r="Z11" s="733">
        <v>1200</v>
      </c>
    </row>
    <row r="12" spans="1:31" outlineLevel="1" x14ac:dyDescent="0.25">
      <c r="A12" s="1622">
        <v>3</v>
      </c>
      <c r="B12" s="1624" t="s">
        <v>817</v>
      </c>
      <c r="C12" s="1560">
        <v>29167</v>
      </c>
      <c r="D12" s="1554">
        <f>D10-10</f>
        <v>1190</v>
      </c>
      <c r="E12" s="1497">
        <f t="shared" si="0"/>
        <v>34708730</v>
      </c>
      <c r="F12" s="1528">
        <v>1</v>
      </c>
      <c r="G12" s="1529">
        <f t="shared" si="1"/>
        <v>3272.5</v>
      </c>
      <c r="H12" s="1530">
        <f t="shared" si="2"/>
        <v>3272.5</v>
      </c>
      <c r="I12" s="1499">
        <v>1</v>
      </c>
      <c r="J12" s="1526">
        <f t="shared" si="3"/>
        <v>4462.5</v>
      </c>
      <c r="K12" s="1500">
        <f t="shared" si="4"/>
        <v>4462.5</v>
      </c>
      <c r="L12" s="1548"/>
      <c r="M12" s="1527"/>
      <c r="N12" s="1549"/>
      <c r="O12" s="1533"/>
      <c r="P12" s="1531"/>
      <c r="Q12" s="1532"/>
      <c r="R12" s="1543">
        <f t="shared" si="5"/>
        <v>350.08199999999999</v>
      </c>
      <c r="S12" s="1534">
        <f t="shared" si="6"/>
        <v>34716465</v>
      </c>
      <c r="U12" s="1624" t="s">
        <v>948</v>
      </c>
      <c r="V12" s="733">
        <v>1300</v>
      </c>
      <c r="W12" s="733">
        <v>79</v>
      </c>
      <c r="X12" s="214">
        <f t="shared" si="7"/>
        <v>1221</v>
      </c>
      <c r="Y12" s="214"/>
      <c r="Z12" s="733">
        <v>1190</v>
      </c>
      <c r="AB12" s="733"/>
      <c r="AC12" s="733"/>
      <c r="AD12" s="733"/>
    </row>
    <row r="13" spans="1:31" outlineLevel="1" x14ac:dyDescent="0.25">
      <c r="A13" s="1622">
        <v>4</v>
      </c>
      <c r="B13" s="1624" t="s">
        <v>777</v>
      </c>
      <c r="C13" s="1560">
        <f>54167-10000</f>
        <v>44167</v>
      </c>
      <c r="D13" s="1554">
        <f>D10-10</f>
        <v>1190</v>
      </c>
      <c r="E13" s="1497">
        <f t="shared" si="0"/>
        <v>52558730</v>
      </c>
      <c r="F13" s="1528">
        <v>1</v>
      </c>
      <c r="G13" s="1529">
        <f t="shared" si="1"/>
        <v>3272.5</v>
      </c>
      <c r="H13" s="1530">
        <f t="shared" si="2"/>
        <v>3272.5</v>
      </c>
      <c r="I13" s="1499">
        <v>1</v>
      </c>
      <c r="J13" s="1526">
        <f t="shared" si="3"/>
        <v>4462.5</v>
      </c>
      <c r="K13" s="1500">
        <f t="shared" si="4"/>
        <v>4462.5</v>
      </c>
      <c r="L13" s="1548"/>
      <c r="M13" s="1527"/>
      <c r="N13" s="1549"/>
      <c r="O13" s="1533"/>
      <c r="P13" s="1531"/>
      <c r="Q13" s="1532"/>
      <c r="R13" s="1543">
        <f t="shared" si="5"/>
        <v>530.08199999999999</v>
      </c>
      <c r="S13" s="1534">
        <f t="shared" si="6"/>
        <v>52566465</v>
      </c>
      <c r="U13" s="1624" t="s">
        <v>777</v>
      </c>
      <c r="V13" s="733">
        <v>1300</v>
      </c>
      <c r="W13" s="733">
        <v>79</v>
      </c>
      <c r="X13" s="214">
        <f t="shared" si="7"/>
        <v>1221</v>
      </c>
      <c r="Y13" s="214"/>
      <c r="Z13" s="733">
        <v>1190</v>
      </c>
      <c r="AB13" s="733"/>
      <c r="AC13" s="733"/>
      <c r="AD13" s="733"/>
    </row>
    <row r="14" spans="1:31" outlineLevel="1" x14ac:dyDescent="0.25">
      <c r="A14" s="1622">
        <v>5</v>
      </c>
      <c r="B14" s="1626" t="s">
        <v>681</v>
      </c>
      <c r="C14" s="1560">
        <v>50000</v>
      </c>
      <c r="D14" s="1554">
        <v>1160</v>
      </c>
      <c r="E14" s="1497">
        <f t="shared" si="0"/>
        <v>58000000</v>
      </c>
      <c r="F14" s="1528">
        <v>1</v>
      </c>
      <c r="G14" s="1529">
        <f t="shared" si="1"/>
        <v>3190</v>
      </c>
      <c r="H14" s="1530">
        <f t="shared" si="2"/>
        <v>3190</v>
      </c>
      <c r="I14" s="1499">
        <v>1</v>
      </c>
      <c r="J14" s="1526">
        <f t="shared" si="3"/>
        <v>4350</v>
      </c>
      <c r="K14" s="1500">
        <f t="shared" si="4"/>
        <v>4350</v>
      </c>
      <c r="L14" s="1548"/>
      <c r="M14" s="1527"/>
      <c r="N14" s="1549"/>
      <c r="O14" s="1533"/>
      <c r="P14" s="1531"/>
      <c r="Q14" s="1532"/>
      <c r="R14" s="1543">
        <f t="shared" si="5"/>
        <v>600.07799999999997</v>
      </c>
      <c r="S14" s="1534">
        <f t="shared" si="6"/>
        <v>58007540</v>
      </c>
      <c r="U14" s="1626" t="s">
        <v>681</v>
      </c>
      <c r="V14" s="733">
        <v>1280</v>
      </c>
      <c r="W14" s="733">
        <v>79</v>
      </c>
      <c r="X14" s="214">
        <f t="shared" si="7"/>
        <v>1201</v>
      </c>
      <c r="Y14" s="214"/>
      <c r="Z14" s="733">
        <v>1160</v>
      </c>
      <c r="AA14" s="5"/>
      <c r="AB14" s="1630"/>
      <c r="AC14" s="1630"/>
      <c r="AD14" s="1630"/>
    </row>
    <row r="15" spans="1:31" outlineLevel="1" x14ac:dyDescent="0.25">
      <c r="A15" s="1622">
        <v>6</v>
      </c>
      <c r="B15" s="1627" t="s">
        <v>683</v>
      </c>
      <c r="C15" s="1560">
        <v>18000</v>
      </c>
      <c r="D15" s="1554">
        <f>D10-30</f>
        <v>1170</v>
      </c>
      <c r="E15" s="1497">
        <f t="shared" si="0"/>
        <v>21060000</v>
      </c>
      <c r="F15" s="1528">
        <v>1</v>
      </c>
      <c r="G15" s="1529">
        <f t="shared" si="1"/>
        <v>3217.5</v>
      </c>
      <c r="H15" s="1530">
        <f t="shared" si="2"/>
        <v>3217.5</v>
      </c>
      <c r="I15" s="1499">
        <v>1</v>
      </c>
      <c r="J15" s="1526">
        <f t="shared" si="3"/>
        <v>4387.5</v>
      </c>
      <c r="K15" s="1500">
        <f t="shared" si="4"/>
        <v>4387.5</v>
      </c>
      <c r="L15" s="1548"/>
      <c r="M15" s="1527"/>
      <c r="N15" s="1549"/>
      <c r="O15" s="1533"/>
      <c r="P15" s="1531"/>
      <c r="Q15" s="1532"/>
      <c r="R15" s="1543">
        <f t="shared" si="5"/>
        <v>216.078</v>
      </c>
      <c r="S15" s="1534">
        <f t="shared" si="6"/>
        <v>21067605</v>
      </c>
      <c r="U15" s="1627" t="s">
        <v>683</v>
      </c>
      <c r="V15" s="733">
        <v>1280</v>
      </c>
      <c r="W15" s="733">
        <v>79</v>
      </c>
      <c r="X15" s="214">
        <f t="shared" si="7"/>
        <v>1201</v>
      </c>
      <c r="Y15" s="214"/>
      <c r="Z15" s="733">
        <v>1170</v>
      </c>
      <c r="AA15" s="5"/>
      <c r="AB15" s="1630"/>
      <c r="AC15" s="1630"/>
      <c r="AD15" s="1630"/>
    </row>
    <row r="16" spans="1:31" outlineLevel="1" x14ac:dyDescent="0.25">
      <c r="A16" s="1622">
        <v>7</v>
      </c>
      <c r="B16" s="1627" t="s">
        <v>764</v>
      </c>
      <c r="C16" s="1560">
        <f>43083-5000</f>
        <v>38083</v>
      </c>
      <c r="D16" s="1554">
        <f>D10-30</f>
        <v>1170</v>
      </c>
      <c r="E16" s="1497">
        <f t="shared" si="0"/>
        <v>44557110</v>
      </c>
      <c r="F16" s="1528">
        <v>1</v>
      </c>
      <c r="G16" s="1529">
        <f t="shared" si="1"/>
        <v>3217.5</v>
      </c>
      <c r="H16" s="1530">
        <f t="shared" si="2"/>
        <v>3217.5</v>
      </c>
      <c r="I16" s="1499">
        <v>1</v>
      </c>
      <c r="J16" s="1526">
        <f t="shared" si="3"/>
        <v>4387.5</v>
      </c>
      <c r="K16" s="1500">
        <f t="shared" si="4"/>
        <v>4387.5</v>
      </c>
      <c r="L16" s="1548"/>
      <c r="M16" s="1527"/>
      <c r="N16" s="1549"/>
      <c r="O16" s="1533"/>
      <c r="P16" s="1531"/>
      <c r="Q16" s="1532"/>
      <c r="R16" s="1543">
        <f t="shared" si="5"/>
        <v>457.07400000000001</v>
      </c>
      <c r="S16" s="1534">
        <f t="shared" si="6"/>
        <v>44564715</v>
      </c>
      <c r="U16" s="1627" t="s">
        <v>923</v>
      </c>
      <c r="V16" s="733">
        <v>1280</v>
      </c>
      <c r="W16" s="733">
        <v>79</v>
      </c>
      <c r="X16" s="214">
        <f t="shared" si="7"/>
        <v>1201</v>
      </c>
      <c r="Y16" s="214"/>
      <c r="Z16" s="733">
        <v>1170</v>
      </c>
      <c r="AB16" s="733"/>
      <c r="AC16" s="733"/>
      <c r="AD16" s="733"/>
    </row>
    <row r="17" spans="1:31" outlineLevel="1" x14ac:dyDescent="0.25">
      <c r="A17" s="1622">
        <v>8</v>
      </c>
      <c r="B17" s="1627" t="s">
        <v>859</v>
      </c>
      <c r="C17" s="1560">
        <v>8000</v>
      </c>
      <c r="D17" s="1554">
        <v>1170</v>
      </c>
      <c r="E17" s="1497">
        <f t="shared" si="0"/>
        <v>9360000</v>
      </c>
      <c r="F17" s="1528">
        <v>1</v>
      </c>
      <c r="G17" s="1529">
        <f t="shared" si="1"/>
        <v>3217.5</v>
      </c>
      <c r="H17" s="1530">
        <f t="shared" si="2"/>
        <v>3217.5</v>
      </c>
      <c r="I17" s="1499">
        <v>1</v>
      </c>
      <c r="J17" s="1526">
        <f t="shared" si="3"/>
        <v>4387.5</v>
      </c>
      <c r="K17" s="1500">
        <f t="shared" si="4"/>
        <v>4387.5</v>
      </c>
      <c r="L17" s="1548"/>
      <c r="M17" s="1527"/>
      <c r="N17" s="1549"/>
      <c r="O17" s="1533"/>
      <c r="P17" s="1531"/>
      <c r="Q17" s="1532"/>
      <c r="R17" s="1543">
        <f t="shared" si="5"/>
        <v>96.078000000000003</v>
      </c>
      <c r="S17" s="1534">
        <f t="shared" si="6"/>
        <v>9367605</v>
      </c>
      <c r="U17" s="1627" t="s">
        <v>859</v>
      </c>
      <c r="V17" s="733">
        <v>1300</v>
      </c>
      <c r="W17" s="733">
        <v>79</v>
      </c>
      <c r="X17" s="214">
        <f t="shared" si="7"/>
        <v>1221</v>
      </c>
      <c r="Y17" s="733"/>
      <c r="Z17" s="733">
        <v>1170</v>
      </c>
      <c r="AA17" s="1627" t="s">
        <v>938</v>
      </c>
      <c r="AB17" s="733"/>
      <c r="AC17" s="733"/>
      <c r="AD17" s="733"/>
    </row>
    <row r="18" spans="1:31" outlineLevel="1" x14ac:dyDescent="0.25">
      <c r="A18" s="1622">
        <v>9</v>
      </c>
      <c r="B18" s="1628" t="s">
        <v>935</v>
      </c>
      <c r="C18" s="1560">
        <v>10000</v>
      </c>
      <c r="D18" s="1554">
        <v>1180</v>
      </c>
      <c r="E18" s="1497">
        <f t="shared" si="0"/>
        <v>11800000</v>
      </c>
      <c r="F18" s="1528">
        <v>1</v>
      </c>
      <c r="G18" s="1529">
        <f t="shared" si="1"/>
        <v>3245</v>
      </c>
      <c r="H18" s="1530">
        <f t="shared" si="2"/>
        <v>3245</v>
      </c>
      <c r="I18" s="1499">
        <v>1</v>
      </c>
      <c r="J18" s="1526">
        <f t="shared" si="3"/>
        <v>4425</v>
      </c>
      <c r="K18" s="1500">
        <f t="shared" si="4"/>
        <v>4425</v>
      </c>
      <c r="L18" s="1548"/>
      <c r="M18" s="1527"/>
      <c r="N18" s="1549"/>
      <c r="O18" s="1533"/>
      <c r="P18" s="1531"/>
      <c r="Q18" s="1532"/>
      <c r="R18" s="1543">
        <f t="shared" si="5"/>
        <v>120.078</v>
      </c>
      <c r="S18" s="1534">
        <f t="shared" si="6"/>
        <v>11807670</v>
      </c>
      <c r="U18" s="1628" t="s">
        <v>935</v>
      </c>
      <c r="V18" s="733">
        <v>1300</v>
      </c>
      <c r="W18" s="733">
        <v>79</v>
      </c>
      <c r="X18" s="214">
        <f t="shared" si="7"/>
        <v>1221</v>
      </c>
      <c r="Z18" s="733">
        <v>1180</v>
      </c>
      <c r="AA18" s="1628" t="s">
        <v>942</v>
      </c>
      <c r="AB18" s="733"/>
      <c r="AC18" s="733"/>
      <c r="AD18" s="733"/>
    </row>
    <row r="19" spans="1:31" outlineLevel="1" x14ac:dyDescent="0.25">
      <c r="A19" s="1622">
        <v>10</v>
      </c>
      <c r="B19" s="1626" t="s">
        <v>941</v>
      </c>
      <c r="C19" s="1560">
        <v>5000</v>
      </c>
      <c r="D19" s="1554">
        <v>1160</v>
      </c>
      <c r="E19" s="1497">
        <f t="shared" si="0"/>
        <v>5800000</v>
      </c>
      <c r="F19" s="1528">
        <v>1</v>
      </c>
      <c r="G19" s="1529">
        <f t="shared" si="1"/>
        <v>3190</v>
      </c>
      <c r="H19" s="1530">
        <f t="shared" si="2"/>
        <v>3190</v>
      </c>
      <c r="I19" s="1499">
        <v>1</v>
      </c>
      <c r="J19" s="1526">
        <f t="shared" si="3"/>
        <v>4350</v>
      </c>
      <c r="K19" s="1500">
        <f t="shared" si="4"/>
        <v>4350</v>
      </c>
      <c r="L19" s="1548"/>
      <c r="M19" s="1527"/>
      <c r="N19" s="1549"/>
      <c r="O19" s="1533"/>
      <c r="P19" s="1531"/>
      <c r="Q19" s="1532"/>
      <c r="R19" s="1543">
        <f t="shared" si="5"/>
        <v>60.078000000000003</v>
      </c>
      <c r="S19" s="1534">
        <f t="shared" si="6"/>
        <v>5807540</v>
      </c>
      <c r="U19" s="1626" t="s">
        <v>941</v>
      </c>
      <c r="V19" s="733">
        <v>1280</v>
      </c>
      <c r="W19" s="733">
        <v>79</v>
      </c>
      <c r="X19" s="214">
        <f t="shared" si="7"/>
        <v>1201</v>
      </c>
      <c r="Z19" s="733">
        <v>1160</v>
      </c>
      <c r="AA19" s="1626" t="s">
        <v>943</v>
      </c>
      <c r="AB19" s="733"/>
      <c r="AC19" s="733"/>
      <c r="AD19" s="733"/>
    </row>
    <row r="20" spans="1:31" outlineLevel="1" x14ac:dyDescent="0.25">
      <c r="A20" s="1622">
        <v>11</v>
      </c>
      <c r="B20" s="1623" t="s">
        <v>688</v>
      </c>
      <c r="C20" s="1560"/>
      <c r="D20" s="1554"/>
      <c r="E20" s="1497">
        <f t="shared" si="0"/>
        <v>0</v>
      </c>
      <c r="F20" s="1528"/>
      <c r="G20" s="1529"/>
      <c r="H20" s="1530">
        <f t="shared" si="2"/>
        <v>0</v>
      </c>
      <c r="I20" s="1499"/>
      <c r="J20" s="1526"/>
      <c r="K20" s="1500">
        <f t="shared" si="4"/>
        <v>0</v>
      </c>
      <c r="L20" s="1548">
        <v>10</v>
      </c>
      <c r="M20" s="1527">
        <f>(R3+R4+240)*O6</f>
        <v>98730</v>
      </c>
      <c r="N20" s="1549">
        <f>L20*M20</f>
        <v>987300</v>
      </c>
      <c r="O20" s="1533">
        <v>10</v>
      </c>
      <c r="P20" s="1531">
        <f>(R3+R4+275)*O6</f>
        <v>101880</v>
      </c>
      <c r="Q20" s="1532">
        <f>O20*P20</f>
        <v>1018800</v>
      </c>
      <c r="R20" s="1543">
        <f t="shared" si="5"/>
        <v>20</v>
      </c>
      <c r="S20" s="1534">
        <f t="shared" si="6"/>
        <v>2006100</v>
      </c>
      <c r="V20" s="733"/>
      <c r="W20" s="733"/>
      <c r="AD20" s="214"/>
    </row>
    <row r="21" spans="1:31" s="1" customFormat="1" ht="15" thickBot="1" x14ac:dyDescent="0.3">
      <c r="A21" s="1559" t="s">
        <v>38</v>
      </c>
      <c r="B21" s="1567" t="s">
        <v>689</v>
      </c>
      <c r="C21" s="1561">
        <f>SUM(C10:C20)</f>
        <v>302167</v>
      </c>
      <c r="D21" s="1555"/>
      <c r="E21" s="1498">
        <f>SUM(E10:E20)</f>
        <v>357544570</v>
      </c>
      <c r="F21" s="1553">
        <f>SUM(F10:F20)</f>
        <v>10</v>
      </c>
      <c r="G21" s="1545"/>
      <c r="H21" s="1546">
        <f>SUM(H10:H20)</f>
        <v>32422.5</v>
      </c>
      <c r="I21" s="1501">
        <f>SUM(I10:I20)</f>
        <v>10</v>
      </c>
      <c r="J21" s="1535"/>
      <c r="K21" s="1502">
        <f>SUM(K10:K20)</f>
        <v>44212.5</v>
      </c>
      <c r="L21" s="1550">
        <f>SUM(L10:L20)</f>
        <v>10</v>
      </c>
      <c r="M21" s="1551"/>
      <c r="N21" s="1552">
        <f>N20</f>
        <v>987300</v>
      </c>
      <c r="O21" s="1547">
        <f>SUM(O10:O20)</f>
        <v>10</v>
      </c>
      <c r="P21" s="1536"/>
      <c r="Q21" s="1537">
        <f>Q20</f>
        <v>1018800</v>
      </c>
      <c r="R21" s="1544">
        <f>SUM(R10:R20)</f>
        <v>3646.7839999999997</v>
      </c>
      <c r="S21" s="1538">
        <f>SUM(S10:S20)</f>
        <v>359627305</v>
      </c>
      <c r="T21" s="4"/>
      <c r="U21" s="6"/>
      <c r="V21" s="733"/>
      <c r="W21" s="733"/>
      <c r="X21" s="6"/>
      <c r="Y21" s="6"/>
      <c r="Z21" s="6"/>
      <c r="AA21" s="4"/>
      <c r="AB21" s="4"/>
      <c r="AC21" s="4"/>
      <c r="AD21" s="4"/>
    </row>
    <row r="22" spans="1:31" s="1" customFormat="1" x14ac:dyDescent="0.25">
      <c r="A22" s="1539" t="s">
        <v>40</v>
      </c>
      <c r="B22" s="1562" t="s">
        <v>175</v>
      </c>
      <c r="C22" s="2042"/>
      <c r="D22" s="2043"/>
      <c r="E22" s="2044"/>
      <c r="F22" s="2045"/>
      <c r="G22" s="2046"/>
      <c r="H22" s="2047"/>
      <c r="I22" s="2048"/>
      <c r="J22" s="2049"/>
      <c r="K22" s="2050"/>
      <c r="L22" s="2051"/>
      <c r="M22" s="2052"/>
      <c r="N22" s="2053"/>
      <c r="O22" s="2054"/>
      <c r="P22" s="2055"/>
      <c r="Q22" s="2056"/>
      <c r="R22" s="2057"/>
      <c r="S22" s="2058"/>
      <c r="T22" s="4"/>
      <c r="U22" s="1400"/>
      <c r="V22" s="6"/>
      <c r="W22" s="6"/>
      <c r="X22" s="6"/>
      <c r="Y22" s="6"/>
      <c r="Z22" s="6"/>
      <c r="AA22" s="4"/>
      <c r="AB22" s="4"/>
      <c r="AC22" s="4"/>
      <c r="AD22" s="4"/>
    </row>
    <row r="23" spans="1:31" x14ac:dyDescent="0.25">
      <c r="A23" s="1541" t="s">
        <v>32</v>
      </c>
      <c r="B23" s="1610" t="s">
        <v>928</v>
      </c>
      <c r="C23" s="2029">
        <f>E21/C21</f>
        <v>1183.2680934714908</v>
      </c>
      <c r="D23" s="2030"/>
      <c r="E23" s="2031"/>
      <c r="F23" s="2032">
        <f>H21/F21</f>
        <v>3242.25</v>
      </c>
      <c r="G23" s="2033"/>
      <c r="H23" s="2034"/>
      <c r="I23" s="2035">
        <f>K21/I21</f>
        <v>4421.25</v>
      </c>
      <c r="J23" s="2036"/>
      <c r="K23" s="2037"/>
      <c r="L23" s="2029">
        <f>M20</f>
        <v>98730</v>
      </c>
      <c r="M23" s="2030"/>
      <c r="N23" s="2038"/>
      <c r="O23" s="2039">
        <f>P20</f>
        <v>101880</v>
      </c>
      <c r="P23" s="2030"/>
      <c r="Q23" s="2038"/>
      <c r="R23" s="2040">
        <f>S21</f>
        <v>359627305</v>
      </c>
      <c r="S23" s="2041"/>
    </row>
    <row r="24" spans="1:31" x14ac:dyDescent="0.25">
      <c r="A24" s="1540" t="s">
        <v>33</v>
      </c>
      <c r="B24" s="1563" t="s">
        <v>169</v>
      </c>
      <c r="C24" s="2014"/>
      <c r="D24" s="2015"/>
      <c r="E24" s="2016"/>
      <c r="F24" s="2017"/>
      <c r="G24" s="2018"/>
      <c r="H24" s="2019"/>
      <c r="I24" s="2020"/>
      <c r="J24" s="2021"/>
      <c r="K24" s="2022"/>
      <c r="L24" s="1904"/>
      <c r="M24" s="1905"/>
      <c r="N24" s="1906"/>
      <c r="O24" s="1907"/>
      <c r="P24" s="1908"/>
      <c r="Q24" s="1909"/>
      <c r="R24" s="2027"/>
      <c r="S24" s="2028"/>
      <c r="U24" s="214"/>
    </row>
    <row r="25" spans="1:31" x14ac:dyDescent="0.25">
      <c r="A25" s="1540">
        <v>1</v>
      </c>
      <c r="B25" s="1563" t="s">
        <v>143</v>
      </c>
      <c r="C25" s="2014">
        <f>C23*(7/107)</f>
        <v>77.410062189723689</v>
      </c>
      <c r="D25" s="2015"/>
      <c r="E25" s="2016"/>
      <c r="F25" s="2017">
        <f>F23*(7/107)</f>
        <v>212.10981308411212</v>
      </c>
      <c r="G25" s="2018"/>
      <c r="H25" s="2019"/>
      <c r="I25" s="2020">
        <f>I23*(7/107)</f>
        <v>289.24065420560743</v>
      </c>
      <c r="J25" s="2021"/>
      <c r="K25" s="2022"/>
      <c r="L25" s="1904">
        <f>L23*7/107</f>
        <v>6458.9719626168226</v>
      </c>
      <c r="M25" s="1905"/>
      <c r="N25" s="1906"/>
      <c r="O25" s="1907">
        <f>O23*(7/107)</f>
        <v>6665.0467289719618</v>
      </c>
      <c r="P25" s="1908"/>
      <c r="Q25" s="1909"/>
      <c r="R25" s="2025">
        <f>R23/1.07*0.07</f>
        <v>23527019.953271031</v>
      </c>
      <c r="S25" s="2026"/>
    </row>
    <row r="26" spans="1:31" x14ac:dyDescent="0.25">
      <c r="A26" s="1540">
        <v>2</v>
      </c>
      <c r="B26" s="1563" t="s">
        <v>147</v>
      </c>
      <c r="C26" s="2014">
        <f>R6/1000*12</f>
        <v>1055.1600000000001</v>
      </c>
      <c r="D26" s="2015"/>
      <c r="E26" s="2016"/>
      <c r="F26" s="2017">
        <f>R6/1000*33</f>
        <v>2901.69</v>
      </c>
      <c r="G26" s="2018"/>
      <c r="H26" s="2019"/>
      <c r="I26" s="2020">
        <f>R6/1000*45</f>
        <v>3956.8500000000004</v>
      </c>
      <c r="J26" s="2021"/>
      <c r="K26" s="2022"/>
      <c r="L26" s="1904">
        <f>R6</f>
        <v>87930</v>
      </c>
      <c r="M26" s="1905"/>
      <c r="N26" s="1906"/>
      <c r="O26" s="1907">
        <f>SUM(R3:R5)*O6</f>
        <v>87930</v>
      </c>
      <c r="P26" s="1908"/>
      <c r="Q26" s="1909"/>
      <c r="R26" s="2023">
        <f>R6*R21</f>
        <v>320661717.11999995</v>
      </c>
      <c r="S26" s="2024"/>
    </row>
    <row r="27" spans="1:31" x14ac:dyDescent="0.25">
      <c r="A27" s="1540">
        <v>3</v>
      </c>
      <c r="B27" s="1563" t="s">
        <v>197</v>
      </c>
      <c r="C27" s="2014">
        <f>(310/1000)*0.5*12</f>
        <v>1.8599999999999999</v>
      </c>
      <c r="D27" s="2015"/>
      <c r="E27" s="2016"/>
      <c r="F27" s="2017">
        <f>(310/1000)*0.5*33</f>
        <v>5.1150000000000002</v>
      </c>
      <c r="G27" s="2018"/>
      <c r="H27" s="2019"/>
      <c r="I27" s="2020">
        <f>(310/1000)*0.5*45</f>
        <v>6.9749999999999996</v>
      </c>
      <c r="J27" s="2021"/>
      <c r="K27" s="2022"/>
      <c r="L27" s="1904">
        <v>0</v>
      </c>
      <c r="M27" s="1905"/>
      <c r="N27" s="1906"/>
      <c r="O27" s="1907">
        <v>0</v>
      </c>
      <c r="P27" s="1908"/>
      <c r="Q27" s="1909"/>
      <c r="R27" s="2012">
        <f>C27*C21+F21*F27+I21*I27</f>
        <v>562151.52</v>
      </c>
      <c r="S27" s="2013"/>
      <c r="Z27" s="4"/>
    </row>
    <row r="28" spans="1:31" x14ac:dyDescent="0.25">
      <c r="A28" s="1540">
        <v>4</v>
      </c>
      <c r="B28" s="1563" t="s">
        <v>158</v>
      </c>
      <c r="C28" s="2014">
        <v>0.98</v>
      </c>
      <c r="D28" s="2015"/>
      <c r="E28" s="2016"/>
      <c r="F28" s="2017">
        <v>0.98</v>
      </c>
      <c r="G28" s="2018"/>
      <c r="H28" s="2019"/>
      <c r="I28" s="2020">
        <v>0.98</v>
      </c>
      <c r="J28" s="2021"/>
      <c r="K28" s="2022"/>
      <c r="L28" s="1904">
        <v>0</v>
      </c>
      <c r="M28" s="1905"/>
      <c r="N28" s="1906"/>
      <c r="O28" s="1907">
        <v>0</v>
      </c>
      <c r="P28" s="1908"/>
      <c r="Q28" s="1909"/>
      <c r="R28" s="2012">
        <f>C21*C28+F21*F28+I21*I28</f>
        <v>296143.25999999995</v>
      </c>
      <c r="S28" s="2013"/>
      <c r="V28" s="4"/>
      <c r="W28" s="4"/>
      <c r="Z28" s="4"/>
    </row>
    <row r="29" spans="1:31" x14ac:dyDescent="0.25">
      <c r="A29" s="1540">
        <v>5</v>
      </c>
      <c r="B29" s="1563" t="s">
        <v>170</v>
      </c>
      <c r="C29" s="2014">
        <v>0</v>
      </c>
      <c r="D29" s="2015"/>
      <c r="E29" s="2016"/>
      <c r="F29" s="2017">
        <v>0</v>
      </c>
      <c r="G29" s="2018"/>
      <c r="H29" s="2019"/>
      <c r="I29" s="2020">
        <v>0</v>
      </c>
      <c r="J29" s="2021"/>
      <c r="K29" s="2022"/>
      <c r="L29" s="1904">
        <f>5400/17</f>
        <v>317.64705882352939</v>
      </c>
      <c r="M29" s="1905"/>
      <c r="N29" s="1906"/>
      <c r="O29" s="1907">
        <v>3700</v>
      </c>
      <c r="P29" s="1908"/>
      <c r="Q29" s="1909"/>
      <c r="R29" s="2012">
        <f>L21*L29+O21*O29</f>
        <v>40176.470588235294</v>
      </c>
      <c r="S29" s="2013"/>
      <c r="U29" s="4"/>
      <c r="V29" s="4"/>
      <c r="W29" s="4"/>
    </row>
    <row r="30" spans="1:31" s="1" customFormat="1" x14ac:dyDescent="0.25">
      <c r="A30" s="1542"/>
      <c r="B30" s="1564" t="s">
        <v>39</v>
      </c>
      <c r="C30" s="1997">
        <f>SUM(C25:C29)</f>
        <v>1135.4100621897237</v>
      </c>
      <c r="D30" s="1998"/>
      <c r="E30" s="1999"/>
      <c r="F30" s="2000">
        <f>SUM(F25:F29)</f>
        <v>3119.8948130841118</v>
      </c>
      <c r="G30" s="2001"/>
      <c r="H30" s="2002"/>
      <c r="I30" s="2003">
        <f>SUM(I25:I29)</f>
        <v>4254.0456542056081</v>
      </c>
      <c r="J30" s="2004"/>
      <c r="K30" s="2005"/>
      <c r="L30" s="2006">
        <f>SUM(L25:L29)</f>
        <v>94706.619021440347</v>
      </c>
      <c r="M30" s="2007"/>
      <c r="N30" s="2008"/>
      <c r="O30" s="2009">
        <f>SUM(O25:O29)</f>
        <v>98295.046728971967</v>
      </c>
      <c r="P30" s="2010"/>
      <c r="Q30" s="2011"/>
      <c r="R30" s="2012">
        <f>SUM(R25:S29)</f>
        <v>345087208.32385916</v>
      </c>
      <c r="S30" s="2013"/>
      <c r="T30" s="4"/>
      <c r="U30" s="4"/>
      <c r="V30" s="6"/>
      <c r="W30" s="6"/>
      <c r="X30" s="6"/>
      <c r="Y30" s="6"/>
      <c r="Z30" s="6"/>
      <c r="AA30" s="4"/>
      <c r="AB30" s="4"/>
      <c r="AC30" s="4"/>
      <c r="AD30" s="4"/>
      <c r="AE30" s="4"/>
    </row>
    <row r="31" spans="1:31" s="1" customFormat="1" ht="15" thickBot="1" x14ac:dyDescent="0.3">
      <c r="A31" s="1542"/>
      <c r="B31" s="1564" t="s">
        <v>159</v>
      </c>
      <c r="C31" s="1997">
        <f>C23-C30</f>
        <v>47.858031281767126</v>
      </c>
      <c r="D31" s="1998"/>
      <c r="E31" s="1999"/>
      <c r="F31" s="2000">
        <f>F23-F30</f>
        <v>122.35518691588823</v>
      </c>
      <c r="G31" s="2001"/>
      <c r="H31" s="2002"/>
      <c r="I31" s="2003">
        <f>I23-I30</f>
        <v>167.20434579439188</v>
      </c>
      <c r="J31" s="2004"/>
      <c r="K31" s="2005"/>
      <c r="L31" s="2006">
        <f>L23-L30</f>
        <v>4023.3809785596532</v>
      </c>
      <c r="M31" s="2007"/>
      <c r="N31" s="2008"/>
      <c r="O31" s="2009">
        <f>O23-O30</f>
        <v>3584.9532710280328</v>
      </c>
      <c r="P31" s="2010"/>
      <c r="Q31" s="2011"/>
      <c r="R31" s="2012">
        <f>R23-R30</f>
        <v>14540096.676140845</v>
      </c>
      <c r="S31" s="2013"/>
      <c r="T31" s="4"/>
      <c r="U31" s="6"/>
      <c r="V31" s="6"/>
      <c r="W31" s="6"/>
      <c r="X31" s="6"/>
      <c r="Y31" s="6"/>
      <c r="Z31" s="6"/>
      <c r="AA31" s="4"/>
      <c r="AB31" s="4"/>
      <c r="AC31" s="4"/>
      <c r="AD31" s="4"/>
      <c r="AE31" s="4"/>
    </row>
    <row r="32" spans="1:31" s="1" customFormat="1" x14ac:dyDescent="0.25">
      <c r="A32" s="1556" t="s">
        <v>41</v>
      </c>
      <c r="B32" s="1562" t="s">
        <v>165</v>
      </c>
      <c r="C32" s="1980"/>
      <c r="D32" s="1981"/>
      <c r="E32" s="1982"/>
      <c r="F32" s="1983"/>
      <c r="G32" s="1984"/>
      <c r="H32" s="1985"/>
      <c r="I32" s="1986"/>
      <c r="J32" s="1987"/>
      <c r="K32" s="1988"/>
      <c r="L32" s="1989"/>
      <c r="M32" s="1990"/>
      <c r="N32" s="1991"/>
      <c r="O32" s="1992"/>
      <c r="P32" s="1993"/>
      <c r="Q32" s="1994"/>
      <c r="R32" s="1995"/>
      <c r="S32" s="1996"/>
      <c r="T32" s="4"/>
      <c r="U32" s="6"/>
      <c r="V32" s="6"/>
      <c r="W32" s="6"/>
      <c r="X32" s="6"/>
      <c r="Y32" s="6"/>
      <c r="Z32" s="4"/>
      <c r="AA32" s="6"/>
      <c r="AB32" s="6"/>
      <c r="AC32" s="6"/>
      <c r="AD32" s="6"/>
      <c r="AE32" s="6"/>
    </row>
    <row r="33" spans="1:31" s="1" customFormat="1" hidden="1" outlineLevel="1" x14ac:dyDescent="0.25">
      <c r="A33" s="1557" t="s">
        <v>32</v>
      </c>
      <c r="B33" s="1565" t="s">
        <v>455</v>
      </c>
      <c r="C33" s="1963"/>
      <c r="D33" s="1964"/>
      <c r="E33" s="1965"/>
      <c r="F33" s="1966"/>
      <c r="G33" s="1967"/>
      <c r="H33" s="1968"/>
      <c r="I33" s="1969"/>
      <c r="J33" s="1970"/>
      <c r="K33" s="1971"/>
      <c r="L33" s="1972"/>
      <c r="M33" s="1973"/>
      <c r="N33" s="1974"/>
      <c r="O33" s="1975"/>
      <c r="P33" s="1976"/>
      <c r="Q33" s="1977"/>
      <c r="R33" s="1978"/>
      <c r="S33" s="1979"/>
      <c r="T33" s="4"/>
      <c r="U33" s="6"/>
      <c r="V33" s="6"/>
      <c r="W33" s="6"/>
      <c r="X33" s="6"/>
      <c r="Y33" s="6"/>
      <c r="Z33" s="4"/>
      <c r="AA33" s="6"/>
      <c r="AB33" s="6"/>
      <c r="AC33" s="6"/>
      <c r="AD33" s="6"/>
      <c r="AE33" s="6"/>
    </row>
    <row r="34" spans="1:31" s="123" customFormat="1" hidden="1" outlineLevel="1" x14ac:dyDescent="0.25">
      <c r="A34" s="1558">
        <v>1</v>
      </c>
      <c r="B34" s="1566" t="s">
        <v>698</v>
      </c>
      <c r="C34" s="1895">
        <f>((R34/($C$21*$C$23+$F$21*$F$23+$I$21*$I$23)*($C$21*$C$23))/$C$21)</f>
        <v>7.631229615656171E-2</v>
      </c>
      <c r="D34" s="1896"/>
      <c r="E34" s="1897"/>
      <c r="F34" s="1898">
        <f t="shared" ref="F34:F73" si="8">(R34/($C$21*$C$23+$F$21*$F$23+$I$21*$I$23)*($F$21*$F$23))/$F$21</f>
        <v>0.20910184562461839</v>
      </c>
      <c r="G34" s="1899"/>
      <c r="H34" s="1900"/>
      <c r="I34" s="1901">
        <f t="shared" ref="I34:I73" si="9">(R34/($C$21*$C$23+$F$21*$F$23+$I$21*$I$23)*($I$21*$I$23))/$I$21</f>
        <v>0.28513888039720692</v>
      </c>
      <c r="J34" s="1902"/>
      <c r="K34" s="1903"/>
      <c r="L34" s="1904"/>
      <c r="M34" s="1905"/>
      <c r="N34" s="1906"/>
      <c r="O34" s="1907"/>
      <c r="P34" s="1908"/>
      <c r="Q34" s="1909"/>
      <c r="R34" s="1910">
        <v>23064</v>
      </c>
      <c r="S34" s="19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s="123" customFormat="1" hidden="1" outlineLevel="1" x14ac:dyDescent="0.25">
      <c r="A35" s="1558">
        <v>2</v>
      </c>
      <c r="B35" s="1566" t="s">
        <v>699</v>
      </c>
      <c r="C35" s="1895">
        <f t="shared" ref="C35:C73" si="10">(R35/($C$21*$C$23+$F$21*$F$23+$I$21*$I$23)*$C$21*$C$23)/$C$21</f>
        <v>9.1808003537265176E-2</v>
      </c>
      <c r="D35" s="1896"/>
      <c r="E35" s="1897"/>
      <c r="F35" s="1898">
        <f t="shared" si="8"/>
        <v>0.25156133348901955</v>
      </c>
      <c r="G35" s="1899"/>
      <c r="H35" s="1900"/>
      <c r="I35" s="1901">
        <f t="shared" si="9"/>
        <v>0.34303818203048114</v>
      </c>
      <c r="J35" s="1902"/>
      <c r="K35" s="1903"/>
      <c r="L35" s="1904"/>
      <c r="M35" s="1905"/>
      <c r="N35" s="1906"/>
      <c r="O35" s="1907"/>
      <c r="P35" s="1908"/>
      <c r="Q35" s="1909"/>
      <c r="R35" s="1910">
        <v>27747.294999999998</v>
      </c>
      <c r="S35" s="1911"/>
      <c r="T35" s="6"/>
      <c r="U35" s="6"/>
      <c r="V35" s="6"/>
      <c r="W35" s="6"/>
      <c r="X35" s="6"/>
      <c r="Y35" s="6"/>
      <c r="Z35" s="6"/>
      <c r="AA35" s="4"/>
      <c r="AB35" s="4"/>
      <c r="AC35" s="4"/>
      <c r="AD35" s="4"/>
      <c r="AE35" s="4"/>
    </row>
    <row r="36" spans="1:31" s="123" customFormat="1" hidden="1" outlineLevel="1" x14ac:dyDescent="0.25">
      <c r="A36" s="1558">
        <v>3</v>
      </c>
      <c r="B36" s="1566" t="s">
        <v>700</v>
      </c>
      <c r="C36" s="1895">
        <f t="shared" si="10"/>
        <v>5.3419500663736554E-2</v>
      </c>
      <c r="D36" s="1896"/>
      <c r="E36" s="1897"/>
      <c r="F36" s="1898">
        <f t="shared" si="8"/>
        <v>0.14637373979962964</v>
      </c>
      <c r="G36" s="1899"/>
      <c r="H36" s="1900"/>
      <c r="I36" s="1901">
        <f t="shared" si="9"/>
        <v>0.19960055427222223</v>
      </c>
      <c r="J36" s="1902"/>
      <c r="K36" s="1903"/>
      <c r="L36" s="1904"/>
      <c r="M36" s="1905"/>
      <c r="N36" s="1906"/>
      <c r="O36" s="1907"/>
      <c r="P36" s="1908"/>
      <c r="Q36" s="1909"/>
      <c r="R36" s="1910">
        <v>16145.07</v>
      </c>
      <c r="S36" s="1911"/>
      <c r="T36" s="6"/>
      <c r="U36" s="6"/>
      <c r="V36" s="6"/>
      <c r="W36" s="6"/>
      <c r="X36" s="6"/>
      <c r="Y36" s="6"/>
      <c r="Z36" s="6"/>
      <c r="AA36" s="4"/>
      <c r="AB36" s="4"/>
      <c r="AC36" s="4"/>
      <c r="AD36" s="4"/>
      <c r="AE36" s="4"/>
    </row>
    <row r="37" spans="1:31" s="123" customFormat="1" hidden="1" outlineLevel="1" x14ac:dyDescent="0.25">
      <c r="A37" s="1558">
        <v>4</v>
      </c>
      <c r="B37" s="1566" t="s">
        <v>701</v>
      </c>
      <c r="C37" s="1895">
        <f t="shared" si="10"/>
        <v>3.3055757663550546E-2</v>
      </c>
      <c r="D37" s="1896"/>
      <c r="E37" s="1897"/>
      <c r="F37" s="1898">
        <f t="shared" si="8"/>
        <v>9.0575441758270467E-2</v>
      </c>
      <c r="G37" s="1899"/>
      <c r="H37" s="1900"/>
      <c r="I37" s="1901">
        <f t="shared" si="9"/>
        <v>0.12351196603400519</v>
      </c>
      <c r="J37" s="1902"/>
      <c r="K37" s="1903"/>
      <c r="L37" s="1904"/>
      <c r="M37" s="1905"/>
      <c r="N37" s="1906"/>
      <c r="O37" s="1907"/>
      <c r="P37" s="1908"/>
      <c r="Q37" s="1909"/>
      <c r="R37" s="1910">
        <v>9990.5</v>
      </c>
      <c r="S37" s="1911"/>
      <c r="T37" s="6"/>
      <c r="U37" s="6"/>
      <c r="V37" s="4"/>
      <c r="W37" s="4"/>
      <c r="X37" s="6"/>
      <c r="Y37" s="6"/>
      <c r="Z37" s="6"/>
      <c r="AA37" s="6"/>
      <c r="AB37" s="6"/>
      <c r="AC37" s="6"/>
      <c r="AD37" s="6"/>
      <c r="AE37" s="6"/>
    </row>
    <row r="38" spans="1:31" s="123" customFormat="1" hidden="1" outlineLevel="1" x14ac:dyDescent="0.25">
      <c r="A38" s="1558">
        <v>5</v>
      </c>
      <c r="B38" s="1566" t="s">
        <v>702</v>
      </c>
      <c r="C38" s="1895">
        <f t="shared" si="10"/>
        <v>1.9753052725228645E-2</v>
      </c>
      <c r="D38" s="1896"/>
      <c r="E38" s="1897"/>
      <c r="F38" s="1898">
        <f t="shared" si="8"/>
        <v>5.4124957439254773E-2</v>
      </c>
      <c r="G38" s="1899"/>
      <c r="H38" s="1900"/>
      <c r="I38" s="1901">
        <f t="shared" si="9"/>
        <v>7.3806760144438321E-2</v>
      </c>
      <c r="J38" s="1902"/>
      <c r="K38" s="1903"/>
      <c r="L38" s="1904"/>
      <c r="M38" s="1905"/>
      <c r="N38" s="1906"/>
      <c r="O38" s="1907"/>
      <c r="P38" s="1908"/>
      <c r="Q38" s="1909"/>
      <c r="R38" s="1910">
        <v>5970</v>
      </c>
      <c r="S38" s="1911"/>
      <c r="T38" s="6"/>
      <c r="U38" s="4"/>
      <c r="V38" s="4"/>
      <c r="W38" s="4"/>
      <c r="X38" s="6"/>
      <c r="Y38" s="6"/>
      <c r="Z38" s="6"/>
      <c r="AA38" s="6"/>
      <c r="AB38" s="6"/>
      <c r="AC38" s="6"/>
      <c r="AD38" s="6"/>
      <c r="AE38" s="6"/>
    </row>
    <row r="39" spans="1:31" s="123" customFormat="1" hidden="1" outlineLevel="1" x14ac:dyDescent="0.25">
      <c r="A39" s="1558">
        <v>6</v>
      </c>
      <c r="B39" s="1566" t="s">
        <v>703</v>
      </c>
      <c r="C39" s="1895">
        <f t="shared" si="10"/>
        <v>0.14856148532039634</v>
      </c>
      <c r="D39" s="1896"/>
      <c r="E39" s="1897"/>
      <c r="F39" s="1898">
        <f t="shared" si="8"/>
        <v>0.40707045042253587</v>
      </c>
      <c r="G39" s="1899"/>
      <c r="H39" s="1900"/>
      <c r="I39" s="1901">
        <f t="shared" si="9"/>
        <v>0.55509606875800344</v>
      </c>
      <c r="J39" s="1902"/>
      <c r="K39" s="1903"/>
      <c r="L39" s="1904"/>
      <c r="M39" s="1905"/>
      <c r="N39" s="1906"/>
      <c r="O39" s="1907"/>
      <c r="P39" s="1908"/>
      <c r="Q39" s="1909"/>
      <c r="R39" s="1910">
        <v>44900</v>
      </c>
      <c r="S39" s="1911"/>
      <c r="T39" s="6"/>
      <c r="U39" s="4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s="123" customFormat="1" hidden="1" outlineLevel="1" x14ac:dyDescent="0.25">
      <c r="A40" s="1558">
        <v>7</v>
      </c>
      <c r="B40" s="1566" t="s">
        <v>704</v>
      </c>
      <c r="C40" s="1895">
        <f t="shared" si="10"/>
        <v>0.22695081331665629</v>
      </c>
      <c r="D40" s="1896"/>
      <c r="E40" s="1897"/>
      <c r="F40" s="1898">
        <f t="shared" si="8"/>
        <v>0.6218635307888134</v>
      </c>
      <c r="G40" s="1899"/>
      <c r="H40" s="1900"/>
      <c r="I40" s="1901">
        <f t="shared" si="9"/>
        <v>0.84799572380292731</v>
      </c>
      <c r="J40" s="1902"/>
      <c r="K40" s="1903"/>
      <c r="L40" s="1904"/>
      <c r="M40" s="1905"/>
      <c r="N40" s="1906"/>
      <c r="O40" s="1907"/>
      <c r="P40" s="1908"/>
      <c r="Q40" s="1909"/>
      <c r="R40" s="1910">
        <v>68591.744999999995</v>
      </c>
      <c r="S40" s="1911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s="123" customFormat="1" hidden="1" outlineLevel="1" x14ac:dyDescent="0.25">
      <c r="A41" s="1558">
        <v>8</v>
      </c>
      <c r="B41" s="1566" t="s">
        <v>705</v>
      </c>
      <c r="C41" s="1895">
        <f t="shared" si="10"/>
        <v>7.1160752945326894E-2</v>
      </c>
      <c r="D41" s="1896"/>
      <c r="E41" s="1897"/>
      <c r="F41" s="1898">
        <f t="shared" si="8"/>
        <v>0.19498620178297318</v>
      </c>
      <c r="G41" s="1899"/>
      <c r="H41" s="1900"/>
      <c r="I41" s="1901">
        <f t="shared" si="9"/>
        <v>0.26589027515859975</v>
      </c>
      <c r="J41" s="1902"/>
      <c r="K41" s="1903"/>
      <c r="L41" s="1904"/>
      <c r="M41" s="1905"/>
      <c r="N41" s="1906"/>
      <c r="O41" s="1907"/>
      <c r="P41" s="1908"/>
      <c r="Q41" s="1909"/>
      <c r="R41" s="1910">
        <v>21507.040000000001</v>
      </c>
      <c r="S41" s="1911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s="123" customFormat="1" hidden="1" outlineLevel="1" x14ac:dyDescent="0.25">
      <c r="A42" s="1558">
        <v>9</v>
      </c>
      <c r="B42" s="1566" t="s">
        <v>706</v>
      </c>
      <c r="C42" s="1895">
        <f t="shared" si="10"/>
        <v>2.4283615545262323</v>
      </c>
      <c r="D42" s="1896"/>
      <c r="E42" s="1897"/>
      <c r="F42" s="1898">
        <f t="shared" si="8"/>
        <v>6.6539064930447847</v>
      </c>
      <c r="G42" s="1899"/>
      <c r="H42" s="1900"/>
      <c r="I42" s="1901">
        <f t="shared" si="9"/>
        <v>9.0735088541519797</v>
      </c>
      <c r="J42" s="1902"/>
      <c r="K42" s="1903"/>
      <c r="L42" s="1904"/>
      <c r="M42" s="1905"/>
      <c r="N42" s="1906"/>
      <c r="O42" s="1907"/>
      <c r="P42" s="1908"/>
      <c r="Q42" s="1909"/>
      <c r="R42" s="1910">
        <v>733928</v>
      </c>
      <c r="S42" s="1911"/>
      <c r="T42" s="6"/>
      <c r="U42" s="6"/>
      <c r="V42" s="4"/>
      <c r="W42" s="4"/>
      <c r="X42" s="6"/>
      <c r="Y42" s="6"/>
      <c r="Z42" s="6"/>
      <c r="AA42" s="6"/>
      <c r="AB42" s="6"/>
      <c r="AC42" s="6"/>
      <c r="AD42" s="6"/>
      <c r="AE42" s="6"/>
    </row>
    <row r="43" spans="1:31" s="123" customFormat="1" hidden="1" outlineLevel="1" x14ac:dyDescent="0.25">
      <c r="A43" s="1558">
        <v>10</v>
      </c>
      <c r="B43" s="1566" t="s">
        <v>707</v>
      </c>
      <c r="C43" s="1895">
        <f t="shared" si="10"/>
        <v>2.3531427900155145E-2</v>
      </c>
      <c r="D43" s="1896"/>
      <c r="E43" s="1897"/>
      <c r="F43" s="1898">
        <f t="shared" si="8"/>
        <v>6.4478010123169296E-2</v>
      </c>
      <c r="G43" s="1899"/>
      <c r="H43" s="1900"/>
      <c r="I43" s="1901">
        <f t="shared" si="9"/>
        <v>8.7924559258867219E-2</v>
      </c>
      <c r="J43" s="1902"/>
      <c r="K43" s="1903"/>
      <c r="L43" s="1904"/>
      <c r="M43" s="1905"/>
      <c r="N43" s="1906"/>
      <c r="O43" s="1907"/>
      <c r="P43" s="1908"/>
      <c r="Q43" s="1909"/>
      <c r="R43" s="1910">
        <v>7111.9449999999997</v>
      </c>
      <c r="S43" s="1911"/>
      <c r="T43" s="6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</row>
    <row r="44" spans="1:31" s="123" customFormat="1" hidden="1" outlineLevel="1" x14ac:dyDescent="0.25">
      <c r="A44" s="1558">
        <v>11</v>
      </c>
      <c r="B44" s="1566" t="s">
        <v>708</v>
      </c>
      <c r="C44" s="1895">
        <f t="shared" si="10"/>
        <v>2.6469752395616272E-2</v>
      </c>
      <c r="D44" s="1896"/>
      <c r="E44" s="1897"/>
      <c r="F44" s="1898">
        <f t="shared" si="8"/>
        <v>7.2529256200006387E-2</v>
      </c>
      <c r="G44" s="1899"/>
      <c r="H44" s="1900"/>
      <c r="I44" s="1901">
        <f t="shared" si="9"/>
        <v>9.890353118182689E-2</v>
      </c>
      <c r="J44" s="1902"/>
      <c r="K44" s="1903"/>
      <c r="L44" s="1904"/>
      <c r="M44" s="1905"/>
      <c r="N44" s="1906"/>
      <c r="O44" s="1907"/>
      <c r="P44" s="1908"/>
      <c r="Q44" s="1909"/>
      <c r="R44" s="1910">
        <v>8000</v>
      </c>
      <c r="S44" s="1911"/>
      <c r="T44" s="6"/>
      <c r="U44" s="4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s="123" customFormat="1" hidden="1" outlineLevel="1" x14ac:dyDescent="0.25">
      <c r="A45" s="1558">
        <v>12</v>
      </c>
      <c r="B45" s="1566" t="s">
        <v>709</v>
      </c>
      <c r="C45" s="1895">
        <f t="shared" si="10"/>
        <v>1.5053050402672523</v>
      </c>
      <c r="D45" s="1896"/>
      <c r="E45" s="1897"/>
      <c r="F45" s="1898">
        <f t="shared" si="8"/>
        <v>4.1246572046811378</v>
      </c>
      <c r="G45" s="1899"/>
      <c r="H45" s="1900"/>
      <c r="I45" s="1901">
        <f t="shared" si="9"/>
        <v>5.6245325518379152</v>
      </c>
      <c r="J45" s="1902"/>
      <c r="K45" s="1903"/>
      <c r="L45" s="1904"/>
      <c r="M45" s="1905"/>
      <c r="N45" s="1906"/>
      <c r="O45" s="1907"/>
      <c r="P45" s="1908"/>
      <c r="Q45" s="1909"/>
      <c r="R45" s="1910">
        <v>454951</v>
      </c>
      <c r="S45" s="1911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s="123" customFormat="1" hidden="1" outlineLevel="1" x14ac:dyDescent="0.25">
      <c r="A46" s="1558">
        <v>13</v>
      </c>
      <c r="B46" s="1566" t="s">
        <v>710</v>
      </c>
      <c r="C46" s="1895">
        <f t="shared" si="10"/>
        <v>9.8713151301114341E-2</v>
      </c>
      <c r="D46" s="1896"/>
      <c r="E46" s="1897"/>
      <c r="F46" s="1898">
        <f t="shared" si="8"/>
        <v>0.27048199522313005</v>
      </c>
      <c r="G46" s="1899"/>
      <c r="H46" s="1900"/>
      <c r="I46" s="1901">
        <f t="shared" si="9"/>
        <v>0.36883908439517732</v>
      </c>
      <c r="J46" s="1902"/>
      <c r="K46" s="1903"/>
      <c r="L46" s="1904"/>
      <c r="M46" s="1905"/>
      <c r="N46" s="1906"/>
      <c r="O46" s="1907"/>
      <c r="P46" s="1908"/>
      <c r="Q46" s="1909"/>
      <c r="R46" s="1910">
        <v>29834.25</v>
      </c>
      <c r="S46" s="1911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s="123" customFormat="1" hidden="1" outlineLevel="1" x14ac:dyDescent="0.25">
      <c r="A47" s="1558">
        <v>14</v>
      </c>
      <c r="B47" s="1566" t="s">
        <v>711</v>
      </c>
      <c r="C47" s="1895">
        <f t="shared" si="10"/>
        <v>1.2001369192577171</v>
      </c>
      <c r="D47" s="1896"/>
      <c r="E47" s="1897"/>
      <c r="F47" s="1898">
        <f t="shared" si="8"/>
        <v>3.2884719430297773</v>
      </c>
      <c r="G47" s="1899"/>
      <c r="H47" s="1900"/>
      <c r="I47" s="1901">
        <f t="shared" si="9"/>
        <v>4.4842799223133323</v>
      </c>
      <c r="J47" s="1902"/>
      <c r="K47" s="1903"/>
      <c r="L47" s="1904"/>
      <c r="M47" s="1905"/>
      <c r="N47" s="1906"/>
      <c r="O47" s="1907"/>
      <c r="P47" s="1908"/>
      <c r="Q47" s="1909"/>
      <c r="R47" s="1910">
        <v>362719.5</v>
      </c>
      <c r="S47" s="1911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s="123" customFormat="1" hidden="1" outlineLevel="1" x14ac:dyDescent="0.25">
      <c r="A48" s="1558">
        <v>15</v>
      </c>
      <c r="B48" s="1566" t="s">
        <v>712</v>
      </c>
      <c r="C48" s="1895">
        <f t="shared" si="10"/>
        <v>6.2466961294129673E-2</v>
      </c>
      <c r="D48" s="1896"/>
      <c r="E48" s="1897"/>
      <c r="F48" s="1898">
        <f t="shared" si="8"/>
        <v>0.17116451155350257</v>
      </c>
      <c r="G48" s="1899"/>
      <c r="H48" s="1900"/>
      <c r="I48" s="1901">
        <f t="shared" si="9"/>
        <v>0.23340615211841259</v>
      </c>
      <c r="J48" s="1902"/>
      <c r="K48" s="1903"/>
      <c r="L48" s="1904"/>
      <c r="M48" s="1905"/>
      <c r="N48" s="1906"/>
      <c r="O48" s="1907"/>
      <c r="P48" s="1908"/>
      <c r="Q48" s="1909"/>
      <c r="R48" s="1910">
        <v>18879.5</v>
      </c>
      <c r="S48" s="1911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s="123" customFormat="1" hidden="1" outlineLevel="1" x14ac:dyDescent="0.25">
      <c r="A49" s="1558">
        <v>16</v>
      </c>
      <c r="B49" s="1566" t="s">
        <v>713</v>
      </c>
      <c r="C49" s="1895">
        <f t="shared" si="10"/>
        <v>8.7350182905533702E-4</v>
      </c>
      <c r="D49" s="1896"/>
      <c r="E49" s="1897"/>
      <c r="F49" s="1898">
        <f t="shared" si="8"/>
        <v>2.3934654546002103E-3</v>
      </c>
      <c r="G49" s="1899"/>
      <c r="H49" s="1900"/>
      <c r="I49" s="1901">
        <f t="shared" si="9"/>
        <v>3.2638165290002873E-3</v>
      </c>
      <c r="J49" s="1902"/>
      <c r="K49" s="1903"/>
      <c r="L49" s="1904"/>
      <c r="M49" s="1905"/>
      <c r="N49" s="1906"/>
      <c r="O49" s="1907"/>
      <c r="P49" s="1908"/>
      <c r="Q49" s="1909"/>
      <c r="R49" s="1910">
        <v>264</v>
      </c>
      <c r="S49" s="19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s="123" customFormat="1" hidden="1" outlineLevel="1" x14ac:dyDescent="0.25">
      <c r="A50" s="1558">
        <v>17</v>
      </c>
      <c r="B50" s="1566" t="s">
        <v>714</v>
      </c>
      <c r="C50" s="1895">
        <f t="shared" si="10"/>
        <v>5.18619542583975E-2</v>
      </c>
      <c r="D50" s="1896"/>
      <c r="E50" s="1897"/>
      <c r="F50" s="1898">
        <f t="shared" si="8"/>
        <v>0.14210593704168076</v>
      </c>
      <c r="G50" s="1899"/>
      <c r="H50" s="1900"/>
      <c r="I50" s="1901">
        <f t="shared" si="9"/>
        <v>0.19378082323865559</v>
      </c>
      <c r="J50" s="1902"/>
      <c r="K50" s="1903"/>
      <c r="L50" s="1904"/>
      <c r="M50" s="1905"/>
      <c r="N50" s="1906"/>
      <c r="O50" s="1907"/>
      <c r="P50" s="1908"/>
      <c r="Q50" s="1909"/>
      <c r="R50" s="1910">
        <v>15674.33</v>
      </c>
      <c r="S50" s="1911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s="123" customFormat="1" hidden="1" outlineLevel="1" x14ac:dyDescent="0.25">
      <c r="A51" s="1558">
        <v>18</v>
      </c>
      <c r="B51" s="1566" t="s">
        <v>715</v>
      </c>
      <c r="C51" s="1895">
        <f t="shared" si="10"/>
        <v>8.3785038129749134E-2</v>
      </c>
      <c r="D51" s="1896"/>
      <c r="E51" s="1897"/>
      <c r="F51" s="1898">
        <f t="shared" si="8"/>
        <v>0.22957776126558271</v>
      </c>
      <c r="G51" s="1899"/>
      <c r="H51" s="1900"/>
      <c r="I51" s="1901">
        <f t="shared" si="9"/>
        <v>0.31306058354397642</v>
      </c>
      <c r="J51" s="1902"/>
      <c r="K51" s="1903"/>
      <c r="L51" s="1904"/>
      <c r="M51" s="1905"/>
      <c r="N51" s="1906"/>
      <c r="O51" s="1907"/>
      <c r="P51" s="1908"/>
      <c r="Q51" s="1909"/>
      <c r="R51" s="1910">
        <v>25322.5</v>
      </c>
      <c r="S51" s="1911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s="123" customFormat="1" hidden="1" outlineLevel="1" x14ac:dyDescent="0.25">
      <c r="A52" s="1558">
        <v>19</v>
      </c>
      <c r="B52" s="1566" t="s">
        <v>716</v>
      </c>
      <c r="C52" s="1895">
        <f t="shared" si="10"/>
        <v>1.2904004292862931E-3</v>
      </c>
      <c r="D52" s="1896"/>
      <c r="E52" s="1897"/>
      <c r="F52" s="1898">
        <f t="shared" si="8"/>
        <v>3.5358012397503106E-3</v>
      </c>
      <c r="G52" s="1899"/>
      <c r="H52" s="1900"/>
      <c r="I52" s="1901">
        <f t="shared" si="9"/>
        <v>4.8215471451140603E-3</v>
      </c>
      <c r="J52" s="1902"/>
      <c r="K52" s="1903"/>
      <c r="L52" s="1904"/>
      <c r="M52" s="1905"/>
      <c r="N52" s="1906"/>
      <c r="O52" s="1907"/>
      <c r="P52" s="1908"/>
      <c r="Q52" s="1909"/>
      <c r="R52" s="1910">
        <v>390</v>
      </c>
      <c r="S52" s="1911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s="123" customFormat="1" hidden="1" outlineLevel="1" x14ac:dyDescent="0.25">
      <c r="A53" s="1558">
        <v>20</v>
      </c>
      <c r="B53" s="1566" t="s">
        <v>717</v>
      </c>
      <c r="C53" s="1895">
        <f t="shared" si="10"/>
        <v>0.14301938091256419</v>
      </c>
      <c r="D53" s="1896"/>
      <c r="E53" s="1897"/>
      <c r="F53" s="1898">
        <f t="shared" si="8"/>
        <v>0.39188463740565954</v>
      </c>
      <c r="G53" s="1899"/>
      <c r="H53" s="1900"/>
      <c r="I53" s="1901">
        <f t="shared" si="9"/>
        <v>0.53438814191680839</v>
      </c>
      <c r="J53" s="1902"/>
      <c r="K53" s="1903"/>
      <c r="L53" s="1904"/>
      <c r="M53" s="1905"/>
      <c r="N53" s="1906"/>
      <c r="O53" s="1907"/>
      <c r="P53" s="1908"/>
      <c r="Q53" s="1909"/>
      <c r="R53" s="1910">
        <v>43225</v>
      </c>
      <c r="S53" s="1911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s="123" customFormat="1" hidden="1" outlineLevel="1" x14ac:dyDescent="0.25">
      <c r="A54" s="1558">
        <v>21</v>
      </c>
      <c r="B54" s="1566" t="s">
        <v>718</v>
      </c>
      <c r="C54" s="1895">
        <f t="shared" si="10"/>
        <v>0.45402242796580811</v>
      </c>
      <c r="D54" s="1896"/>
      <c r="E54" s="1897"/>
      <c r="F54" s="1898">
        <f t="shared" si="8"/>
        <v>1.2440580669706096</v>
      </c>
      <c r="G54" s="1899"/>
      <c r="H54" s="1900"/>
      <c r="I54" s="1901">
        <f t="shared" si="9"/>
        <v>1.6964428185962857</v>
      </c>
      <c r="J54" s="1902"/>
      <c r="K54" s="1903"/>
      <c r="L54" s="1904"/>
      <c r="M54" s="1905"/>
      <c r="N54" s="1906"/>
      <c r="O54" s="1907"/>
      <c r="P54" s="1908"/>
      <c r="Q54" s="1909"/>
      <c r="R54" s="1910">
        <v>137220</v>
      </c>
      <c r="S54" s="1911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s="123" customFormat="1" hidden="1" outlineLevel="1" x14ac:dyDescent="0.25">
      <c r="A55" s="1558">
        <v>22</v>
      </c>
      <c r="B55" s="1566" t="s">
        <v>719</v>
      </c>
      <c r="C55" s="1895">
        <f t="shared" si="10"/>
        <v>1.6742118390227292E-3</v>
      </c>
      <c r="D55" s="1896"/>
      <c r="E55" s="1897"/>
      <c r="F55" s="1898">
        <f t="shared" si="8"/>
        <v>4.5874754546504038E-3</v>
      </c>
      <c r="G55" s="1899"/>
      <c r="H55" s="1900"/>
      <c r="I55" s="1901">
        <f t="shared" si="9"/>
        <v>6.2556483472505503E-3</v>
      </c>
      <c r="J55" s="1902"/>
      <c r="K55" s="1903"/>
      <c r="L55" s="1904"/>
      <c r="M55" s="1905"/>
      <c r="N55" s="1906"/>
      <c r="O55" s="1907"/>
      <c r="P55" s="1908"/>
      <c r="Q55" s="1909"/>
      <c r="R55" s="1910">
        <v>506</v>
      </c>
      <c r="S55" s="1911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s="123" customFormat="1" hidden="1" outlineLevel="1" x14ac:dyDescent="0.25">
      <c r="A56" s="1558">
        <v>23</v>
      </c>
      <c r="B56" s="1566" t="s">
        <v>720</v>
      </c>
      <c r="C56" s="1895">
        <f t="shared" si="10"/>
        <v>1.654359524726017E-3</v>
      </c>
      <c r="D56" s="1896"/>
      <c r="E56" s="1897"/>
      <c r="F56" s="1898">
        <f t="shared" si="8"/>
        <v>4.5330785125003992E-3</v>
      </c>
      <c r="G56" s="1899"/>
      <c r="H56" s="1900"/>
      <c r="I56" s="1901">
        <f t="shared" si="9"/>
        <v>6.1814706988641806E-3</v>
      </c>
      <c r="J56" s="1902"/>
      <c r="K56" s="1903"/>
      <c r="L56" s="1904"/>
      <c r="M56" s="1905"/>
      <c r="N56" s="1906"/>
      <c r="O56" s="1907"/>
      <c r="P56" s="1908"/>
      <c r="Q56" s="1909"/>
      <c r="R56" s="1910">
        <v>500</v>
      </c>
      <c r="S56" s="1911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s="123" customFormat="1" hidden="1" outlineLevel="1" x14ac:dyDescent="0.25">
      <c r="A57" s="1558">
        <v>24</v>
      </c>
      <c r="B57" s="1566" t="s">
        <v>721</v>
      </c>
      <c r="C57" s="1895">
        <f t="shared" si="10"/>
        <v>0.28218575849204142</v>
      </c>
      <c r="D57" s="1896"/>
      <c r="E57" s="1897"/>
      <c r="F57" s="1898">
        <f t="shared" si="8"/>
        <v>0.77321173495570561</v>
      </c>
      <c r="G57" s="1899"/>
      <c r="H57" s="1900"/>
      <c r="I57" s="1901">
        <f t="shared" si="9"/>
        <v>1.0543796385759623</v>
      </c>
      <c r="J57" s="1902"/>
      <c r="K57" s="1903"/>
      <c r="L57" s="1904"/>
      <c r="M57" s="1905"/>
      <c r="N57" s="1906"/>
      <c r="O57" s="1907"/>
      <c r="P57" s="1908"/>
      <c r="Q57" s="1909"/>
      <c r="R57" s="1910">
        <v>85285.5</v>
      </c>
      <c r="S57" s="1911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s="123" customFormat="1" hidden="1" outlineLevel="1" x14ac:dyDescent="0.25">
      <c r="A58" s="1558">
        <v>25</v>
      </c>
      <c r="B58" s="1566" t="s">
        <v>722</v>
      </c>
      <c r="C58" s="1895">
        <f t="shared" si="10"/>
        <v>0.10587900958246509</v>
      </c>
      <c r="D58" s="1896"/>
      <c r="E58" s="1897"/>
      <c r="F58" s="1898">
        <f t="shared" si="8"/>
        <v>0.29011702480002555</v>
      </c>
      <c r="G58" s="1899"/>
      <c r="H58" s="1900"/>
      <c r="I58" s="1901">
        <f t="shared" si="9"/>
        <v>0.39561412472730756</v>
      </c>
      <c r="J58" s="1902"/>
      <c r="K58" s="1903"/>
      <c r="L58" s="1904"/>
      <c r="M58" s="1905"/>
      <c r="N58" s="1906"/>
      <c r="O58" s="1907"/>
      <c r="P58" s="1908"/>
      <c r="Q58" s="1909"/>
      <c r="R58" s="1910">
        <v>32000</v>
      </c>
      <c r="S58" s="1911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s="123" customFormat="1" hidden="1" outlineLevel="1" x14ac:dyDescent="0.25">
      <c r="A59" s="1558">
        <v>26</v>
      </c>
      <c r="B59" s="1566" t="s">
        <v>723</v>
      </c>
      <c r="C59" s="1895">
        <f t="shared" si="10"/>
        <v>1.6543595247260172E-2</v>
      </c>
      <c r="D59" s="1896"/>
      <c r="E59" s="1897"/>
      <c r="F59" s="1898">
        <f t="shared" si="8"/>
        <v>4.5330785125003992E-2</v>
      </c>
      <c r="G59" s="1899"/>
      <c r="H59" s="1900"/>
      <c r="I59" s="1901">
        <f t="shared" si="9"/>
        <v>6.1814706988641797E-2</v>
      </c>
      <c r="J59" s="1902"/>
      <c r="K59" s="1903"/>
      <c r="L59" s="1904"/>
      <c r="M59" s="1905"/>
      <c r="N59" s="1906"/>
      <c r="O59" s="1907"/>
      <c r="P59" s="1908"/>
      <c r="Q59" s="1909"/>
      <c r="R59" s="1910">
        <v>5000</v>
      </c>
      <c r="S59" s="1911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s="123" customFormat="1" hidden="1" outlineLevel="1" x14ac:dyDescent="0.25">
      <c r="A60" s="1558">
        <v>27</v>
      </c>
      <c r="B60" s="1566" t="s">
        <v>724</v>
      </c>
      <c r="C60" s="1895">
        <f t="shared" si="10"/>
        <v>4.5561061310954505E-2</v>
      </c>
      <c r="D60" s="1896"/>
      <c r="E60" s="1897"/>
      <c r="F60" s="1898">
        <f t="shared" si="8"/>
        <v>0.12484098223426099</v>
      </c>
      <c r="G60" s="1899"/>
      <c r="H60" s="1900"/>
      <c r="I60" s="1901">
        <f t="shared" si="9"/>
        <v>0.17023770304671954</v>
      </c>
      <c r="J60" s="1902"/>
      <c r="K60" s="1903"/>
      <c r="L60" s="1904"/>
      <c r="M60" s="1905"/>
      <c r="N60" s="1906"/>
      <c r="O60" s="1907"/>
      <c r="P60" s="1908"/>
      <c r="Q60" s="1909"/>
      <c r="R60" s="1910">
        <v>13770</v>
      </c>
      <c r="S60" s="1911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s="123" customFormat="1" hidden="1" outlineLevel="1" x14ac:dyDescent="0.25">
      <c r="A61" s="1558">
        <v>28</v>
      </c>
      <c r="B61" s="1566" t="s">
        <v>725</v>
      </c>
      <c r="C61" s="1895">
        <f t="shared" si="10"/>
        <v>5.5479227902806185</v>
      </c>
      <c r="D61" s="1896"/>
      <c r="E61" s="1897"/>
      <c r="F61" s="1898">
        <f t="shared" si="8"/>
        <v>15.201755854004801</v>
      </c>
      <c r="G61" s="1899"/>
      <c r="H61" s="1900"/>
      <c r="I61" s="1901">
        <f t="shared" si="9"/>
        <v>20.729667073642911</v>
      </c>
      <c r="J61" s="1902"/>
      <c r="K61" s="1903"/>
      <c r="L61" s="1904"/>
      <c r="M61" s="1905"/>
      <c r="N61" s="1906"/>
      <c r="O61" s="1907"/>
      <c r="P61" s="1908"/>
      <c r="Q61" s="1909"/>
      <c r="R61" s="1910">
        <v>1676758.5</v>
      </c>
      <c r="S61" s="1911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s="123" customFormat="1" hidden="1" outlineLevel="1" x14ac:dyDescent="0.25">
      <c r="A62" s="1558">
        <v>29</v>
      </c>
      <c r="B62" s="1566" t="s">
        <v>726</v>
      </c>
      <c r="C62" s="1895">
        <f t="shared" si="10"/>
        <v>7.3059825330950373E-2</v>
      </c>
      <c r="D62" s="1896"/>
      <c r="E62" s="1897"/>
      <c r="F62" s="1898">
        <f t="shared" si="8"/>
        <v>0.20018981326904264</v>
      </c>
      <c r="G62" s="1899"/>
      <c r="H62" s="1900"/>
      <c r="I62" s="1901">
        <f t="shared" si="9"/>
        <v>0.27298610900324</v>
      </c>
      <c r="J62" s="1902"/>
      <c r="K62" s="1903"/>
      <c r="L62" s="1904"/>
      <c r="M62" s="1905"/>
      <c r="N62" s="1906"/>
      <c r="O62" s="1907"/>
      <c r="P62" s="1908"/>
      <c r="Q62" s="1909"/>
      <c r="R62" s="1910">
        <v>22081</v>
      </c>
      <c r="S62" s="1911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s="123" customFormat="1" hidden="1" outlineLevel="1" x14ac:dyDescent="0.25">
      <c r="A63" s="1558">
        <v>30</v>
      </c>
      <c r="B63" s="1566" t="s">
        <v>727</v>
      </c>
      <c r="C63" s="1895">
        <f t="shared" si="10"/>
        <v>3.7087431825307847E-2</v>
      </c>
      <c r="D63" s="1896"/>
      <c r="E63" s="1897"/>
      <c r="F63" s="1898">
        <f t="shared" si="8"/>
        <v>0.10162255409323392</v>
      </c>
      <c r="G63" s="1899"/>
      <c r="H63" s="1900"/>
      <c r="I63" s="1901">
        <f t="shared" si="9"/>
        <v>0.13857621012713719</v>
      </c>
      <c r="J63" s="1902"/>
      <c r="K63" s="1903"/>
      <c r="L63" s="1904"/>
      <c r="M63" s="1905"/>
      <c r="N63" s="1906"/>
      <c r="O63" s="1907"/>
      <c r="P63" s="1908"/>
      <c r="Q63" s="1909"/>
      <c r="R63" s="1910">
        <v>11209</v>
      </c>
      <c r="S63" s="1911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s="123" customFormat="1" hidden="1" outlineLevel="1" x14ac:dyDescent="0.25">
      <c r="A64" s="1558">
        <v>31</v>
      </c>
      <c r="B64" s="1566" t="s">
        <v>728</v>
      </c>
      <c r="C64" s="1895">
        <f t="shared" si="10"/>
        <v>4.0349828808067551E-3</v>
      </c>
      <c r="D64" s="1896"/>
      <c r="E64" s="1897"/>
      <c r="F64" s="1898">
        <f t="shared" si="8"/>
        <v>1.1056178491988474E-2</v>
      </c>
      <c r="G64" s="1899"/>
      <c r="H64" s="1900"/>
      <c r="I64" s="1901">
        <f t="shared" si="9"/>
        <v>1.5076607034529737E-2</v>
      </c>
      <c r="J64" s="1902"/>
      <c r="K64" s="1903"/>
      <c r="L64" s="1904"/>
      <c r="M64" s="1905"/>
      <c r="N64" s="1906"/>
      <c r="O64" s="1907"/>
      <c r="P64" s="1908"/>
      <c r="Q64" s="1909"/>
      <c r="R64" s="1910">
        <v>1219.5</v>
      </c>
      <c r="S64" s="1911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s="123" customFormat="1" hidden="1" outlineLevel="1" x14ac:dyDescent="0.25">
      <c r="A65" s="1558">
        <v>32</v>
      </c>
      <c r="B65" s="1566" t="s">
        <v>729</v>
      </c>
      <c r="C65" s="1895">
        <f t="shared" si="10"/>
        <v>0.15134577240051023</v>
      </c>
      <c r="D65" s="1896"/>
      <c r="E65" s="1897"/>
      <c r="F65" s="1898">
        <f t="shared" si="8"/>
        <v>0.41469962155907403</v>
      </c>
      <c r="G65" s="1899"/>
      <c r="H65" s="1900"/>
      <c r="I65" s="1901">
        <f t="shared" si="9"/>
        <v>0.56549948394419181</v>
      </c>
      <c r="J65" s="1902"/>
      <c r="K65" s="1903"/>
      <c r="L65" s="1904"/>
      <c r="M65" s="1905"/>
      <c r="N65" s="1906"/>
      <c r="O65" s="1907"/>
      <c r="P65" s="1908"/>
      <c r="Q65" s="1909"/>
      <c r="R65" s="1910">
        <v>45741.5</v>
      </c>
      <c r="S65" s="1911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s="123" customFormat="1" hidden="1" outlineLevel="1" x14ac:dyDescent="0.25">
      <c r="A66" s="1558">
        <v>33</v>
      </c>
      <c r="B66" s="1566" t="s">
        <v>730</v>
      </c>
      <c r="C66" s="1895">
        <f t="shared" si="10"/>
        <v>0.11413426361084791</v>
      </c>
      <c r="D66" s="1896"/>
      <c r="E66" s="1897"/>
      <c r="F66" s="1898">
        <f t="shared" si="8"/>
        <v>0.31273708657740251</v>
      </c>
      <c r="G66" s="1899"/>
      <c r="H66" s="1900"/>
      <c r="I66" s="1901">
        <f t="shared" si="9"/>
        <v>0.42645966351463976</v>
      </c>
      <c r="J66" s="1902"/>
      <c r="K66" s="1903"/>
      <c r="L66" s="1904"/>
      <c r="M66" s="1905"/>
      <c r="N66" s="1906"/>
      <c r="O66" s="1907"/>
      <c r="P66" s="1908"/>
      <c r="Q66" s="1909"/>
      <c r="R66" s="1910">
        <v>34495</v>
      </c>
      <c r="S66" s="1911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s="123" customFormat="1" hidden="1" outlineLevel="1" x14ac:dyDescent="0.25">
      <c r="A67" s="1558">
        <v>34</v>
      </c>
      <c r="B67" s="1566" t="s">
        <v>731</v>
      </c>
      <c r="C67" s="1895">
        <f t="shared" si="10"/>
        <v>0.62999665061091459</v>
      </c>
      <c r="D67" s="1896"/>
      <c r="E67" s="1897"/>
      <c r="F67" s="1898">
        <f t="shared" si="8"/>
        <v>1.7262416283452768</v>
      </c>
      <c r="G67" s="1899"/>
      <c r="H67" s="1900"/>
      <c r="I67" s="1901">
        <f t="shared" si="9"/>
        <v>2.3539658568344684</v>
      </c>
      <c r="J67" s="1902"/>
      <c r="K67" s="1903"/>
      <c r="L67" s="1904"/>
      <c r="M67" s="1905"/>
      <c r="N67" s="1906"/>
      <c r="O67" s="1907"/>
      <c r="P67" s="1908"/>
      <c r="Q67" s="1909"/>
      <c r="R67" s="1910">
        <v>190405</v>
      </c>
      <c r="S67" s="1911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s="123" customFormat="1" hidden="1" outlineLevel="1" x14ac:dyDescent="0.25">
      <c r="A68" s="1558">
        <v>35</v>
      </c>
      <c r="B68" s="1566" t="s">
        <v>732</v>
      </c>
      <c r="C68" s="1895">
        <f t="shared" si="10"/>
        <v>3.6395909543972364E-2</v>
      </c>
      <c r="D68" s="1896"/>
      <c r="E68" s="1897"/>
      <c r="F68" s="1898">
        <f t="shared" si="8"/>
        <v>9.9727727275008768E-2</v>
      </c>
      <c r="G68" s="1899"/>
      <c r="H68" s="1900"/>
      <c r="I68" s="1901">
        <f t="shared" si="9"/>
        <v>0.13599235537501195</v>
      </c>
      <c r="J68" s="1902"/>
      <c r="K68" s="1903"/>
      <c r="L68" s="1904"/>
      <c r="M68" s="1905"/>
      <c r="N68" s="1906"/>
      <c r="O68" s="1907"/>
      <c r="P68" s="1908"/>
      <c r="Q68" s="1909"/>
      <c r="R68" s="1910">
        <v>11000</v>
      </c>
      <c r="S68" s="1911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s="123" customFormat="1" hidden="1" outlineLevel="1" x14ac:dyDescent="0.25">
      <c r="A69" s="1558">
        <v>36</v>
      </c>
      <c r="B69" s="1566" t="s">
        <v>733</v>
      </c>
      <c r="C69" s="1895">
        <f t="shared" si="10"/>
        <v>0.66852544317213991</v>
      </c>
      <c r="D69" s="1896"/>
      <c r="E69" s="1897"/>
      <c r="F69" s="1898">
        <f t="shared" si="8"/>
        <v>1.8318136270925269</v>
      </c>
      <c r="G69" s="1899"/>
      <c r="H69" s="1900"/>
      <c r="I69" s="1901">
        <f t="shared" si="9"/>
        <v>2.4979276733079914</v>
      </c>
      <c r="J69" s="1902"/>
      <c r="K69" s="1903"/>
      <c r="L69" s="1904"/>
      <c r="M69" s="1905"/>
      <c r="N69" s="1906"/>
      <c r="O69" s="1907"/>
      <c r="P69" s="1908"/>
      <c r="Q69" s="1909"/>
      <c r="R69" s="1910">
        <v>202049.625</v>
      </c>
      <c r="S69" s="1911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s="123" customFormat="1" hidden="1" outlineLevel="1" x14ac:dyDescent="0.25">
      <c r="A70" s="1558">
        <v>37</v>
      </c>
      <c r="B70" s="1566" t="s">
        <v>734</v>
      </c>
      <c r="C70" s="1895">
        <f t="shared" si="10"/>
        <v>9.0989773859930911E-3</v>
      </c>
      <c r="D70" s="1896"/>
      <c r="E70" s="1897"/>
      <c r="F70" s="1898">
        <f t="shared" si="8"/>
        <v>2.4931931818752192E-2</v>
      </c>
      <c r="G70" s="1899"/>
      <c r="H70" s="1900"/>
      <c r="I70" s="1901">
        <f t="shared" si="9"/>
        <v>3.3998088843752987E-2</v>
      </c>
      <c r="J70" s="1902"/>
      <c r="K70" s="1903"/>
      <c r="L70" s="1904"/>
      <c r="M70" s="1905"/>
      <c r="N70" s="1906"/>
      <c r="O70" s="1907"/>
      <c r="P70" s="1908"/>
      <c r="Q70" s="1909"/>
      <c r="R70" s="1910">
        <v>2750</v>
      </c>
      <c r="S70" s="1911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s="123" customFormat="1" hidden="1" outlineLevel="1" x14ac:dyDescent="0.25">
      <c r="A71" s="1558">
        <v>38</v>
      </c>
      <c r="B71" s="1566" t="s">
        <v>735</v>
      </c>
      <c r="C71" s="1895">
        <f t="shared" si="10"/>
        <v>8.437233576102687E-3</v>
      </c>
      <c r="D71" s="1896"/>
      <c r="E71" s="1897"/>
      <c r="F71" s="1898">
        <f t="shared" si="8"/>
        <v>2.3118700413752032E-2</v>
      </c>
      <c r="G71" s="1899"/>
      <c r="H71" s="1900"/>
      <c r="I71" s="1901">
        <f t="shared" si="9"/>
        <v>3.1525500564207318E-2</v>
      </c>
      <c r="J71" s="1902"/>
      <c r="K71" s="1903"/>
      <c r="L71" s="1904"/>
      <c r="M71" s="1905"/>
      <c r="N71" s="1906"/>
      <c r="O71" s="1907"/>
      <c r="P71" s="1908"/>
      <c r="Q71" s="1909"/>
      <c r="R71" s="1910">
        <v>2550</v>
      </c>
      <c r="S71" s="1911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s="123" customFormat="1" hidden="1" outlineLevel="1" x14ac:dyDescent="0.25">
      <c r="A72" s="1558">
        <v>39</v>
      </c>
      <c r="B72" s="1566" t="s">
        <v>736</v>
      </c>
      <c r="C72" s="1895">
        <f t="shared" si="10"/>
        <v>1.7688354135787208</v>
      </c>
      <c r="D72" s="1896"/>
      <c r="E72" s="1897"/>
      <c r="F72" s="1898">
        <f t="shared" si="8"/>
        <v>4.8467516797906329</v>
      </c>
      <c r="G72" s="1899"/>
      <c r="H72" s="1900"/>
      <c r="I72" s="1901">
        <f t="shared" si="9"/>
        <v>6.6092068360781351</v>
      </c>
      <c r="J72" s="1902"/>
      <c r="K72" s="1903"/>
      <c r="L72" s="1904"/>
      <c r="M72" s="1905"/>
      <c r="N72" s="1906"/>
      <c r="O72" s="1907"/>
      <c r="P72" s="1908"/>
      <c r="Q72" s="1909"/>
      <c r="R72" s="1910">
        <v>534598.25</v>
      </c>
      <c r="S72" s="1911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s="123" customFormat="1" hidden="1" outlineLevel="1" x14ac:dyDescent="0.25">
      <c r="A73" s="1558">
        <v>40</v>
      </c>
      <c r="B73" s="1566" t="s">
        <v>737</v>
      </c>
      <c r="C73" s="1895">
        <f t="shared" si="10"/>
        <v>2.4815392870890258E-3</v>
      </c>
      <c r="D73" s="1896"/>
      <c r="E73" s="1897"/>
      <c r="F73" s="1898">
        <f t="shared" si="8"/>
        <v>6.7996177687505988E-3</v>
      </c>
      <c r="G73" s="1899"/>
      <c r="H73" s="1900"/>
      <c r="I73" s="1901">
        <f t="shared" si="9"/>
        <v>9.2722060482962713E-3</v>
      </c>
      <c r="J73" s="1902"/>
      <c r="K73" s="1903"/>
      <c r="L73" s="1904"/>
      <c r="M73" s="1905"/>
      <c r="N73" s="1906"/>
      <c r="O73" s="1907"/>
      <c r="P73" s="1908"/>
      <c r="Q73" s="1909"/>
      <c r="R73" s="1910">
        <v>750</v>
      </c>
      <c r="S73" s="1911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s="1" customFormat="1" collapsed="1" x14ac:dyDescent="0.25">
      <c r="A74" s="1613"/>
      <c r="B74" s="1614" t="s">
        <v>456</v>
      </c>
      <c r="C74" s="1878">
        <f>SUM(C34:C73)</f>
        <v>16.305713402276247</v>
      </c>
      <c r="D74" s="1879"/>
      <c r="E74" s="1880"/>
      <c r="F74" s="1881">
        <f>SUM(F34:F73)</f>
        <v>44.678969685920897</v>
      </c>
      <c r="G74" s="1882"/>
      <c r="H74" s="1883"/>
      <c r="I74" s="1884">
        <f>SUM(I34:I73)</f>
        <v>60.925867753528486</v>
      </c>
      <c r="J74" s="1885"/>
      <c r="K74" s="1886"/>
      <c r="L74" s="1887">
        <f>SUM(L34:L73)</f>
        <v>0</v>
      </c>
      <c r="M74" s="1888"/>
      <c r="N74" s="1889"/>
      <c r="O74" s="1890">
        <f>SUM(O34:O73)</f>
        <v>0</v>
      </c>
      <c r="P74" s="1891"/>
      <c r="Q74" s="1892"/>
      <c r="R74" s="1893">
        <f>SUM(R34:R73)</f>
        <v>4928104.55</v>
      </c>
      <c r="S74" s="1894"/>
      <c r="T74" s="4"/>
      <c r="U74" s="6"/>
      <c r="V74" s="6"/>
      <c r="W74" s="6"/>
      <c r="X74" s="6"/>
      <c r="Y74" s="6"/>
      <c r="Z74" s="4"/>
      <c r="AA74" s="6"/>
      <c r="AB74" s="6"/>
      <c r="AC74" s="6"/>
      <c r="AD74" s="6"/>
      <c r="AE74" s="6"/>
    </row>
    <row r="75" spans="1:31" s="1" customFormat="1" hidden="1" outlineLevel="1" x14ac:dyDescent="0.25">
      <c r="A75" s="1615" t="s">
        <v>33</v>
      </c>
      <c r="B75" s="1616" t="s">
        <v>457</v>
      </c>
      <c r="C75" s="1912"/>
      <c r="D75" s="1913"/>
      <c r="E75" s="1914"/>
      <c r="F75" s="1915"/>
      <c r="G75" s="1916"/>
      <c r="H75" s="1917"/>
      <c r="I75" s="1918"/>
      <c r="J75" s="1919"/>
      <c r="K75" s="1920"/>
      <c r="L75" s="1921"/>
      <c r="M75" s="1922"/>
      <c r="N75" s="1923"/>
      <c r="O75" s="1924"/>
      <c r="P75" s="1925"/>
      <c r="Q75" s="1926"/>
      <c r="R75" s="1927"/>
      <c r="S75" s="1928"/>
      <c r="T75" s="4"/>
      <c r="U75" s="6"/>
      <c r="V75" s="6"/>
      <c r="W75" s="6"/>
      <c r="X75" s="6"/>
      <c r="Y75" s="6"/>
      <c r="Z75" s="4"/>
      <c r="AA75" s="6"/>
      <c r="AB75" s="6"/>
      <c r="AC75" s="6"/>
      <c r="AD75" s="6"/>
      <c r="AE75" s="6"/>
    </row>
    <row r="76" spans="1:31" s="123" customFormat="1" hidden="1" outlineLevel="1" x14ac:dyDescent="0.25">
      <c r="A76" s="1540">
        <v>1</v>
      </c>
      <c r="B76" s="1563" t="s">
        <v>701</v>
      </c>
      <c r="C76" s="1895">
        <f t="shared" ref="C76:C103" si="11">((R76/(($C$21*$C$23)+($F$21*$F$23)+($I$21*$I$23)+($L$21*$L$23)+($O$21*$O$23)))*($C$21*$C$23))/$C$21</f>
        <v>4.0963763204020509E-3</v>
      </c>
      <c r="D76" s="1896"/>
      <c r="E76" s="1897"/>
      <c r="F76" s="1898">
        <f t="shared" ref="F76:F103" si="12">((R76/(($C$21*$C$23)+($F$21*$F$23)+($I$21*$I$23)+($L$21*$L$23)+($O$21*$O$23)))*($F$21*$F$23))/$F$21</f>
        <v>1.122440146751371E-2</v>
      </c>
      <c r="G76" s="1899"/>
      <c r="H76" s="1900"/>
      <c r="I76" s="1901">
        <f t="shared" ref="I76:I103" si="13">((R76/(($C$21*$C$23)+($F$21*$F$23)+($I$21*$I$23)+($L$21*$L$23)+($O$21*$O$23)))*($I$21*$I$23))/$I$21</f>
        <v>1.5306002001155058E-2</v>
      </c>
      <c r="J76" s="1902"/>
      <c r="K76" s="1903"/>
      <c r="L76" s="1904">
        <f t="shared" ref="L76:L103" si="14">((R76/(($C$21*$C$23)+($F$21*$F$23)+($I$21*$I$23)+($L$21*$L$23)+($O$21*$O$23)))*($L$21*$L$23))/$L$21</f>
        <v>0.34179509812248549</v>
      </c>
      <c r="M76" s="1905"/>
      <c r="N76" s="1906"/>
      <c r="O76" s="1907">
        <f t="shared" ref="O76:O103" si="15">((R76/(($C$21*$C$23)+($F$21*$F$23)+($I$21*$I$23)+($L$21*$L$23)+($O$21*$O$23)))*($O$21*$O$23))/$O$21</f>
        <v>0.35270013771618375</v>
      </c>
      <c r="P76" s="1908"/>
      <c r="Q76" s="1909"/>
      <c r="R76" s="1910">
        <v>1245</v>
      </c>
      <c r="S76" s="1911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s="123" customFormat="1" hidden="1" outlineLevel="1" x14ac:dyDescent="0.25">
      <c r="A77" s="1540">
        <v>2</v>
      </c>
      <c r="B77" s="1563" t="s">
        <v>738</v>
      </c>
      <c r="C77" s="1895">
        <f t="shared" si="11"/>
        <v>0.14954241266046042</v>
      </c>
      <c r="D77" s="1896"/>
      <c r="E77" s="1897"/>
      <c r="F77" s="1898">
        <f t="shared" si="12"/>
        <v>0.40975827044056079</v>
      </c>
      <c r="G77" s="1899"/>
      <c r="H77" s="1900"/>
      <c r="I77" s="1901">
        <f t="shared" si="13"/>
        <v>0.55876127787349195</v>
      </c>
      <c r="J77" s="1902"/>
      <c r="K77" s="1903"/>
      <c r="L77" s="1904">
        <f t="shared" si="14"/>
        <v>12.477580088085917</v>
      </c>
      <c r="M77" s="1905"/>
      <c r="N77" s="1906"/>
      <c r="O77" s="1907">
        <f t="shared" si="15"/>
        <v>12.875679726265503</v>
      </c>
      <c r="P77" s="1908"/>
      <c r="Q77" s="1909"/>
      <c r="R77" s="1910">
        <v>45450</v>
      </c>
      <c r="S77" s="1911"/>
      <c r="T77" s="6"/>
      <c r="U77" s="6"/>
      <c r="V77" s="6"/>
      <c r="W77" s="6"/>
      <c r="X77" s="6"/>
      <c r="Y77" s="6"/>
      <c r="Z77" s="6"/>
      <c r="AA77" s="4"/>
      <c r="AB77" s="4"/>
      <c r="AC77" s="4"/>
      <c r="AD77" s="4"/>
      <c r="AE77" s="4"/>
    </row>
    <row r="78" spans="1:31" s="123" customFormat="1" hidden="1" outlineLevel="1" x14ac:dyDescent="0.25">
      <c r="A78" s="1540">
        <v>3</v>
      </c>
      <c r="B78" s="1563" t="s">
        <v>739</v>
      </c>
      <c r="C78" s="1895">
        <f t="shared" si="11"/>
        <v>0.21621134855776689</v>
      </c>
      <c r="D78" s="1896"/>
      <c r="E78" s="1897"/>
      <c r="F78" s="1898">
        <f t="shared" si="12"/>
        <v>0.59243653127228479</v>
      </c>
      <c r="G78" s="1899"/>
      <c r="H78" s="1900"/>
      <c r="I78" s="1901">
        <f t="shared" si="13"/>
        <v>0.80786799718947933</v>
      </c>
      <c r="J78" s="1902"/>
      <c r="K78" s="1903"/>
      <c r="L78" s="1904">
        <f t="shared" si="14"/>
        <v>18.04032962680629</v>
      </c>
      <c r="M78" s="1905"/>
      <c r="N78" s="1906"/>
      <c r="O78" s="1907">
        <f t="shared" si="15"/>
        <v>18.615909879256808</v>
      </c>
      <c r="P78" s="1908"/>
      <c r="Q78" s="1909"/>
      <c r="R78" s="1910">
        <v>65712.5</v>
      </c>
      <c r="S78" s="1911"/>
      <c r="T78" s="6"/>
      <c r="U78" s="6"/>
      <c r="V78" s="6"/>
      <c r="W78" s="6"/>
      <c r="X78" s="6"/>
      <c r="Y78" s="6"/>
      <c r="Z78" s="6"/>
      <c r="AA78" s="4"/>
      <c r="AB78" s="4"/>
      <c r="AC78" s="4"/>
      <c r="AD78" s="4"/>
      <c r="AE78" s="4"/>
    </row>
    <row r="79" spans="1:31" s="123" customFormat="1" hidden="1" outlineLevel="1" x14ac:dyDescent="0.25">
      <c r="A79" s="1540">
        <v>4</v>
      </c>
      <c r="B79" s="1563" t="s">
        <v>740</v>
      </c>
      <c r="C79" s="1895">
        <f t="shared" si="11"/>
        <v>2.2544875941682616E-2</v>
      </c>
      <c r="D79" s="1896"/>
      <c r="E79" s="1897"/>
      <c r="F79" s="1898">
        <f t="shared" si="12"/>
        <v>6.17747781971116E-2</v>
      </c>
      <c r="G79" s="1899"/>
      <c r="H79" s="1900"/>
      <c r="I79" s="1901">
        <f t="shared" si="13"/>
        <v>8.4238333905152188E-2</v>
      </c>
      <c r="J79" s="1902"/>
      <c r="K79" s="1903"/>
      <c r="L79" s="1904">
        <f t="shared" si="14"/>
        <v>1.8811084436427876</v>
      </c>
      <c r="M79" s="1905"/>
      <c r="N79" s="1906"/>
      <c r="O79" s="1907">
        <f t="shared" si="15"/>
        <v>1.9411255772138882</v>
      </c>
      <c r="P79" s="1908"/>
      <c r="Q79" s="1909"/>
      <c r="R79" s="1910">
        <v>6852</v>
      </c>
      <c r="S79" s="1911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s="123" customFormat="1" hidden="1" outlineLevel="1" x14ac:dyDescent="0.25">
      <c r="A80" s="1540">
        <v>5</v>
      </c>
      <c r="B80" s="1563" t="s">
        <v>699</v>
      </c>
      <c r="C80" s="1895">
        <f t="shared" si="11"/>
        <v>1.1083132740645056E-2</v>
      </c>
      <c r="D80" s="1896"/>
      <c r="E80" s="1897"/>
      <c r="F80" s="1898">
        <f t="shared" si="12"/>
        <v>3.0368677501420537E-2</v>
      </c>
      <c r="G80" s="1899"/>
      <c r="H80" s="1900"/>
      <c r="I80" s="1901">
        <f t="shared" si="13"/>
        <v>4.1411832956482555E-2</v>
      </c>
      <c r="J80" s="1902"/>
      <c r="K80" s="1903"/>
      <c r="L80" s="1904">
        <f t="shared" si="14"/>
        <v>0.92475889574068915</v>
      </c>
      <c r="M80" s="1905"/>
      <c r="N80" s="1906"/>
      <c r="O80" s="1907">
        <f t="shared" si="15"/>
        <v>0.95426350955192363</v>
      </c>
      <c r="P80" s="1908"/>
      <c r="Q80" s="1909"/>
      <c r="R80" s="1910">
        <v>3368.4650000000001</v>
      </c>
      <c r="S80" s="1911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s="123" customFormat="1" hidden="1" outlineLevel="1" x14ac:dyDescent="0.25">
      <c r="A81" s="1540">
        <v>6</v>
      </c>
      <c r="B81" s="1563" t="s">
        <v>715</v>
      </c>
      <c r="C81" s="1895">
        <f t="shared" si="11"/>
        <v>6.5805242094812077E-4</v>
      </c>
      <c r="D81" s="1896"/>
      <c r="E81" s="1897"/>
      <c r="F81" s="1898">
        <f t="shared" si="12"/>
        <v>1.8031167016086282E-3</v>
      </c>
      <c r="G81" s="1899"/>
      <c r="H81" s="1900"/>
      <c r="I81" s="1901">
        <f t="shared" si="13"/>
        <v>2.4587955021935842E-3</v>
      </c>
      <c r="J81" s="1902"/>
      <c r="K81" s="1903"/>
      <c r="L81" s="1904">
        <f t="shared" si="14"/>
        <v>5.4906843071885224E-2</v>
      </c>
      <c r="M81" s="1905"/>
      <c r="N81" s="1906"/>
      <c r="O81" s="1907">
        <f t="shared" si="15"/>
        <v>5.665865666123434E-2</v>
      </c>
      <c r="P81" s="1908"/>
      <c r="Q81" s="1909"/>
      <c r="R81" s="1910">
        <v>200</v>
      </c>
      <c r="S81" s="1911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s="123" customFormat="1" hidden="1" outlineLevel="1" x14ac:dyDescent="0.25">
      <c r="A82" s="1540">
        <v>7</v>
      </c>
      <c r="B82" s="1563" t="s">
        <v>741</v>
      </c>
      <c r="C82" s="1895">
        <f t="shared" si="11"/>
        <v>3.7015448678331792E-3</v>
      </c>
      <c r="D82" s="1896"/>
      <c r="E82" s="1897"/>
      <c r="F82" s="1898">
        <f t="shared" si="12"/>
        <v>1.0142531446548534E-2</v>
      </c>
      <c r="G82" s="1899"/>
      <c r="H82" s="1900"/>
      <c r="I82" s="1901">
        <f t="shared" si="13"/>
        <v>1.3830724699838908E-2</v>
      </c>
      <c r="J82" s="1902"/>
      <c r="K82" s="1903"/>
      <c r="L82" s="1904">
        <f t="shared" si="14"/>
        <v>0.30885099227935442</v>
      </c>
      <c r="M82" s="1905"/>
      <c r="N82" s="1906"/>
      <c r="O82" s="1907">
        <f t="shared" si="15"/>
        <v>0.31870494371944319</v>
      </c>
      <c r="P82" s="1908"/>
      <c r="Q82" s="1909"/>
      <c r="R82" s="1910">
        <v>1125</v>
      </c>
      <c r="S82" s="1911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s="123" customFormat="1" hidden="1" outlineLevel="1" x14ac:dyDescent="0.25">
      <c r="A83" s="1540">
        <v>8</v>
      </c>
      <c r="B83" s="1563" t="s">
        <v>721</v>
      </c>
      <c r="C83" s="1895">
        <f t="shared" si="11"/>
        <v>1.8244503370786643E-2</v>
      </c>
      <c r="D83" s="1896"/>
      <c r="E83" s="1897"/>
      <c r="F83" s="1898">
        <f t="shared" si="12"/>
        <v>4.9991410552099207E-2</v>
      </c>
      <c r="G83" s="1899"/>
      <c r="H83" s="1900"/>
      <c r="I83" s="1901">
        <f t="shared" si="13"/>
        <v>6.8170105298317102E-2</v>
      </c>
      <c r="J83" s="1902"/>
      <c r="K83" s="1903"/>
      <c r="L83" s="1904">
        <f t="shared" si="14"/>
        <v>1.5222922241680175</v>
      </c>
      <c r="M83" s="1905"/>
      <c r="N83" s="1906"/>
      <c r="O83" s="1907">
        <f t="shared" si="15"/>
        <v>1.570861255932722</v>
      </c>
      <c r="P83" s="1908"/>
      <c r="Q83" s="1909"/>
      <c r="R83" s="1910">
        <v>5545</v>
      </c>
      <c r="S83" s="1911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s="123" customFormat="1" hidden="1" outlineLevel="1" x14ac:dyDescent="0.25">
      <c r="A84" s="1540">
        <v>9</v>
      </c>
      <c r="B84" s="1563" t="s">
        <v>742</v>
      </c>
      <c r="C84" s="1895">
        <f t="shared" si="11"/>
        <v>8.8869979449043693E-2</v>
      </c>
      <c r="D84" s="1896"/>
      <c r="E84" s="1897"/>
      <c r="F84" s="1898">
        <f t="shared" si="12"/>
        <v>0.24351091055224522</v>
      </c>
      <c r="G84" s="1899"/>
      <c r="H84" s="1900"/>
      <c r="I84" s="1901">
        <f t="shared" si="13"/>
        <v>0.33206033257124351</v>
      </c>
      <c r="J84" s="1902"/>
      <c r="K84" s="1903"/>
      <c r="L84" s="1904">
        <f t="shared" si="14"/>
        <v>7.4151691568581004</v>
      </c>
      <c r="M84" s="1905"/>
      <c r="N84" s="1906"/>
      <c r="O84" s="1907">
        <f t="shared" si="15"/>
        <v>7.6517515820996973</v>
      </c>
      <c r="P84" s="1908"/>
      <c r="Q84" s="1909"/>
      <c r="R84" s="1910">
        <v>27010</v>
      </c>
      <c r="S84" s="1911"/>
      <c r="T84" s="6"/>
      <c r="U84" s="6"/>
      <c r="V84" s="4"/>
      <c r="W84" s="4"/>
      <c r="X84" s="6"/>
      <c r="Y84" s="6"/>
      <c r="Z84" s="6"/>
      <c r="AA84" s="6"/>
      <c r="AB84" s="6"/>
      <c r="AC84" s="6"/>
      <c r="AD84" s="6"/>
      <c r="AE84" s="6"/>
    </row>
    <row r="85" spans="1:31" s="123" customFormat="1" hidden="1" outlineLevel="1" x14ac:dyDescent="0.25">
      <c r="A85" s="1540">
        <v>10</v>
      </c>
      <c r="B85" s="1563" t="s">
        <v>734</v>
      </c>
      <c r="C85" s="1895">
        <f t="shared" si="11"/>
        <v>0.17984901690722613</v>
      </c>
      <c r="D85" s="1896"/>
      <c r="E85" s="1897"/>
      <c r="F85" s="1898">
        <f t="shared" si="12"/>
        <v>0.49280081013314614</v>
      </c>
      <c r="G85" s="1899"/>
      <c r="H85" s="1900"/>
      <c r="I85" s="1901">
        <f t="shared" si="13"/>
        <v>0.67200110472701746</v>
      </c>
      <c r="J85" s="1902"/>
      <c r="K85" s="1903"/>
      <c r="L85" s="1904">
        <f t="shared" si="14"/>
        <v>15.006314745761591</v>
      </c>
      <c r="M85" s="1905"/>
      <c r="N85" s="1906"/>
      <c r="O85" s="1907">
        <f t="shared" si="15"/>
        <v>15.485094158798651</v>
      </c>
      <c r="P85" s="1908"/>
      <c r="Q85" s="1909"/>
      <c r="R85" s="1910">
        <v>54661</v>
      </c>
      <c r="S85" s="1911"/>
      <c r="T85" s="6"/>
      <c r="U85" s="4"/>
      <c r="V85" s="4"/>
      <c r="W85" s="4"/>
      <c r="X85" s="6"/>
      <c r="Y85" s="6"/>
      <c r="Z85" s="6"/>
      <c r="AA85" s="6"/>
      <c r="AB85" s="6"/>
      <c r="AC85" s="6"/>
      <c r="AD85" s="6"/>
      <c r="AE85" s="6"/>
    </row>
    <row r="86" spans="1:31" s="123" customFormat="1" hidden="1" outlineLevel="1" x14ac:dyDescent="0.25">
      <c r="A86" s="1540">
        <v>11</v>
      </c>
      <c r="B86" s="1563" t="s">
        <v>705</v>
      </c>
      <c r="C86" s="1895">
        <f t="shared" si="11"/>
        <v>2.5905171275322617E-2</v>
      </c>
      <c r="D86" s="1896"/>
      <c r="E86" s="1897"/>
      <c r="F86" s="1898">
        <f t="shared" si="12"/>
        <v>7.0982258400123427E-2</v>
      </c>
      <c r="G86" s="1899"/>
      <c r="H86" s="1900"/>
      <c r="I86" s="1901">
        <f t="shared" si="13"/>
        <v>9.6793988727441035E-2</v>
      </c>
      <c r="J86" s="1902"/>
      <c r="K86" s="1903"/>
      <c r="L86" s="1904">
        <f t="shared" si="14"/>
        <v>2.1614861197761388</v>
      </c>
      <c r="M86" s="1905"/>
      <c r="N86" s="1906"/>
      <c r="O86" s="1907">
        <f t="shared" si="15"/>
        <v>2.2304487580552315</v>
      </c>
      <c r="P86" s="1908"/>
      <c r="Q86" s="1909"/>
      <c r="R86" s="1910">
        <v>7873.2849999999989</v>
      </c>
      <c r="S86" s="1911"/>
      <c r="T86" s="6"/>
      <c r="U86" s="4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s="123" customFormat="1" hidden="1" outlineLevel="1" x14ac:dyDescent="0.25">
      <c r="A87" s="1540">
        <v>12</v>
      </c>
      <c r="B87" s="1563" t="s">
        <v>723</v>
      </c>
      <c r="C87" s="1895">
        <f t="shared" si="11"/>
        <v>0</v>
      </c>
      <c r="D87" s="1896"/>
      <c r="E87" s="1897"/>
      <c r="F87" s="1898">
        <f t="shared" si="12"/>
        <v>0</v>
      </c>
      <c r="G87" s="1899"/>
      <c r="H87" s="1900"/>
      <c r="I87" s="1901">
        <f t="shared" si="13"/>
        <v>0</v>
      </c>
      <c r="J87" s="1902"/>
      <c r="K87" s="1903"/>
      <c r="L87" s="1904">
        <f t="shared" si="14"/>
        <v>0</v>
      </c>
      <c r="M87" s="1905"/>
      <c r="N87" s="1906"/>
      <c r="O87" s="1907">
        <f t="shared" si="15"/>
        <v>0</v>
      </c>
      <c r="P87" s="1908"/>
      <c r="Q87" s="1909"/>
      <c r="R87" s="1910">
        <v>0</v>
      </c>
      <c r="S87" s="1911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s="123" customFormat="1" hidden="1" outlineLevel="1" x14ac:dyDescent="0.25">
      <c r="A88" s="1540">
        <v>13</v>
      </c>
      <c r="B88" s="1563" t="s">
        <v>719</v>
      </c>
      <c r="C88" s="1895">
        <f t="shared" si="11"/>
        <v>3.0105898258376519E-3</v>
      </c>
      <c r="D88" s="1896"/>
      <c r="E88" s="1897"/>
      <c r="F88" s="1898">
        <f t="shared" si="12"/>
        <v>8.2492589098594731E-3</v>
      </c>
      <c r="G88" s="1899"/>
      <c r="H88" s="1900"/>
      <c r="I88" s="1901">
        <f t="shared" si="13"/>
        <v>1.1248989422535646E-2</v>
      </c>
      <c r="J88" s="1902"/>
      <c r="K88" s="1903"/>
      <c r="L88" s="1904">
        <f t="shared" si="14"/>
        <v>0.25119880705387487</v>
      </c>
      <c r="M88" s="1905"/>
      <c r="N88" s="1906"/>
      <c r="O88" s="1907">
        <f t="shared" si="15"/>
        <v>0.25921335422514707</v>
      </c>
      <c r="P88" s="1908"/>
      <c r="Q88" s="1909"/>
      <c r="R88" s="1910">
        <v>915</v>
      </c>
      <c r="S88" s="1911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s="123" customFormat="1" hidden="1" outlineLevel="1" x14ac:dyDescent="0.25">
      <c r="A89" s="1540">
        <v>14</v>
      </c>
      <c r="B89" s="1563" t="s">
        <v>712</v>
      </c>
      <c r="C89" s="1895">
        <f t="shared" si="11"/>
        <v>2.2702808522710165E-2</v>
      </c>
      <c r="D89" s="1896"/>
      <c r="E89" s="1897"/>
      <c r="F89" s="1898">
        <f t="shared" si="12"/>
        <v>6.2207526205497674E-2</v>
      </c>
      <c r="G89" s="1899"/>
      <c r="H89" s="1900"/>
      <c r="I89" s="1901">
        <f t="shared" si="13"/>
        <v>8.4828444825678639E-2</v>
      </c>
      <c r="J89" s="1902"/>
      <c r="K89" s="1903"/>
      <c r="L89" s="1904">
        <f t="shared" si="14"/>
        <v>1.8942860859800401</v>
      </c>
      <c r="M89" s="1905"/>
      <c r="N89" s="1906"/>
      <c r="O89" s="1907">
        <f t="shared" si="15"/>
        <v>1.9547236548125848</v>
      </c>
      <c r="P89" s="1908"/>
      <c r="Q89" s="1909"/>
      <c r="R89" s="1910">
        <v>6900</v>
      </c>
      <c r="S89" s="1911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s="123" customFormat="1" hidden="1" outlineLevel="1" x14ac:dyDescent="0.25">
      <c r="A90" s="1540">
        <v>15</v>
      </c>
      <c r="B90" s="1563" t="s">
        <v>698</v>
      </c>
      <c r="C90" s="1895">
        <f t="shared" si="11"/>
        <v>3.0681694126706127E-2</v>
      </c>
      <c r="D90" s="1896"/>
      <c r="E90" s="1897"/>
      <c r="F90" s="1898">
        <f t="shared" si="12"/>
        <v>8.4070316212502286E-2</v>
      </c>
      <c r="G90" s="1899"/>
      <c r="H90" s="1900"/>
      <c r="I90" s="1901">
        <f t="shared" si="13"/>
        <v>0.11464134028977584</v>
      </c>
      <c r="J90" s="1902"/>
      <c r="K90" s="1903"/>
      <c r="L90" s="1904">
        <f t="shared" si="14"/>
        <v>2.5600315582266484</v>
      </c>
      <c r="M90" s="1905"/>
      <c r="N90" s="1906"/>
      <c r="O90" s="1907">
        <f t="shared" si="15"/>
        <v>2.6417098668300509</v>
      </c>
      <c r="P90" s="1908"/>
      <c r="Q90" s="1909"/>
      <c r="R90" s="1910">
        <v>9325</v>
      </c>
      <c r="S90" s="1911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s="123" customFormat="1" hidden="1" outlineLevel="1" x14ac:dyDescent="0.25">
      <c r="A91" s="1540">
        <v>16</v>
      </c>
      <c r="B91" s="1563" t="s">
        <v>725</v>
      </c>
      <c r="C91" s="1895">
        <f t="shared" si="11"/>
        <v>1.410749231339105</v>
      </c>
      <c r="D91" s="1896"/>
      <c r="E91" s="1897"/>
      <c r="F91" s="1898">
        <f t="shared" si="12"/>
        <v>3.8655666628261174</v>
      </c>
      <c r="G91" s="1899"/>
      <c r="H91" s="1900"/>
      <c r="I91" s="1901">
        <f t="shared" si="13"/>
        <v>5.2712272674901595</v>
      </c>
      <c r="J91" s="1902"/>
      <c r="K91" s="1903"/>
      <c r="L91" s="1904">
        <f t="shared" si="14"/>
        <v>117.71066284858435</v>
      </c>
      <c r="M91" s="1905"/>
      <c r="N91" s="1906"/>
      <c r="O91" s="1907">
        <f t="shared" si="15"/>
        <v>121.46624461677069</v>
      </c>
      <c r="P91" s="1908"/>
      <c r="Q91" s="1909"/>
      <c r="R91" s="1910">
        <v>428765</v>
      </c>
      <c r="S91" s="1911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s="123" customFormat="1" hidden="1" outlineLevel="1" x14ac:dyDescent="0.25">
      <c r="A92" s="1540">
        <v>17</v>
      </c>
      <c r="B92" s="1563" t="s">
        <v>703</v>
      </c>
      <c r="C92" s="1895">
        <f t="shared" si="11"/>
        <v>0.16945014352519344</v>
      </c>
      <c r="D92" s="1896"/>
      <c r="E92" s="1897"/>
      <c r="F92" s="1898">
        <f t="shared" si="12"/>
        <v>0.46430705845597575</v>
      </c>
      <c r="G92" s="1899"/>
      <c r="H92" s="1900"/>
      <c r="I92" s="1901">
        <f t="shared" si="13"/>
        <v>0.63314598880360329</v>
      </c>
      <c r="J92" s="1902"/>
      <c r="K92" s="1903"/>
      <c r="L92" s="1904">
        <f t="shared" si="14"/>
        <v>14.138649358118125</v>
      </c>
      <c r="M92" s="1905"/>
      <c r="N92" s="1906"/>
      <c r="O92" s="1907">
        <f t="shared" si="15"/>
        <v>14.589745736909496</v>
      </c>
      <c r="P92" s="1908"/>
      <c r="Q92" s="1909"/>
      <c r="R92" s="1910">
        <v>51500.5</v>
      </c>
      <c r="S92" s="1911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s="123" customFormat="1" hidden="1" outlineLevel="1" x14ac:dyDescent="0.25">
      <c r="A93" s="1540">
        <v>18</v>
      </c>
      <c r="B93" s="1563" t="s">
        <v>729</v>
      </c>
      <c r="C93" s="1895">
        <f t="shared" si="11"/>
        <v>2.5731494790123887E-2</v>
      </c>
      <c r="D93" s="1896"/>
      <c r="E93" s="1897"/>
      <c r="F93" s="1898">
        <f t="shared" si="12"/>
        <v>7.0506370824651388E-2</v>
      </c>
      <c r="G93" s="1899"/>
      <c r="H93" s="1900"/>
      <c r="I93" s="1901">
        <f t="shared" si="13"/>
        <v>9.6145051124524622E-2</v>
      </c>
      <c r="J93" s="1902"/>
      <c r="K93" s="1903"/>
      <c r="L93" s="1904">
        <f t="shared" si="14"/>
        <v>2.1469948312183922</v>
      </c>
      <c r="M93" s="1905"/>
      <c r="N93" s="1906"/>
      <c r="O93" s="1907">
        <f t="shared" si="15"/>
        <v>2.2154951220959158</v>
      </c>
      <c r="P93" s="1908"/>
      <c r="Q93" s="1909"/>
      <c r="R93" s="1910">
        <v>7820.5</v>
      </c>
      <c r="S93" s="1911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s="123" customFormat="1" hidden="1" outlineLevel="1" x14ac:dyDescent="0.25">
      <c r="A94" s="1540">
        <v>19</v>
      </c>
      <c r="B94" s="1563" t="s">
        <v>727</v>
      </c>
      <c r="C94" s="1895">
        <f t="shared" si="11"/>
        <v>1.1283953888207899E-2</v>
      </c>
      <c r="D94" s="1896"/>
      <c r="E94" s="1897"/>
      <c r="F94" s="1898">
        <f t="shared" si="12"/>
        <v>3.0918943640833953E-2</v>
      </c>
      <c r="G94" s="1899"/>
      <c r="H94" s="1900"/>
      <c r="I94" s="1901">
        <f t="shared" si="13"/>
        <v>4.216219587386448E-2</v>
      </c>
      <c r="J94" s="1902"/>
      <c r="K94" s="1903"/>
      <c r="L94" s="1904">
        <f t="shared" si="14"/>
        <v>0.94151509157515179</v>
      </c>
      <c r="M94" s="1905"/>
      <c r="N94" s="1906"/>
      <c r="O94" s="1907">
        <f t="shared" si="15"/>
        <v>0.97155431509851586</v>
      </c>
      <c r="P94" s="1908"/>
      <c r="Q94" s="1909"/>
      <c r="R94" s="1910">
        <v>3429.5</v>
      </c>
      <c r="S94" s="1911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s="123" customFormat="1" hidden="1" outlineLevel="1" x14ac:dyDescent="0.25">
      <c r="A95" s="1540">
        <v>20</v>
      </c>
      <c r="B95" s="1563" t="s">
        <v>700</v>
      </c>
      <c r="C95" s="1895">
        <f t="shared" si="11"/>
        <v>1.5381975339662322E-2</v>
      </c>
      <c r="D95" s="1896"/>
      <c r="E95" s="1897"/>
      <c r="F95" s="1898">
        <f t="shared" si="12"/>
        <v>4.2147852900101687E-2</v>
      </c>
      <c r="G95" s="1899"/>
      <c r="H95" s="1900"/>
      <c r="I95" s="1901">
        <f t="shared" si="13"/>
        <v>5.7474344863775027E-2</v>
      </c>
      <c r="J95" s="1902"/>
      <c r="K95" s="1903"/>
      <c r="L95" s="1904">
        <f t="shared" si="14"/>
        <v>1.2834474568053171</v>
      </c>
      <c r="M95" s="1905"/>
      <c r="N95" s="1906"/>
      <c r="O95" s="1907">
        <f t="shared" si="15"/>
        <v>1.3243960994563528</v>
      </c>
      <c r="P95" s="1908"/>
      <c r="Q95" s="1909"/>
      <c r="R95" s="1910">
        <v>4675</v>
      </c>
      <c r="S95" s="1911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s="123" customFormat="1" hidden="1" outlineLevel="1" x14ac:dyDescent="0.25">
      <c r="A96" s="1540">
        <v>21</v>
      </c>
      <c r="B96" s="1563" t="s">
        <v>743</v>
      </c>
      <c r="C96" s="1895">
        <f t="shared" si="11"/>
        <v>0.39351534772697616</v>
      </c>
      <c r="D96" s="1896"/>
      <c r="E96" s="1897"/>
      <c r="F96" s="1898">
        <f t="shared" si="12"/>
        <v>1.0782637875619596</v>
      </c>
      <c r="G96" s="1899"/>
      <c r="H96" s="1900"/>
      <c r="I96" s="1901">
        <f t="shared" si="13"/>
        <v>1.4703597103117629</v>
      </c>
      <c r="J96" s="1902"/>
      <c r="K96" s="1903"/>
      <c r="L96" s="1904">
        <f t="shared" si="14"/>
        <v>32.83429215698736</v>
      </c>
      <c r="M96" s="1905"/>
      <c r="N96" s="1906"/>
      <c r="O96" s="1907">
        <f t="shared" si="15"/>
        <v>33.881876683418128</v>
      </c>
      <c r="P96" s="1908"/>
      <c r="Q96" s="1909"/>
      <c r="R96" s="1910">
        <v>119600</v>
      </c>
      <c r="S96" s="1911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s="123" customFormat="1" hidden="1" outlineLevel="1" x14ac:dyDescent="0.25">
      <c r="A97" s="1540">
        <v>22</v>
      </c>
      <c r="B97" s="1563" t="s">
        <v>730</v>
      </c>
      <c r="C97" s="1895">
        <f t="shared" si="11"/>
        <v>0.13172893362539478</v>
      </c>
      <c r="D97" s="1896"/>
      <c r="E97" s="1897"/>
      <c r="F97" s="1898">
        <f t="shared" si="12"/>
        <v>0.36094790132801513</v>
      </c>
      <c r="G97" s="1899"/>
      <c r="H97" s="1900"/>
      <c r="I97" s="1901">
        <f t="shared" si="13"/>
        <v>0.49220168362911154</v>
      </c>
      <c r="J97" s="1902"/>
      <c r="K97" s="1903"/>
      <c r="L97" s="1904">
        <f t="shared" si="14"/>
        <v>10.991251846129982</v>
      </c>
      <c r="M97" s="1905"/>
      <c r="N97" s="1906"/>
      <c r="O97" s="1907">
        <f t="shared" si="15"/>
        <v>11.34192989044589</v>
      </c>
      <c r="P97" s="1908"/>
      <c r="Q97" s="1909"/>
      <c r="R97" s="1910">
        <v>40036</v>
      </c>
      <c r="S97" s="1911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s="123" customFormat="1" hidden="1" outlineLevel="1" x14ac:dyDescent="0.25">
      <c r="A98" s="1540">
        <v>23</v>
      </c>
      <c r="B98" s="1563" t="s">
        <v>744</v>
      </c>
      <c r="C98" s="1895">
        <f t="shared" si="11"/>
        <v>0.40645430345386857</v>
      </c>
      <c r="D98" s="1896"/>
      <c r="E98" s="1897"/>
      <c r="F98" s="1898">
        <f t="shared" si="12"/>
        <v>1.1137175697073392</v>
      </c>
      <c r="G98" s="1899"/>
      <c r="H98" s="1900"/>
      <c r="I98" s="1901">
        <f t="shared" si="13"/>
        <v>1.5187057768736445</v>
      </c>
      <c r="J98" s="1902"/>
      <c r="K98" s="1903"/>
      <c r="L98" s="1904">
        <f t="shared" si="14"/>
        <v>33.913897958888306</v>
      </c>
      <c r="M98" s="1905"/>
      <c r="N98" s="1906"/>
      <c r="O98" s="1907">
        <f t="shared" si="15"/>
        <v>34.995927520019656</v>
      </c>
      <c r="P98" s="1908"/>
      <c r="Q98" s="1909"/>
      <c r="R98" s="1910">
        <v>123532.5</v>
      </c>
      <c r="S98" s="1911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s="123" customFormat="1" hidden="1" outlineLevel="1" x14ac:dyDescent="0.25">
      <c r="A99" s="1540">
        <v>24</v>
      </c>
      <c r="B99" s="1563" t="s">
        <v>745</v>
      </c>
      <c r="C99" s="1895">
        <f t="shared" si="11"/>
        <v>6.4094305800346954E-3</v>
      </c>
      <c r="D99" s="1896"/>
      <c r="E99" s="1897"/>
      <c r="F99" s="1898">
        <f t="shared" si="12"/>
        <v>1.7562356673668039E-2</v>
      </c>
      <c r="G99" s="1899"/>
      <c r="H99" s="1900"/>
      <c r="I99" s="1901">
        <f t="shared" si="13"/>
        <v>2.3948668191365506E-2</v>
      </c>
      <c r="J99" s="1902"/>
      <c r="K99" s="1903"/>
      <c r="L99" s="1904">
        <f t="shared" si="14"/>
        <v>0.53479265152016198</v>
      </c>
      <c r="M99" s="1905"/>
      <c r="N99" s="1906"/>
      <c r="O99" s="1907">
        <f t="shared" si="15"/>
        <v>0.55185531588042247</v>
      </c>
      <c r="P99" s="1908"/>
      <c r="Q99" s="1909"/>
      <c r="R99" s="1910">
        <v>1948</v>
      </c>
      <c r="S99" s="1911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s="123" customFormat="1" hidden="1" outlineLevel="1" x14ac:dyDescent="0.25">
      <c r="A100" s="1540">
        <v>25</v>
      </c>
      <c r="B100" s="1563" t="s">
        <v>731</v>
      </c>
      <c r="C100" s="1895">
        <f t="shared" si="11"/>
        <v>2.2128657785432927E-2</v>
      </c>
      <c r="D100" s="1896"/>
      <c r="E100" s="1897"/>
      <c r="F100" s="1898">
        <f t="shared" si="12"/>
        <v>6.0634306883344133E-2</v>
      </c>
      <c r="G100" s="1899"/>
      <c r="H100" s="1900"/>
      <c r="I100" s="1901">
        <f t="shared" si="13"/>
        <v>8.268314575001473E-2</v>
      </c>
      <c r="J100" s="1902"/>
      <c r="K100" s="1903"/>
      <c r="L100" s="1904">
        <f t="shared" si="14"/>
        <v>1.84637986539982</v>
      </c>
      <c r="M100" s="1905"/>
      <c r="N100" s="1906"/>
      <c r="O100" s="1907">
        <f t="shared" si="15"/>
        <v>1.9052889768756576</v>
      </c>
      <c r="P100" s="1908"/>
      <c r="Q100" s="1909"/>
      <c r="R100" s="1910">
        <v>6725.5</v>
      </c>
      <c r="S100" s="1911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s="123" customFormat="1" hidden="1" outlineLevel="1" x14ac:dyDescent="0.25">
      <c r="A101" s="1540">
        <v>26</v>
      </c>
      <c r="B101" s="1563" t="s">
        <v>746</v>
      </c>
      <c r="C101" s="1895">
        <f t="shared" si="11"/>
        <v>1.7027106392032622E-2</v>
      </c>
      <c r="D101" s="1896"/>
      <c r="E101" s="1897"/>
      <c r="F101" s="1898">
        <f t="shared" si="12"/>
        <v>4.6655644654123252E-2</v>
      </c>
      <c r="G101" s="1899"/>
      <c r="H101" s="1900"/>
      <c r="I101" s="1901">
        <f t="shared" si="13"/>
        <v>6.362133361925898E-2</v>
      </c>
      <c r="J101" s="1902"/>
      <c r="K101" s="1903"/>
      <c r="L101" s="1904">
        <f t="shared" si="14"/>
        <v>1.4207145644850301</v>
      </c>
      <c r="M101" s="1905"/>
      <c r="N101" s="1906"/>
      <c r="O101" s="1907">
        <f t="shared" si="15"/>
        <v>1.4660427411094386</v>
      </c>
      <c r="P101" s="1908"/>
      <c r="Q101" s="1909"/>
      <c r="R101" s="1910">
        <v>5175</v>
      </c>
      <c r="S101" s="1911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s="123" customFormat="1" hidden="1" outlineLevel="1" x14ac:dyDescent="0.25">
      <c r="A102" s="1540">
        <v>27</v>
      </c>
      <c r="B102" s="1563" t="s">
        <v>717</v>
      </c>
      <c r="C102" s="1895">
        <f t="shared" si="11"/>
        <v>3.3955504920923029E-3</v>
      </c>
      <c r="D102" s="1896"/>
      <c r="E102" s="1897"/>
      <c r="F102" s="1898">
        <f t="shared" si="12"/>
        <v>9.304082180300521E-3</v>
      </c>
      <c r="G102" s="1899"/>
      <c r="H102" s="1900"/>
      <c r="I102" s="1901">
        <f t="shared" si="13"/>
        <v>1.2687384791318892E-2</v>
      </c>
      <c r="J102" s="1902"/>
      <c r="K102" s="1903"/>
      <c r="L102" s="1904">
        <f t="shared" si="14"/>
        <v>0.28331931025092771</v>
      </c>
      <c r="M102" s="1905"/>
      <c r="N102" s="1906"/>
      <c r="O102" s="1907">
        <f t="shared" si="15"/>
        <v>0.29235866837196917</v>
      </c>
      <c r="P102" s="1908"/>
      <c r="Q102" s="1909"/>
      <c r="R102" s="1910">
        <v>1032</v>
      </c>
      <c r="S102" s="1911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s="123" customFormat="1" hidden="1" outlineLevel="1" x14ac:dyDescent="0.25">
      <c r="A103" s="1540">
        <v>28</v>
      </c>
      <c r="B103" s="1563" t="s">
        <v>747</v>
      </c>
      <c r="C103" s="1895">
        <f t="shared" si="11"/>
        <v>1.5684679453298454E-2</v>
      </c>
      <c r="D103" s="1896"/>
      <c r="E103" s="1897"/>
      <c r="F103" s="1898">
        <f t="shared" si="12"/>
        <v>4.2977286582841653E-2</v>
      </c>
      <c r="G103" s="1899"/>
      <c r="H103" s="1900"/>
      <c r="I103" s="1901">
        <f t="shared" si="13"/>
        <v>5.8605390794784072E-2</v>
      </c>
      <c r="J103" s="1902"/>
      <c r="K103" s="1903"/>
      <c r="L103" s="1904">
        <f t="shared" si="14"/>
        <v>1.3087046046183841</v>
      </c>
      <c r="M103" s="1905"/>
      <c r="N103" s="1906"/>
      <c r="O103" s="1907">
        <f t="shared" si="15"/>
        <v>1.3504590815205204</v>
      </c>
      <c r="P103" s="1908"/>
      <c r="Q103" s="1909"/>
      <c r="R103" s="1910">
        <v>4767</v>
      </c>
      <c r="S103" s="1911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s="1" customFormat="1" collapsed="1" x14ac:dyDescent="0.25">
      <c r="A104" s="1613"/>
      <c r="B104" s="1614" t="s">
        <v>762</v>
      </c>
      <c r="C104" s="1946">
        <f>SUM(C76:C103)</f>
        <v>3.406042315378794</v>
      </c>
      <c r="D104" s="1947"/>
      <c r="E104" s="1948"/>
      <c r="F104" s="1949">
        <f>SUM(F76:F103)</f>
        <v>9.3328306222117927</v>
      </c>
      <c r="G104" s="1950"/>
      <c r="H104" s="1951"/>
      <c r="I104" s="1952">
        <f>SUM(I76:I103)</f>
        <v>12.726587212106992</v>
      </c>
      <c r="J104" s="1953"/>
      <c r="K104" s="1954"/>
      <c r="L104" s="1955">
        <f>SUM(L76:L103)</f>
        <v>284.19473123015507</v>
      </c>
      <c r="M104" s="1956"/>
      <c r="N104" s="1957"/>
      <c r="O104" s="1958">
        <f>SUM(O76:O103)</f>
        <v>293.26201982911175</v>
      </c>
      <c r="P104" s="1959"/>
      <c r="Q104" s="1960"/>
      <c r="R104" s="1961">
        <f>SUM(R76:R103)</f>
        <v>1035188.75</v>
      </c>
      <c r="S104" s="1962"/>
      <c r="T104" s="4"/>
      <c r="U104" s="6"/>
      <c r="V104" s="6"/>
      <c r="W104" s="6"/>
      <c r="X104" s="6"/>
      <c r="Y104" s="6"/>
      <c r="Z104" s="4"/>
      <c r="AA104" s="6"/>
      <c r="AB104" s="6"/>
      <c r="AC104" s="6"/>
      <c r="AD104" s="6"/>
      <c r="AE104" s="6"/>
    </row>
    <row r="105" spans="1:31" s="1" customFormat="1" hidden="1" outlineLevel="1" x14ac:dyDescent="0.25">
      <c r="A105" s="1615" t="s">
        <v>35</v>
      </c>
      <c r="B105" s="1616" t="s">
        <v>459</v>
      </c>
      <c r="C105" s="1929"/>
      <c r="D105" s="1930"/>
      <c r="E105" s="1931"/>
      <c r="F105" s="1932"/>
      <c r="G105" s="1933"/>
      <c r="H105" s="1934"/>
      <c r="I105" s="1935"/>
      <c r="J105" s="1936"/>
      <c r="K105" s="1937"/>
      <c r="L105" s="1938"/>
      <c r="M105" s="1939"/>
      <c r="N105" s="1940"/>
      <c r="O105" s="1941"/>
      <c r="P105" s="1942"/>
      <c r="Q105" s="1943"/>
      <c r="R105" s="1944"/>
      <c r="S105" s="1945"/>
      <c r="T105" s="4"/>
      <c r="U105" s="6"/>
      <c r="V105" s="6"/>
      <c r="W105" s="6"/>
      <c r="X105" s="6"/>
      <c r="Y105" s="6"/>
      <c r="Z105" s="4"/>
      <c r="AA105" s="6"/>
      <c r="AB105" s="6"/>
      <c r="AC105" s="6"/>
      <c r="AD105" s="6"/>
      <c r="AE105" s="6"/>
    </row>
    <row r="106" spans="1:31" s="123" customFormat="1" hidden="1" outlineLevel="1" x14ac:dyDescent="0.25">
      <c r="A106" s="1540">
        <v>1</v>
      </c>
      <c r="B106" s="1563" t="s">
        <v>701</v>
      </c>
      <c r="C106" s="1895">
        <f t="shared" ref="C106:C115" si="16">((R106/(($C$21*$C$23)+($F$21*$F$23)+($I$21*$I$23)+($L$21*$L$23)+($O$21*$O$23)))*($C$21*$C$23))/$C$21</f>
        <v>3.2112958142268295E-3</v>
      </c>
      <c r="D106" s="1896"/>
      <c r="E106" s="1897"/>
      <c r="F106" s="1898">
        <f t="shared" ref="F106:F115" si="17">((R106/(($C$21*$C$23)+($F$21*$F$23)+($I$21*$I$23)+($L$21*$L$23)+($O$21*$O$23)))*($F$21*$F$23))/$F$21</f>
        <v>8.7992095038501063E-3</v>
      </c>
      <c r="G106" s="1899"/>
      <c r="H106" s="1900"/>
      <c r="I106" s="1901">
        <f t="shared" ref="I106:I115" si="18">((R106/(($C$21*$C$23)+($F$21*$F$23)+($I$21*$I$23)+($L$21*$L$23)+($O$21*$O$23)))*($I$21*$I$23))/$I$21</f>
        <v>1.1998922050704689E-2</v>
      </c>
      <c r="J106" s="1902"/>
      <c r="K106" s="1903"/>
      <c r="L106" s="1904">
        <f t="shared" ref="L106:L115" si="19">((R106/(($C$21*$C$23)+($F$21*$F$23)+($I$21*$I$23)+($L$21*$L$23)+($O$21*$O$23)))*($L$21*$L$23))/$L$21</f>
        <v>0.26794539419079988</v>
      </c>
      <c r="M106" s="1905"/>
      <c r="N106" s="1906"/>
      <c r="O106" s="1907">
        <f t="shared" ref="O106:O115" si="20">((R106/(($C$21*$C$23)+($F$21*$F$23)+($I$21*$I$23)+($L$21*$L$23)+($O$21*$O$23)))*($O$21*$O$23))/$O$21</f>
        <v>0.27649424450682358</v>
      </c>
      <c r="P106" s="1908"/>
      <c r="Q106" s="1909"/>
      <c r="R106" s="1910">
        <v>976</v>
      </c>
      <c r="S106" s="1911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s="123" customFormat="1" hidden="1" outlineLevel="1" x14ac:dyDescent="0.25">
      <c r="A107" s="1540">
        <v>2</v>
      </c>
      <c r="B107" s="1563" t="s">
        <v>719</v>
      </c>
      <c r="C107" s="1895">
        <f t="shared" si="16"/>
        <v>5.3631272307271844E-3</v>
      </c>
      <c r="D107" s="1896"/>
      <c r="E107" s="1897"/>
      <c r="F107" s="1898">
        <f t="shared" si="17"/>
        <v>1.469540111811032E-2</v>
      </c>
      <c r="G107" s="1899"/>
      <c r="H107" s="1900"/>
      <c r="I107" s="1901">
        <f t="shared" si="18"/>
        <v>2.0039183342877707E-2</v>
      </c>
      <c r="J107" s="1902"/>
      <c r="K107" s="1903"/>
      <c r="L107" s="1904">
        <f t="shared" si="19"/>
        <v>0.44749077103586454</v>
      </c>
      <c r="M107" s="1905"/>
      <c r="N107" s="1906"/>
      <c r="O107" s="1907">
        <f t="shared" si="20"/>
        <v>0.46176805178905989</v>
      </c>
      <c r="P107" s="1908"/>
      <c r="Q107" s="1909"/>
      <c r="R107" s="1910">
        <v>1630</v>
      </c>
      <c r="S107" s="1911"/>
      <c r="T107" s="6"/>
      <c r="U107" s="6"/>
      <c r="V107" s="6"/>
      <c r="W107" s="6"/>
      <c r="X107" s="6"/>
      <c r="Y107" s="6"/>
      <c r="Z107" s="6"/>
      <c r="AA107" s="4"/>
      <c r="AB107" s="4"/>
      <c r="AC107" s="4"/>
      <c r="AD107" s="4"/>
      <c r="AE107" s="4"/>
    </row>
    <row r="108" spans="1:31" s="123" customFormat="1" hidden="1" outlineLevel="1" x14ac:dyDescent="0.25">
      <c r="A108" s="1540">
        <v>3</v>
      </c>
      <c r="B108" s="1563" t="s">
        <v>705</v>
      </c>
      <c r="C108" s="1895">
        <f t="shared" si="16"/>
        <v>9.8707863142218099E-4</v>
      </c>
      <c r="D108" s="1896"/>
      <c r="E108" s="1897"/>
      <c r="F108" s="1898">
        <f t="shared" si="17"/>
        <v>2.7046750524129422E-3</v>
      </c>
      <c r="G108" s="1899"/>
      <c r="H108" s="1900"/>
      <c r="I108" s="1901">
        <f t="shared" si="18"/>
        <v>3.6881932532903763E-3</v>
      </c>
      <c r="J108" s="1902"/>
      <c r="K108" s="1903"/>
      <c r="L108" s="1904">
        <f t="shared" si="19"/>
        <v>8.2360264607827832E-2</v>
      </c>
      <c r="M108" s="1905"/>
      <c r="N108" s="1906"/>
      <c r="O108" s="1907">
        <f t="shared" si="20"/>
        <v>8.4987984991851506E-2</v>
      </c>
      <c r="P108" s="1908"/>
      <c r="Q108" s="1909"/>
      <c r="R108" s="1910">
        <v>300</v>
      </c>
      <c r="S108" s="1911"/>
      <c r="T108" s="6"/>
      <c r="U108" s="6"/>
      <c r="V108" s="6"/>
      <c r="W108" s="6"/>
      <c r="X108" s="6"/>
      <c r="Y108" s="6"/>
      <c r="Z108" s="6"/>
      <c r="AA108" s="4"/>
      <c r="AB108" s="4"/>
      <c r="AC108" s="4"/>
      <c r="AD108" s="4"/>
      <c r="AE108" s="4"/>
    </row>
    <row r="109" spans="1:31" s="123" customFormat="1" hidden="1" outlineLevel="1" x14ac:dyDescent="0.25">
      <c r="A109" s="1540">
        <v>4</v>
      </c>
      <c r="B109" s="1563" t="s">
        <v>699</v>
      </c>
      <c r="C109" s="1895">
        <f t="shared" si="16"/>
        <v>1.3407818076817961E-3</v>
      </c>
      <c r="D109" s="1896"/>
      <c r="E109" s="1897"/>
      <c r="F109" s="1898">
        <f t="shared" si="17"/>
        <v>3.6738502795275801E-3</v>
      </c>
      <c r="G109" s="1899"/>
      <c r="H109" s="1900"/>
      <c r="I109" s="1901">
        <f t="shared" si="18"/>
        <v>5.0097958357194269E-3</v>
      </c>
      <c r="J109" s="1902"/>
      <c r="K109" s="1903"/>
      <c r="L109" s="1904">
        <f t="shared" si="19"/>
        <v>0.11187269275896614</v>
      </c>
      <c r="M109" s="1905"/>
      <c r="N109" s="1906"/>
      <c r="O109" s="1907">
        <f t="shared" si="20"/>
        <v>0.11544201294726497</v>
      </c>
      <c r="P109" s="1908"/>
      <c r="Q109" s="1909"/>
      <c r="R109" s="1910">
        <v>407.5</v>
      </c>
      <c r="S109" s="1911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s="123" customFormat="1" hidden="1" outlineLevel="1" x14ac:dyDescent="0.25">
      <c r="A110" s="1540">
        <v>5</v>
      </c>
      <c r="B110" s="1563" t="s">
        <v>733</v>
      </c>
      <c r="C110" s="1895">
        <f t="shared" si="16"/>
        <v>0.82971274868824196</v>
      </c>
      <c r="D110" s="1896"/>
      <c r="E110" s="1897"/>
      <c r="F110" s="1898">
        <f t="shared" si="17"/>
        <v>2.273479843052379</v>
      </c>
      <c r="G110" s="1899"/>
      <c r="H110" s="1900"/>
      <c r="I110" s="1901">
        <f t="shared" si="18"/>
        <v>3.100199785980517</v>
      </c>
      <c r="J110" s="1902"/>
      <c r="K110" s="1903"/>
      <c r="L110" s="1904">
        <f t="shared" si="19"/>
        <v>69.229906671157806</v>
      </c>
      <c r="M110" s="1905"/>
      <c r="N110" s="1906"/>
      <c r="O110" s="1907">
        <f t="shared" si="20"/>
        <v>71.438700411805499</v>
      </c>
      <c r="P110" s="1908"/>
      <c r="Q110" s="1909"/>
      <c r="R110" s="1910">
        <v>252172.23499999999</v>
      </c>
      <c r="S110" s="1911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s="123" customFormat="1" hidden="1" outlineLevel="1" x14ac:dyDescent="0.25">
      <c r="A111" s="1540">
        <v>6</v>
      </c>
      <c r="B111" s="1563" t="s">
        <v>749</v>
      </c>
      <c r="C111" s="1895">
        <f t="shared" si="16"/>
        <v>3.2474886973789755E-3</v>
      </c>
      <c r="D111" s="1896"/>
      <c r="E111" s="1897"/>
      <c r="F111" s="1898">
        <f t="shared" si="17"/>
        <v>8.8983809224385795E-3</v>
      </c>
      <c r="G111" s="1899"/>
      <c r="H111" s="1900"/>
      <c r="I111" s="1901">
        <f t="shared" si="18"/>
        <v>1.2134155803325337E-2</v>
      </c>
      <c r="J111" s="1902"/>
      <c r="K111" s="1903"/>
      <c r="L111" s="1904">
        <f t="shared" si="19"/>
        <v>0.27096527055975356</v>
      </c>
      <c r="M111" s="1905"/>
      <c r="N111" s="1906"/>
      <c r="O111" s="1907">
        <f t="shared" si="20"/>
        <v>0.2796104706231915</v>
      </c>
      <c r="P111" s="1908"/>
      <c r="Q111" s="1909"/>
      <c r="R111" s="1910">
        <v>987</v>
      </c>
      <c r="S111" s="1911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s="123" customFormat="1" hidden="1" outlineLevel="1" x14ac:dyDescent="0.25">
      <c r="A112" s="1540">
        <v>7</v>
      </c>
      <c r="B112" s="1563" t="s">
        <v>725</v>
      </c>
      <c r="C112" s="1895">
        <f t="shared" si="16"/>
        <v>3.6191616401236306</v>
      </c>
      <c r="D112" s="1896"/>
      <c r="E112" s="1897"/>
      <c r="F112" s="1898">
        <f t="shared" si="17"/>
        <v>9.9167947588823946</v>
      </c>
      <c r="G112" s="1899"/>
      <c r="H112" s="1900"/>
      <c r="I112" s="1901">
        <f t="shared" si="18"/>
        <v>13.522901943930538</v>
      </c>
      <c r="J112" s="1902"/>
      <c r="K112" s="1903"/>
      <c r="L112" s="1904">
        <f t="shared" si="19"/>
        <v>301.9770673280774</v>
      </c>
      <c r="M112" s="1905"/>
      <c r="N112" s="1906"/>
      <c r="O112" s="1907">
        <f t="shared" si="20"/>
        <v>311.61170484538155</v>
      </c>
      <c r="P112" s="1908"/>
      <c r="Q112" s="1909"/>
      <c r="R112" s="1910">
        <v>1099961.5</v>
      </c>
      <c r="S112" s="1911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s="123" customFormat="1" hidden="1" outlineLevel="1" x14ac:dyDescent="0.25">
      <c r="A113" s="1540">
        <v>8</v>
      </c>
      <c r="B113" s="1563" t="s">
        <v>735</v>
      </c>
      <c r="C113" s="1895">
        <f t="shared" si="16"/>
        <v>6.5805242094812077E-4</v>
      </c>
      <c r="D113" s="1896"/>
      <c r="E113" s="1897"/>
      <c r="F113" s="1898">
        <f t="shared" si="17"/>
        <v>1.8031167016086282E-3</v>
      </c>
      <c r="G113" s="1899"/>
      <c r="H113" s="1900"/>
      <c r="I113" s="1901">
        <f t="shared" si="18"/>
        <v>2.4587955021935842E-3</v>
      </c>
      <c r="J113" s="1902"/>
      <c r="K113" s="1903"/>
      <c r="L113" s="1904">
        <f t="shared" si="19"/>
        <v>5.4906843071885224E-2</v>
      </c>
      <c r="M113" s="1905"/>
      <c r="N113" s="1906"/>
      <c r="O113" s="1907">
        <f t="shared" si="20"/>
        <v>5.665865666123434E-2</v>
      </c>
      <c r="P113" s="1908"/>
      <c r="Q113" s="1909"/>
      <c r="R113" s="1910">
        <v>200</v>
      </c>
      <c r="S113" s="1911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s="123" customFormat="1" hidden="1" outlineLevel="1" x14ac:dyDescent="0.25">
      <c r="A114" s="1540">
        <v>9</v>
      </c>
      <c r="B114" s="1563" t="s">
        <v>750</v>
      </c>
      <c r="C114" s="1895">
        <f t="shared" si="16"/>
        <v>0.55444206726983902</v>
      </c>
      <c r="D114" s="1896"/>
      <c r="E114" s="1897"/>
      <c r="F114" s="1898">
        <f t="shared" si="17"/>
        <v>1.5192159769403495</v>
      </c>
      <c r="G114" s="1899"/>
      <c r="H114" s="1900"/>
      <c r="I114" s="1901">
        <f t="shared" si="18"/>
        <v>2.0716581503732039</v>
      </c>
      <c r="J114" s="1902"/>
      <c r="K114" s="1903"/>
      <c r="L114" s="1904">
        <f t="shared" si="19"/>
        <v>46.261760630216891</v>
      </c>
      <c r="M114" s="1905"/>
      <c r="N114" s="1906"/>
      <c r="O114" s="1907">
        <f t="shared" si="20"/>
        <v>47.737751169922987</v>
      </c>
      <c r="P114" s="1908"/>
      <c r="Q114" s="1909"/>
      <c r="R114" s="1910">
        <v>168510</v>
      </c>
      <c r="S114" s="1911"/>
      <c r="T114" s="6"/>
      <c r="U114" s="6"/>
      <c r="V114" s="4"/>
      <c r="W114" s="4"/>
      <c r="X114" s="6"/>
      <c r="Y114" s="6"/>
      <c r="Z114" s="6"/>
      <c r="AA114" s="6"/>
      <c r="AB114" s="6"/>
      <c r="AC114" s="6"/>
      <c r="AD114" s="6"/>
      <c r="AE114" s="6"/>
    </row>
    <row r="115" spans="1:31" s="123" customFormat="1" hidden="1" outlineLevel="1" x14ac:dyDescent="0.25">
      <c r="A115" s="1540">
        <v>10</v>
      </c>
      <c r="B115" s="1563" t="s">
        <v>751</v>
      </c>
      <c r="C115" s="1895">
        <f t="shared" si="16"/>
        <v>0</v>
      </c>
      <c r="D115" s="1896"/>
      <c r="E115" s="1897"/>
      <c r="F115" s="1898">
        <f t="shared" si="17"/>
        <v>0</v>
      </c>
      <c r="G115" s="1899"/>
      <c r="H115" s="1900"/>
      <c r="I115" s="1901">
        <f t="shared" si="18"/>
        <v>0</v>
      </c>
      <c r="J115" s="1902"/>
      <c r="K115" s="1903"/>
      <c r="L115" s="1904">
        <f t="shared" si="19"/>
        <v>0</v>
      </c>
      <c r="M115" s="1905"/>
      <c r="N115" s="1906"/>
      <c r="O115" s="1907">
        <f t="shared" si="20"/>
        <v>0</v>
      </c>
      <c r="P115" s="1908"/>
      <c r="Q115" s="1909"/>
      <c r="R115" s="1910">
        <v>0</v>
      </c>
      <c r="S115" s="1911"/>
      <c r="T115" s="6"/>
      <c r="U115" s="4"/>
      <c r="V115" s="4"/>
      <c r="W115" s="4"/>
      <c r="X115" s="6"/>
      <c r="Y115" s="6"/>
      <c r="Z115" s="6"/>
      <c r="AA115" s="6"/>
      <c r="AB115" s="6"/>
      <c r="AC115" s="6"/>
      <c r="AD115" s="6"/>
      <c r="AE115" s="6"/>
    </row>
    <row r="116" spans="1:31" s="1" customFormat="1" collapsed="1" x14ac:dyDescent="0.25">
      <c r="A116" s="1613"/>
      <c r="B116" s="1614" t="s">
        <v>759</v>
      </c>
      <c r="C116" s="1878">
        <f>SUM(C106:C115)</f>
        <v>5.0181242806840967</v>
      </c>
      <c r="D116" s="1879"/>
      <c r="E116" s="1880"/>
      <c r="F116" s="1881">
        <f>SUM(F106:F115)</f>
        <v>13.750065212453071</v>
      </c>
      <c r="G116" s="1882"/>
      <c r="H116" s="1883"/>
      <c r="I116" s="1884">
        <f>SUM(I106:I115)</f>
        <v>18.750088926072369</v>
      </c>
      <c r="J116" s="1885"/>
      <c r="K116" s="1886"/>
      <c r="L116" s="1887">
        <f>SUM(L106:L115)</f>
        <v>418.70427586567718</v>
      </c>
      <c r="M116" s="1888"/>
      <c r="N116" s="1889"/>
      <c r="O116" s="1890">
        <f>SUM(O106:O115)</f>
        <v>432.06311784862947</v>
      </c>
      <c r="P116" s="1891"/>
      <c r="Q116" s="1892"/>
      <c r="R116" s="1893">
        <f>SUM(R106:R115)</f>
        <v>1525144.2349999999</v>
      </c>
      <c r="S116" s="1894"/>
      <c r="T116" s="4"/>
      <c r="U116" s="4"/>
      <c r="V116" s="6"/>
      <c r="W116" s="6"/>
      <c r="X116" s="6"/>
      <c r="Y116" s="6"/>
      <c r="Z116" s="4"/>
      <c r="AA116" s="6"/>
      <c r="AB116" s="6"/>
      <c r="AC116" s="6"/>
      <c r="AD116" s="6"/>
      <c r="AE116" s="6"/>
    </row>
    <row r="117" spans="1:31" s="1" customFormat="1" hidden="1" outlineLevel="1" x14ac:dyDescent="0.25">
      <c r="A117" s="1615" t="s">
        <v>36</v>
      </c>
      <c r="B117" s="1616" t="s">
        <v>167</v>
      </c>
      <c r="C117" s="1912"/>
      <c r="D117" s="1913"/>
      <c r="E117" s="1914"/>
      <c r="F117" s="1915"/>
      <c r="G117" s="1916"/>
      <c r="H117" s="1917"/>
      <c r="I117" s="1918"/>
      <c r="J117" s="1919"/>
      <c r="K117" s="1920"/>
      <c r="L117" s="1921"/>
      <c r="M117" s="1922"/>
      <c r="N117" s="1923"/>
      <c r="O117" s="1924"/>
      <c r="P117" s="1925"/>
      <c r="Q117" s="1926"/>
      <c r="R117" s="1927"/>
      <c r="S117" s="1928"/>
      <c r="T117" s="4"/>
      <c r="U117" s="6"/>
      <c r="V117" s="6"/>
      <c r="W117" s="6"/>
      <c r="X117" s="6"/>
      <c r="Y117" s="6"/>
      <c r="Z117" s="4"/>
      <c r="AA117" s="6"/>
      <c r="AB117" s="6"/>
      <c r="AC117" s="6"/>
      <c r="AD117" s="6"/>
      <c r="AE117" s="6"/>
    </row>
    <row r="118" spans="1:31" s="123" customFormat="1" hidden="1" outlineLevel="1" x14ac:dyDescent="0.25">
      <c r="A118" s="1540">
        <v>1</v>
      </c>
      <c r="B118" s="1563" t="s">
        <v>717</v>
      </c>
      <c r="C118" s="1895">
        <f t="shared" ref="C118:C126" si="21">((R118/(($C$21*$C$23)+($F$21*$F$23)+($I$21*$I$23)+($L$21*$L$23)+($O$21*$O$23)))*($C$21*$C$23))/$C$21</f>
        <v>0.29633745646346243</v>
      </c>
      <c r="D118" s="1896"/>
      <c r="E118" s="1897"/>
      <c r="F118" s="1898">
        <f t="shared" ref="F118:F126" si="22">((R118/(($C$21*$C$23)+($F$21*$F$23)+($I$21*$I$23)+($L$21*$L$23)+($O$21*$O$23)))*($F$21*$F$23))/$F$21</f>
        <v>0.81198852865190541</v>
      </c>
      <c r="G118" s="1899"/>
      <c r="H118" s="1900"/>
      <c r="I118" s="1901">
        <f t="shared" ref="I118:I126" si="23">((R118/(($C$21*$C$23)+($F$21*$F$23)+($I$21*$I$23)+($L$21*$L$23)+($O$21*$O$23)))*($I$21*$I$23))/$I$21</f>
        <v>1.1072570845253256</v>
      </c>
      <c r="J118" s="1902"/>
      <c r="K118" s="1903"/>
      <c r="L118" s="1904">
        <f t="shared" ref="L118:L126" si="24">((R118/(($C$21*$C$23)+($F$21*$F$23)+($I$21*$I$23)+($L$21*$L$23)+($O$21*$O$23)))*($L$21*$L$23))/$L$21</f>
        <v>24.72592410634671</v>
      </c>
      <c r="M118" s="1905"/>
      <c r="N118" s="1906"/>
      <c r="O118" s="1907">
        <f t="shared" ref="O118:O126" si="25">((R118/(($C$21*$C$23)+($F$21*$F$23)+($I$21*$I$23)+($L$21*$L$23)+($O$21*$O$23)))*($O$21*$O$23))/$O$21</f>
        <v>25.514809560970352</v>
      </c>
      <c r="P118" s="1908"/>
      <c r="Q118" s="1909"/>
      <c r="R118" s="1910">
        <v>90065</v>
      </c>
      <c r="S118" s="1911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s="123" customFormat="1" hidden="1" outlineLevel="1" x14ac:dyDescent="0.25">
      <c r="A119" s="1540">
        <v>2</v>
      </c>
      <c r="B119" s="1563" t="s">
        <v>714</v>
      </c>
      <c r="C119" s="1895">
        <f t="shared" si="21"/>
        <v>0</v>
      </c>
      <c r="D119" s="1896"/>
      <c r="E119" s="1897"/>
      <c r="F119" s="1898">
        <f t="shared" si="22"/>
        <v>0</v>
      </c>
      <c r="G119" s="1899"/>
      <c r="H119" s="1900"/>
      <c r="I119" s="1901">
        <f t="shared" si="23"/>
        <v>0</v>
      </c>
      <c r="J119" s="1902"/>
      <c r="K119" s="1903"/>
      <c r="L119" s="1904">
        <f t="shared" si="24"/>
        <v>0</v>
      </c>
      <c r="M119" s="1905"/>
      <c r="N119" s="1906"/>
      <c r="O119" s="1907">
        <f t="shared" si="25"/>
        <v>0</v>
      </c>
      <c r="P119" s="1908"/>
      <c r="Q119" s="1909"/>
      <c r="R119" s="1910">
        <v>0</v>
      </c>
      <c r="S119" s="1911"/>
      <c r="T119" s="6"/>
      <c r="U119" s="6"/>
      <c r="V119" s="6"/>
      <c r="W119" s="6"/>
      <c r="X119" s="6"/>
      <c r="Y119" s="6"/>
      <c r="Z119" s="6"/>
      <c r="AA119" s="4"/>
      <c r="AB119" s="4"/>
      <c r="AC119" s="4"/>
      <c r="AD119" s="4"/>
      <c r="AE119" s="4"/>
    </row>
    <row r="120" spans="1:31" s="123" customFormat="1" hidden="1" outlineLevel="1" x14ac:dyDescent="0.25">
      <c r="A120" s="1540">
        <v>3</v>
      </c>
      <c r="B120" s="1563" t="s">
        <v>715</v>
      </c>
      <c r="C120" s="1895">
        <f t="shared" si="21"/>
        <v>4.935393157110905E-4</v>
      </c>
      <c r="D120" s="1896"/>
      <c r="E120" s="1897"/>
      <c r="F120" s="1898">
        <f t="shared" si="22"/>
        <v>1.3523375262064711E-3</v>
      </c>
      <c r="G120" s="1899"/>
      <c r="H120" s="1900"/>
      <c r="I120" s="1901">
        <f t="shared" si="23"/>
        <v>1.8440966266451881E-3</v>
      </c>
      <c r="J120" s="1902"/>
      <c r="K120" s="1903"/>
      <c r="L120" s="1904">
        <f t="shared" si="24"/>
        <v>4.1180132303913916E-2</v>
      </c>
      <c r="M120" s="1905"/>
      <c r="N120" s="1906"/>
      <c r="O120" s="1907">
        <f t="shared" si="25"/>
        <v>4.2493992495925753E-2</v>
      </c>
      <c r="P120" s="1908"/>
      <c r="Q120" s="1909"/>
      <c r="R120" s="1910">
        <v>150</v>
      </c>
      <c r="S120" s="1911"/>
      <c r="T120" s="6"/>
      <c r="U120" s="6"/>
      <c r="V120" s="6"/>
      <c r="W120" s="6"/>
      <c r="X120" s="6"/>
      <c r="Y120" s="6"/>
      <c r="Z120" s="6"/>
      <c r="AA120" s="4"/>
      <c r="AB120" s="4"/>
      <c r="AC120" s="4"/>
      <c r="AD120" s="4"/>
      <c r="AE120" s="4"/>
    </row>
    <row r="121" spans="1:31" s="123" customFormat="1" hidden="1" outlineLevel="1" x14ac:dyDescent="0.25">
      <c r="A121" s="1540">
        <v>4</v>
      </c>
      <c r="B121" s="1563" t="s">
        <v>733</v>
      </c>
      <c r="C121" s="1895">
        <f t="shared" si="21"/>
        <v>0.36173141579518192</v>
      </c>
      <c r="D121" s="1896"/>
      <c r="E121" s="1897"/>
      <c r="F121" s="1898">
        <f t="shared" si="22"/>
        <v>0.99117325087426289</v>
      </c>
      <c r="G121" s="1899"/>
      <c r="H121" s="1900"/>
      <c r="I121" s="1901">
        <f t="shared" si="23"/>
        <v>1.3515998875558131</v>
      </c>
      <c r="J121" s="1902"/>
      <c r="K121" s="1903"/>
      <c r="L121" s="1904">
        <f t="shared" si="24"/>
        <v>30.182291636615304</v>
      </c>
      <c r="M121" s="1905"/>
      <c r="N121" s="1906"/>
      <c r="O121" s="1907">
        <f t="shared" si="25"/>
        <v>31.145263566680512</v>
      </c>
      <c r="P121" s="1908"/>
      <c r="Q121" s="1909"/>
      <c r="R121" s="1910">
        <v>109940</v>
      </c>
      <c r="S121" s="1911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s="123" customFormat="1" hidden="1" outlineLevel="1" x14ac:dyDescent="0.25">
      <c r="A122" s="1540">
        <v>5</v>
      </c>
      <c r="B122" s="1563" t="s">
        <v>718</v>
      </c>
      <c r="C122" s="1895">
        <f t="shared" si="21"/>
        <v>1.3161048418962413E-2</v>
      </c>
      <c r="D122" s="1896"/>
      <c r="E122" s="1897"/>
      <c r="F122" s="1898">
        <f t="shared" si="22"/>
        <v>3.6062334032172558E-2</v>
      </c>
      <c r="G122" s="1899"/>
      <c r="H122" s="1900"/>
      <c r="I122" s="1901">
        <f t="shared" si="23"/>
        <v>4.9175910043871673E-2</v>
      </c>
      <c r="J122" s="1902"/>
      <c r="K122" s="1903"/>
      <c r="L122" s="1904">
        <f t="shared" si="24"/>
        <v>1.0981368614377043</v>
      </c>
      <c r="M122" s="1905"/>
      <c r="N122" s="1906"/>
      <c r="O122" s="1907">
        <f t="shared" si="25"/>
        <v>1.1331731332246868</v>
      </c>
      <c r="P122" s="1908"/>
      <c r="Q122" s="1909"/>
      <c r="R122" s="1910">
        <v>4000</v>
      </c>
      <c r="S122" s="1911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s="123" customFormat="1" hidden="1" outlineLevel="1" x14ac:dyDescent="0.25">
      <c r="A123" s="1540">
        <v>6</v>
      </c>
      <c r="B123" s="1563" t="s">
        <v>703</v>
      </c>
      <c r="C123" s="1895">
        <f t="shared" si="21"/>
        <v>5.664186213310949E-2</v>
      </c>
      <c r="D123" s="1896"/>
      <c r="E123" s="1897"/>
      <c r="F123" s="1898">
        <f t="shared" si="22"/>
        <v>0.15520327009096266</v>
      </c>
      <c r="G123" s="1899"/>
      <c r="H123" s="1900"/>
      <c r="I123" s="1901">
        <f t="shared" si="23"/>
        <v>0.21164082285131275</v>
      </c>
      <c r="J123" s="1902"/>
      <c r="K123" s="1903"/>
      <c r="L123" s="1904">
        <f t="shared" si="24"/>
        <v>4.7261065174125196</v>
      </c>
      <c r="M123" s="1905"/>
      <c r="N123" s="1906"/>
      <c r="O123" s="1907">
        <f t="shared" si="25"/>
        <v>4.8768938721157458</v>
      </c>
      <c r="P123" s="1908"/>
      <c r="Q123" s="1909"/>
      <c r="R123" s="1910">
        <v>17215</v>
      </c>
      <c r="S123" s="1911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s="123" customFormat="1" hidden="1" outlineLevel="1" x14ac:dyDescent="0.25">
      <c r="A124" s="1540">
        <v>7</v>
      </c>
      <c r="B124" s="1563" t="s">
        <v>725</v>
      </c>
      <c r="C124" s="1895">
        <f t="shared" si="21"/>
        <v>2.1355627155234647</v>
      </c>
      <c r="D124" s="1896"/>
      <c r="E124" s="1897"/>
      <c r="F124" s="1898">
        <f t="shared" si="22"/>
        <v>5.8516140616046943</v>
      </c>
      <c r="G124" s="1899"/>
      <c r="H124" s="1900"/>
      <c r="I124" s="1901">
        <f t="shared" si="23"/>
        <v>7.9794737203700379</v>
      </c>
      <c r="J124" s="1902"/>
      <c r="K124" s="1903"/>
      <c r="L124" s="1904">
        <f t="shared" si="24"/>
        <v>178.18794241722</v>
      </c>
      <c r="M124" s="1905"/>
      <c r="N124" s="1906"/>
      <c r="O124" s="1907">
        <f t="shared" si="25"/>
        <v>183.87306364292891</v>
      </c>
      <c r="P124" s="1908"/>
      <c r="Q124" s="1909"/>
      <c r="R124" s="1910">
        <v>649055.5</v>
      </c>
      <c r="S124" s="1911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s="123" customFormat="1" hidden="1" outlineLevel="1" x14ac:dyDescent="0.25">
      <c r="A125" s="1540">
        <v>8</v>
      </c>
      <c r="B125" s="1563" t="s">
        <v>729</v>
      </c>
      <c r="C125" s="1895">
        <f t="shared" si="21"/>
        <v>6.4670101668676556E-3</v>
      </c>
      <c r="D125" s="1896"/>
      <c r="E125" s="1897"/>
      <c r="F125" s="1898">
        <f t="shared" si="22"/>
        <v>1.7720129385058792E-2</v>
      </c>
      <c r="G125" s="1899"/>
      <c r="H125" s="1900"/>
      <c r="I125" s="1901">
        <f t="shared" si="23"/>
        <v>2.4163812797807445E-2</v>
      </c>
      <c r="J125" s="1902"/>
      <c r="K125" s="1903"/>
      <c r="L125" s="1904">
        <f t="shared" si="24"/>
        <v>0.53959700028895197</v>
      </c>
      <c r="M125" s="1905"/>
      <c r="N125" s="1906"/>
      <c r="O125" s="1907">
        <f t="shared" si="25"/>
        <v>0.55681294833828043</v>
      </c>
      <c r="P125" s="1908"/>
      <c r="Q125" s="1909"/>
      <c r="R125" s="1910">
        <v>1965.5</v>
      </c>
      <c r="S125" s="1911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s="123" customFormat="1" hidden="1" outlineLevel="1" x14ac:dyDescent="0.25">
      <c r="A126" s="1540">
        <v>9</v>
      </c>
      <c r="B126" s="1563" t="s">
        <v>752</v>
      </c>
      <c r="C126" s="1895">
        <f t="shared" si="21"/>
        <v>1.120168088427886</v>
      </c>
      <c r="D126" s="1896"/>
      <c r="E126" s="1897"/>
      <c r="F126" s="1898">
        <f t="shared" si="22"/>
        <v>3.0693508975215336</v>
      </c>
      <c r="G126" s="1899"/>
      <c r="H126" s="1900"/>
      <c r="I126" s="1901">
        <f t="shared" si="23"/>
        <v>4.1854784966202727</v>
      </c>
      <c r="J126" s="1902"/>
      <c r="K126" s="1903"/>
      <c r="L126" s="1904">
        <f t="shared" si="24"/>
        <v>93.465036352008937</v>
      </c>
      <c r="M126" s="1905"/>
      <c r="N126" s="1906"/>
      <c r="O126" s="1907">
        <f t="shared" si="25"/>
        <v>96.447056654944504</v>
      </c>
      <c r="P126" s="1908"/>
      <c r="Q126" s="1909"/>
      <c r="R126" s="1910">
        <v>340449.5</v>
      </c>
      <c r="S126" s="1911"/>
      <c r="T126" s="6"/>
      <c r="U126" s="6"/>
      <c r="V126" s="4"/>
      <c r="W126" s="4"/>
      <c r="X126" s="6"/>
      <c r="Y126" s="6"/>
      <c r="Z126" s="6"/>
      <c r="AA126" s="6"/>
      <c r="AB126" s="6"/>
      <c r="AC126" s="6"/>
      <c r="AD126" s="6"/>
      <c r="AE126" s="6"/>
    </row>
    <row r="127" spans="1:31" s="1" customFormat="1" collapsed="1" x14ac:dyDescent="0.25">
      <c r="A127" s="1613"/>
      <c r="B127" s="1614" t="s">
        <v>757</v>
      </c>
      <c r="C127" s="1878">
        <f>SUM(C118:C126)</f>
        <v>3.9905631362446456</v>
      </c>
      <c r="D127" s="1879"/>
      <c r="E127" s="1880"/>
      <c r="F127" s="1881">
        <f>SUM(F118:F126)</f>
        <v>10.934464809686798</v>
      </c>
      <c r="G127" s="1882"/>
      <c r="H127" s="1883"/>
      <c r="I127" s="1884">
        <f>SUM(I118:I126)</f>
        <v>14.910633831391085</v>
      </c>
      <c r="J127" s="1885"/>
      <c r="K127" s="1886"/>
      <c r="L127" s="1887">
        <f>SUM(L118:L126)</f>
        <v>332.96621502363405</v>
      </c>
      <c r="M127" s="1888"/>
      <c r="N127" s="1889"/>
      <c r="O127" s="1890">
        <f>SUM(O118:O126)</f>
        <v>343.58956737169893</v>
      </c>
      <c r="P127" s="1891"/>
      <c r="Q127" s="1892"/>
      <c r="R127" s="1893">
        <f>SUM(R118:R126)</f>
        <v>1212840.5</v>
      </c>
      <c r="S127" s="1894"/>
      <c r="T127" s="4"/>
      <c r="U127" s="4"/>
      <c r="V127" s="4"/>
      <c r="W127" s="4"/>
      <c r="X127" s="6"/>
      <c r="Y127" s="6"/>
      <c r="Z127" s="4"/>
      <c r="AA127" s="6"/>
      <c r="AB127" s="6"/>
      <c r="AC127" s="6"/>
      <c r="AD127" s="6"/>
      <c r="AE127" s="6"/>
    </row>
    <row r="128" spans="1:31" s="1" customFormat="1" ht="15" thickBot="1" x14ac:dyDescent="0.3">
      <c r="A128" s="1611"/>
      <c r="B128" s="1612" t="s">
        <v>176</v>
      </c>
      <c r="C128" s="1865">
        <f>C74+C104+C116+C127</f>
        <v>28.720443134583782</v>
      </c>
      <c r="D128" s="1865"/>
      <c r="E128" s="1865"/>
      <c r="F128" s="1866">
        <f>F74+F104+F116+F127</f>
        <v>78.696330330272559</v>
      </c>
      <c r="G128" s="1867"/>
      <c r="H128" s="1868"/>
      <c r="I128" s="1869">
        <f>I74+I104+I116+I127</f>
        <v>107.31317772309893</v>
      </c>
      <c r="J128" s="1870"/>
      <c r="K128" s="1870"/>
      <c r="L128" s="1871">
        <f>L74+L104+L116+L127</f>
        <v>1035.8652221194664</v>
      </c>
      <c r="M128" s="1872"/>
      <c r="N128" s="1873"/>
      <c r="O128" s="1874">
        <f>O74+O104+O116+O127</f>
        <v>1068.91470504944</v>
      </c>
      <c r="P128" s="1875"/>
      <c r="Q128" s="1875"/>
      <c r="R128" s="1876">
        <f>R74+R104+R116+R127</f>
        <v>8701278.0350000001</v>
      </c>
      <c r="S128" s="1877"/>
      <c r="T128" s="4"/>
      <c r="U128" s="4"/>
      <c r="V128" s="6"/>
      <c r="W128" s="6"/>
      <c r="X128" s="6"/>
      <c r="Y128" s="6"/>
      <c r="Z128" s="4"/>
      <c r="AA128" s="6"/>
      <c r="AB128" s="6"/>
      <c r="AC128" s="6"/>
      <c r="AD128" s="6"/>
      <c r="AE128" s="6"/>
    </row>
    <row r="129" spans="1:31" s="1" customFormat="1" ht="15" thickBot="1" x14ac:dyDescent="0.3">
      <c r="A129" s="1569" t="s">
        <v>62</v>
      </c>
      <c r="B129" s="1570" t="s">
        <v>462</v>
      </c>
      <c r="C129" s="1852">
        <f>C31-C128</f>
        <v>19.137588147183344</v>
      </c>
      <c r="D129" s="1852"/>
      <c r="E129" s="1852"/>
      <c r="F129" s="1853">
        <f>F31-F128</f>
        <v>43.658856585615666</v>
      </c>
      <c r="G129" s="1854"/>
      <c r="H129" s="1855"/>
      <c r="I129" s="1856">
        <f>I31-I128</f>
        <v>59.891168071292952</v>
      </c>
      <c r="J129" s="1857"/>
      <c r="K129" s="1857"/>
      <c r="L129" s="1858">
        <f>L31-L128</f>
        <v>2987.515756440187</v>
      </c>
      <c r="M129" s="1859"/>
      <c r="N129" s="1860"/>
      <c r="O129" s="1861">
        <f>O31-O128</f>
        <v>2516.0385659785925</v>
      </c>
      <c r="P129" s="1862"/>
      <c r="Q129" s="1862"/>
      <c r="R129" s="1863"/>
      <c r="S129" s="1864"/>
      <c r="T129" s="4"/>
      <c r="U129" s="6"/>
      <c r="V129" s="6"/>
      <c r="W129" s="6"/>
      <c r="X129" s="6"/>
      <c r="Y129" s="6"/>
      <c r="Z129" s="4"/>
      <c r="AA129" s="6"/>
      <c r="AB129" s="6"/>
      <c r="AC129" s="6"/>
      <c r="AD129" s="6"/>
      <c r="AE129" s="6"/>
    </row>
    <row r="130" spans="1:31" s="1" customFormat="1" x14ac:dyDescent="0.25">
      <c r="A130" s="1571" t="s">
        <v>63</v>
      </c>
      <c r="B130" s="1572" t="s">
        <v>464</v>
      </c>
      <c r="C130" s="1839">
        <f>C21*C129</f>
        <v>5782747.5976699498</v>
      </c>
      <c r="D130" s="1839"/>
      <c r="E130" s="1839"/>
      <c r="F130" s="1840">
        <f>F21*F129</f>
        <v>436.58856585615666</v>
      </c>
      <c r="G130" s="1841"/>
      <c r="H130" s="1842"/>
      <c r="I130" s="1843">
        <f>I21*I129</f>
        <v>598.91168071292952</v>
      </c>
      <c r="J130" s="1844"/>
      <c r="K130" s="1844"/>
      <c r="L130" s="1845">
        <f>L21*L129</f>
        <v>29875.15756440187</v>
      </c>
      <c r="M130" s="1846"/>
      <c r="N130" s="1847"/>
      <c r="O130" s="1848">
        <f>O21*O129</f>
        <v>25160.385659785927</v>
      </c>
      <c r="P130" s="1849"/>
      <c r="Q130" s="1849"/>
      <c r="R130" s="1850">
        <f>R31-R128</f>
        <v>5838818.6411408447</v>
      </c>
      <c r="S130" s="1851"/>
      <c r="T130" s="4"/>
      <c r="U130" s="6"/>
      <c r="V130" s="6"/>
      <c r="W130" s="6"/>
      <c r="X130" s="6"/>
      <c r="Y130" s="6"/>
      <c r="Z130" s="6"/>
      <c r="AA130" s="4"/>
      <c r="AB130" s="4"/>
      <c r="AC130" s="4"/>
      <c r="AD130" s="4"/>
      <c r="AE130" s="4"/>
    </row>
    <row r="131" spans="1:31" s="1" customFormat="1" ht="15" thickBot="1" x14ac:dyDescent="0.3">
      <c r="A131" s="1573"/>
      <c r="B131" s="1574" t="s">
        <v>463</v>
      </c>
      <c r="C131" s="1826">
        <f>C130/(C21*C23)</f>
        <v>1.6173501383813356E-2</v>
      </c>
      <c r="D131" s="1826"/>
      <c r="E131" s="1826"/>
      <c r="F131" s="1827">
        <f>F130/(F21*F23)</f>
        <v>1.3465604621980312E-2</v>
      </c>
      <c r="G131" s="1828"/>
      <c r="H131" s="1829"/>
      <c r="I131" s="1830">
        <f>I130/(I21*I23)</f>
        <v>1.3546207084261906E-2</v>
      </c>
      <c r="J131" s="1831"/>
      <c r="K131" s="1831"/>
      <c r="L131" s="1832">
        <f>L130/(L21*L23)</f>
        <v>3.0259452612581658E-2</v>
      </c>
      <c r="M131" s="1833"/>
      <c r="N131" s="1834"/>
      <c r="O131" s="1835">
        <f>O130/(O21*O23)</f>
        <v>2.4696098998612019E-2</v>
      </c>
      <c r="P131" s="1836"/>
      <c r="Q131" s="1836"/>
      <c r="R131" s="1837">
        <f>R130/S21</f>
        <v>1.6235748954437274E-2</v>
      </c>
      <c r="S131" s="1838"/>
      <c r="T131" s="4"/>
      <c r="U131" s="6"/>
      <c r="V131" s="6"/>
      <c r="W131" s="6"/>
      <c r="X131" s="6"/>
      <c r="Y131" s="6"/>
      <c r="Z131" s="6"/>
      <c r="AA131" s="4"/>
      <c r="AB131" s="4"/>
      <c r="AC131" s="4"/>
      <c r="AD131" s="4"/>
      <c r="AE131" s="4"/>
    </row>
    <row r="132" spans="1:31" s="1" customFormat="1" ht="15" thickBot="1" x14ac:dyDescent="0.3">
      <c r="A132" s="1575" t="s">
        <v>86</v>
      </c>
      <c r="B132" s="1820" t="s">
        <v>763</v>
      </c>
      <c r="C132" s="1820"/>
      <c r="D132" s="1820"/>
      <c r="E132" s="1820"/>
      <c r="F132" s="1820"/>
      <c r="G132" s="1820"/>
      <c r="H132" s="1820"/>
      <c r="I132" s="1820"/>
      <c r="J132" s="1820"/>
      <c r="K132" s="1820"/>
      <c r="L132" s="1820"/>
      <c r="M132" s="1820"/>
      <c r="N132" s="1820"/>
      <c r="O132" s="1820"/>
      <c r="P132" s="1820"/>
      <c r="Q132" s="1820"/>
      <c r="R132" s="1821">
        <f>(R6-94512)*68</f>
        <v>-447576</v>
      </c>
      <c r="S132" s="1822"/>
      <c r="T132" s="4"/>
      <c r="U132" s="6"/>
      <c r="V132" s="6"/>
      <c r="W132" s="6"/>
      <c r="X132" s="6"/>
      <c r="Y132" s="6"/>
      <c r="Z132" s="4"/>
      <c r="AA132" s="4"/>
      <c r="AB132" s="4"/>
      <c r="AC132" s="4"/>
      <c r="AD132" s="4"/>
      <c r="AE132" s="4"/>
    </row>
    <row r="133" spans="1:31" s="1" customFormat="1" ht="15" thickBot="1" x14ac:dyDescent="0.3">
      <c r="A133" s="1568" t="s">
        <v>552</v>
      </c>
      <c r="B133" s="1823" t="s">
        <v>465</v>
      </c>
      <c r="C133" s="1823"/>
      <c r="D133" s="1823"/>
      <c r="E133" s="1823"/>
      <c r="F133" s="1823"/>
      <c r="G133" s="1823"/>
      <c r="H133" s="1823"/>
      <c r="I133" s="1823"/>
      <c r="J133" s="1823"/>
      <c r="K133" s="1823"/>
      <c r="L133" s="1823"/>
      <c r="M133" s="1823"/>
      <c r="N133" s="1823"/>
      <c r="O133" s="1823"/>
      <c r="P133" s="1823"/>
      <c r="Q133" s="1823"/>
      <c r="R133" s="1824">
        <f>R130+R132</f>
        <v>5391242.6411408447</v>
      </c>
      <c r="S133" s="1825"/>
      <c r="T133" s="4"/>
      <c r="U133" s="6"/>
      <c r="V133" s="6"/>
      <c r="W133" s="6"/>
      <c r="X133" s="6"/>
      <c r="Y133" s="6"/>
      <c r="Z133" s="4"/>
      <c r="AA133" s="6"/>
      <c r="AB133" s="6"/>
      <c r="AC133" s="6"/>
      <c r="AD133" s="6"/>
      <c r="AE133" s="6"/>
    </row>
    <row r="135" spans="1:31" x14ac:dyDescent="0.3">
      <c r="AA135" s="4"/>
      <c r="AB135" s="4"/>
      <c r="AC135" s="4"/>
      <c r="AD135" s="4"/>
      <c r="AE135" s="4"/>
    </row>
    <row r="136" spans="1:31" x14ac:dyDescent="0.3">
      <c r="AA136" s="4"/>
      <c r="AB136" s="4"/>
      <c r="AC136" s="4"/>
      <c r="AD136" s="4"/>
      <c r="AE136" s="4"/>
    </row>
    <row r="137" spans="1:31" x14ac:dyDescent="0.3">
      <c r="R137" s="486"/>
      <c r="V137" s="4"/>
      <c r="W137" s="4"/>
    </row>
    <row r="138" spans="1:31" x14ac:dyDescent="0.3">
      <c r="U138" s="4"/>
      <c r="V138" s="4"/>
      <c r="W138" s="4"/>
    </row>
    <row r="139" spans="1:31" x14ac:dyDescent="0.3">
      <c r="U139" s="4"/>
      <c r="V139" s="4"/>
      <c r="W139" s="4"/>
    </row>
    <row r="140" spans="1:31" x14ac:dyDescent="0.3">
      <c r="U140" s="4"/>
    </row>
    <row r="142" spans="1:31" x14ac:dyDescent="0.3">
      <c r="V142" s="4"/>
      <c r="W142" s="4"/>
    </row>
    <row r="143" spans="1:31" x14ac:dyDescent="0.3">
      <c r="U143" s="4"/>
      <c r="V143" s="4"/>
      <c r="W143" s="4"/>
    </row>
    <row r="144" spans="1:31" x14ac:dyDescent="0.3">
      <c r="U144" s="4"/>
    </row>
  </sheetData>
  <mergeCells count="689">
    <mergeCell ref="C1:S1"/>
    <mergeCell ref="O131:Q131"/>
    <mergeCell ref="R131:S131"/>
    <mergeCell ref="R132:S132"/>
    <mergeCell ref="R133:S133"/>
    <mergeCell ref="B132:Q132"/>
    <mergeCell ref="B133:Q133"/>
    <mergeCell ref="C130:E130"/>
    <mergeCell ref="F130:H130"/>
    <mergeCell ref="I130:K130"/>
    <mergeCell ref="L130:N130"/>
    <mergeCell ref="O130:Q130"/>
    <mergeCell ref="R130:S130"/>
    <mergeCell ref="C131:E131"/>
    <mergeCell ref="F131:H131"/>
    <mergeCell ref="I131:K131"/>
    <mergeCell ref="L131:N131"/>
    <mergeCell ref="C129:E129"/>
    <mergeCell ref="F129:H129"/>
    <mergeCell ref="I129:K129"/>
    <mergeCell ref="L129:N129"/>
    <mergeCell ref="O129:Q129"/>
    <mergeCell ref="R129:S129"/>
    <mergeCell ref="C128:E128"/>
    <mergeCell ref="F128:H128"/>
    <mergeCell ref="I128:K128"/>
    <mergeCell ref="L128:N128"/>
    <mergeCell ref="O128:Q128"/>
    <mergeCell ref="R128:S128"/>
    <mergeCell ref="C127:E127"/>
    <mergeCell ref="F127:H127"/>
    <mergeCell ref="I127:K127"/>
    <mergeCell ref="L127:N127"/>
    <mergeCell ref="O127:Q127"/>
    <mergeCell ref="R127:S127"/>
    <mergeCell ref="C126:E126"/>
    <mergeCell ref="F126:H126"/>
    <mergeCell ref="I126:K126"/>
    <mergeCell ref="L126:N126"/>
    <mergeCell ref="O126:Q126"/>
    <mergeCell ref="R126:S126"/>
    <mergeCell ref="C125:E125"/>
    <mergeCell ref="F125:H125"/>
    <mergeCell ref="I125:K125"/>
    <mergeCell ref="L125:N125"/>
    <mergeCell ref="O125:Q125"/>
    <mergeCell ref="R125:S125"/>
    <mergeCell ref="C124:E124"/>
    <mergeCell ref="F124:H124"/>
    <mergeCell ref="I124:K124"/>
    <mergeCell ref="L124:N124"/>
    <mergeCell ref="O124:Q124"/>
    <mergeCell ref="R124:S124"/>
    <mergeCell ref="C123:E123"/>
    <mergeCell ref="F123:H123"/>
    <mergeCell ref="I123:K123"/>
    <mergeCell ref="L123:N123"/>
    <mergeCell ref="O123:Q123"/>
    <mergeCell ref="R123:S123"/>
    <mergeCell ref="C122:E122"/>
    <mergeCell ref="F122:H122"/>
    <mergeCell ref="I122:K122"/>
    <mergeCell ref="L122:N122"/>
    <mergeCell ref="O122:Q122"/>
    <mergeCell ref="R122:S122"/>
    <mergeCell ref="C121:E121"/>
    <mergeCell ref="F121:H121"/>
    <mergeCell ref="I121:K121"/>
    <mergeCell ref="L121:N121"/>
    <mergeCell ref="O121:Q121"/>
    <mergeCell ref="R121:S121"/>
    <mergeCell ref="C120:E120"/>
    <mergeCell ref="F120:H120"/>
    <mergeCell ref="I120:K120"/>
    <mergeCell ref="L120:N120"/>
    <mergeCell ref="O120:Q120"/>
    <mergeCell ref="R120:S120"/>
    <mergeCell ref="C119:E119"/>
    <mergeCell ref="F119:H119"/>
    <mergeCell ref="I119:K119"/>
    <mergeCell ref="L119:N119"/>
    <mergeCell ref="O119:Q119"/>
    <mergeCell ref="R119:S119"/>
    <mergeCell ref="C118:E118"/>
    <mergeCell ref="F118:H118"/>
    <mergeCell ref="I118:K118"/>
    <mergeCell ref="L118:N118"/>
    <mergeCell ref="O118:Q118"/>
    <mergeCell ref="R118:S118"/>
    <mergeCell ref="C117:E117"/>
    <mergeCell ref="F117:H117"/>
    <mergeCell ref="I117:K117"/>
    <mergeCell ref="L117:N117"/>
    <mergeCell ref="O117:Q117"/>
    <mergeCell ref="R117:S117"/>
    <mergeCell ref="C116:E116"/>
    <mergeCell ref="F116:H116"/>
    <mergeCell ref="I116:K116"/>
    <mergeCell ref="L116:N116"/>
    <mergeCell ref="O116:Q116"/>
    <mergeCell ref="R116:S116"/>
    <mergeCell ref="C115:E115"/>
    <mergeCell ref="F115:H115"/>
    <mergeCell ref="I115:K115"/>
    <mergeCell ref="L115:N115"/>
    <mergeCell ref="O115:Q115"/>
    <mergeCell ref="R115:S115"/>
    <mergeCell ref="C114:E114"/>
    <mergeCell ref="F114:H114"/>
    <mergeCell ref="I114:K114"/>
    <mergeCell ref="L114:N114"/>
    <mergeCell ref="O114:Q114"/>
    <mergeCell ref="R114:S114"/>
    <mergeCell ref="C113:E113"/>
    <mergeCell ref="F113:H113"/>
    <mergeCell ref="I113:K113"/>
    <mergeCell ref="L113:N113"/>
    <mergeCell ref="O113:Q113"/>
    <mergeCell ref="R113:S113"/>
    <mergeCell ref="C112:E112"/>
    <mergeCell ref="F112:H112"/>
    <mergeCell ref="I112:K112"/>
    <mergeCell ref="L112:N112"/>
    <mergeCell ref="O112:Q112"/>
    <mergeCell ref="R112:S112"/>
    <mergeCell ref="C111:E111"/>
    <mergeCell ref="F111:H111"/>
    <mergeCell ref="I111:K111"/>
    <mergeCell ref="L111:N111"/>
    <mergeCell ref="O111:Q111"/>
    <mergeCell ref="R111:S111"/>
    <mergeCell ref="C110:E110"/>
    <mergeCell ref="F110:H110"/>
    <mergeCell ref="I110:K110"/>
    <mergeCell ref="L110:N110"/>
    <mergeCell ref="O110:Q110"/>
    <mergeCell ref="R110:S110"/>
    <mergeCell ref="C109:E109"/>
    <mergeCell ref="F109:H109"/>
    <mergeCell ref="I109:K109"/>
    <mergeCell ref="L109:N109"/>
    <mergeCell ref="O109:Q109"/>
    <mergeCell ref="R109:S109"/>
    <mergeCell ref="C108:E108"/>
    <mergeCell ref="F108:H108"/>
    <mergeCell ref="I108:K108"/>
    <mergeCell ref="L108:N108"/>
    <mergeCell ref="O108:Q108"/>
    <mergeCell ref="R108:S108"/>
    <mergeCell ref="C107:E107"/>
    <mergeCell ref="F107:H107"/>
    <mergeCell ref="I107:K107"/>
    <mergeCell ref="L107:N107"/>
    <mergeCell ref="O107:Q107"/>
    <mergeCell ref="R107:S107"/>
    <mergeCell ref="C106:E106"/>
    <mergeCell ref="F106:H106"/>
    <mergeCell ref="I106:K106"/>
    <mergeCell ref="L106:N106"/>
    <mergeCell ref="O106:Q106"/>
    <mergeCell ref="R106:S106"/>
    <mergeCell ref="C105:E105"/>
    <mergeCell ref="F105:H105"/>
    <mergeCell ref="I105:K105"/>
    <mergeCell ref="L105:N105"/>
    <mergeCell ref="O105:Q105"/>
    <mergeCell ref="R105:S105"/>
    <mergeCell ref="C104:E104"/>
    <mergeCell ref="F104:H104"/>
    <mergeCell ref="I104:K104"/>
    <mergeCell ref="L104:N104"/>
    <mergeCell ref="O104:Q104"/>
    <mergeCell ref="R104:S104"/>
    <mergeCell ref="C103:E103"/>
    <mergeCell ref="F103:H103"/>
    <mergeCell ref="I103:K103"/>
    <mergeCell ref="L103:N103"/>
    <mergeCell ref="O103:Q103"/>
    <mergeCell ref="R103:S103"/>
    <mergeCell ref="C102:E102"/>
    <mergeCell ref="F102:H102"/>
    <mergeCell ref="I102:K102"/>
    <mergeCell ref="L102:N102"/>
    <mergeCell ref="O102:Q102"/>
    <mergeCell ref="R102:S102"/>
    <mergeCell ref="C101:E101"/>
    <mergeCell ref="F101:H101"/>
    <mergeCell ref="I101:K101"/>
    <mergeCell ref="L101:N101"/>
    <mergeCell ref="O101:Q101"/>
    <mergeCell ref="R101:S101"/>
    <mergeCell ref="C100:E100"/>
    <mergeCell ref="F100:H100"/>
    <mergeCell ref="I100:K100"/>
    <mergeCell ref="L100:N100"/>
    <mergeCell ref="O100:Q100"/>
    <mergeCell ref="R100:S100"/>
    <mergeCell ref="C99:E99"/>
    <mergeCell ref="F99:H99"/>
    <mergeCell ref="I99:K99"/>
    <mergeCell ref="L99:N99"/>
    <mergeCell ref="O99:Q99"/>
    <mergeCell ref="R99:S99"/>
    <mergeCell ref="C98:E98"/>
    <mergeCell ref="F98:H98"/>
    <mergeCell ref="I98:K98"/>
    <mergeCell ref="L98:N98"/>
    <mergeCell ref="O98:Q98"/>
    <mergeCell ref="R98:S98"/>
    <mergeCell ref="C97:E97"/>
    <mergeCell ref="F97:H97"/>
    <mergeCell ref="I97:K97"/>
    <mergeCell ref="L97:N97"/>
    <mergeCell ref="O97:Q97"/>
    <mergeCell ref="R97:S97"/>
    <mergeCell ref="C96:E96"/>
    <mergeCell ref="F96:H96"/>
    <mergeCell ref="I96:K96"/>
    <mergeCell ref="L96:N96"/>
    <mergeCell ref="O96:Q96"/>
    <mergeCell ref="R96:S96"/>
    <mergeCell ref="C95:E95"/>
    <mergeCell ref="F95:H95"/>
    <mergeCell ref="I95:K95"/>
    <mergeCell ref="L95:N95"/>
    <mergeCell ref="O95:Q95"/>
    <mergeCell ref="R95:S95"/>
    <mergeCell ref="C94:E94"/>
    <mergeCell ref="F94:H94"/>
    <mergeCell ref="I94:K94"/>
    <mergeCell ref="L94:N94"/>
    <mergeCell ref="O94:Q94"/>
    <mergeCell ref="R94:S94"/>
    <mergeCell ref="C93:E93"/>
    <mergeCell ref="F93:H93"/>
    <mergeCell ref="I93:K93"/>
    <mergeCell ref="L93:N93"/>
    <mergeCell ref="O93:Q93"/>
    <mergeCell ref="R93:S93"/>
    <mergeCell ref="C92:E92"/>
    <mergeCell ref="F92:H92"/>
    <mergeCell ref="I92:K92"/>
    <mergeCell ref="L92:N92"/>
    <mergeCell ref="O92:Q92"/>
    <mergeCell ref="R92:S92"/>
    <mergeCell ref="C91:E91"/>
    <mergeCell ref="F91:H91"/>
    <mergeCell ref="I91:K91"/>
    <mergeCell ref="L91:N91"/>
    <mergeCell ref="O91:Q91"/>
    <mergeCell ref="R91:S91"/>
    <mergeCell ref="C90:E90"/>
    <mergeCell ref="F90:H90"/>
    <mergeCell ref="I90:K90"/>
    <mergeCell ref="L90:N90"/>
    <mergeCell ref="O90:Q90"/>
    <mergeCell ref="R90:S90"/>
    <mergeCell ref="C89:E89"/>
    <mergeCell ref="F89:H89"/>
    <mergeCell ref="I89:K89"/>
    <mergeCell ref="L89:N89"/>
    <mergeCell ref="O89:Q89"/>
    <mergeCell ref="R89:S89"/>
    <mergeCell ref="C88:E88"/>
    <mergeCell ref="F88:H88"/>
    <mergeCell ref="I88:K88"/>
    <mergeCell ref="L88:N88"/>
    <mergeCell ref="O88:Q88"/>
    <mergeCell ref="R88:S88"/>
    <mergeCell ref="C87:E87"/>
    <mergeCell ref="F87:H87"/>
    <mergeCell ref="I87:K87"/>
    <mergeCell ref="L87:N87"/>
    <mergeCell ref="O87:Q87"/>
    <mergeCell ref="R87:S87"/>
    <mergeCell ref="C86:E86"/>
    <mergeCell ref="F86:H86"/>
    <mergeCell ref="I86:K86"/>
    <mergeCell ref="L86:N86"/>
    <mergeCell ref="O86:Q86"/>
    <mergeCell ref="R86:S86"/>
    <mergeCell ref="C85:E85"/>
    <mergeCell ref="F85:H85"/>
    <mergeCell ref="I85:K85"/>
    <mergeCell ref="L85:N85"/>
    <mergeCell ref="O85:Q85"/>
    <mergeCell ref="R85:S85"/>
    <mergeCell ref="C84:E84"/>
    <mergeCell ref="F84:H84"/>
    <mergeCell ref="I84:K84"/>
    <mergeCell ref="L84:N84"/>
    <mergeCell ref="O84:Q84"/>
    <mergeCell ref="R84:S84"/>
    <mergeCell ref="C83:E83"/>
    <mergeCell ref="F83:H83"/>
    <mergeCell ref="I83:K83"/>
    <mergeCell ref="L83:N83"/>
    <mergeCell ref="O83:Q83"/>
    <mergeCell ref="R83:S83"/>
    <mergeCell ref="C82:E82"/>
    <mergeCell ref="F82:H82"/>
    <mergeCell ref="I82:K82"/>
    <mergeCell ref="L82:N82"/>
    <mergeCell ref="O82:Q82"/>
    <mergeCell ref="R82:S82"/>
    <mergeCell ref="C81:E81"/>
    <mergeCell ref="F81:H81"/>
    <mergeCell ref="I81:K81"/>
    <mergeCell ref="L81:N81"/>
    <mergeCell ref="O81:Q81"/>
    <mergeCell ref="R81:S81"/>
    <mergeCell ref="C80:E80"/>
    <mergeCell ref="F80:H80"/>
    <mergeCell ref="I80:K80"/>
    <mergeCell ref="L80:N80"/>
    <mergeCell ref="O80:Q80"/>
    <mergeCell ref="R80:S80"/>
    <mergeCell ref="C79:E79"/>
    <mergeCell ref="F79:H79"/>
    <mergeCell ref="I79:K79"/>
    <mergeCell ref="L79:N79"/>
    <mergeCell ref="O79:Q79"/>
    <mergeCell ref="R79:S79"/>
    <mergeCell ref="C78:E78"/>
    <mergeCell ref="F78:H78"/>
    <mergeCell ref="I78:K78"/>
    <mergeCell ref="L78:N78"/>
    <mergeCell ref="O78:Q78"/>
    <mergeCell ref="R78:S78"/>
    <mergeCell ref="C77:E77"/>
    <mergeCell ref="F77:H77"/>
    <mergeCell ref="I77:K77"/>
    <mergeCell ref="L77:N77"/>
    <mergeCell ref="O77:Q77"/>
    <mergeCell ref="R77:S77"/>
    <mergeCell ref="C76:E76"/>
    <mergeCell ref="F76:H76"/>
    <mergeCell ref="I76:K76"/>
    <mergeCell ref="L76:N76"/>
    <mergeCell ref="O76:Q76"/>
    <mergeCell ref="R76:S76"/>
    <mergeCell ref="C75:E75"/>
    <mergeCell ref="F75:H75"/>
    <mergeCell ref="I75:K75"/>
    <mergeCell ref="L75:N75"/>
    <mergeCell ref="O75:Q75"/>
    <mergeCell ref="R75:S75"/>
    <mergeCell ref="C74:E74"/>
    <mergeCell ref="F74:H74"/>
    <mergeCell ref="I74:K74"/>
    <mergeCell ref="L74:N74"/>
    <mergeCell ref="O74:Q74"/>
    <mergeCell ref="R74:S74"/>
    <mergeCell ref="C73:E73"/>
    <mergeCell ref="F73:H73"/>
    <mergeCell ref="I73:K73"/>
    <mergeCell ref="L73:N73"/>
    <mergeCell ref="O73:Q73"/>
    <mergeCell ref="R73:S73"/>
    <mergeCell ref="C72:E72"/>
    <mergeCell ref="F72:H72"/>
    <mergeCell ref="I72:K72"/>
    <mergeCell ref="L72:N72"/>
    <mergeCell ref="O72:Q72"/>
    <mergeCell ref="R72:S72"/>
    <mergeCell ref="C71:E71"/>
    <mergeCell ref="F71:H71"/>
    <mergeCell ref="I71:K71"/>
    <mergeCell ref="L71:N71"/>
    <mergeCell ref="O71:Q71"/>
    <mergeCell ref="R71:S71"/>
    <mergeCell ref="C70:E70"/>
    <mergeCell ref="F70:H70"/>
    <mergeCell ref="I70:K70"/>
    <mergeCell ref="L70:N70"/>
    <mergeCell ref="O70:Q70"/>
    <mergeCell ref="R70:S70"/>
    <mergeCell ref="C69:E69"/>
    <mergeCell ref="F69:H69"/>
    <mergeCell ref="I69:K69"/>
    <mergeCell ref="L69:N69"/>
    <mergeCell ref="O69:Q69"/>
    <mergeCell ref="R69:S69"/>
    <mergeCell ref="C68:E68"/>
    <mergeCell ref="F68:H68"/>
    <mergeCell ref="I68:K68"/>
    <mergeCell ref="L68:N68"/>
    <mergeCell ref="O68:Q68"/>
    <mergeCell ref="R68:S68"/>
    <mergeCell ref="C67:E67"/>
    <mergeCell ref="F67:H67"/>
    <mergeCell ref="I67:K67"/>
    <mergeCell ref="L67:N67"/>
    <mergeCell ref="O67:Q67"/>
    <mergeCell ref="R67:S67"/>
    <mergeCell ref="C66:E66"/>
    <mergeCell ref="F66:H66"/>
    <mergeCell ref="I66:K66"/>
    <mergeCell ref="L66:N66"/>
    <mergeCell ref="O66:Q66"/>
    <mergeCell ref="R66:S66"/>
    <mergeCell ref="C65:E65"/>
    <mergeCell ref="F65:H65"/>
    <mergeCell ref="I65:K65"/>
    <mergeCell ref="L65:N65"/>
    <mergeCell ref="O65:Q65"/>
    <mergeCell ref="R65:S65"/>
    <mergeCell ref="C64:E64"/>
    <mergeCell ref="F64:H64"/>
    <mergeCell ref="I64:K64"/>
    <mergeCell ref="L64:N64"/>
    <mergeCell ref="O64:Q64"/>
    <mergeCell ref="R64:S64"/>
    <mergeCell ref="C63:E63"/>
    <mergeCell ref="F63:H63"/>
    <mergeCell ref="I63:K63"/>
    <mergeCell ref="L63:N63"/>
    <mergeCell ref="O63:Q63"/>
    <mergeCell ref="R63:S63"/>
    <mergeCell ref="C62:E62"/>
    <mergeCell ref="F62:H62"/>
    <mergeCell ref="I62:K62"/>
    <mergeCell ref="L62:N62"/>
    <mergeCell ref="O62:Q62"/>
    <mergeCell ref="R62:S62"/>
    <mergeCell ref="C61:E61"/>
    <mergeCell ref="F61:H61"/>
    <mergeCell ref="I61:K61"/>
    <mergeCell ref="L61:N61"/>
    <mergeCell ref="O61:Q61"/>
    <mergeCell ref="R61:S61"/>
    <mergeCell ref="C60:E60"/>
    <mergeCell ref="F60:H60"/>
    <mergeCell ref="I60:K60"/>
    <mergeCell ref="L60:N60"/>
    <mergeCell ref="O60:Q60"/>
    <mergeCell ref="R60:S60"/>
    <mergeCell ref="C59:E59"/>
    <mergeCell ref="F59:H59"/>
    <mergeCell ref="I59:K59"/>
    <mergeCell ref="L59:N59"/>
    <mergeCell ref="O59:Q59"/>
    <mergeCell ref="R59:S59"/>
    <mergeCell ref="C58:E58"/>
    <mergeCell ref="F58:H58"/>
    <mergeCell ref="I58:K58"/>
    <mergeCell ref="L58:N58"/>
    <mergeCell ref="O58:Q58"/>
    <mergeCell ref="R58:S58"/>
    <mergeCell ref="C57:E57"/>
    <mergeCell ref="F57:H57"/>
    <mergeCell ref="I57:K57"/>
    <mergeCell ref="L57:N57"/>
    <mergeCell ref="O57:Q57"/>
    <mergeCell ref="R57:S57"/>
    <mergeCell ref="C56:E56"/>
    <mergeCell ref="F56:H56"/>
    <mergeCell ref="I56:K56"/>
    <mergeCell ref="L56:N56"/>
    <mergeCell ref="O56:Q56"/>
    <mergeCell ref="R56:S56"/>
    <mergeCell ref="C55:E55"/>
    <mergeCell ref="F55:H55"/>
    <mergeCell ref="I55:K55"/>
    <mergeCell ref="L55:N55"/>
    <mergeCell ref="O55:Q55"/>
    <mergeCell ref="R55:S55"/>
    <mergeCell ref="C54:E54"/>
    <mergeCell ref="F54:H54"/>
    <mergeCell ref="I54:K54"/>
    <mergeCell ref="L54:N54"/>
    <mergeCell ref="O54:Q54"/>
    <mergeCell ref="R54:S54"/>
    <mergeCell ref="C53:E53"/>
    <mergeCell ref="F53:H53"/>
    <mergeCell ref="I53:K53"/>
    <mergeCell ref="L53:N53"/>
    <mergeCell ref="O53:Q53"/>
    <mergeCell ref="R53:S53"/>
    <mergeCell ref="C52:E52"/>
    <mergeCell ref="F52:H52"/>
    <mergeCell ref="I52:K52"/>
    <mergeCell ref="L52:N52"/>
    <mergeCell ref="O52:Q52"/>
    <mergeCell ref="R52:S52"/>
    <mergeCell ref="C51:E51"/>
    <mergeCell ref="F51:H51"/>
    <mergeCell ref="I51:K51"/>
    <mergeCell ref="L51:N51"/>
    <mergeCell ref="O51:Q51"/>
    <mergeCell ref="R51:S51"/>
    <mergeCell ref="C50:E50"/>
    <mergeCell ref="F50:H50"/>
    <mergeCell ref="I50:K50"/>
    <mergeCell ref="L50:N50"/>
    <mergeCell ref="O50:Q50"/>
    <mergeCell ref="R50:S50"/>
    <mergeCell ref="C49:E49"/>
    <mergeCell ref="F49:H49"/>
    <mergeCell ref="I49:K49"/>
    <mergeCell ref="L49:N49"/>
    <mergeCell ref="O49:Q49"/>
    <mergeCell ref="R49:S49"/>
    <mergeCell ref="C48:E48"/>
    <mergeCell ref="F48:H48"/>
    <mergeCell ref="I48:K48"/>
    <mergeCell ref="L48:N48"/>
    <mergeCell ref="O48:Q48"/>
    <mergeCell ref="R48:S48"/>
    <mergeCell ref="C47:E47"/>
    <mergeCell ref="F47:H47"/>
    <mergeCell ref="I47:K47"/>
    <mergeCell ref="L47:N47"/>
    <mergeCell ref="O47:Q47"/>
    <mergeCell ref="R47:S47"/>
    <mergeCell ref="C46:E46"/>
    <mergeCell ref="F46:H46"/>
    <mergeCell ref="I46:K46"/>
    <mergeCell ref="L46:N46"/>
    <mergeCell ref="O46:Q46"/>
    <mergeCell ref="R46:S46"/>
    <mergeCell ref="C45:E45"/>
    <mergeCell ref="F45:H45"/>
    <mergeCell ref="I45:K45"/>
    <mergeCell ref="L45:N45"/>
    <mergeCell ref="O45:Q45"/>
    <mergeCell ref="R45:S45"/>
    <mergeCell ref="C44:E44"/>
    <mergeCell ref="F44:H44"/>
    <mergeCell ref="I44:K44"/>
    <mergeCell ref="L44:N44"/>
    <mergeCell ref="O44:Q44"/>
    <mergeCell ref="R44:S44"/>
    <mergeCell ref="C43:E43"/>
    <mergeCell ref="F43:H43"/>
    <mergeCell ref="I43:K43"/>
    <mergeCell ref="L43:N43"/>
    <mergeCell ref="O43:Q43"/>
    <mergeCell ref="R43:S43"/>
    <mergeCell ref="C42:E42"/>
    <mergeCell ref="F42:H42"/>
    <mergeCell ref="I42:K42"/>
    <mergeCell ref="L42:N42"/>
    <mergeCell ref="O42:Q42"/>
    <mergeCell ref="R42:S42"/>
    <mergeCell ref="C41:E41"/>
    <mergeCell ref="F41:H41"/>
    <mergeCell ref="I41:K41"/>
    <mergeCell ref="L41:N41"/>
    <mergeCell ref="O41:Q41"/>
    <mergeCell ref="R41:S41"/>
    <mergeCell ref="C40:E40"/>
    <mergeCell ref="F40:H40"/>
    <mergeCell ref="I40:K40"/>
    <mergeCell ref="L40:N40"/>
    <mergeCell ref="O40:Q40"/>
    <mergeCell ref="R40:S40"/>
    <mergeCell ref="C39:E39"/>
    <mergeCell ref="F39:H39"/>
    <mergeCell ref="I39:K39"/>
    <mergeCell ref="L39:N39"/>
    <mergeCell ref="O39:Q39"/>
    <mergeCell ref="R39:S39"/>
    <mergeCell ref="C38:E38"/>
    <mergeCell ref="F38:H38"/>
    <mergeCell ref="I38:K38"/>
    <mergeCell ref="L38:N38"/>
    <mergeCell ref="O38:Q38"/>
    <mergeCell ref="R38:S38"/>
    <mergeCell ref="C37:E37"/>
    <mergeCell ref="F37:H37"/>
    <mergeCell ref="I37:K37"/>
    <mergeCell ref="L37:N37"/>
    <mergeCell ref="O37:Q37"/>
    <mergeCell ref="R37:S37"/>
    <mergeCell ref="C36:E36"/>
    <mergeCell ref="F36:H36"/>
    <mergeCell ref="I36:K36"/>
    <mergeCell ref="L36:N36"/>
    <mergeCell ref="O36:Q36"/>
    <mergeCell ref="R36:S36"/>
    <mergeCell ref="C35:E35"/>
    <mergeCell ref="F35:H35"/>
    <mergeCell ref="I35:K35"/>
    <mergeCell ref="L35:N35"/>
    <mergeCell ref="O35:Q35"/>
    <mergeCell ref="R35:S35"/>
    <mergeCell ref="C34:E34"/>
    <mergeCell ref="F34:H34"/>
    <mergeCell ref="I34:K34"/>
    <mergeCell ref="L34:N34"/>
    <mergeCell ref="O34:Q34"/>
    <mergeCell ref="R34:S34"/>
    <mergeCell ref="C33:E33"/>
    <mergeCell ref="F33:H33"/>
    <mergeCell ref="I33:K33"/>
    <mergeCell ref="L33:N33"/>
    <mergeCell ref="O33:Q33"/>
    <mergeCell ref="R33:S33"/>
    <mergeCell ref="R25:S25"/>
    <mergeCell ref="R26:S26"/>
    <mergeCell ref="C32:E32"/>
    <mergeCell ref="F32:H32"/>
    <mergeCell ref="I32:K32"/>
    <mergeCell ref="L32:N32"/>
    <mergeCell ref="O32:Q32"/>
    <mergeCell ref="R32:S32"/>
    <mergeCell ref="C31:E31"/>
    <mergeCell ref="F31:H31"/>
    <mergeCell ref="I31:K31"/>
    <mergeCell ref="L31:N31"/>
    <mergeCell ref="O31:Q31"/>
    <mergeCell ref="R31:S31"/>
    <mergeCell ref="C30:E30"/>
    <mergeCell ref="F30:H30"/>
    <mergeCell ref="I30:K30"/>
    <mergeCell ref="L30:N30"/>
    <mergeCell ref="O30:Q30"/>
    <mergeCell ref="R30:S30"/>
    <mergeCell ref="C29:E29"/>
    <mergeCell ref="F29:H29"/>
    <mergeCell ref="I29:K29"/>
    <mergeCell ref="L29:N29"/>
    <mergeCell ref="O29:Q29"/>
    <mergeCell ref="R29:S29"/>
    <mergeCell ref="C28:E28"/>
    <mergeCell ref="F28:H28"/>
    <mergeCell ref="I28:K28"/>
    <mergeCell ref="L28:N28"/>
    <mergeCell ref="O28:Q28"/>
    <mergeCell ref="R28:S28"/>
    <mergeCell ref="C27:E27"/>
    <mergeCell ref="F27:H27"/>
    <mergeCell ref="I27:K27"/>
    <mergeCell ref="L27:N27"/>
    <mergeCell ref="O27:Q27"/>
    <mergeCell ref="R27:S27"/>
    <mergeCell ref="C26:E26"/>
    <mergeCell ref="F26:H26"/>
    <mergeCell ref="I26:K26"/>
    <mergeCell ref="L26:N26"/>
    <mergeCell ref="O26:Q26"/>
    <mergeCell ref="O5:Q5"/>
    <mergeCell ref="C25:E25"/>
    <mergeCell ref="F25:H25"/>
    <mergeCell ref="I25:K25"/>
    <mergeCell ref="L25:N25"/>
    <mergeCell ref="O25:Q25"/>
    <mergeCell ref="C22:E22"/>
    <mergeCell ref="C24:E24"/>
    <mergeCell ref="C23:E23"/>
    <mergeCell ref="R22:S22"/>
    <mergeCell ref="L23:N23"/>
    <mergeCell ref="O23:Q23"/>
    <mergeCell ref="R23:S23"/>
    <mergeCell ref="F24:H24"/>
    <mergeCell ref="I24:K24"/>
    <mergeCell ref="L24:N24"/>
    <mergeCell ref="O24:Q24"/>
    <mergeCell ref="R24:S24"/>
    <mergeCell ref="F22:H22"/>
    <mergeCell ref="I22:K22"/>
    <mergeCell ref="L22:N22"/>
    <mergeCell ref="O22:Q22"/>
    <mergeCell ref="F23:H23"/>
    <mergeCell ref="I23:K23"/>
    <mergeCell ref="O2:S2"/>
    <mergeCell ref="R3:S3"/>
    <mergeCell ref="R4:S4"/>
    <mergeCell ref="R5:S5"/>
    <mergeCell ref="R6:S6"/>
    <mergeCell ref="R7:S7"/>
    <mergeCell ref="O7:Q7"/>
    <mergeCell ref="L7:N7"/>
    <mergeCell ref="C2:H2"/>
    <mergeCell ref="C3:H3"/>
    <mergeCell ref="I2:N2"/>
    <mergeCell ref="I3:N3"/>
    <mergeCell ref="O3:Q3"/>
    <mergeCell ref="C4:H4"/>
    <mergeCell ref="I4:N4"/>
    <mergeCell ref="O4:Q4"/>
    <mergeCell ref="C5:H5"/>
    <mergeCell ref="C7:E7"/>
    <mergeCell ref="F7:H7"/>
    <mergeCell ref="C6:N6"/>
    <mergeCell ref="O6:Q6"/>
    <mergeCell ref="I7:K7"/>
    <mergeCell ref="I5:N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G144"/>
  <sheetViews>
    <sheetView zoomScale="110" zoomScaleNormal="110" workbookViewId="0">
      <pane xSplit="2" ySplit="8" topLeftCell="R9" activePane="bottomRight" state="frozen"/>
      <selection pane="topRight" activeCell="C1" sqref="C1"/>
      <selection pane="bottomLeft" activeCell="A9" sqref="A9"/>
      <selection pane="bottomRight" activeCell="AH18" sqref="AH18"/>
    </sheetView>
  </sheetViews>
  <sheetFormatPr defaultRowHeight="14.4" outlineLevelRow="1" outlineLevelCol="1" x14ac:dyDescent="0.3"/>
  <cols>
    <col min="1" max="1" width="3" style="134" bestFit="1" customWidth="1"/>
    <col min="2" max="2" width="34.21875" style="5" customWidth="1"/>
    <col min="3" max="3" width="8.88671875" style="5" bestFit="1" customWidth="1"/>
    <col min="4" max="4" width="6.88671875" style="5" bestFit="1" customWidth="1"/>
    <col min="5" max="5" width="12.44140625" style="5" bestFit="1" customWidth="1"/>
    <col min="6" max="6" width="4.33203125" style="5" hidden="1" customWidth="1" outlineLevel="1"/>
    <col min="7" max="7" width="6.88671875" style="5" hidden="1" customWidth="1" outlineLevel="1"/>
    <col min="8" max="8" width="7.88671875" style="5" hidden="1" customWidth="1" outlineLevel="1"/>
    <col min="9" max="9" width="4.33203125" style="5" hidden="1" customWidth="1" outlineLevel="1"/>
    <col min="10" max="10" width="6.88671875" style="5" hidden="1" customWidth="1" outlineLevel="1"/>
    <col min="11" max="11" width="7.88671875" style="5" hidden="1" customWidth="1" outlineLevel="1"/>
    <col min="12" max="12" width="4.33203125" style="5" hidden="1" customWidth="1" outlineLevel="1"/>
    <col min="13" max="13" width="7.88671875" style="5" hidden="1" customWidth="1" outlineLevel="1"/>
    <col min="14" max="14" width="8.88671875" style="5" hidden="1" customWidth="1" outlineLevel="1"/>
    <col min="15" max="15" width="4.33203125" style="5" hidden="1" customWidth="1" outlineLevel="1"/>
    <col min="16" max="16" width="8.88671875" style="5" hidden="1" customWidth="1" outlineLevel="1"/>
    <col min="17" max="17" width="10.44140625" style="5" hidden="1" customWidth="1" outlineLevel="1"/>
    <col min="18" max="18" width="6.88671875" style="5" bestFit="1" customWidth="1" collapsed="1"/>
    <col min="19" max="19" width="12.44140625" style="5" bestFit="1" customWidth="1"/>
    <col min="20" max="20" width="2.5546875" style="6" customWidth="1"/>
    <col min="21" max="21" width="17.109375" style="6" bestFit="1" customWidth="1"/>
    <col min="22" max="23" width="8.77734375" style="6" bestFit="1" customWidth="1"/>
    <col min="24" max="24" width="8.88671875" style="6" bestFit="1" customWidth="1"/>
    <col min="25" max="25" width="8.77734375" style="6" customWidth="1"/>
    <col min="26" max="26" width="8.21875" style="6" customWidth="1"/>
    <col min="27" max="27" width="10.44140625" style="6" bestFit="1" customWidth="1"/>
    <col min="28" max="28" width="10.21875" style="6" bestFit="1" customWidth="1"/>
    <col min="29" max="29" width="12.5546875" style="6" hidden="1" customWidth="1"/>
    <col min="30" max="30" width="8.88671875" style="6" bestFit="1" customWidth="1"/>
    <col min="31" max="31" width="2.5546875" customWidth="1"/>
    <col min="32" max="32" width="7.88671875" style="6" bestFit="1" customWidth="1"/>
  </cols>
  <sheetData>
    <row r="1" spans="1:33" ht="18.600000000000001" thickBot="1" x14ac:dyDescent="0.35">
      <c r="A1" s="1103" t="s">
        <v>30</v>
      </c>
      <c r="B1" s="1104"/>
      <c r="C1" s="2093">
        <v>44682</v>
      </c>
      <c r="D1" s="2093"/>
      <c r="E1" s="2093"/>
      <c r="F1" s="2093"/>
      <c r="G1" s="2093"/>
      <c r="H1" s="2093"/>
      <c r="I1" s="2093"/>
      <c r="J1" s="2093"/>
      <c r="K1" s="2093"/>
      <c r="L1" s="2093"/>
      <c r="M1" s="2093"/>
      <c r="N1" s="2093"/>
      <c r="O1" s="2093"/>
      <c r="P1" s="2093"/>
      <c r="Q1" s="2093"/>
      <c r="R1" s="2093"/>
      <c r="S1" s="2093"/>
      <c r="T1" s="1106"/>
      <c r="U1" s="1106"/>
      <c r="V1" s="1106"/>
      <c r="W1" s="1106"/>
      <c r="X1" s="1680"/>
      <c r="Y1" s="1106"/>
      <c r="Z1" s="1106"/>
      <c r="AA1" s="1680"/>
      <c r="AB1" s="1680"/>
      <c r="AC1" s="1106"/>
      <c r="AD1"/>
    </row>
    <row r="2" spans="1:33" x14ac:dyDescent="0.3">
      <c r="A2" s="1108" t="s">
        <v>690</v>
      </c>
      <c r="B2" s="144"/>
      <c r="C2" s="2094" t="s">
        <v>157</v>
      </c>
      <c r="D2" s="2095"/>
      <c r="E2" s="2095"/>
      <c r="F2" s="2095"/>
      <c r="G2" s="2095"/>
      <c r="H2" s="2095"/>
      <c r="I2" s="2096" t="s">
        <v>154</v>
      </c>
      <c r="J2" s="2096"/>
      <c r="K2" s="2096"/>
      <c r="L2" s="2096"/>
      <c r="M2" s="2096"/>
      <c r="N2" s="2096"/>
      <c r="O2" s="2096" t="s">
        <v>153</v>
      </c>
      <c r="P2" s="2096"/>
      <c r="Q2" s="2096"/>
      <c r="R2" s="2096"/>
      <c r="S2" s="2097"/>
      <c r="U2" s="1397"/>
      <c r="V2" s="1397"/>
      <c r="W2" s="1397"/>
      <c r="X2" s="1681"/>
      <c r="Y2" s="1397"/>
      <c r="Z2" s="1397"/>
      <c r="AA2" s="1681"/>
      <c r="AB2" s="1681"/>
      <c r="AC2" s="1397"/>
      <c r="AD2"/>
    </row>
    <row r="3" spans="1:33" x14ac:dyDescent="0.3">
      <c r="A3" s="145"/>
      <c r="B3" s="144"/>
      <c r="C3" s="2098" t="s">
        <v>162</v>
      </c>
      <c r="D3" s="2099"/>
      <c r="E3" s="2099"/>
      <c r="F3" s="2099"/>
      <c r="G3" s="2099"/>
      <c r="H3" s="2099"/>
      <c r="I3" s="2100">
        <v>0.3</v>
      </c>
      <c r="J3" s="2100"/>
      <c r="K3" s="2100"/>
      <c r="L3" s="2100"/>
      <c r="M3" s="2100"/>
      <c r="N3" s="2100"/>
      <c r="O3" s="2101">
        <v>850</v>
      </c>
      <c r="P3" s="2101"/>
      <c r="Q3" s="2101"/>
      <c r="R3" s="2102">
        <f>I3*O3</f>
        <v>255</v>
      </c>
      <c r="S3" s="2103"/>
      <c r="U3" s="1397"/>
      <c r="V3" s="1397"/>
      <c r="W3" s="1397"/>
      <c r="X3" s="1681"/>
      <c r="Y3" s="1397"/>
      <c r="Z3" s="1397"/>
      <c r="AA3" s="1681"/>
      <c r="AB3" s="1681"/>
      <c r="AC3" s="1397"/>
      <c r="AD3"/>
    </row>
    <row r="4" spans="1:33" x14ac:dyDescent="0.3">
      <c r="A4" s="145"/>
      <c r="B4" s="144"/>
      <c r="C4" s="2081" t="s">
        <v>163</v>
      </c>
      <c r="D4" s="2082"/>
      <c r="E4" s="2082"/>
      <c r="F4" s="2082"/>
      <c r="G4" s="2082"/>
      <c r="H4" s="2082"/>
      <c r="I4" s="2083">
        <v>0.7</v>
      </c>
      <c r="J4" s="2083"/>
      <c r="K4" s="2083"/>
      <c r="L4" s="2083"/>
      <c r="M4" s="2083"/>
      <c r="N4" s="2083"/>
      <c r="O4" s="2084">
        <v>860</v>
      </c>
      <c r="P4" s="2084"/>
      <c r="Q4" s="2084"/>
      <c r="R4" s="2085">
        <f>I4*O4</f>
        <v>602</v>
      </c>
      <c r="S4" s="2086"/>
      <c r="U4" s="1397"/>
      <c r="V4" s="1397"/>
      <c r="W4" s="1397"/>
      <c r="X4" s="1681"/>
      <c r="Y4" s="1397"/>
      <c r="Z4" s="1397"/>
      <c r="AA4" s="1681"/>
      <c r="AB4" s="1681"/>
      <c r="AC4" s="1397"/>
      <c r="AD4"/>
    </row>
    <row r="5" spans="1:33" x14ac:dyDescent="0.3">
      <c r="A5" s="145"/>
      <c r="B5" s="144"/>
      <c r="C5" s="2087" t="s">
        <v>152</v>
      </c>
      <c r="D5" s="2088"/>
      <c r="E5" s="2088"/>
      <c r="F5" s="2088"/>
      <c r="G5" s="2088"/>
      <c r="H5" s="2088"/>
      <c r="I5" s="2089"/>
      <c r="J5" s="2089"/>
      <c r="K5" s="2089"/>
      <c r="L5" s="2089"/>
      <c r="M5" s="2089"/>
      <c r="N5" s="2089"/>
      <c r="O5" s="2090"/>
      <c r="P5" s="2090"/>
      <c r="Q5" s="2090"/>
      <c r="R5" s="2091">
        <v>120</v>
      </c>
      <c r="S5" s="2092"/>
      <c r="X5" s="1682"/>
      <c r="AA5" s="1682"/>
      <c r="AB5" s="1682"/>
      <c r="AD5"/>
    </row>
    <row r="6" spans="1:33" ht="15" thickBot="1" x14ac:dyDescent="0.35">
      <c r="A6" s="145"/>
      <c r="B6" s="159"/>
      <c r="C6" s="2059" t="s">
        <v>161</v>
      </c>
      <c r="D6" s="2060"/>
      <c r="E6" s="2060"/>
      <c r="F6" s="2060"/>
      <c r="G6" s="2060"/>
      <c r="H6" s="2060"/>
      <c r="I6" s="2060"/>
      <c r="J6" s="2060"/>
      <c r="K6" s="2060"/>
      <c r="L6" s="2060"/>
      <c r="M6" s="2060"/>
      <c r="N6" s="2060"/>
      <c r="O6" s="2061">
        <v>90</v>
      </c>
      <c r="P6" s="2061"/>
      <c r="Q6" s="2061"/>
      <c r="R6" s="2062">
        <f>SUM(R3:R5)*O6</f>
        <v>87930</v>
      </c>
      <c r="S6" s="2063"/>
      <c r="X6" s="1682"/>
      <c r="AA6" s="1682"/>
      <c r="AB6" s="1682"/>
      <c r="AD6"/>
    </row>
    <row r="7" spans="1:33" ht="15" thickBot="1" x14ac:dyDescent="0.35">
      <c r="A7" s="1617" t="s">
        <v>16</v>
      </c>
      <c r="B7" s="1618" t="s">
        <v>173</v>
      </c>
      <c r="C7" s="2064" t="s">
        <v>208</v>
      </c>
      <c r="D7" s="2065"/>
      <c r="E7" s="2066"/>
      <c r="F7" s="2067" t="s">
        <v>693</v>
      </c>
      <c r="G7" s="2068"/>
      <c r="H7" s="2069"/>
      <c r="I7" s="2070" t="s">
        <v>210</v>
      </c>
      <c r="J7" s="2071"/>
      <c r="K7" s="2072"/>
      <c r="L7" s="2073" t="s">
        <v>656</v>
      </c>
      <c r="M7" s="2074"/>
      <c r="N7" s="2075"/>
      <c r="O7" s="2076" t="s">
        <v>172</v>
      </c>
      <c r="P7" s="2077"/>
      <c r="Q7" s="2078"/>
      <c r="R7" s="2079" t="s">
        <v>0</v>
      </c>
      <c r="S7" s="2080"/>
      <c r="X7" s="1682"/>
      <c r="AA7" s="1682"/>
      <c r="AB7" s="1682"/>
      <c r="AD7"/>
    </row>
    <row r="8" spans="1:33" ht="15" thickBot="1" x14ac:dyDescent="0.3">
      <c r="A8" s="1619" t="s">
        <v>31</v>
      </c>
      <c r="B8" s="1620" t="s">
        <v>174</v>
      </c>
      <c r="C8" s="1593" t="s">
        <v>692</v>
      </c>
      <c r="D8" s="1594" t="s">
        <v>947</v>
      </c>
      <c r="E8" s="1595" t="s">
        <v>653</v>
      </c>
      <c r="F8" s="1596" t="s">
        <v>692</v>
      </c>
      <c r="G8" s="1597" t="s">
        <v>947</v>
      </c>
      <c r="H8" s="1598" t="s">
        <v>653</v>
      </c>
      <c r="I8" s="1599" t="s">
        <v>692</v>
      </c>
      <c r="J8" s="1600" t="s">
        <v>947</v>
      </c>
      <c r="K8" s="1601" t="s">
        <v>653</v>
      </c>
      <c r="L8" s="1602" t="s">
        <v>469</v>
      </c>
      <c r="M8" s="1603" t="s">
        <v>761</v>
      </c>
      <c r="N8" s="1604" t="s">
        <v>653</v>
      </c>
      <c r="O8" s="1605" t="s">
        <v>469</v>
      </c>
      <c r="P8" s="1606" t="s">
        <v>761</v>
      </c>
      <c r="Q8" s="1607" t="s">
        <v>653</v>
      </c>
      <c r="R8" s="1608" t="s">
        <v>469</v>
      </c>
      <c r="S8" s="1609" t="s">
        <v>653</v>
      </c>
      <c r="T8" s="4"/>
      <c r="X8" s="1682"/>
      <c r="AA8" s="1682"/>
      <c r="AB8" s="1682"/>
      <c r="AD8"/>
    </row>
    <row r="9" spans="1:33" ht="15" thickBot="1" x14ac:dyDescent="0.3">
      <c r="A9" s="1621" t="s">
        <v>38</v>
      </c>
      <c r="B9" s="1629" t="s">
        <v>689</v>
      </c>
      <c r="C9" s="1576"/>
      <c r="D9" s="1577"/>
      <c r="E9" s="1578"/>
      <c r="F9" s="1579"/>
      <c r="G9" s="1580"/>
      <c r="H9" s="1581"/>
      <c r="I9" s="1582"/>
      <c r="J9" s="1583"/>
      <c r="K9" s="1584"/>
      <c r="L9" s="1585"/>
      <c r="M9" s="1586"/>
      <c r="N9" s="1587"/>
      <c r="O9" s="1588"/>
      <c r="P9" s="1589"/>
      <c r="Q9" s="1590"/>
      <c r="R9" s="1591"/>
      <c r="S9" s="1592"/>
      <c r="T9" s="4"/>
      <c r="U9" s="1668" t="s">
        <v>660</v>
      </c>
      <c r="V9" s="1669" t="s">
        <v>955</v>
      </c>
      <c r="W9" s="1669" t="s">
        <v>950</v>
      </c>
      <c r="X9" s="1669" t="s">
        <v>951</v>
      </c>
      <c r="Y9" s="1669" t="s">
        <v>949</v>
      </c>
      <c r="Z9" s="1670" t="s">
        <v>952</v>
      </c>
      <c r="AA9" s="1670" t="s">
        <v>953</v>
      </c>
      <c r="AB9" s="1670"/>
      <c r="AC9" s="1670" t="s">
        <v>954</v>
      </c>
      <c r="AD9" s="1671" t="s">
        <v>956</v>
      </c>
    </row>
    <row r="10" spans="1:33" x14ac:dyDescent="0.25">
      <c r="A10" s="1622">
        <v>1</v>
      </c>
      <c r="B10" s="1625" t="s">
        <v>684</v>
      </c>
      <c r="C10" s="1560">
        <v>61917</v>
      </c>
      <c r="D10" s="1554">
        <v>1200</v>
      </c>
      <c r="E10" s="1497">
        <f>C10*D10</f>
        <v>74300400</v>
      </c>
      <c r="F10" s="1528">
        <v>1</v>
      </c>
      <c r="G10" s="1529">
        <f>D10/12*33</f>
        <v>3300</v>
      </c>
      <c r="H10" s="1530">
        <f>F10*G10</f>
        <v>3300</v>
      </c>
      <c r="I10" s="1499">
        <v>1</v>
      </c>
      <c r="J10" s="1526">
        <f>D10/12*45</f>
        <v>4500</v>
      </c>
      <c r="K10" s="1500">
        <f>I10*J10</f>
        <v>4500</v>
      </c>
      <c r="L10" s="1548"/>
      <c r="M10" s="1527"/>
      <c r="N10" s="1549"/>
      <c r="O10" s="1533"/>
      <c r="P10" s="1531"/>
      <c r="Q10" s="1532"/>
      <c r="R10" s="1543">
        <f>(C10*12+F10*33+I10*45)/1000+L10+O10</f>
        <v>743.08199999999999</v>
      </c>
      <c r="S10" s="1534">
        <f>E10+H10+K10+N10+Q10</f>
        <v>74308200</v>
      </c>
      <c r="U10" s="1652" t="s">
        <v>684</v>
      </c>
      <c r="V10" s="1661">
        <v>1200</v>
      </c>
      <c r="W10" s="1661">
        <v>1263</v>
      </c>
      <c r="X10" s="1661">
        <f>W10-V10</f>
        <v>63</v>
      </c>
      <c r="Y10" s="1654">
        <f>X10/107*7</f>
        <v>4.121495327102803</v>
      </c>
      <c r="Z10" s="1661">
        <f>X10-Y10</f>
        <v>58.878504672897193</v>
      </c>
      <c r="AA10" s="1661">
        <v>20</v>
      </c>
      <c r="AB10" s="1661">
        <f t="shared" ref="AB10:AB19" si="0">AD10-V10</f>
        <v>43</v>
      </c>
      <c r="AC10" s="1661">
        <f>Z10-AA10</f>
        <v>38.878504672897193</v>
      </c>
      <c r="AD10" s="1672">
        <f>V10+AC10+Y10</f>
        <v>1243</v>
      </c>
      <c r="AG10">
        <f>C10*$AF$18</f>
        <v>17075.822310179468</v>
      </c>
    </row>
    <row r="11" spans="1:33" x14ac:dyDescent="0.25">
      <c r="A11" s="1622">
        <v>2</v>
      </c>
      <c r="B11" s="1625" t="s">
        <v>686</v>
      </c>
      <c r="C11" s="1560">
        <f>45833-8000</f>
        <v>37833</v>
      </c>
      <c r="D11" s="1554">
        <f>D10</f>
        <v>1200</v>
      </c>
      <c r="E11" s="1497">
        <f t="shared" ref="E11:E20" si="1">C11*D11</f>
        <v>45399600</v>
      </c>
      <c r="F11" s="1528">
        <v>1</v>
      </c>
      <c r="G11" s="1529">
        <f t="shared" ref="G11:G19" si="2">D11/12*33</f>
        <v>3300</v>
      </c>
      <c r="H11" s="1530">
        <f t="shared" ref="H11:H20" si="3">F11*G11</f>
        <v>3300</v>
      </c>
      <c r="I11" s="1499">
        <v>1</v>
      </c>
      <c r="J11" s="1526">
        <f t="shared" ref="J11:J19" si="4">D11/12*45</f>
        <v>4500</v>
      </c>
      <c r="K11" s="1500">
        <f t="shared" ref="K11:K20" si="5">I11*J11</f>
        <v>4500</v>
      </c>
      <c r="L11" s="1548"/>
      <c r="M11" s="1527"/>
      <c r="N11" s="1549"/>
      <c r="O11" s="1533"/>
      <c r="P11" s="1531"/>
      <c r="Q11" s="1532"/>
      <c r="R11" s="1543">
        <f t="shared" ref="R11:R20" si="6">(C11*12+F11*33+I11*45)/1000+L11+O11</f>
        <v>454.07400000000001</v>
      </c>
      <c r="S11" s="1534">
        <f t="shared" ref="S11:S20" si="7">E11+H11+K11+N11+Q11</f>
        <v>45407400</v>
      </c>
      <c r="U11" s="1647" t="s">
        <v>686</v>
      </c>
      <c r="V11" s="1662">
        <v>1200</v>
      </c>
      <c r="W11" s="1662">
        <v>1263</v>
      </c>
      <c r="X11" s="1662">
        <f t="shared" ref="X11:X19" si="8">W11-V11</f>
        <v>63</v>
      </c>
      <c r="Y11" s="1655">
        <f t="shared" ref="Y11:Y19" si="9">X11/107*7</f>
        <v>4.121495327102803</v>
      </c>
      <c r="Z11" s="1662">
        <f t="shared" ref="Z11:Z19" si="10">X11-Y11</f>
        <v>58.878504672897193</v>
      </c>
      <c r="AA11" s="1662">
        <v>20</v>
      </c>
      <c r="AB11" s="1662">
        <f t="shared" si="0"/>
        <v>43</v>
      </c>
      <c r="AC11" s="1662">
        <f t="shared" ref="AC11:AC19" si="11">Z11-AA11</f>
        <v>38.878504672897193</v>
      </c>
      <c r="AD11" s="1673">
        <f t="shared" ref="AD11:AD19" si="12">V11+AC11+Y11</f>
        <v>1243</v>
      </c>
      <c r="AG11">
        <f t="shared" ref="AG11:AG19" si="13">C11*$AF$18</f>
        <v>10433.799852399499</v>
      </c>
    </row>
    <row r="12" spans="1:33" x14ac:dyDescent="0.25">
      <c r="A12" s="1622">
        <v>3</v>
      </c>
      <c r="B12" s="1624" t="s">
        <v>817</v>
      </c>
      <c r="C12" s="1560">
        <v>29167</v>
      </c>
      <c r="D12" s="1554">
        <f>D10-10</f>
        <v>1190</v>
      </c>
      <c r="E12" s="1497">
        <f t="shared" si="1"/>
        <v>34708730</v>
      </c>
      <c r="F12" s="1528">
        <v>1</v>
      </c>
      <c r="G12" s="1529">
        <f t="shared" si="2"/>
        <v>3272.5</v>
      </c>
      <c r="H12" s="1530">
        <f t="shared" si="3"/>
        <v>3272.5</v>
      </c>
      <c r="I12" s="1499">
        <v>1</v>
      </c>
      <c r="J12" s="1526">
        <f t="shared" si="4"/>
        <v>4462.5</v>
      </c>
      <c r="K12" s="1500">
        <f t="shared" si="5"/>
        <v>4462.5</v>
      </c>
      <c r="L12" s="1548"/>
      <c r="M12" s="1527"/>
      <c r="N12" s="1549"/>
      <c r="O12" s="1533"/>
      <c r="P12" s="1531"/>
      <c r="Q12" s="1532"/>
      <c r="R12" s="1543">
        <f t="shared" si="6"/>
        <v>350.08199999999999</v>
      </c>
      <c r="S12" s="1534">
        <f t="shared" si="7"/>
        <v>34716465</v>
      </c>
      <c r="U12" s="1648" t="s">
        <v>817</v>
      </c>
      <c r="V12" s="1663">
        <v>1190</v>
      </c>
      <c r="W12" s="1663">
        <v>1263</v>
      </c>
      <c r="X12" s="1663">
        <f t="shared" si="8"/>
        <v>73</v>
      </c>
      <c r="Y12" s="1656">
        <f t="shared" si="9"/>
        <v>4.7757009345794392</v>
      </c>
      <c r="Z12" s="1663">
        <f t="shared" si="10"/>
        <v>68.224299065420567</v>
      </c>
      <c r="AA12" s="1663">
        <v>30</v>
      </c>
      <c r="AB12" s="1663">
        <f t="shared" si="0"/>
        <v>43</v>
      </c>
      <c r="AC12" s="1663">
        <f t="shared" si="11"/>
        <v>38.224299065420567</v>
      </c>
      <c r="AD12" s="1674">
        <f t="shared" si="12"/>
        <v>1233</v>
      </c>
      <c r="AG12">
        <f t="shared" si="13"/>
        <v>8043.8410989066742</v>
      </c>
    </row>
    <row r="13" spans="1:33" x14ac:dyDescent="0.25">
      <c r="A13" s="1622">
        <v>4</v>
      </c>
      <c r="B13" s="1624" t="s">
        <v>777</v>
      </c>
      <c r="C13" s="1560">
        <f>54167-10000</f>
        <v>44167</v>
      </c>
      <c r="D13" s="1554">
        <f>D10-10</f>
        <v>1190</v>
      </c>
      <c r="E13" s="1497">
        <f t="shared" si="1"/>
        <v>52558730</v>
      </c>
      <c r="F13" s="1528">
        <v>1</v>
      </c>
      <c r="G13" s="1529">
        <f t="shared" si="2"/>
        <v>3272.5</v>
      </c>
      <c r="H13" s="1530">
        <f t="shared" si="3"/>
        <v>3272.5</v>
      </c>
      <c r="I13" s="1499">
        <v>1</v>
      </c>
      <c r="J13" s="1526">
        <f t="shared" si="4"/>
        <v>4462.5</v>
      </c>
      <c r="K13" s="1500">
        <f t="shared" si="5"/>
        <v>4462.5</v>
      </c>
      <c r="L13" s="1548"/>
      <c r="M13" s="1527"/>
      <c r="N13" s="1549"/>
      <c r="O13" s="1533"/>
      <c r="P13" s="1531"/>
      <c r="Q13" s="1532"/>
      <c r="R13" s="1543">
        <f t="shared" si="6"/>
        <v>530.08199999999999</v>
      </c>
      <c r="S13" s="1534">
        <f t="shared" si="7"/>
        <v>52566465</v>
      </c>
      <c r="U13" s="1648" t="s">
        <v>777</v>
      </c>
      <c r="V13" s="1663">
        <v>1190</v>
      </c>
      <c r="W13" s="1663">
        <v>1263</v>
      </c>
      <c r="X13" s="1663">
        <f t="shared" si="8"/>
        <v>73</v>
      </c>
      <c r="Y13" s="1656">
        <f t="shared" si="9"/>
        <v>4.7757009345794392</v>
      </c>
      <c r="Z13" s="1663">
        <f t="shared" si="10"/>
        <v>68.224299065420567</v>
      </c>
      <c r="AA13" s="1663">
        <v>30</v>
      </c>
      <c r="AB13" s="1663">
        <f t="shared" si="0"/>
        <v>43</v>
      </c>
      <c r="AC13" s="1663">
        <f t="shared" si="11"/>
        <v>38.224299065420567</v>
      </c>
      <c r="AD13" s="1674">
        <f t="shared" si="12"/>
        <v>1233</v>
      </c>
      <c r="AG13">
        <f t="shared" si="13"/>
        <v>12180.626386512533</v>
      </c>
    </row>
    <row r="14" spans="1:33" x14ac:dyDescent="0.25">
      <c r="A14" s="1622">
        <v>5</v>
      </c>
      <c r="B14" s="1626" t="s">
        <v>681</v>
      </c>
      <c r="C14" s="1560">
        <v>50000</v>
      </c>
      <c r="D14" s="1554">
        <v>1160</v>
      </c>
      <c r="E14" s="1497">
        <f t="shared" si="1"/>
        <v>58000000</v>
      </c>
      <c r="F14" s="1528">
        <v>1</v>
      </c>
      <c r="G14" s="1529">
        <f t="shared" si="2"/>
        <v>3190</v>
      </c>
      <c r="H14" s="1530">
        <f t="shared" si="3"/>
        <v>3190</v>
      </c>
      <c r="I14" s="1499">
        <v>1</v>
      </c>
      <c r="J14" s="1526">
        <f t="shared" si="4"/>
        <v>4350</v>
      </c>
      <c r="K14" s="1500">
        <f t="shared" si="5"/>
        <v>4350</v>
      </c>
      <c r="L14" s="1548"/>
      <c r="M14" s="1527"/>
      <c r="N14" s="1549"/>
      <c r="O14" s="1533"/>
      <c r="P14" s="1531"/>
      <c r="Q14" s="1532"/>
      <c r="R14" s="1543">
        <f t="shared" si="6"/>
        <v>600.07799999999997</v>
      </c>
      <c r="S14" s="1534">
        <f t="shared" si="7"/>
        <v>58007540</v>
      </c>
      <c r="U14" s="1649" t="s">
        <v>681</v>
      </c>
      <c r="V14" s="1664">
        <v>1160</v>
      </c>
      <c r="W14" s="1664">
        <v>1263</v>
      </c>
      <c r="X14" s="1664">
        <f t="shared" si="8"/>
        <v>103</v>
      </c>
      <c r="Y14" s="1657">
        <f t="shared" si="9"/>
        <v>6.7383177570093462</v>
      </c>
      <c r="Z14" s="1664">
        <f t="shared" si="10"/>
        <v>96.261682242990659</v>
      </c>
      <c r="AA14" s="1664">
        <v>50</v>
      </c>
      <c r="AB14" s="1664">
        <f t="shared" si="0"/>
        <v>53</v>
      </c>
      <c r="AC14" s="1664">
        <f t="shared" si="11"/>
        <v>46.261682242990659</v>
      </c>
      <c r="AD14" s="1675">
        <f t="shared" si="12"/>
        <v>1213</v>
      </c>
      <c r="AG14">
        <f t="shared" si="13"/>
        <v>13789.284292019533</v>
      </c>
    </row>
    <row r="15" spans="1:33" x14ac:dyDescent="0.25">
      <c r="A15" s="1622">
        <v>6</v>
      </c>
      <c r="B15" s="1627" t="s">
        <v>683</v>
      </c>
      <c r="C15" s="1560">
        <v>18000</v>
      </c>
      <c r="D15" s="1554">
        <f>D10-30</f>
        <v>1170</v>
      </c>
      <c r="E15" s="1497">
        <f t="shared" si="1"/>
        <v>21060000</v>
      </c>
      <c r="F15" s="1528">
        <v>1</v>
      </c>
      <c r="G15" s="1529">
        <f t="shared" si="2"/>
        <v>3217.5</v>
      </c>
      <c r="H15" s="1530">
        <f t="shared" si="3"/>
        <v>3217.5</v>
      </c>
      <c r="I15" s="1499">
        <v>1</v>
      </c>
      <c r="J15" s="1526">
        <f t="shared" si="4"/>
        <v>4387.5</v>
      </c>
      <c r="K15" s="1500">
        <f t="shared" si="5"/>
        <v>4387.5</v>
      </c>
      <c r="L15" s="1548"/>
      <c r="M15" s="1527"/>
      <c r="N15" s="1549"/>
      <c r="O15" s="1533"/>
      <c r="P15" s="1531"/>
      <c r="Q15" s="1532"/>
      <c r="R15" s="1543">
        <f t="shared" si="6"/>
        <v>216.078</v>
      </c>
      <c r="S15" s="1534">
        <f t="shared" si="7"/>
        <v>21067605</v>
      </c>
      <c r="U15" s="1650" t="s">
        <v>683</v>
      </c>
      <c r="V15" s="1665">
        <v>1170</v>
      </c>
      <c r="W15" s="1665">
        <v>1263</v>
      </c>
      <c r="X15" s="1665">
        <f t="shared" si="8"/>
        <v>93</v>
      </c>
      <c r="Y15" s="1658">
        <f t="shared" si="9"/>
        <v>6.08411214953271</v>
      </c>
      <c r="Z15" s="1665">
        <f t="shared" si="10"/>
        <v>86.915887850467286</v>
      </c>
      <c r="AA15" s="1665">
        <v>40</v>
      </c>
      <c r="AB15" s="1665">
        <f t="shared" si="0"/>
        <v>53</v>
      </c>
      <c r="AC15" s="1665">
        <f t="shared" si="11"/>
        <v>46.915887850467286</v>
      </c>
      <c r="AD15" s="1676">
        <f t="shared" si="12"/>
        <v>1223</v>
      </c>
      <c r="AG15">
        <f t="shared" si="13"/>
        <v>4964.1423451270321</v>
      </c>
    </row>
    <row r="16" spans="1:33" x14ac:dyDescent="0.25">
      <c r="A16" s="1622">
        <v>7</v>
      </c>
      <c r="B16" s="1627" t="s">
        <v>764</v>
      </c>
      <c r="C16" s="1560">
        <f>43083-5000</f>
        <v>38083</v>
      </c>
      <c r="D16" s="1554">
        <f>D10-30</f>
        <v>1170</v>
      </c>
      <c r="E16" s="1497">
        <f t="shared" si="1"/>
        <v>44557110</v>
      </c>
      <c r="F16" s="1528">
        <v>1</v>
      </c>
      <c r="G16" s="1529">
        <f t="shared" si="2"/>
        <v>3217.5</v>
      </c>
      <c r="H16" s="1530">
        <f t="shared" si="3"/>
        <v>3217.5</v>
      </c>
      <c r="I16" s="1499">
        <v>1</v>
      </c>
      <c r="J16" s="1526">
        <f t="shared" si="4"/>
        <v>4387.5</v>
      </c>
      <c r="K16" s="1500">
        <f t="shared" si="5"/>
        <v>4387.5</v>
      </c>
      <c r="L16" s="1548"/>
      <c r="M16" s="1527"/>
      <c r="N16" s="1549"/>
      <c r="O16" s="1533"/>
      <c r="P16" s="1531"/>
      <c r="Q16" s="1532"/>
      <c r="R16" s="1543">
        <f t="shared" si="6"/>
        <v>457.07400000000001</v>
      </c>
      <c r="S16" s="1534">
        <f t="shared" si="7"/>
        <v>44564715</v>
      </c>
      <c r="U16" s="1650" t="s">
        <v>764</v>
      </c>
      <c r="V16" s="1665">
        <v>1170</v>
      </c>
      <c r="W16" s="1665">
        <v>1263</v>
      </c>
      <c r="X16" s="1665">
        <f t="shared" si="8"/>
        <v>93</v>
      </c>
      <c r="Y16" s="1658">
        <f t="shared" si="9"/>
        <v>6.08411214953271</v>
      </c>
      <c r="Z16" s="1665">
        <f t="shared" si="10"/>
        <v>86.915887850467286</v>
      </c>
      <c r="AA16" s="1665">
        <v>40</v>
      </c>
      <c r="AB16" s="1665">
        <f t="shared" si="0"/>
        <v>53</v>
      </c>
      <c r="AC16" s="1665">
        <f t="shared" si="11"/>
        <v>46.915887850467286</v>
      </c>
      <c r="AD16" s="1676">
        <f t="shared" si="12"/>
        <v>1223</v>
      </c>
      <c r="AG16">
        <f t="shared" si="13"/>
        <v>10502.746273859597</v>
      </c>
    </row>
    <row r="17" spans="1:33" x14ac:dyDescent="0.25">
      <c r="A17" s="1622">
        <v>8</v>
      </c>
      <c r="B17" s="1627" t="s">
        <v>859</v>
      </c>
      <c r="C17" s="1560">
        <v>8000</v>
      </c>
      <c r="D17" s="1554">
        <v>1170</v>
      </c>
      <c r="E17" s="1497">
        <f t="shared" si="1"/>
        <v>9360000</v>
      </c>
      <c r="F17" s="1528">
        <v>1</v>
      </c>
      <c r="G17" s="1529">
        <f t="shared" si="2"/>
        <v>3217.5</v>
      </c>
      <c r="H17" s="1530">
        <f t="shared" si="3"/>
        <v>3217.5</v>
      </c>
      <c r="I17" s="1499">
        <v>1</v>
      </c>
      <c r="J17" s="1526">
        <f t="shared" si="4"/>
        <v>4387.5</v>
      </c>
      <c r="K17" s="1500">
        <f t="shared" si="5"/>
        <v>4387.5</v>
      </c>
      <c r="L17" s="1548"/>
      <c r="M17" s="1527"/>
      <c r="N17" s="1549"/>
      <c r="O17" s="1533"/>
      <c r="P17" s="1531"/>
      <c r="Q17" s="1532"/>
      <c r="R17" s="1543">
        <f t="shared" si="6"/>
        <v>96.078000000000003</v>
      </c>
      <c r="S17" s="1534">
        <f t="shared" si="7"/>
        <v>9367605</v>
      </c>
      <c r="U17" s="1648" t="s">
        <v>859</v>
      </c>
      <c r="V17" s="1663">
        <v>1170</v>
      </c>
      <c r="W17" s="1663">
        <v>1263</v>
      </c>
      <c r="X17" s="1663">
        <f t="shared" si="8"/>
        <v>93</v>
      </c>
      <c r="Y17" s="1656">
        <f t="shared" si="9"/>
        <v>6.08411214953271</v>
      </c>
      <c r="Z17" s="1663">
        <f t="shared" si="10"/>
        <v>86.915887850467286</v>
      </c>
      <c r="AA17" s="1663">
        <v>35</v>
      </c>
      <c r="AB17" s="1663">
        <f t="shared" si="0"/>
        <v>58</v>
      </c>
      <c r="AC17" s="1663">
        <f t="shared" si="11"/>
        <v>51.915887850467286</v>
      </c>
      <c r="AD17" s="1674">
        <f t="shared" si="12"/>
        <v>1228</v>
      </c>
      <c r="AG17">
        <f t="shared" si="13"/>
        <v>2206.2854867231254</v>
      </c>
    </row>
    <row r="18" spans="1:33" x14ac:dyDescent="0.25">
      <c r="A18" s="1622">
        <v>9</v>
      </c>
      <c r="B18" s="1628" t="s">
        <v>935</v>
      </c>
      <c r="C18" s="1560">
        <v>10000</v>
      </c>
      <c r="D18" s="1554">
        <v>1180</v>
      </c>
      <c r="E18" s="1497">
        <f t="shared" si="1"/>
        <v>11800000</v>
      </c>
      <c r="F18" s="1528">
        <v>1</v>
      </c>
      <c r="G18" s="1529">
        <f t="shared" si="2"/>
        <v>3245</v>
      </c>
      <c r="H18" s="1530">
        <f t="shared" si="3"/>
        <v>3245</v>
      </c>
      <c r="I18" s="1499">
        <v>1</v>
      </c>
      <c r="J18" s="1526">
        <f t="shared" si="4"/>
        <v>4425</v>
      </c>
      <c r="K18" s="1500">
        <f t="shared" si="5"/>
        <v>4425</v>
      </c>
      <c r="L18" s="1548"/>
      <c r="M18" s="1527"/>
      <c r="N18" s="1549"/>
      <c r="O18" s="1533"/>
      <c r="P18" s="1531"/>
      <c r="Q18" s="1532"/>
      <c r="R18" s="1543">
        <f t="shared" si="6"/>
        <v>120.078</v>
      </c>
      <c r="S18" s="1534">
        <f t="shared" si="7"/>
        <v>11807670</v>
      </c>
      <c r="U18" s="1651" t="s">
        <v>935</v>
      </c>
      <c r="V18" s="1666">
        <v>1180</v>
      </c>
      <c r="W18" s="1666">
        <v>1263</v>
      </c>
      <c r="X18" s="1666">
        <f t="shared" si="8"/>
        <v>83</v>
      </c>
      <c r="Y18" s="1659">
        <f t="shared" si="9"/>
        <v>5.4299065420560746</v>
      </c>
      <c r="Z18" s="1666">
        <f t="shared" si="10"/>
        <v>77.570093457943926</v>
      </c>
      <c r="AA18" s="1666">
        <v>40</v>
      </c>
      <c r="AB18" s="1666">
        <f t="shared" si="0"/>
        <v>43.000000000000227</v>
      </c>
      <c r="AC18" s="1666">
        <f t="shared" si="11"/>
        <v>37.570093457943926</v>
      </c>
      <c r="AD18" s="1677">
        <f t="shared" si="12"/>
        <v>1223.0000000000002</v>
      </c>
      <c r="AF18" s="1683">
        <f>AF19/C21</f>
        <v>0.27578568584039065</v>
      </c>
      <c r="AG18">
        <f t="shared" si="13"/>
        <v>2757.8568584039067</v>
      </c>
    </row>
    <row r="19" spans="1:33" ht="15" thickBot="1" x14ac:dyDescent="0.3">
      <c r="A19" s="1622">
        <v>10</v>
      </c>
      <c r="B19" s="1626" t="s">
        <v>941</v>
      </c>
      <c r="C19" s="1560">
        <v>5000</v>
      </c>
      <c r="D19" s="1554">
        <v>1160</v>
      </c>
      <c r="E19" s="1497">
        <f t="shared" si="1"/>
        <v>5800000</v>
      </c>
      <c r="F19" s="1528">
        <v>1</v>
      </c>
      <c r="G19" s="1529">
        <f t="shared" si="2"/>
        <v>3190</v>
      </c>
      <c r="H19" s="1530">
        <f t="shared" si="3"/>
        <v>3190</v>
      </c>
      <c r="I19" s="1499">
        <v>1</v>
      </c>
      <c r="J19" s="1526">
        <f t="shared" si="4"/>
        <v>4350</v>
      </c>
      <c r="K19" s="1500">
        <f t="shared" si="5"/>
        <v>4350</v>
      </c>
      <c r="L19" s="1548"/>
      <c r="M19" s="1527"/>
      <c r="N19" s="1549"/>
      <c r="O19" s="1533"/>
      <c r="P19" s="1531"/>
      <c r="Q19" s="1532"/>
      <c r="R19" s="1543">
        <f t="shared" si="6"/>
        <v>60.078000000000003</v>
      </c>
      <c r="S19" s="1534">
        <f t="shared" si="7"/>
        <v>5807540</v>
      </c>
      <c r="U19" s="1653" t="s">
        <v>941</v>
      </c>
      <c r="V19" s="1667">
        <v>1160</v>
      </c>
      <c r="W19" s="1667">
        <v>1263</v>
      </c>
      <c r="X19" s="1667">
        <f t="shared" si="8"/>
        <v>103</v>
      </c>
      <c r="Y19" s="1660">
        <f t="shared" si="9"/>
        <v>6.7383177570093462</v>
      </c>
      <c r="Z19" s="1667">
        <f t="shared" si="10"/>
        <v>96.261682242990659</v>
      </c>
      <c r="AA19" s="1667">
        <v>50</v>
      </c>
      <c r="AB19" s="1667">
        <f t="shared" si="0"/>
        <v>53</v>
      </c>
      <c r="AC19" s="1667">
        <f t="shared" si="11"/>
        <v>46.261682242990659</v>
      </c>
      <c r="AD19" s="1678">
        <f t="shared" si="12"/>
        <v>1213</v>
      </c>
      <c r="AF19" s="1684">
        <f>1000/12*1000</f>
        <v>83333.333333333328</v>
      </c>
      <c r="AG19">
        <f t="shared" si="13"/>
        <v>1378.9284292019533</v>
      </c>
    </row>
    <row r="20" spans="1:33" x14ac:dyDescent="0.25">
      <c r="A20" s="1622">
        <v>11</v>
      </c>
      <c r="B20" s="1623" t="s">
        <v>688</v>
      </c>
      <c r="C20" s="1560"/>
      <c r="D20" s="1554"/>
      <c r="E20" s="1497">
        <f t="shared" si="1"/>
        <v>0</v>
      </c>
      <c r="F20" s="1528"/>
      <c r="G20" s="1529"/>
      <c r="H20" s="1530">
        <f t="shared" si="3"/>
        <v>0</v>
      </c>
      <c r="I20" s="1499"/>
      <c r="J20" s="1526"/>
      <c r="K20" s="1500">
        <f t="shared" si="5"/>
        <v>0</v>
      </c>
      <c r="L20" s="1548">
        <v>10</v>
      </c>
      <c r="M20" s="1527">
        <f>(R3+R4+240)*O6</f>
        <v>98730</v>
      </c>
      <c r="N20" s="1549">
        <f>L20*M20</f>
        <v>987300</v>
      </c>
      <c r="O20" s="1533">
        <v>10</v>
      </c>
      <c r="P20" s="1531">
        <f>(R3+R4+275)*O6</f>
        <v>101880</v>
      </c>
      <c r="Q20" s="1532">
        <f>O20*P20</f>
        <v>1018800</v>
      </c>
      <c r="R20" s="1543">
        <f t="shared" si="6"/>
        <v>20</v>
      </c>
      <c r="S20" s="1534">
        <f t="shared" si="7"/>
        <v>2006100</v>
      </c>
      <c r="X20" s="1685">
        <f>SUM(X10:X19)/10</f>
        <v>84</v>
      </c>
      <c r="AA20" s="1685">
        <f>SUM(AA10:AA19)/10</f>
        <v>35.5</v>
      </c>
    </row>
    <row r="21" spans="1:33" ht="15" thickBot="1" x14ac:dyDescent="0.35">
      <c r="A21" s="1559" t="s">
        <v>38</v>
      </c>
      <c r="B21" s="1567" t="s">
        <v>689</v>
      </c>
      <c r="C21" s="1561">
        <f>SUM(C10:C20)</f>
        <v>302167</v>
      </c>
      <c r="D21" s="1555"/>
      <c r="E21" s="1498">
        <f>SUM(E10:E20)</f>
        <v>357544570</v>
      </c>
      <c r="F21" s="1553">
        <f>SUM(F10:F20)</f>
        <v>10</v>
      </c>
      <c r="G21" s="1545"/>
      <c r="H21" s="1546">
        <f>SUM(H10:H20)</f>
        <v>32422.5</v>
      </c>
      <c r="I21" s="1501">
        <f>SUM(I10:I20)</f>
        <v>10</v>
      </c>
      <c r="J21" s="1535"/>
      <c r="K21" s="1502">
        <f>SUM(K10:K20)</f>
        <v>44212.5</v>
      </c>
      <c r="L21" s="1550">
        <f>SUM(L10:L20)</f>
        <v>10</v>
      </c>
      <c r="M21" s="1551"/>
      <c r="N21" s="1552">
        <f>N20</f>
        <v>987300</v>
      </c>
      <c r="O21" s="1547">
        <f>SUM(O10:O20)</f>
        <v>10</v>
      </c>
      <c r="P21" s="1536"/>
      <c r="Q21" s="1537">
        <f>Q20</f>
        <v>1018800</v>
      </c>
      <c r="R21" s="1544">
        <f>SUM(R10:R20)</f>
        <v>3646.7839999999997</v>
      </c>
      <c r="S21" s="1538">
        <f>SUM(S10:S20)</f>
        <v>359627305</v>
      </c>
      <c r="T21" s="4"/>
      <c r="X21" s="1646">
        <f>X20*7/107</f>
        <v>5.4953271028037385</v>
      </c>
      <c r="Y21" s="521">
        <f>SUM(Y10:Y19)/10</f>
        <v>5.4953271028037385</v>
      </c>
      <c r="AA21" s="521">
        <f>AA20*7/107</f>
        <v>2.3224299065420562</v>
      </c>
      <c r="AB21" s="1645">
        <f>48.5*AF19</f>
        <v>4041666.6666666665</v>
      </c>
      <c r="AC21" s="1679">
        <f>48.5*AF19</f>
        <v>4041666.6666666665</v>
      </c>
    </row>
    <row r="22" spans="1:33" x14ac:dyDescent="0.25">
      <c r="A22" s="1539" t="s">
        <v>40</v>
      </c>
      <c r="B22" s="1562" t="s">
        <v>175</v>
      </c>
      <c r="C22" s="2042"/>
      <c r="D22" s="2043"/>
      <c r="E22" s="2044"/>
      <c r="F22" s="2045"/>
      <c r="G22" s="2046"/>
      <c r="H22" s="2047"/>
      <c r="I22" s="2048"/>
      <c r="J22" s="2049"/>
      <c r="K22" s="2050"/>
      <c r="L22" s="2051"/>
      <c r="M22" s="2052"/>
      <c r="N22" s="2053"/>
      <c r="O22" s="2054"/>
      <c r="P22" s="2055"/>
      <c r="Q22" s="2056"/>
      <c r="R22" s="2057"/>
      <c r="S22" s="2058"/>
      <c r="T22" s="4"/>
      <c r="U22" s="1400"/>
      <c r="V22" s="1400"/>
      <c r="W22" s="1400"/>
      <c r="X22" s="1198">
        <f>AF19*X21</f>
        <v>457943.92523364484</v>
      </c>
      <c r="Y22" s="1400"/>
      <c r="Z22" s="1400"/>
      <c r="AA22" s="1686">
        <f>AF19*AA21</f>
        <v>193535.82554517133</v>
      </c>
      <c r="AB22" s="1400"/>
      <c r="AC22" s="1400"/>
      <c r="AD22" s="1400"/>
    </row>
    <row r="23" spans="1:33" x14ac:dyDescent="0.25">
      <c r="A23" s="1541" t="s">
        <v>32</v>
      </c>
      <c r="B23" s="1610" t="s">
        <v>928</v>
      </c>
      <c r="C23" s="2029">
        <f>E21/C21</f>
        <v>1183.2680934714908</v>
      </c>
      <c r="D23" s="2030"/>
      <c r="E23" s="2031"/>
      <c r="F23" s="2032">
        <f>H21/F21</f>
        <v>3242.25</v>
      </c>
      <c r="G23" s="2033"/>
      <c r="H23" s="2034"/>
      <c r="I23" s="2035">
        <f>K21/I21</f>
        <v>4421.25</v>
      </c>
      <c r="J23" s="2036"/>
      <c r="K23" s="2037"/>
      <c r="L23" s="2029">
        <f>M20</f>
        <v>98730</v>
      </c>
      <c r="M23" s="2030"/>
      <c r="N23" s="2038"/>
      <c r="O23" s="2039">
        <f>P20</f>
        <v>101880</v>
      </c>
      <c r="P23" s="2030"/>
      <c r="Q23" s="2038"/>
      <c r="R23" s="2040">
        <f>S21</f>
        <v>359627305</v>
      </c>
      <c r="S23" s="2041"/>
    </row>
    <row r="24" spans="1:33" x14ac:dyDescent="0.25">
      <c r="A24" s="1540" t="s">
        <v>33</v>
      </c>
      <c r="B24" s="1563" t="s">
        <v>169</v>
      </c>
      <c r="C24" s="2014"/>
      <c r="D24" s="2015"/>
      <c r="E24" s="2016"/>
      <c r="F24" s="2017"/>
      <c r="G24" s="2018"/>
      <c r="H24" s="2019"/>
      <c r="I24" s="2020"/>
      <c r="J24" s="2021"/>
      <c r="K24" s="2022"/>
      <c r="L24" s="1904"/>
      <c r="M24" s="1905"/>
      <c r="N24" s="1906"/>
      <c r="O24" s="1907"/>
      <c r="P24" s="1908"/>
      <c r="Q24" s="1909"/>
      <c r="R24" s="2027"/>
      <c r="S24" s="2028"/>
    </row>
    <row r="25" spans="1:33" x14ac:dyDescent="0.25">
      <c r="A25" s="1540">
        <v>1</v>
      </c>
      <c r="B25" s="1563" t="s">
        <v>143</v>
      </c>
      <c r="C25" s="2014">
        <f>C23*(7/107)</f>
        <v>77.410062189723689</v>
      </c>
      <c r="D25" s="2015"/>
      <c r="E25" s="2016"/>
      <c r="F25" s="2017">
        <f>F23*(7/107)</f>
        <v>212.10981308411212</v>
      </c>
      <c r="G25" s="2018"/>
      <c r="H25" s="2019"/>
      <c r="I25" s="2020">
        <f>I23*(7/107)</f>
        <v>289.24065420560743</v>
      </c>
      <c r="J25" s="2021"/>
      <c r="K25" s="2022"/>
      <c r="L25" s="1904">
        <f>L23*7/107</f>
        <v>6458.9719626168226</v>
      </c>
      <c r="M25" s="1905"/>
      <c r="N25" s="1906"/>
      <c r="O25" s="1907">
        <f>O23*(7/107)</f>
        <v>6665.0467289719618</v>
      </c>
      <c r="P25" s="1908"/>
      <c r="Q25" s="1909"/>
      <c r="R25" s="2025">
        <f>R23/1.07*0.07</f>
        <v>23527019.953271031</v>
      </c>
      <c r="S25" s="2026"/>
    </row>
    <row r="26" spans="1:33" x14ac:dyDescent="0.25">
      <c r="A26" s="1540">
        <v>2</v>
      </c>
      <c r="B26" s="1563" t="s">
        <v>147</v>
      </c>
      <c r="C26" s="2014">
        <f>R6/1000*12</f>
        <v>1055.1600000000001</v>
      </c>
      <c r="D26" s="2015"/>
      <c r="E26" s="2016"/>
      <c r="F26" s="2017">
        <f>R6/1000*33</f>
        <v>2901.69</v>
      </c>
      <c r="G26" s="2018"/>
      <c r="H26" s="2019"/>
      <c r="I26" s="2020">
        <f>R6/1000*45</f>
        <v>3956.8500000000004</v>
      </c>
      <c r="J26" s="2021"/>
      <c r="K26" s="2022"/>
      <c r="L26" s="1904">
        <f>R6</f>
        <v>87930</v>
      </c>
      <c r="M26" s="1905"/>
      <c r="N26" s="1906"/>
      <c r="O26" s="1907">
        <f>SUM(R3:R5)*O6</f>
        <v>87930</v>
      </c>
      <c r="P26" s="1908"/>
      <c r="Q26" s="1909"/>
      <c r="R26" s="2023">
        <f>R6*R21</f>
        <v>320661717.11999995</v>
      </c>
      <c r="S26" s="2024"/>
    </row>
    <row r="27" spans="1:33" x14ac:dyDescent="0.25">
      <c r="A27" s="1540">
        <v>3</v>
      </c>
      <c r="B27" s="1563" t="s">
        <v>197</v>
      </c>
      <c r="C27" s="2014">
        <f>(310/1000)*0.5*12</f>
        <v>1.8599999999999999</v>
      </c>
      <c r="D27" s="2015"/>
      <c r="E27" s="2016"/>
      <c r="F27" s="2017">
        <f>(310/1000)*0.5*33</f>
        <v>5.1150000000000002</v>
      </c>
      <c r="G27" s="2018"/>
      <c r="H27" s="2019"/>
      <c r="I27" s="2020">
        <f>(310/1000)*0.5*45</f>
        <v>6.9749999999999996</v>
      </c>
      <c r="J27" s="2021"/>
      <c r="K27" s="2022"/>
      <c r="L27" s="1904">
        <v>0</v>
      </c>
      <c r="M27" s="1905"/>
      <c r="N27" s="1906"/>
      <c r="O27" s="1907">
        <v>0</v>
      </c>
      <c r="P27" s="1908"/>
      <c r="Q27" s="1909"/>
      <c r="R27" s="2012">
        <f>C27*C21+F21*F27+I21*I27</f>
        <v>562151.52</v>
      </c>
      <c r="S27" s="2013"/>
    </row>
    <row r="28" spans="1:33" x14ac:dyDescent="0.25">
      <c r="A28" s="1540">
        <v>4</v>
      </c>
      <c r="B28" s="1563" t="s">
        <v>158</v>
      </c>
      <c r="C28" s="2014">
        <v>0.98</v>
      </c>
      <c r="D28" s="2015"/>
      <c r="E28" s="2016"/>
      <c r="F28" s="2017">
        <v>0.98</v>
      </c>
      <c r="G28" s="2018"/>
      <c r="H28" s="2019"/>
      <c r="I28" s="2020">
        <v>0.98</v>
      </c>
      <c r="J28" s="2021"/>
      <c r="K28" s="2022"/>
      <c r="L28" s="1904">
        <v>0</v>
      </c>
      <c r="M28" s="1905"/>
      <c r="N28" s="1906"/>
      <c r="O28" s="1907">
        <v>0</v>
      </c>
      <c r="P28" s="1908"/>
      <c r="Q28" s="1909"/>
      <c r="R28" s="2012">
        <f>C21*C28+F21*F28+I21*I28</f>
        <v>296143.25999999995</v>
      </c>
      <c r="S28" s="2013"/>
    </row>
    <row r="29" spans="1:33" x14ac:dyDescent="0.25">
      <c r="A29" s="1540">
        <v>5</v>
      </c>
      <c r="B29" s="1563" t="s">
        <v>170</v>
      </c>
      <c r="C29" s="2014">
        <v>0</v>
      </c>
      <c r="D29" s="2015"/>
      <c r="E29" s="2016"/>
      <c r="F29" s="2017">
        <v>0</v>
      </c>
      <c r="G29" s="2018"/>
      <c r="H29" s="2019"/>
      <c r="I29" s="2020">
        <v>0</v>
      </c>
      <c r="J29" s="2021"/>
      <c r="K29" s="2022"/>
      <c r="L29" s="1904">
        <f>5400/17</f>
        <v>317.64705882352939</v>
      </c>
      <c r="M29" s="1905"/>
      <c r="N29" s="1906"/>
      <c r="O29" s="1907">
        <v>3700</v>
      </c>
      <c r="P29" s="1908"/>
      <c r="Q29" s="1909"/>
      <c r="R29" s="2012">
        <f>L21*L29+O21*O29</f>
        <v>40176.470588235294</v>
      </c>
      <c r="S29" s="2013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5">
      <c r="A30" s="1542"/>
      <c r="B30" s="1564" t="s">
        <v>39</v>
      </c>
      <c r="C30" s="1997">
        <f>SUM(C25:C29)</f>
        <v>1135.4100621897237</v>
      </c>
      <c r="D30" s="1998"/>
      <c r="E30" s="1999"/>
      <c r="F30" s="2000">
        <f>SUM(F25:F29)</f>
        <v>3119.8948130841118</v>
      </c>
      <c r="G30" s="2001"/>
      <c r="H30" s="2002"/>
      <c r="I30" s="2003">
        <f>SUM(I25:I29)</f>
        <v>4254.0456542056081</v>
      </c>
      <c r="J30" s="2004"/>
      <c r="K30" s="2005"/>
      <c r="L30" s="2006">
        <f>SUM(L25:L29)</f>
        <v>94706.619021440347</v>
      </c>
      <c r="M30" s="2007"/>
      <c r="N30" s="2008"/>
      <c r="O30" s="2009">
        <f>SUM(O25:O29)</f>
        <v>98295.046728971967</v>
      </c>
      <c r="P30" s="2010"/>
      <c r="Q30" s="2011"/>
      <c r="R30" s="2012">
        <f>SUM(R25:S29)</f>
        <v>345087208.32385916</v>
      </c>
      <c r="S30" s="2013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3" ht="15" thickBot="1" x14ac:dyDescent="0.3">
      <c r="A31" s="1542"/>
      <c r="B31" s="1564" t="s">
        <v>159</v>
      </c>
      <c r="C31" s="1997">
        <f>C23-C30</f>
        <v>47.858031281767126</v>
      </c>
      <c r="D31" s="1998"/>
      <c r="E31" s="1999"/>
      <c r="F31" s="2000">
        <f>F23-F30</f>
        <v>122.35518691588823</v>
      </c>
      <c r="G31" s="2001"/>
      <c r="H31" s="2002"/>
      <c r="I31" s="2003">
        <f>I23-I30</f>
        <v>167.20434579439188</v>
      </c>
      <c r="J31" s="2004"/>
      <c r="K31" s="2005"/>
      <c r="L31" s="2006">
        <f>L23-L30</f>
        <v>4023.3809785596532</v>
      </c>
      <c r="M31" s="2007"/>
      <c r="N31" s="2008"/>
      <c r="O31" s="2009">
        <f>O23-O30</f>
        <v>3584.9532710280328</v>
      </c>
      <c r="P31" s="2010"/>
      <c r="Q31" s="2011"/>
      <c r="R31" s="2012">
        <f>R23-R30</f>
        <v>14540096.676140845</v>
      </c>
      <c r="S31" s="2013"/>
      <c r="T31" s="4"/>
    </row>
    <row r="32" spans="1:33" x14ac:dyDescent="0.25">
      <c r="A32" s="1556" t="s">
        <v>41</v>
      </c>
      <c r="B32" s="1562" t="s">
        <v>165</v>
      </c>
      <c r="C32" s="1980"/>
      <c r="D32" s="1981"/>
      <c r="E32" s="1982"/>
      <c r="F32" s="1983"/>
      <c r="G32" s="1984"/>
      <c r="H32" s="1985"/>
      <c r="I32" s="1986"/>
      <c r="J32" s="1987"/>
      <c r="K32" s="1988"/>
      <c r="L32" s="1989"/>
      <c r="M32" s="1990"/>
      <c r="N32" s="1991"/>
      <c r="O32" s="1992"/>
      <c r="P32" s="1993"/>
      <c r="Q32" s="1994"/>
      <c r="R32" s="1995"/>
      <c r="S32" s="1996"/>
      <c r="T32" s="4"/>
    </row>
    <row r="33" spans="1:30" hidden="1" outlineLevel="1" x14ac:dyDescent="0.25">
      <c r="A33" s="1557" t="s">
        <v>32</v>
      </c>
      <c r="B33" s="1565" t="s">
        <v>455</v>
      </c>
      <c r="C33" s="1963"/>
      <c r="D33" s="1964"/>
      <c r="E33" s="1965"/>
      <c r="F33" s="1966"/>
      <c r="G33" s="1967"/>
      <c r="H33" s="1968"/>
      <c r="I33" s="1969"/>
      <c r="J33" s="1970"/>
      <c r="K33" s="1971"/>
      <c r="L33" s="1972"/>
      <c r="M33" s="1973"/>
      <c r="N33" s="1974"/>
      <c r="O33" s="1975"/>
      <c r="P33" s="1976"/>
      <c r="Q33" s="1977"/>
      <c r="R33" s="1978"/>
      <c r="S33" s="1979"/>
      <c r="T33" s="4"/>
    </row>
    <row r="34" spans="1:30" hidden="1" outlineLevel="1" x14ac:dyDescent="0.25">
      <c r="A34" s="1558">
        <v>1</v>
      </c>
      <c r="B34" s="1566" t="s">
        <v>698</v>
      </c>
      <c r="C34" s="1895">
        <f>((R34/($C$21*$C$23+$F$21*$F$23+$I$21*$I$23)*($C$21*$C$23))/$C$21)</f>
        <v>7.631229615656171E-2</v>
      </c>
      <c r="D34" s="1896"/>
      <c r="E34" s="1897"/>
      <c r="F34" s="1898">
        <f t="shared" ref="F34:F73" si="14">(R34/($C$21*$C$23+$F$21*$F$23+$I$21*$I$23)*($F$21*$F$23))/$F$21</f>
        <v>0.20910184562461839</v>
      </c>
      <c r="G34" s="1899"/>
      <c r="H34" s="1900"/>
      <c r="I34" s="1901">
        <f t="shared" ref="I34:I73" si="15">(R34/($C$21*$C$23+$F$21*$F$23+$I$21*$I$23)*($I$21*$I$23))/$I$21</f>
        <v>0.28513888039720692</v>
      </c>
      <c r="J34" s="1902"/>
      <c r="K34" s="1903"/>
      <c r="L34" s="1904"/>
      <c r="M34" s="1905"/>
      <c r="N34" s="1906"/>
      <c r="O34" s="1907"/>
      <c r="P34" s="1908"/>
      <c r="Q34" s="1909"/>
      <c r="R34" s="1910">
        <v>23064</v>
      </c>
      <c r="S34" s="1911"/>
    </row>
    <row r="35" spans="1:30" hidden="1" outlineLevel="1" x14ac:dyDescent="0.25">
      <c r="A35" s="1558">
        <v>2</v>
      </c>
      <c r="B35" s="1566" t="s">
        <v>699</v>
      </c>
      <c r="C35" s="1895">
        <f t="shared" ref="C35:C73" si="16">(R35/($C$21*$C$23+$F$21*$F$23+$I$21*$I$23)*$C$21*$C$23)/$C$21</f>
        <v>9.1808003537265176E-2</v>
      </c>
      <c r="D35" s="1896"/>
      <c r="E35" s="1897"/>
      <c r="F35" s="1898">
        <f t="shared" si="14"/>
        <v>0.25156133348901955</v>
      </c>
      <c r="G35" s="1899"/>
      <c r="H35" s="1900"/>
      <c r="I35" s="1901">
        <f t="shared" si="15"/>
        <v>0.34303818203048114</v>
      </c>
      <c r="J35" s="1902"/>
      <c r="K35" s="1903"/>
      <c r="L35" s="1904"/>
      <c r="M35" s="1905"/>
      <c r="N35" s="1906"/>
      <c r="O35" s="1907"/>
      <c r="P35" s="1908"/>
      <c r="Q35" s="1909"/>
      <c r="R35" s="1910">
        <v>27747.294999999998</v>
      </c>
      <c r="S35" s="1911"/>
    </row>
    <row r="36" spans="1:30" hidden="1" outlineLevel="1" x14ac:dyDescent="0.25">
      <c r="A36" s="1558">
        <v>3</v>
      </c>
      <c r="B36" s="1566" t="s">
        <v>700</v>
      </c>
      <c r="C36" s="1895">
        <f t="shared" si="16"/>
        <v>5.3419500663736554E-2</v>
      </c>
      <c r="D36" s="1896"/>
      <c r="E36" s="1897"/>
      <c r="F36" s="1898">
        <f t="shared" si="14"/>
        <v>0.14637373979962964</v>
      </c>
      <c r="G36" s="1899"/>
      <c r="H36" s="1900"/>
      <c r="I36" s="1901">
        <f t="shared" si="15"/>
        <v>0.19960055427222223</v>
      </c>
      <c r="J36" s="1902"/>
      <c r="K36" s="1903"/>
      <c r="L36" s="1904"/>
      <c r="M36" s="1905"/>
      <c r="N36" s="1906"/>
      <c r="O36" s="1907"/>
      <c r="P36" s="1908"/>
      <c r="Q36" s="1909"/>
      <c r="R36" s="1910">
        <v>16145.07</v>
      </c>
      <c r="S36" s="1911"/>
    </row>
    <row r="37" spans="1:30" hidden="1" outlineLevel="1" x14ac:dyDescent="0.25">
      <c r="A37" s="1558">
        <v>4</v>
      </c>
      <c r="B37" s="1566" t="s">
        <v>701</v>
      </c>
      <c r="C37" s="1895">
        <f t="shared" si="16"/>
        <v>3.3055757663550546E-2</v>
      </c>
      <c r="D37" s="1896"/>
      <c r="E37" s="1897"/>
      <c r="F37" s="1898">
        <f t="shared" si="14"/>
        <v>9.0575441758270467E-2</v>
      </c>
      <c r="G37" s="1899"/>
      <c r="H37" s="1900"/>
      <c r="I37" s="1901">
        <f t="shared" si="15"/>
        <v>0.12351196603400519</v>
      </c>
      <c r="J37" s="1902"/>
      <c r="K37" s="1903"/>
      <c r="L37" s="1904"/>
      <c r="M37" s="1905"/>
      <c r="N37" s="1906"/>
      <c r="O37" s="1907"/>
      <c r="P37" s="1908"/>
      <c r="Q37" s="1909"/>
      <c r="R37" s="1910">
        <v>9990.5</v>
      </c>
      <c r="S37" s="1911"/>
    </row>
    <row r="38" spans="1:30" hidden="1" outlineLevel="1" x14ac:dyDescent="0.25">
      <c r="A38" s="1558">
        <v>5</v>
      </c>
      <c r="B38" s="1566" t="s">
        <v>702</v>
      </c>
      <c r="C38" s="1895">
        <f t="shared" si="16"/>
        <v>1.9753052725228645E-2</v>
      </c>
      <c r="D38" s="1896"/>
      <c r="E38" s="1897"/>
      <c r="F38" s="1898">
        <f t="shared" si="14"/>
        <v>5.4124957439254773E-2</v>
      </c>
      <c r="G38" s="1899"/>
      <c r="H38" s="1900"/>
      <c r="I38" s="1901">
        <f t="shared" si="15"/>
        <v>7.3806760144438321E-2</v>
      </c>
      <c r="J38" s="1902"/>
      <c r="K38" s="1903"/>
      <c r="L38" s="1904"/>
      <c r="M38" s="1905"/>
      <c r="N38" s="1906"/>
      <c r="O38" s="1907"/>
      <c r="P38" s="1908"/>
      <c r="Q38" s="1909"/>
      <c r="R38" s="1910">
        <v>5970</v>
      </c>
      <c r="S38" s="1911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idden="1" outlineLevel="1" x14ac:dyDescent="0.25">
      <c r="A39" s="1558">
        <v>6</v>
      </c>
      <c r="B39" s="1566" t="s">
        <v>703</v>
      </c>
      <c r="C39" s="1895">
        <f t="shared" si="16"/>
        <v>0.14856148532039634</v>
      </c>
      <c r="D39" s="1896"/>
      <c r="E39" s="1897"/>
      <c r="F39" s="1898">
        <f t="shared" si="14"/>
        <v>0.40707045042253587</v>
      </c>
      <c r="G39" s="1899"/>
      <c r="H39" s="1900"/>
      <c r="I39" s="1901">
        <f t="shared" si="15"/>
        <v>0.55509606875800344</v>
      </c>
      <c r="J39" s="1902"/>
      <c r="K39" s="1903"/>
      <c r="L39" s="1904"/>
      <c r="M39" s="1905"/>
      <c r="N39" s="1906"/>
      <c r="O39" s="1907"/>
      <c r="P39" s="1908"/>
      <c r="Q39" s="1909"/>
      <c r="R39" s="1910">
        <v>44900</v>
      </c>
      <c r="S39" s="1911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idden="1" outlineLevel="1" x14ac:dyDescent="0.25">
      <c r="A40" s="1558">
        <v>7</v>
      </c>
      <c r="B40" s="1566" t="s">
        <v>704</v>
      </c>
      <c r="C40" s="1895">
        <f t="shared" si="16"/>
        <v>0.22695081331665629</v>
      </c>
      <c r="D40" s="1896"/>
      <c r="E40" s="1897"/>
      <c r="F40" s="1898">
        <f t="shared" si="14"/>
        <v>0.6218635307888134</v>
      </c>
      <c r="G40" s="1899"/>
      <c r="H40" s="1900"/>
      <c r="I40" s="1901">
        <f t="shared" si="15"/>
        <v>0.84799572380292731</v>
      </c>
      <c r="J40" s="1902"/>
      <c r="K40" s="1903"/>
      <c r="L40" s="1904"/>
      <c r="M40" s="1905"/>
      <c r="N40" s="1906"/>
      <c r="O40" s="1907"/>
      <c r="P40" s="1908"/>
      <c r="Q40" s="1909"/>
      <c r="R40" s="1910">
        <v>68591.744999999995</v>
      </c>
      <c r="S40" s="1911"/>
    </row>
    <row r="41" spans="1:30" hidden="1" outlineLevel="1" x14ac:dyDescent="0.25">
      <c r="A41" s="1558">
        <v>8</v>
      </c>
      <c r="B41" s="1566" t="s">
        <v>705</v>
      </c>
      <c r="C41" s="1895">
        <f t="shared" si="16"/>
        <v>7.1160752945326894E-2</v>
      </c>
      <c r="D41" s="1896"/>
      <c r="E41" s="1897"/>
      <c r="F41" s="1898">
        <f t="shared" si="14"/>
        <v>0.19498620178297318</v>
      </c>
      <c r="G41" s="1899"/>
      <c r="H41" s="1900"/>
      <c r="I41" s="1901">
        <f t="shared" si="15"/>
        <v>0.26589027515859975</v>
      </c>
      <c r="J41" s="1902"/>
      <c r="K41" s="1903"/>
      <c r="L41" s="1904"/>
      <c r="M41" s="1905"/>
      <c r="N41" s="1906"/>
      <c r="O41" s="1907"/>
      <c r="P41" s="1908"/>
      <c r="Q41" s="1909"/>
      <c r="R41" s="1910">
        <v>21507.040000000001</v>
      </c>
      <c r="S41" s="1911"/>
    </row>
    <row r="42" spans="1:30" hidden="1" outlineLevel="1" x14ac:dyDescent="0.25">
      <c r="A42" s="1558">
        <v>9</v>
      </c>
      <c r="B42" s="1566" t="s">
        <v>706</v>
      </c>
      <c r="C42" s="1895">
        <f t="shared" si="16"/>
        <v>2.4283615545262323</v>
      </c>
      <c r="D42" s="1896"/>
      <c r="E42" s="1897"/>
      <c r="F42" s="1898">
        <f t="shared" si="14"/>
        <v>6.6539064930447847</v>
      </c>
      <c r="G42" s="1899"/>
      <c r="H42" s="1900"/>
      <c r="I42" s="1901">
        <f t="shared" si="15"/>
        <v>9.0735088541519797</v>
      </c>
      <c r="J42" s="1902"/>
      <c r="K42" s="1903"/>
      <c r="L42" s="1904"/>
      <c r="M42" s="1905"/>
      <c r="N42" s="1906"/>
      <c r="O42" s="1907"/>
      <c r="P42" s="1908"/>
      <c r="Q42" s="1909"/>
      <c r="R42" s="1910">
        <v>733928</v>
      </c>
      <c r="S42" s="1911"/>
    </row>
    <row r="43" spans="1:30" hidden="1" outlineLevel="1" x14ac:dyDescent="0.25">
      <c r="A43" s="1558">
        <v>10</v>
      </c>
      <c r="B43" s="1566" t="s">
        <v>707</v>
      </c>
      <c r="C43" s="1895">
        <f t="shared" si="16"/>
        <v>2.3531427900155145E-2</v>
      </c>
      <c r="D43" s="1896"/>
      <c r="E43" s="1897"/>
      <c r="F43" s="1898">
        <f t="shared" si="14"/>
        <v>6.4478010123169296E-2</v>
      </c>
      <c r="G43" s="1899"/>
      <c r="H43" s="1900"/>
      <c r="I43" s="1901">
        <f t="shared" si="15"/>
        <v>8.7924559258867219E-2</v>
      </c>
      <c r="J43" s="1902"/>
      <c r="K43" s="1903"/>
      <c r="L43" s="1904"/>
      <c r="M43" s="1905"/>
      <c r="N43" s="1906"/>
      <c r="O43" s="1907"/>
      <c r="P43" s="1908"/>
      <c r="Q43" s="1909"/>
      <c r="R43" s="1910">
        <v>7111.9449999999997</v>
      </c>
      <c r="S43" s="1911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idden="1" outlineLevel="1" x14ac:dyDescent="0.25">
      <c r="A44" s="1558">
        <v>11</v>
      </c>
      <c r="B44" s="1566" t="s">
        <v>708</v>
      </c>
      <c r="C44" s="1895">
        <f t="shared" si="16"/>
        <v>2.6469752395616272E-2</v>
      </c>
      <c r="D44" s="1896"/>
      <c r="E44" s="1897"/>
      <c r="F44" s="1898">
        <f t="shared" si="14"/>
        <v>7.2529256200006387E-2</v>
      </c>
      <c r="G44" s="1899"/>
      <c r="H44" s="1900"/>
      <c r="I44" s="1901">
        <f t="shared" si="15"/>
        <v>9.890353118182689E-2</v>
      </c>
      <c r="J44" s="1902"/>
      <c r="K44" s="1903"/>
      <c r="L44" s="1904"/>
      <c r="M44" s="1905"/>
      <c r="N44" s="1906"/>
      <c r="O44" s="1907"/>
      <c r="P44" s="1908"/>
      <c r="Q44" s="1909"/>
      <c r="R44" s="1910">
        <v>8000</v>
      </c>
      <c r="S44" s="1911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idden="1" outlineLevel="1" x14ac:dyDescent="0.25">
      <c r="A45" s="1558">
        <v>12</v>
      </c>
      <c r="B45" s="1566" t="s">
        <v>709</v>
      </c>
      <c r="C45" s="1895">
        <f t="shared" si="16"/>
        <v>1.5053050402672523</v>
      </c>
      <c r="D45" s="1896"/>
      <c r="E45" s="1897"/>
      <c r="F45" s="1898">
        <f t="shared" si="14"/>
        <v>4.1246572046811378</v>
      </c>
      <c r="G45" s="1899"/>
      <c r="H45" s="1900"/>
      <c r="I45" s="1901">
        <f t="shared" si="15"/>
        <v>5.6245325518379152</v>
      </c>
      <c r="J45" s="1902"/>
      <c r="K45" s="1903"/>
      <c r="L45" s="1904"/>
      <c r="M45" s="1905"/>
      <c r="N45" s="1906"/>
      <c r="O45" s="1907"/>
      <c r="P45" s="1908"/>
      <c r="Q45" s="1909"/>
      <c r="R45" s="1910">
        <v>454951</v>
      </c>
      <c r="S45" s="1911"/>
    </row>
    <row r="46" spans="1:30" hidden="1" outlineLevel="1" x14ac:dyDescent="0.25">
      <c r="A46" s="1558">
        <v>13</v>
      </c>
      <c r="B46" s="1566" t="s">
        <v>710</v>
      </c>
      <c r="C46" s="1895">
        <f t="shared" si="16"/>
        <v>9.8713151301114341E-2</v>
      </c>
      <c r="D46" s="1896"/>
      <c r="E46" s="1897"/>
      <c r="F46" s="1898">
        <f t="shared" si="14"/>
        <v>0.27048199522313005</v>
      </c>
      <c r="G46" s="1899"/>
      <c r="H46" s="1900"/>
      <c r="I46" s="1901">
        <f t="shared" si="15"/>
        <v>0.36883908439517732</v>
      </c>
      <c r="J46" s="1902"/>
      <c r="K46" s="1903"/>
      <c r="L46" s="1904"/>
      <c r="M46" s="1905"/>
      <c r="N46" s="1906"/>
      <c r="O46" s="1907"/>
      <c r="P46" s="1908"/>
      <c r="Q46" s="1909"/>
      <c r="R46" s="1910">
        <v>29834.25</v>
      </c>
      <c r="S46" s="1911"/>
    </row>
    <row r="47" spans="1:30" hidden="1" outlineLevel="1" x14ac:dyDescent="0.25">
      <c r="A47" s="1558">
        <v>14</v>
      </c>
      <c r="B47" s="1566" t="s">
        <v>711</v>
      </c>
      <c r="C47" s="1895">
        <f t="shared" si="16"/>
        <v>1.2001369192577171</v>
      </c>
      <c r="D47" s="1896"/>
      <c r="E47" s="1897"/>
      <c r="F47" s="1898">
        <f t="shared" si="14"/>
        <v>3.2884719430297773</v>
      </c>
      <c r="G47" s="1899"/>
      <c r="H47" s="1900"/>
      <c r="I47" s="1901">
        <f t="shared" si="15"/>
        <v>4.4842799223133323</v>
      </c>
      <c r="J47" s="1902"/>
      <c r="K47" s="1903"/>
      <c r="L47" s="1904"/>
      <c r="M47" s="1905"/>
      <c r="N47" s="1906"/>
      <c r="O47" s="1907"/>
      <c r="P47" s="1908"/>
      <c r="Q47" s="1909"/>
      <c r="R47" s="1910">
        <v>362719.5</v>
      </c>
      <c r="S47" s="1911"/>
    </row>
    <row r="48" spans="1:30" hidden="1" outlineLevel="1" x14ac:dyDescent="0.25">
      <c r="A48" s="1558">
        <v>15</v>
      </c>
      <c r="B48" s="1566" t="s">
        <v>712</v>
      </c>
      <c r="C48" s="1895">
        <f t="shared" si="16"/>
        <v>6.2466961294129673E-2</v>
      </c>
      <c r="D48" s="1896"/>
      <c r="E48" s="1897"/>
      <c r="F48" s="1898">
        <f t="shared" si="14"/>
        <v>0.17116451155350257</v>
      </c>
      <c r="G48" s="1899"/>
      <c r="H48" s="1900"/>
      <c r="I48" s="1901">
        <f t="shared" si="15"/>
        <v>0.23340615211841259</v>
      </c>
      <c r="J48" s="1902"/>
      <c r="K48" s="1903"/>
      <c r="L48" s="1904"/>
      <c r="M48" s="1905"/>
      <c r="N48" s="1906"/>
      <c r="O48" s="1907"/>
      <c r="P48" s="1908"/>
      <c r="Q48" s="1909"/>
      <c r="R48" s="1910">
        <v>18879.5</v>
      </c>
      <c r="S48" s="1911"/>
    </row>
    <row r="49" spans="1:19" hidden="1" outlineLevel="1" x14ac:dyDescent="0.25">
      <c r="A49" s="1558">
        <v>16</v>
      </c>
      <c r="B49" s="1566" t="s">
        <v>713</v>
      </c>
      <c r="C49" s="1895">
        <f t="shared" si="16"/>
        <v>8.7350182905533702E-4</v>
      </c>
      <c r="D49" s="1896"/>
      <c r="E49" s="1897"/>
      <c r="F49" s="1898">
        <f t="shared" si="14"/>
        <v>2.3934654546002103E-3</v>
      </c>
      <c r="G49" s="1899"/>
      <c r="H49" s="1900"/>
      <c r="I49" s="1901">
        <f t="shared" si="15"/>
        <v>3.2638165290002873E-3</v>
      </c>
      <c r="J49" s="1902"/>
      <c r="K49" s="1903"/>
      <c r="L49" s="1904"/>
      <c r="M49" s="1905"/>
      <c r="N49" s="1906"/>
      <c r="O49" s="1907"/>
      <c r="P49" s="1908"/>
      <c r="Q49" s="1909"/>
      <c r="R49" s="1910">
        <v>264</v>
      </c>
      <c r="S49" s="1911"/>
    </row>
    <row r="50" spans="1:19" hidden="1" outlineLevel="1" x14ac:dyDescent="0.25">
      <c r="A50" s="1558">
        <v>17</v>
      </c>
      <c r="B50" s="1566" t="s">
        <v>714</v>
      </c>
      <c r="C50" s="1895">
        <f t="shared" si="16"/>
        <v>5.18619542583975E-2</v>
      </c>
      <c r="D50" s="1896"/>
      <c r="E50" s="1897"/>
      <c r="F50" s="1898">
        <f t="shared" si="14"/>
        <v>0.14210593704168076</v>
      </c>
      <c r="G50" s="1899"/>
      <c r="H50" s="1900"/>
      <c r="I50" s="1901">
        <f t="shared" si="15"/>
        <v>0.19378082323865559</v>
      </c>
      <c r="J50" s="1902"/>
      <c r="K50" s="1903"/>
      <c r="L50" s="1904"/>
      <c r="M50" s="1905"/>
      <c r="N50" s="1906"/>
      <c r="O50" s="1907"/>
      <c r="P50" s="1908"/>
      <c r="Q50" s="1909"/>
      <c r="R50" s="1910">
        <v>15674.33</v>
      </c>
      <c r="S50" s="1911"/>
    </row>
    <row r="51" spans="1:19" hidden="1" outlineLevel="1" x14ac:dyDescent="0.25">
      <c r="A51" s="1558">
        <v>18</v>
      </c>
      <c r="B51" s="1566" t="s">
        <v>715</v>
      </c>
      <c r="C51" s="1895">
        <f t="shared" si="16"/>
        <v>8.3785038129749134E-2</v>
      </c>
      <c r="D51" s="1896"/>
      <c r="E51" s="1897"/>
      <c r="F51" s="1898">
        <f t="shared" si="14"/>
        <v>0.22957776126558271</v>
      </c>
      <c r="G51" s="1899"/>
      <c r="H51" s="1900"/>
      <c r="I51" s="1901">
        <f t="shared" si="15"/>
        <v>0.31306058354397642</v>
      </c>
      <c r="J51" s="1902"/>
      <c r="K51" s="1903"/>
      <c r="L51" s="1904"/>
      <c r="M51" s="1905"/>
      <c r="N51" s="1906"/>
      <c r="O51" s="1907"/>
      <c r="P51" s="1908"/>
      <c r="Q51" s="1909"/>
      <c r="R51" s="1910">
        <v>25322.5</v>
      </c>
      <c r="S51" s="1911"/>
    </row>
    <row r="52" spans="1:19" hidden="1" outlineLevel="1" x14ac:dyDescent="0.25">
      <c r="A52" s="1558">
        <v>19</v>
      </c>
      <c r="B52" s="1566" t="s">
        <v>716</v>
      </c>
      <c r="C52" s="1895">
        <f t="shared" si="16"/>
        <v>1.2904004292862931E-3</v>
      </c>
      <c r="D52" s="1896"/>
      <c r="E52" s="1897"/>
      <c r="F52" s="1898">
        <f t="shared" si="14"/>
        <v>3.5358012397503106E-3</v>
      </c>
      <c r="G52" s="1899"/>
      <c r="H52" s="1900"/>
      <c r="I52" s="1901">
        <f t="shared" si="15"/>
        <v>4.8215471451140603E-3</v>
      </c>
      <c r="J52" s="1902"/>
      <c r="K52" s="1903"/>
      <c r="L52" s="1904"/>
      <c r="M52" s="1905"/>
      <c r="N52" s="1906"/>
      <c r="O52" s="1907"/>
      <c r="P52" s="1908"/>
      <c r="Q52" s="1909"/>
      <c r="R52" s="1910">
        <v>390</v>
      </c>
      <c r="S52" s="1911"/>
    </row>
    <row r="53" spans="1:19" hidden="1" outlineLevel="1" x14ac:dyDescent="0.25">
      <c r="A53" s="1558">
        <v>20</v>
      </c>
      <c r="B53" s="1566" t="s">
        <v>717</v>
      </c>
      <c r="C53" s="1895">
        <f t="shared" si="16"/>
        <v>0.14301938091256419</v>
      </c>
      <c r="D53" s="1896"/>
      <c r="E53" s="1897"/>
      <c r="F53" s="1898">
        <f t="shared" si="14"/>
        <v>0.39188463740565954</v>
      </c>
      <c r="G53" s="1899"/>
      <c r="H53" s="1900"/>
      <c r="I53" s="1901">
        <f t="shared" si="15"/>
        <v>0.53438814191680839</v>
      </c>
      <c r="J53" s="1902"/>
      <c r="K53" s="1903"/>
      <c r="L53" s="1904"/>
      <c r="M53" s="1905"/>
      <c r="N53" s="1906"/>
      <c r="O53" s="1907"/>
      <c r="P53" s="1908"/>
      <c r="Q53" s="1909"/>
      <c r="R53" s="1910">
        <v>43225</v>
      </c>
      <c r="S53" s="1911"/>
    </row>
    <row r="54" spans="1:19" hidden="1" outlineLevel="1" x14ac:dyDescent="0.25">
      <c r="A54" s="1558">
        <v>21</v>
      </c>
      <c r="B54" s="1566" t="s">
        <v>718</v>
      </c>
      <c r="C54" s="1895">
        <f t="shared" si="16"/>
        <v>0.45402242796580811</v>
      </c>
      <c r="D54" s="1896"/>
      <c r="E54" s="1897"/>
      <c r="F54" s="1898">
        <f t="shared" si="14"/>
        <v>1.2440580669706096</v>
      </c>
      <c r="G54" s="1899"/>
      <c r="H54" s="1900"/>
      <c r="I54" s="1901">
        <f t="shared" si="15"/>
        <v>1.6964428185962857</v>
      </c>
      <c r="J54" s="1902"/>
      <c r="K54" s="1903"/>
      <c r="L54" s="1904"/>
      <c r="M54" s="1905"/>
      <c r="N54" s="1906"/>
      <c r="O54" s="1907"/>
      <c r="P54" s="1908"/>
      <c r="Q54" s="1909"/>
      <c r="R54" s="1910">
        <v>137220</v>
      </c>
      <c r="S54" s="1911"/>
    </row>
    <row r="55" spans="1:19" hidden="1" outlineLevel="1" x14ac:dyDescent="0.25">
      <c r="A55" s="1558">
        <v>22</v>
      </c>
      <c r="B55" s="1566" t="s">
        <v>719</v>
      </c>
      <c r="C55" s="1895">
        <f t="shared" si="16"/>
        <v>1.6742118390227292E-3</v>
      </c>
      <c r="D55" s="1896"/>
      <c r="E55" s="1897"/>
      <c r="F55" s="1898">
        <f t="shared" si="14"/>
        <v>4.5874754546504038E-3</v>
      </c>
      <c r="G55" s="1899"/>
      <c r="H55" s="1900"/>
      <c r="I55" s="1901">
        <f t="shared" si="15"/>
        <v>6.2556483472505503E-3</v>
      </c>
      <c r="J55" s="1902"/>
      <c r="K55" s="1903"/>
      <c r="L55" s="1904"/>
      <c r="M55" s="1905"/>
      <c r="N55" s="1906"/>
      <c r="O55" s="1907"/>
      <c r="P55" s="1908"/>
      <c r="Q55" s="1909"/>
      <c r="R55" s="1910">
        <v>506</v>
      </c>
      <c r="S55" s="1911"/>
    </row>
    <row r="56" spans="1:19" hidden="1" outlineLevel="1" x14ac:dyDescent="0.25">
      <c r="A56" s="1558">
        <v>23</v>
      </c>
      <c r="B56" s="1566" t="s">
        <v>720</v>
      </c>
      <c r="C56" s="1895">
        <f t="shared" si="16"/>
        <v>1.654359524726017E-3</v>
      </c>
      <c r="D56" s="1896"/>
      <c r="E56" s="1897"/>
      <c r="F56" s="1898">
        <f t="shared" si="14"/>
        <v>4.5330785125003992E-3</v>
      </c>
      <c r="G56" s="1899"/>
      <c r="H56" s="1900"/>
      <c r="I56" s="1901">
        <f t="shared" si="15"/>
        <v>6.1814706988641806E-3</v>
      </c>
      <c r="J56" s="1902"/>
      <c r="K56" s="1903"/>
      <c r="L56" s="1904"/>
      <c r="M56" s="1905"/>
      <c r="N56" s="1906"/>
      <c r="O56" s="1907"/>
      <c r="P56" s="1908"/>
      <c r="Q56" s="1909"/>
      <c r="R56" s="1910">
        <v>500</v>
      </c>
      <c r="S56" s="1911"/>
    </row>
    <row r="57" spans="1:19" hidden="1" outlineLevel="1" x14ac:dyDescent="0.25">
      <c r="A57" s="1558">
        <v>24</v>
      </c>
      <c r="B57" s="1566" t="s">
        <v>721</v>
      </c>
      <c r="C57" s="1895">
        <f t="shared" si="16"/>
        <v>0.28218575849204142</v>
      </c>
      <c r="D57" s="1896"/>
      <c r="E57" s="1897"/>
      <c r="F57" s="1898">
        <f t="shared" si="14"/>
        <v>0.77321173495570561</v>
      </c>
      <c r="G57" s="1899"/>
      <c r="H57" s="1900"/>
      <c r="I57" s="1901">
        <f t="shared" si="15"/>
        <v>1.0543796385759623</v>
      </c>
      <c r="J57" s="1902"/>
      <c r="K57" s="1903"/>
      <c r="L57" s="1904"/>
      <c r="M57" s="1905"/>
      <c r="N57" s="1906"/>
      <c r="O57" s="1907"/>
      <c r="P57" s="1908"/>
      <c r="Q57" s="1909"/>
      <c r="R57" s="1910">
        <v>85285.5</v>
      </c>
      <c r="S57" s="1911"/>
    </row>
    <row r="58" spans="1:19" hidden="1" outlineLevel="1" x14ac:dyDescent="0.25">
      <c r="A58" s="1558">
        <v>25</v>
      </c>
      <c r="B58" s="1566" t="s">
        <v>722</v>
      </c>
      <c r="C58" s="1895">
        <f t="shared" si="16"/>
        <v>0.10587900958246509</v>
      </c>
      <c r="D58" s="1896"/>
      <c r="E58" s="1897"/>
      <c r="F58" s="1898">
        <f t="shared" si="14"/>
        <v>0.29011702480002555</v>
      </c>
      <c r="G58" s="1899"/>
      <c r="H58" s="1900"/>
      <c r="I58" s="1901">
        <f t="shared" si="15"/>
        <v>0.39561412472730756</v>
      </c>
      <c r="J58" s="1902"/>
      <c r="K58" s="1903"/>
      <c r="L58" s="1904"/>
      <c r="M58" s="1905"/>
      <c r="N58" s="1906"/>
      <c r="O58" s="1907"/>
      <c r="P58" s="1908"/>
      <c r="Q58" s="1909"/>
      <c r="R58" s="1910">
        <v>32000</v>
      </c>
      <c r="S58" s="1911"/>
    </row>
    <row r="59" spans="1:19" hidden="1" outlineLevel="1" x14ac:dyDescent="0.25">
      <c r="A59" s="1558">
        <v>26</v>
      </c>
      <c r="B59" s="1566" t="s">
        <v>723</v>
      </c>
      <c r="C59" s="1895">
        <f t="shared" si="16"/>
        <v>1.6543595247260172E-2</v>
      </c>
      <c r="D59" s="1896"/>
      <c r="E59" s="1897"/>
      <c r="F59" s="1898">
        <f t="shared" si="14"/>
        <v>4.5330785125003992E-2</v>
      </c>
      <c r="G59" s="1899"/>
      <c r="H59" s="1900"/>
      <c r="I59" s="1901">
        <f t="shared" si="15"/>
        <v>6.1814706988641797E-2</v>
      </c>
      <c r="J59" s="1902"/>
      <c r="K59" s="1903"/>
      <c r="L59" s="1904"/>
      <c r="M59" s="1905"/>
      <c r="N59" s="1906"/>
      <c r="O59" s="1907"/>
      <c r="P59" s="1908"/>
      <c r="Q59" s="1909"/>
      <c r="R59" s="1910">
        <v>5000</v>
      </c>
      <c r="S59" s="1911"/>
    </row>
    <row r="60" spans="1:19" hidden="1" outlineLevel="1" x14ac:dyDescent="0.25">
      <c r="A60" s="1558">
        <v>27</v>
      </c>
      <c r="B60" s="1566" t="s">
        <v>724</v>
      </c>
      <c r="C60" s="1895">
        <f t="shared" si="16"/>
        <v>4.5561061310954505E-2</v>
      </c>
      <c r="D60" s="1896"/>
      <c r="E60" s="1897"/>
      <c r="F60" s="1898">
        <f t="shared" si="14"/>
        <v>0.12484098223426099</v>
      </c>
      <c r="G60" s="1899"/>
      <c r="H60" s="1900"/>
      <c r="I60" s="1901">
        <f t="shared" si="15"/>
        <v>0.17023770304671954</v>
      </c>
      <c r="J60" s="1902"/>
      <c r="K60" s="1903"/>
      <c r="L60" s="1904"/>
      <c r="M60" s="1905"/>
      <c r="N60" s="1906"/>
      <c r="O60" s="1907"/>
      <c r="P60" s="1908"/>
      <c r="Q60" s="1909"/>
      <c r="R60" s="1910">
        <v>13770</v>
      </c>
      <c r="S60" s="1911"/>
    </row>
    <row r="61" spans="1:19" hidden="1" outlineLevel="1" x14ac:dyDescent="0.25">
      <c r="A61" s="1558">
        <v>28</v>
      </c>
      <c r="B61" s="1566" t="s">
        <v>725</v>
      </c>
      <c r="C61" s="1895">
        <f t="shared" si="16"/>
        <v>5.5479227902806185</v>
      </c>
      <c r="D61" s="1896"/>
      <c r="E61" s="1897"/>
      <c r="F61" s="1898">
        <f t="shared" si="14"/>
        <v>15.201755854004801</v>
      </c>
      <c r="G61" s="1899"/>
      <c r="H61" s="1900"/>
      <c r="I61" s="1901">
        <f t="shared" si="15"/>
        <v>20.729667073642911</v>
      </c>
      <c r="J61" s="1902"/>
      <c r="K61" s="1903"/>
      <c r="L61" s="1904"/>
      <c r="M61" s="1905"/>
      <c r="N61" s="1906"/>
      <c r="O61" s="1907"/>
      <c r="P61" s="1908"/>
      <c r="Q61" s="1909"/>
      <c r="R61" s="1910">
        <v>1676758.5</v>
      </c>
      <c r="S61" s="1911"/>
    </row>
    <row r="62" spans="1:19" hidden="1" outlineLevel="1" x14ac:dyDescent="0.25">
      <c r="A62" s="1558">
        <v>29</v>
      </c>
      <c r="B62" s="1566" t="s">
        <v>726</v>
      </c>
      <c r="C62" s="1895">
        <f t="shared" si="16"/>
        <v>7.3059825330950373E-2</v>
      </c>
      <c r="D62" s="1896"/>
      <c r="E62" s="1897"/>
      <c r="F62" s="1898">
        <f t="shared" si="14"/>
        <v>0.20018981326904264</v>
      </c>
      <c r="G62" s="1899"/>
      <c r="H62" s="1900"/>
      <c r="I62" s="1901">
        <f t="shared" si="15"/>
        <v>0.27298610900324</v>
      </c>
      <c r="J62" s="1902"/>
      <c r="K62" s="1903"/>
      <c r="L62" s="1904"/>
      <c r="M62" s="1905"/>
      <c r="N62" s="1906"/>
      <c r="O62" s="1907"/>
      <c r="P62" s="1908"/>
      <c r="Q62" s="1909"/>
      <c r="R62" s="1910">
        <v>22081</v>
      </c>
      <c r="S62" s="1911"/>
    </row>
    <row r="63" spans="1:19" hidden="1" outlineLevel="1" x14ac:dyDescent="0.25">
      <c r="A63" s="1558">
        <v>30</v>
      </c>
      <c r="B63" s="1566" t="s">
        <v>727</v>
      </c>
      <c r="C63" s="1895">
        <f t="shared" si="16"/>
        <v>3.7087431825307847E-2</v>
      </c>
      <c r="D63" s="1896"/>
      <c r="E63" s="1897"/>
      <c r="F63" s="1898">
        <f t="shared" si="14"/>
        <v>0.10162255409323392</v>
      </c>
      <c r="G63" s="1899"/>
      <c r="H63" s="1900"/>
      <c r="I63" s="1901">
        <f t="shared" si="15"/>
        <v>0.13857621012713719</v>
      </c>
      <c r="J63" s="1902"/>
      <c r="K63" s="1903"/>
      <c r="L63" s="1904"/>
      <c r="M63" s="1905"/>
      <c r="N63" s="1906"/>
      <c r="O63" s="1907"/>
      <c r="P63" s="1908"/>
      <c r="Q63" s="1909"/>
      <c r="R63" s="1910">
        <v>11209</v>
      </c>
      <c r="S63" s="1911"/>
    </row>
    <row r="64" spans="1:19" hidden="1" outlineLevel="1" x14ac:dyDescent="0.25">
      <c r="A64" s="1558">
        <v>31</v>
      </c>
      <c r="B64" s="1566" t="s">
        <v>728</v>
      </c>
      <c r="C64" s="1895">
        <f t="shared" si="16"/>
        <v>4.0349828808067551E-3</v>
      </c>
      <c r="D64" s="1896"/>
      <c r="E64" s="1897"/>
      <c r="F64" s="1898">
        <f t="shared" si="14"/>
        <v>1.1056178491988474E-2</v>
      </c>
      <c r="G64" s="1899"/>
      <c r="H64" s="1900"/>
      <c r="I64" s="1901">
        <f t="shared" si="15"/>
        <v>1.5076607034529737E-2</v>
      </c>
      <c r="J64" s="1902"/>
      <c r="K64" s="1903"/>
      <c r="L64" s="1904"/>
      <c r="M64" s="1905"/>
      <c r="N64" s="1906"/>
      <c r="O64" s="1907"/>
      <c r="P64" s="1908"/>
      <c r="Q64" s="1909"/>
      <c r="R64" s="1910">
        <v>1219.5</v>
      </c>
      <c r="S64" s="1911"/>
    </row>
    <row r="65" spans="1:20" hidden="1" outlineLevel="1" x14ac:dyDescent="0.25">
      <c r="A65" s="1558">
        <v>32</v>
      </c>
      <c r="B65" s="1566" t="s">
        <v>729</v>
      </c>
      <c r="C65" s="1895">
        <f t="shared" si="16"/>
        <v>0.15134577240051023</v>
      </c>
      <c r="D65" s="1896"/>
      <c r="E65" s="1897"/>
      <c r="F65" s="1898">
        <f t="shared" si="14"/>
        <v>0.41469962155907403</v>
      </c>
      <c r="G65" s="1899"/>
      <c r="H65" s="1900"/>
      <c r="I65" s="1901">
        <f t="shared" si="15"/>
        <v>0.56549948394419181</v>
      </c>
      <c r="J65" s="1902"/>
      <c r="K65" s="1903"/>
      <c r="L65" s="1904"/>
      <c r="M65" s="1905"/>
      <c r="N65" s="1906"/>
      <c r="O65" s="1907"/>
      <c r="P65" s="1908"/>
      <c r="Q65" s="1909"/>
      <c r="R65" s="1910">
        <v>45741.5</v>
      </c>
      <c r="S65" s="1911"/>
    </row>
    <row r="66" spans="1:20" hidden="1" outlineLevel="1" x14ac:dyDescent="0.25">
      <c r="A66" s="1558">
        <v>33</v>
      </c>
      <c r="B66" s="1566" t="s">
        <v>730</v>
      </c>
      <c r="C66" s="1895">
        <f t="shared" si="16"/>
        <v>0.11413426361084791</v>
      </c>
      <c r="D66" s="1896"/>
      <c r="E66" s="1897"/>
      <c r="F66" s="1898">
        <f t="shared" si="14"/>
        <v>0.31273708657740251</v>
      </c>
      <c r="G66" s="1899"/>
      <c r="H66" s="1900"/>
      <c r="I66" s="1901">
        <f t="shared" si="15"/>
        <v>0.42645966351463976</v>
      </c>
      <c r="J66" s="1902"/>
      <c r="K66" s="1903"/>
      <c r="L66" s="1904"/>
      <c r="M66" s="1905"/>
      <c r="N66" s="1906"/>
      <c r="O66" s="1907"/>
      <c r="P66" s="1908"/>
      <c r="Q66" s="1909"/>
      <c r="R66" s="1910">
        <v>34495</v>
      </c>
      <c r="S66" s="1911"/>
    </row>
    <row r="67" spans="1:20" hidden="1" outlineLevel="1" x14ac:dyDescent="0.25">
      <c r="A67" s="1558">
        <v>34</v>
      </c>
      <c r="B67" s="1566" t="s">
        <v>731</v>
      </c>
      <c r="C67" s="1895">
        <f t="shared" si="16"/>
        <v>0.62999665061091459</v>
      </c>
      <c r="D67" s="1896"/>
      <c r="E67" s="1897"/>
      <c r="F67" s="1898">
        <f t="shared" si="14"/>
        <v>1.7262416283452768</v>
      </c>
      <c r="G67" s="1899"/>
      <c r="H67" s="1900"/>
      <c r="I67" s="1901">
        <f t="shared" si="15"/>
        <v>2.3539658568344684</v>
      </c>
      <c r="J67" s="1902"/>
      <c r="K67" s="1903"/>
      <c r="L67" s="1904"/>
      <c r="M67" s="1905"/>
      <c r="N67" s="1906"/>
      <c r="O67" s="1907"/>
      <c r="P67" s="1908"/>
      <c r="Q67" s="1909"/>
      <c r="R67" s="1910">
        <v>190405</v>
      </c>
      <c r="S67" s="1911"/>
    </row>
    <row r="68" spans="1:20" hidden="1" outlineLevel="1" x14ac:dyDescent="0.25">
      <c r="A68" s="1558">
        <v>35</v>
      </c>
      <c r="B68" s="1566" t="s">
        <v>732</v>
      </c>
      <c r="C68" s="1895">
        <f t="shared" si="16"/>
        <v>3.6395909543972364E-2</v>
      </c>
      <c r="D68" s="1896"/>
      <c r="E68" s="1897"/>
      <c r="F68" s="1898">
        <f t="shared" si="14"/>
        <v>9.9727727275008768E-2</v>
      </c>
      <c r="G68" s="1899"/>
      <c r="H68" s="1900"/>
      <c r="I68" s="1901">
        <f t="shared" si="15"/>
        <v>0.13599235537501195</v>
      </c>
      <c r="J68" s="1902"/>
      <c r="K68" s="1903"/>
      <c r="L68" s="1904"/>
      <c r="M68" s="1905"/>
      <c r="N68" s="1906"/>
      <c r="O68" s="1907"/>
      <c r="P68" s="1908"/>
      <c r="Q68" s="1909"/>
      <c r="R68" s="1910">
        <v>11000</v>
      </c>
      <c r="S68" s="1911"/>
    </row>
    <row r="69" spans="1:20" hidden="1" outlineLevel="1" x14ac:dyDescent="0.25">
      <c r="A69" s="1558">
        <v>36</v>
      </c>
      <c r="B69" s="1566" t="s">
        <v>733</v>
      </c>
      <c r="C69" s="1895">
        <f t="shared" si="16"/>
        <v>0.66852544317213991</v>
      </c>
      <c r="D69" s="1896"/>
      <c r="E69" s="1897"/>
      <c r="F69" s="1898">
        <f t="shared" si="14"/>
        <v>1.8318136270925269</v>
      </c>
      <c r="G69" s="1899"/>
      <c r="H69" s="1900"/>
      <c r="I69" s="1901">
        <f t="shared" si="15"/>
        <v>2.4979276733079914</v>
      </c>
      <c r="J69" s="1902"/>
      <c r="K69" s="1903"/>
      <c r="L69" s="1904"/>
      <c r="M69" s="1905"/>
      <c r="N69" s="1906"/>
      <c r="O69" s="1907"/>
      <c r="P69" s="1908"/>
      <c r="Q69" s="1909"/>
      <c r="R69" s="1910">
        <v>202049.625</v>
      </c>
      <c r="S69" s="1911"/>
    </row>
    <row r="70" spans="1:20" hidden="1" outlineLevel="1" x14ac:dyDescent="0.25">
      <c r="A70" s="1558">
        <v>37</v>
      </c>
      <c r="B70" s="1566" t="s">
        <v>734</v>
      </c>
      <c r="C70" s="1895">
        <f t="shared" si="16"/>
        <v>9.0989773859930911E-3</v>
      </c>
      <c r="D70" s="1896"/>
      <c r="E70" s="1897"/>
      <c r="F70" s="1898">
        <f t="shared" si="14"/>
        <v>2.4931931818752192E-2</v>
      </c>
      <c r="G70" s="1899"/>
      <c r="H70" s="1900"/>
      <c r="I70" s="1901">
        <f t="shared" si="15"/>
        <v>3.3998088843752987E-2</v>
      </c>
      <c r="J70" s="1902"/>
      <c r="K70" s="1903"/>
      <c r="L70" s="1904"/>
      <c r="M70" s="1905"/>
      <c r="N70" s="1906"/>
      <c r="O70" s="1907"/>
      <c r="P70" s="1908"/>
      <c r="Q70" s="1909"/>
      <c r="R70" s="1910">
        <v>2750</v>
      </c>
      <c r="S70" s="1911"/>
    </row>
    <row r="71" spans="1:20" hidden="1" outlineLevel="1" x14ac:dyDescent="0.25">
      <c r="A71" s="1558">
        <v>38</v>
      </c>
      <c r="B71" s="1566" t="s">
        <v>735</v>
      </c>
      <c r="C71" s="1895">
        <f t="shared" si="16"/>
        <v>8.437233576102687E-3</v>
      </c>
      <c r="D71" s="1896"/>
      <c r="E71" s="1897"/>
      <c r="F71" s="1898">
        <f t="shared" si="14"/>
        <v>2.3118700413752032E-2</v>
      </c>
      <c r="G71" s="1899"/>
      <c r="H71" s="1900"/>
      <c r="I71" s="1901">
        <f t="shared" si="15"/>
        <v>3.1525500564207318E-2</v>
      </c>
      <c r="J71" s="1902"/>
      <c r="K71" s="1903"/>
      <c r="L71" s="1904"/>
      <c r="M71" s="1905"/>
      <c r="N71" s="1906"/>
      <c r="O71" s="1907"/>
      <c r="P71" s="1908"/>
      <c r="Q71" s="1909"/>
      <c r="R71" s="1910">
        <v>2550</v>
      </c>
      <c r="S71" s="1911"/>
    </row>
    <row r="72" spans="1:20" hidden="1" outlineLevel="1" x14ac:dyDescent="0.25">
      <c r="A72" s="1558">
        <v>39</v>
      </c>
      <c r="B72" s="1566" t="s">
        <v>736</v>
      </c>
      <c r="C72" s="1895">
        <f t="shared" si="16"/>
        <v>1.7688354135787208</v>
      </c>
      <c r="D72" s="1896"/>
      <c r="E72" s="1897"/>
      <c r="F72" s="1898">
        <f t="shared" si="14"/>
        <v>4.8467516797906329</v>
      </c>
      <c r="G72" s="1899"/>
      <c r="H72" s="1900"/>
      <c r="I72" s="1901">
        <f t="shared" si="15"/>
        <v>6.6092068360781351</v>
      </c>
      <c r="J72" s="1902"/>
      <c r="K72" s="1903"/>
      <c r="L72" s="1904"/>
      <c r="M72" s="1905"/>
      <c r="N72" s="1906"/>
      <c r="O72" s="1907"/>
      <c r="P72" s="1908"/>
      <c r="Q72" s="1909"/>
      <c r="R72" s="1910">
        <v>534598.25</v>
      </c>
      <c r="S72" s="1911"/>
    </row>
    <row r="73" spans="1:20" hidden="1" outlineLevel="1" x14ac:dyDescent="0.25">
      <c r="A73" s="1558">
        <v>40</v>
      </c>
      <c r="B73" s="1566" t="s">
        <v>737</v>
      </c>
      <c r="C73" s="1895">
        <f t="shared" si="16"/>
        <v>2.4815392870890258E-3</v>
      </c>
      <c r="D73" s="1896"/>
      <c r="E73" s="1897"/>
      <c r="F73" s="1898">
        <f t="shared" si="14"/>
        <v>6.7996177687505988E-3</v>
      </c>
      <c r="G73" s="1899"/>
      <c r="H73" s="1900"/>
      <c r="I73" s="1901">
        <f t="shared" si="15"/>
        <v>9.2722060482962713E-3</v>
      </c>
      <c r="J73" s="1902"/>
      <c r="K73" s="1903"/>
      <c r="L73" s="1904"/>
      <c r="M73" s="1905"/>
      <c r="N73" s="1906"/>
      <c r="O73" s="1907"/>
      <c r="P73" s="1908"/>
      <c r="Q73" s="1909"/>
      <c r="R73" s="1910">
        <v>750</v>
      </c>
      <c r="S73" s="1911"/>
    </row>
    <row r="74" spans="1:20" collapsed="1" x14ac:dyDescent="0.25">
      <c r="A74" s="1613"/>
      <c r="B74" s="1614" t="s">
        <v>456</v>
      </c>
      <c r="C74" s="1878">
        <f>SUM(C34:C73)</f>
        <v>16.305713402276247</v>
      </c>
      <c r="D74" s="1879"/>
      <c r="E74" s="1880"/>
      <c r="F74" s="1881">
        <f>SUM(F34:F73)</f>
        <v>44.678969685920897</v>
      </c>
      <c r="G74" s="1882"/>
      <c r="H74" s="1883"/>
      <c r="I74" s="1884">
        <f>SUM(I34:I73)</f>
        <v>60.925867753528486</v>
      </c>
      <c r="J74" s="1885"/>
      <c r="K74" s="1886"/>
      <c r="L74" s="1887">
        <f>SUM(L34:L73)</f>
        <v>0</v>
      </c>
      <c r="M74" s="1888"/>
      <c r="N74" s="1889"/>
      <c r="O74" s="1890">
        <f>SUM(O34:O73)</f>
        <v>0</v>
      </c>
      <c r="P74" s="1891"/>
      <c r="Q74" s="1892"/>
      <c r="R74" s="1893">
        <f>SUM(R34:R73)</f>
        <v>4928104.55</v>
      </c>
      <c r="S74" s="1894"/>
      <c r="T74" s="4"/>
    </row>
    <row r="75" spans="1:20" hidden="1" outlineLevel="1" x14ac:dyDescent="0.25">
      <c r="A75" s="1615" t="s">
        <v>33</v>
      </c>
      <c r="B75" s="1616" t="s">
        <v>457</v>
      </c>
      <c r="C75" s="1912"/>
      <c r="D75" s="1913"/>
      <c r="E75" s="1914"/>
      <c r="F75" s="1915"/>
      <c r="G75" s="1916"/>
      <c r="H75" s="1917"/>
      <c r="I75" s="1918"/>
      <c r="J75" s="1919"/>
      <c r="K75" s="1920"/>
      <c r="L75" s="1921"/>
      <c r="M75" s="1922"/>
      <c r="N75" s="1923"/>
      <c r="O75" s="1924"/>
      <c r="P75" s="1925"/>
      <c r="Q75" s="1926"/>
      <c r="R75" s="1927"/>
      <c r="S75" s="1928"/>
      <c r="T75" s="4"/>
    </row>
    <row r="76" spans="1:20" hidden="1" outlineLevel="1" x14ac:dyDescent="0.25">
      <c r="A76" s="1540">
        <v>1</v>
      </c>
      <c r="B76" s="1563" t="s">
        <v>701</v>
      </c>
      <c r="C76" s="1895">
        <f t="shared" ref="C76:C103" si="17">((R76/(($C$21*$C$23)+($F$21*$F$23)+($I$21*$I$23)+($L$21*$L$23)+($O$21*$O$23)))*($C$21*$C$23))/$C$21</f>
        <v>4.0963763204020509E-3</v>
      </c>
      <c r="D76" s="1896"/>
      <c r="E76" s="1897"/>
      <c r="F76" s="1898">
        <f t="shared" ref="F76:F103" si="18">((R76/(($C$21*$C$23)+($F$21*$F$23)+($I$21*$I$23)+($L$21*$L$23)+($O$21*$O$23)))*($F$21*$F$23))/$F$21</f>
        <v>1.122440146751371E-2</v>
      </c>
      <c r="G76" s="1899"/>
      <c r="H76" s="1900"/>
      <c r="I76" s="1901">
        <f t="shared" ref="I76:I103" si="19">((R76/(($C$21*$C$23)+($F$21*$F$23)+($I$21*$I$23)+($L$21*$L$23)+($O$21*$O$23)))*($I$21*$I$23))/$I$21</f>
        <v>1.5306002001155058E-2</v>
      </c>
      <c r="J76" s="1902"/>
      <c r="K76" s="1903"/>
      <c r="L76" s="1904">
        <f t="shared" ref="L76:L103" si="20">((R76/(($C$21*$C$23)+($F$21*$F$23)+($I$21*$I$23)+($L$21*$L$23)+($O$21*$O$23)))*($L$21*$L$23))/$L$21</f>
        <v>0.34179509812248549</v>
      </c>
      <c r="M76" s="1905"/>
      <c r="N76" s="1906"/>
      <c r="O76" s="1907">
        <f t="shared" ref="O76:O103" si="21">((R76/(($C$21*$C$23)+($F$21*$F$23)+($I$21*$I$23)+($L$21*$L$23)+($O$21*$O$23)))*($O$21*$O$23))/$O$21</f>
        <v>0.35270013771618375</v>
      </c>
      <c r="P76" s="1908"/>
      <c r="Q76" s="1909"/>
      <c r="R76" s="1910">
        <v>1245</v>
      </c>
      <c r="S76" s="1911"/>
    </row>
    <row r="77" spans="1:20" hidden="1" outlineLevel="1" x14ac:dyDescent="0.25">
      <c r="A77" s="1540">
        <v>2</v>
      </c>
      <c r="B77" s="1563" t="s">
        <v>738</v>
      </c>
      <c r="C77" s="1895">
        <f t="shared" si="17"/>
        <v>0.14954241266046042</v>
      </c>
      <c r="D77" s="1896"/>
      <c r="E77" s="1897"/>
      <c r="F77" s="1898">
        <f t="shared" si="18"/>
        <v>0.40975827044056079</v>
      </c>
      <c r="G77" s="1899"/>
      <c r="H77" s="1900"/>
      <c r="I77" s="1901">
        <f t="shared" si="19"/>
        <v>0.55876127787349195</v>
      </c>
      <c r="J77" s="1902"/>
      <c r="K77" s="1903"/>
      <c r="L77" s="1904">
        <f t="shared" si="20"/>
        <v>12.477580088085917</v>
      </c>
      <c r="M77" s="1905"/>
      <c r="N77" s="1906"/>
      <c r="O77" s="1907">
        <f t="shared" si="21"/>
        <v>12.875679726265503</v>
      </c>
      <c r="P77" s="1908"/>
      <c r="Q77" s="1909"/>
      <c r="R77" s="1910">
        <v>45450</v>
      </c>
      <c r="S77" s="1911"/>
    </row>
    <row r="78" spans="1:20" hidden="1" outlineLevel="1" x14ac:dyDescent="0.25">
      <c r="A78" s="1540">
        <v>3</v>
      </c>
      <c r="B78" s="1563" t="s">
        <v>739</v>
      </c>
      <c r="C78" s="1895">
        <f t="shared" si="17"/>
        <v>0.21621134855776689</v>
      </c>
      <c r="D78" s="1896"/>
      <c r="E78" s="1897"/>
      <c r="F78" s="1898">
        <f t="shared" si="18"/>
        <v>0.59243653127228479</v>
      </c>
      <c r="G78" s="1899"/>
      <c r="H78" s="1900"/>
      <c r="I78" s="1901">
        <f t="shared" si="19"/>
        <v>0.80786799718947933</v>
      </c>
      <c r="J78" s="1902"/>
      <c r="K78" s="1903"/>
      <c r="L78" s="1904">
        <f t="shared" si="20"/>
        <v>18.04032962680629</v>
      </c>
      <c r="M78" s="1905"/>
      <c r="N78" s="1906"/>
      <c r="O78" s="1907">
        <f t="shared" si="21"/>
        <v>18.615909879256808</v>
      </c>
      <c r="P78" s="1908"/>
      <c r="Q78" s="1909"/>
      <c r="R78" s="1910">
        <v>65712.5</v>
      </c>
      <c r="S78" s="1911"/>
    </row>
    <row r="79" spans="1:20" hidden="1" outlineLevel="1" x14ac:dyDescent="0.25">
      <c r="A79" s="1540">
        <v>4</v>
      </c>
      <c r="B79" s="1563" t="s">
        <v>740</v>
      </c>
      <c r="C79" s="1895">
        <f t="shared" si="17"/>
        <v>2.2544875941682616E-2</v>
      </c>
      <c r="D79" s="1896"/>
      <c r="E79" s="1897"/>
      <c r="F79" s="1898">
        <f t="shared" si="18"/>
        <v>6.17747781971116E-2</v>
      </c>
      <c r="G79" s="1899"/>
      <c r="H79" s="1900"/>
      <c r="I79" s="1901">
        <f t="shared" si="19"/>
        <v>8.4238333905152188E-2</v>
      </c>
      <c r="J79" s="1902"/>
      <c r="K79" s="1903"/>
      <c r="L79" s="1904">
        <f t="shared" si="20"/>
        <v>1.8811084436427876</v>
      </c>
      <c r="M79" s="1905"/>
      <c r="N79" s="1906"/>
      <c r="O79" s="1907">
        <f t="shared" si="21"/>
        <v>1.9411255772138882</v>
      </c>
      <c r="P79" s="1908"/>
      <c r="Q79" s="1909"/>
      <c r="R79" s="1910">
        <v>6852</v>
      </c>
      <c r="S79" s="1911"/>
    </row>
    <row r="80" spans="1:20" hidden="1" outlineLevel="1" x14ac:dyDescent="0.25">
      <c r="A80" s="1540">
        <v>5</v>
      </c>
      <c r="B80" s="1563" t="s">
        <v>699</v>
      </c>
      <c r="C80" s="1895">
        <f t="shared" si="17"/>
        <v>1.1083132740645056E-2</v>
      </c>
      <c r="D80" s="1896"/>
      <c r="E80" s="1897"/>
      <c r="F80" s="1898">
        <f t="shared" si="18"/>
        <v>3.0368677501420537E-2</v>
      </c>
      <c r="G80" s="1899"/>
      <c r="H80" s="1900"/>
      <c r="I80" s="1901">
        <f t="shared" si="19"/>
        <v>4.1411832956482555E-2</v>
      </c>
      <c r="J80" s="1902"/>
      <c r="K80" s="1903"/>
      <c r="L80" s="1904">
        <f t="shared" si="20"/>
        <v>0.92475889574068915</v>
      </c>
      <c r="M80" s="1905"/>
      <c r="N80" s="1906"/>
      <c r="O80" s="1907">
        <f t="shared" si="21"/>
        <v>0.95426350955192363</v>
      </c>
      <c r="P80" s="1908"/>
      <c r="Q80" s="1909"/>
      <c r="R80" s="1910">
        <v>3368.4650000000001</v>
      </c>
      <c r="S80" s="1911"/>
    </row>
    <row r="81" spans="1:30" hidden="1" outlineLevel="1" x14ac:dyDescent="0.25">
      <c r="A81" s="1540">
        <v>6</v>
      </c>
      <c r="B81" s="1563" t="s">
        <v>715</v>
      </c>
      <c r="C81" s="1895">
        <f t="shared" si="17"/>
        <v>6.5805242094812077E-4</v>
      </c>
      <c r="D81" s="1896"/>
      <c r="E81" s="1897"/>
      <c r="F81" s="1898">
        <f t="shared" si="18"/>
        <v>1.8031167016086282E-3</v>
      </c>
      <c r="G81" s="1899"/>
      <c r="H81" s="1900"/>
      <c r="I81" s="1901">
        <f t="shared" si="19"/>
        <v>2.4587955021935842E-3</v>
      </c>
      <c r="J81" s="1902"/>
      <c r="K81" s="1903"/>
      <c r="L81" s="1904">
        <f t="shared" si="20"/>
        <v>5.4906843071885224E-2</v>
      </c>
      <c r="M81" s="1905"/>
      <c r="N81" s="1906"/>
      <c r="O81" s="1907">
        <f t="shared" si="21"/>
        <v>5.665865666123434E-2</v>
      </c>
      <c r="P81" s="1908"/>
      <c r="Q81" s="1909"/>
      <c r="R81" s="1910">
        <v>200</v>
      </c>
      <c r="S81" s="1911"/>
    </row>
    <row r="82" spans="1:30" hidden="1" outlineLevel="1" x14ac:dyDescent="0.25">
      <c r="A82" s="1540">
        <v>7</v>
      </c>
      <c r="B82" s="1563" t="s">
        <v>741</v>
      </c>
      <c r="C82" s="1895">
        <f t="shared" si="17"/>
        <v>3.7015448678331792E-3</v>
      </c>
      <c r="D82" s="1896"/>
      <c r="E82" s="1897"/>
      <c r="F82" s="1898">
        <f t="shared" si="18"/>
        <v>1.0142531446548534E-2</v>
      </c>
      <c r="G82" s="1899"/>
      <c r="H82" s="1900"/>
      <c r="I82" s="1901">
        <f t="shared" si="19"/>
        <v>1.3830724699838908E-2</v>
      </c>
      <c r="J82" s="1902"/>
      <c r="K82" s="1903"/>
      <c r="L82" s="1904">
        <f t="shared" si="20"/>
        <v>0.30885099227935442</v>
      </c>
      <c r="M82" s="1905"/>
      <c r="N82" s="1906"/>
      <c r="O82" s="1907">
        <f t="shared" si="21"/>
        <v>0.31870494371944319</v>
      </c>
      <c r="P82" s="1908"/>
      <c r="Q82" s="1909"/>
      <c r="R82" s="1910">
        <v>1125</v>
      </c>
      <c r="S82" s="1911"/>
    </row>
    <row r="83" spans="1:30" hidden="1" outlineLevel="1" x14ac:dyDescent="0.25">
      <c r="A83" s="1540">
        <v>8</v>
      </c>
      <c r="B83" s="1563" t="s">
        <v>721</v>
      </c>
      <c r="C83" s="1895">
        <f t="shared" si="17"/>
        <v>1.8244503370786643E-2</v>
      </c>
      <c r="D83" s="1896"/>
      <c r="E83" s="1897"/>
      <c r="F83" s="1898">
        <f t="shared" si="18"/>
        <v>4.9991410552099207E-2</v>
      </c>
      <c r="G83" s="1899"/>
      <c r="H83" s="1900"/>
      <c r="I83" s="1901">
        <f t="shared" si="19"/>
        <v>6.8170105298317102E-2</v>
      </c>
      <c r="J83" s="1902"/>
      <c r="K83" s="1903"/>
      <c r="L83" s="1904">
        <f t="shared" si="20"/>
        <v>1.5222922241680175</v>
      </c>
      <c r="M83" s="1905"/>
      <c r="N83" s="1906"/>
      <c r="O83" s="1907">
        <f t="shared" si="21"/>
        <v>1.570861255932722</v>
      </c>
      <c r="P83" s="1908"/>
      <c r="Q83" s="1909"/>
      <c r="R83" s="1910">
        <v>5545</v>
      </c>
      <c r="S83" s="1911"/>
    </row>
    <row r="84" spans="1:30" hidden="1" outlineLevel="1" x14ac:dyDescent="0.25">
      <c r="A84" s="1540">
        <v>9</v>
      </c>
      <c r="B84" s="1563" t="s">
        <v>742</v>
      </c>
      <c r="C84" s="1895">
        <f t="shared" si="17"/>
        <v>8.8869979449043693E-2</v>
      </c>
      <c r="D84" s="1896"/>
      <c r="E84" s="1897"/>
      <c r="F84" s="1898">
        <f t="shared" si="18"/>
        <v>0.24351091055224522</v>
      </c>
      <c r="G84" s="1899"/>
      <c r="H84" s="1900"/>
      <c r="I84" s="1901">
        <f t="shared" si="19"/>
        <v>0.33206033257124351</v>
      </c>
      <c r="J84" s="1902"/>
      <c r="K84" s="1903"/>
      <c r="L84" s="1904">
        <f t="shared" si="20"/>
        <v>7.4151691568581004</v>
      </c>
      <c r="M84" s="1905"/>
      <c r="N84" s="1906"/>
      <c r="O84" s="1907">
        <f t="shared" si="21"/>
        <v>7.6517515820996973</v>
      </c>
      <c r="P84" s="1908"/>
      <c r="Q84" s="1909"/>
      <c r="R84" s="1910">
        <v>27010</v>
      </c>
      <c r="S84" s="1911"/>
    </row>
    <row r="85" spans="1:30" hidden="1" outlineLevel="1" x14ac:dyDescent="0.25">
      <c r="A85" s="1540">
        <v>10</v>
      </c>
      <c r="B85" s="1563" t="s">
        <v>734</v>
      </c>
      <c r="C85" s="1895">
        <f t="shared" si="17"/>
        <v>0.17984901690722613</v>
      </c>
      <c r="D85" s="1896"/>
      <c r="E85" s="1897"/>
      <c r="F85" s="1898">
        <f t="shared" si="18"/>
        <v>0.49280081013314614</v>
      </c>
      <c r="G85" s="1899"/>
      <c r="H85" s="1900"/>
      <c r="I85" s="1901">
        <f t="shared" si="19"/>
        <v>0.67200110472701746</v>
      </c>
      <c r="J85" s="1902"/>
      <c r="K85" s="1903"/>
      <c r="L85" s="1904">
        <f t="shared" si="20"/>
        <v>15.006314745761591</v>
      </c>
      <c r="M85" s="1905"/>
      <c r="N85" s="1906"/>
      <c r="O85" s="1907">
        <f t="shared" si="21"/>
        <v>15.485094158798651</v>
      </c>
      <c r="P85" s="1908"/>
      <c r="Q85" s="1909"/>
      <c r="R85" s="1910">
        <v>54661</v>
      </c>
      <c r="S85" s="1911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idden="1" outlineLevel="1" x14ac:dyDescent="0.25">
      <c r="A86" s="1540">
        <v>11</v>
      </c>
      <c r="B86" s="1563" t="s">
        <v>705</v>
      </c>
      <c r="C86" s="1895">
        <f t="shared" si="17"/>
        <v>2.5905171275322617E-2</v>
      </c>
      <c r="D86" s="1896"/>
      <c r="E86" s="1897"/>
      <c r="F86" s="1898">
        <f t="shared" si="18"/>
        <v>7.0982258400123427E-2</v>
      </c>
      <c r="G86" s="1899"/>
      <c r="H86" s="1900"/>
      <c r="I86" s="1901">
        <f t="shared" si="19"/>
        <v>9.6793988727441035E-2</v>
      </c>
      <c r="J86" s="1902"/>
      <c r="K86" s="1903"/>
      <c r="L86" s="1904">
        <f t="shared" si="20"/>
        <v>2.1614861197761388</v>
      </c>
      <c r="M86" s="1905"/>
      <c r="N86" s="1906"/>
      <c r="O86" s="1907">
        <f t="shared" si="21"/>
        <v>2.2304487580552315</v>
      </c>
      <c r="P86" s="1908"/>
      <c r="Q86" s="1909"/>
      <c r="R86" s="1910">
        <v>7873.2849999999989</v>
      </c>
      <c r="S86" s="1911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idden="1" outlineLevel="1" x14ac:dyDescent="0.25">
      <c r="A87" s="1540">
        <v>12</v>
      </c>
      <c r="B87" s="1563" t="s">
        <v>723</v>
      </c>
      <c r="C87" s="1895">
        <f t="shared" si="17"/>
        <v>0</v>
      </c>
      <c r="D87" s="1896"/>
      <c r="E87" s="1897"/>
      <c r="F87" s="1898">
        <f t="shared" si="18"/>
        <v>0</v>
      </c>
      <c r="G87" s="1899"/>
      <c r="H87" s="1900"/>
      <c r="I87" s="1901">
        <f t="shared" si="19"/>
        <v>0</v>
      </c>
      <c r="J87" s="1902"/>
      <c r="K87" s="1903"/>
      <c r="L87" s="1904">
        <f t="shared" si="20"/>
        <v>0</v>
      </c>
      <c r="M87" s="1905"/>
      <c r="N87" s="1906"/>
      <c r="O87" s="1907">
        <f t="shared" si="21"/>
        <v>0</v>
      </c>
      <c r="P87" s="1908"/>
      <c r="Q87" s="1909"/>
      <c r="R87" s="1910">
        <v>0</v>
      </c>
      <c r="S87" s="1911"/>
    </row>
    <row r="88" spans="1:30" hidden="1" outlineLevel="1" x14ac:dyDescent="0.25">
      <c r="A88" s="1540">
        <v>13</v>
      </c>
      <c r="B88" s="1563" t="s">
        <v>719</v>
      </c>
      <c r="C88" s="1895">
        <f t="shared" si="17"/>
        <v>3.0105898258376519E-3</v>
      </c>
      <c r="D88" s="1896"/>
      <c r="E88" s="1897"/>
      <c r="F88" s="1898">
        <f t="shared" si="18"/>
        <v>8.2492589098594731E-3</v>
      </c>
      <c r="G88" s="1899"/>
      <c r="H88" s="1900"/>
      <c r="I88" s="1901">
        <f t="shared" si="19"/>
        <v>1.1248989422535646E-2</v>
      </c>
      <c r="J88" s="1902"/>
      <c r="K88" s="1903"/>
      <c r="L88" s="1904">
        <f t="shared" si="20"/>
        <v>0.25119880705387487</v>
      </c>
      <c r="M88" s="1905"/>
      <c r="N88" s="1906"/>
      <c r="O88" s="1907">
        <f t="shared" si="21"/>
        <v>0.25921335422514707</v>
      </c>
      <c r="P88" s="1908"/>
      <c r="Q88" s="1909"/>
      <c r="R88" s="1910">
        <v>915</v>
      </c>
      <c r="S88" s="1911"/>
    </row>
    <row r="89" spans="1:30" hidden="1" outlineLevel="1" x14ac:dyDescent="0.25">
      <c r="A89" s="1540">
        <v>14</v>
      </c>
      <c r="B89" s="1563" t="s">
        <v>712</v>
      </c>
      <c r="C89" s="1895">
        <f t="shared" si="17"/>
        <v>2.2702808522710165E-2</v>
      </c>
      <c r="D89" s="1896"/>
      <c r="E89" s="1897"/>
      <c r="F89" s="1898">
        <f t="shared" si="18"/>
        <v>6.2207526205497674E-2</v>
      </c>
      <c r="G89" s="1899"/>
      <c r="H89" s="1900"/>
      <c r="I89" s="1901">
        <f t="shared" si="19"/>
        <v>8.4828444825678639E-2</v>
      </c>
      <c r="J89" s="1902"/>
      <c r="K89" s="1903"/>
      <c r="L89" s="1904">
        <f t="shared" si="20"/>
        <v>1.8942860859800401</v>
      </c>
      <c r="M89" s="1905"/>
      <c r="N89" s="1906"/>
      <c r="O89" s="1907">
        <f t="shared" si="21"/>
        <v>1.9547236548125848</v>
      </c>
      <c r="P89" s="1908"/>
      <c r="Q89" s="1909"/>
      <c r="R89" s="1910">
        <v>6900</v>
      </c>
      <c r="S89" s="1911"/>
    </row>
    <row r="90" spans="1:30" hidden="1" outlineLevel="1" x14ac:dyDescent="0.25">
      <c r="A90" s="1540">
        <v>15</v>
      </c>
      <c r="B90" s="1563" t="s">
        <v>698</v>
      </c>
      <c r="C90" s="1895">
        <f t="shared" si="17"/>
        <v>3.0681694126706127E-2</v>
      </c>
      <c r="D90" s="1896"/>
      <c r="E90" s="1897"/>
      <c r="F90" s="1898">
        <f t="shared" si="18"/>
        <v>8.4070316212502286E-2</v>
      </c>
      <c r="G90" s="1899"/>
      <c r="H90" s="1900"/>
      <c r="I90" s="1901">
        <f t="shared" si="19"/>
        <v>0.11464134028977584</v>
      </c>
      <c r="J90" s="1902"/>
      <c r="K90" s="1903"/>
      <c r="L90" s="1904">
        <f t="shared" si="20"/>
        <v>2.5600315582266484</v>
      </c>
      <c r="M90" s="1905"/>
      <c r="N90" s="1906"/>
      <c r="O90" s="1907">
        <f t="shared" si="21"/>
        <v>2.6417098668300509</v>
      </c>
      <c r="P90" s="1908"/>
      <c r="Q90" s="1909"/>
      <c r="R90" s="1910">
        <v>9325</v>
      </c>
      <c r="S90" s="1911"/>
    </row>
    <row r="91" spans="1:30" hidden="1" outlineLevel="1" x14ac:dyDescent="0.25">
      <c r="A91" s="1540">
        <v>16</v>
      </c>
      <c r="B91" s="1563" t="s">
        <v>725</v>
      </c>
      <c r="C91" s="1895">
        <f t="shared" si="17"/>
        <v>1.410749231339105</v>
      </c>
      <c r="D91" s="1896"/>
      <c r="E91" s="1897"/>
      <c r="F91" s="1898">
        <f t="shared" si="18"/>
        <v>3.8655666628261174</v>
      </c>
      <c r="G91" s="1899"/>
      <c r="H91" s="1900"/>
      <c r="I91" s="1901">
        <f t="shared" si="19"/>
        <v>5.2712272674901595</v>
      </c>
      <c r="J91" s="1902"/>
      <c r="K91" s="1903"/>
      <c r="L91" s="1904">
        <f t="shared" si="20"/>
        <v>117.71066284858435</v>
      </c>
      <c r="M91" s="1905"/>
      <c r="N91" s="1906"/>
      <c r="O91" s="1907">
        <f t="shared" si="21"/>
        <v>121.46624461677069</v>
      </c>
      <c r="P91" s="1908"/>
      <c r="Q91" s="1909"/>
      <c r="R91" s="1910">
        <v>428765</v>
      </c>
      <c r="S91" s="1911"/>
    </row>
    <row r="92" spans="1:30" hidden="1" outlineLevel="1" x14ac:dyDescent="0.25">
      <c r="A92" s="1540">
        <v>17</v>
      </c>
      <c r="B92" s="1563" t="s">
        <v>703</v>
      </c>
      <c r="C92" s="1895">
        <f t="shared" si="17"/>
        <v>0.16945014352519344</v>
      </c>
      <c r="D92" s="1896"/>
      <c r="E92" s="1897"/>
      <c r="F92" s="1898">
        <f t="shared" si="18"/>
        <v>0.46430705845597575</v>
      </c>
      <c r="G92" s="1899"/>
      <c r="H92" s="1900"/>
      <c r="I92" s="1901">
        <f t="shared" si="19"/>
        <v>0.63314598880360329</v>
      </c>
      <c r="J92" s="1902"/>
      <c r="K92" s="1903"/>
      <c r="L92" s="1904">
        <f t="shared" si="20"/>
        <v>14.138649358118125</v>
      </c>
      <c r="M92" s="1905"/>
      <c r="N92" s="1906"/>
      <c r="O92" s="1907">
        <f t="shared" si="21"/>
        <v>14.589745736909496</v>
      </c>
      <c r="P92" s="1908"/>
      <c r="Q92" s="1909"/>
      <c r="R92" s="1910">
        <v>51500.5</v>
      </c>
      <c r="S92" s="1911"/>
    </row>
    <row r="93" spans="1:30" hidden="1" outlineLevel="1" x14ac:dyDescent="0.25">
      <c r="A93" s="1540">
        <v>18</v>
      </c>
      <c r="B93" s="1563" t="s">
        <v>729</v>
      </c>
      <c r="C93" s="1895">
        <f t="shared" si="17"/>
        <v>2.5731494790123887E-2</v>
      </c>
      <c r="D93" s="1896"/>
      <c r="E93" s="1897"/>
      <c r="F93" s="1898">
        <f t="shared" si="18"/>
        <v>7.0506370824651388E-2</v>
      </c>
      <c r="G93" s="1899"/>
      <c r="H93" s="1900"/>
      <c r="I93" s="1901">
        <f t="shared" si="19"/>
        <v>9.6145051124524622E-2</v>
      </c>
      <c r="J93" s="1902"/>
      <c r="K93" s="1903"/>
      <c r="L93" s="1904">
        <f t="shared" si="20"/>
        <v>2.1469948312183922</v>
      </c>
      <c r="M93" s="1905"/>
      <c r="N93" s="1906"/>
      <c r="O93" s="1907">
        <f t="shared" si="21"/>
        <v>2.2154951220959158</v>
      </c>
      <c r="P93" s="1908"/>
      <c r="Q93" s="1909"/>
      <c r="R93" s="1910">
        <v>7820.5</v>
      </c>
      <c r="S93" s="1911"/>
    </row>
    <row r="94" spans="1:30" hidden="1" outlineLevel="1" x14ac:dyDescent="0.25">
      <c r="A94" s="1540">
        <v>19</v>
      </c>
      <c r="B94" s="1563" t="s">
        <v>727</v>
      </c>
      <c r="C94" s="1895">
        <f t="shared" si="17"/>
        <v>1.1283953888207899E-2</v>
      </c>
      <c r="D94" s="1896"/>
      <c r="E94" s="1897"/>
      <c r="F94" s="1898">
        <f t="shared" si="18"/>
        <v>3.0918943640833953E-2</v>
      </c>
      <c r="G94" s="1899"/>
      <c r="H94" s="1900"/>
      <c r="I94" s="1901">
        <f t="shared" si="19"/>
        <v>4.216219587386448E-2</v>
      </c>
      <c r="J94" s="1902"/>
      <c r="K94" s="1903"/>
      <c r="L94" s="1904">
        <f t="shared" si="20"/>
        <v>0.94151509157515179</v>
      </c>
      <c r="M94" s="1905"/>
      <c r="N94" s="1906"/>
      <c r="O94" s="1907">
        <f t="shared" si="21"/>
        <v>0.97155431509851586</v>
      </c>
      <c r="P94" s="1908"/>
      <c r="Q94" s="1909"/>
      <c r="R94" s="1910">
        <v>3429.5</v>
      </c>
      <c r="S94" s="1911"/>
    </row>
    <row r="95" spans="1:30" hidden="1" outlineLevel="1" x14ac:dyDescent="0.25">
      <c r="A95" s="1540">
        <v>20</v>
      </c>
      <c r="B95" s="1563" t="s">
        <v>700</v>
      </c>
      <c r="C95" s="1895">
        <f t="shared" si="17"/>
        <v>1.5381975339662322E-2</v>
      </c>
      <c r="D95" s="1896"/>
      <c r="E95" s="1897"/>
      <c r="F95" s="1898">
        <f t="shared" si="18"/>
        <v>4.2147852900101687E-2</v>
      </c>
      <c r="G95" s="1899"/>
      <c r="H95" s="1900"/>
      <c r="I95" s="1901">
        <f t="shared" si="19"/>
        <v>5.7474344863775027E-2</v>
      </c>
      <c r="J95" s="1902"/>
      <c r="K95" s="1903"/>
      <c r="L95" s="1904">
        <f t="shared" si="20"/>
        <v>1.2834474568053171</v>
      </c>
      <c r="M95" s="1905"/>
      <c r="N95" s="1906"/>
      <c r="O95" s="1907">
        <f t="shared" si="21"/>
        <v>1.3243960994563528</v>
      </c>
      <c r="P95" s="1908"/>
      <c r="Q95" s="1909"/>
      <c r="R95" s="1910">
        <v>4675</v>
      </c>
      <c r="S95" s="1911"/>
    </row>
    <row r="96" spans="1:30" hidden="1" outlineLevel="1" x14ac:dyDescent="0.25">
      <c r="A96" s="1540">
        <v>21</v>
      </c>
      <c r="B96" s="1563" t="s">
        <v>743</v>
      </c>
      <c r="C96" s="1895">
        <f t="shared" si="17"/>
        <v>0.39351534772697616</v>
      </c>
      <c r="D96" s="1896"/>
      <c r="E96" s="1897"/>
      <c r="F96" s="1898">
        <f t="shared" si="18"/>
        <v>1.0782637875619596</v>
      </c>
      <c r="G96" s="1899"/>
      <c r="H96" s="1900"/>
      <c r="I96" s="1901">
        <f t="shared" si="19"/>
        <v>1.4703597103117629</v>
      </c>
      <c r="J96" s="1902"/>
      <c r="K96" s="1903"/>
      <c r="L96" s="1904">
        <f t="shared" si="20"/>
        <v>32.83429215698736</v>
      </c>
      <c r="M96" s="1905"/>
      <c r="N96" s="1906"/>
      <c r="O96" s="1907">
        <f t="shared" si="21"/>
        <v>33.881876683418128</v>
      </c>
      <c r="P96" s="1908"/>
      <c r="Q96" s="1909"/>
      <c r="R96" s="1910">
        <v>119600</v>
      </c>
      <c r="S96" s="1911"/>
    </row>
    <row r="97" spans="1:20" hidden="1" outlineLevel="1" x14ac:dyDescent="0.25">
      <c r="A97" s="1540">
        <v>22</v>
      </c>
      <c r="B97" s="1563" t="s">
        <v>730</v>
      </c>
      <c r="C97" s="1895">
        <f t="shared" si="17"/>
        <v>0.13172893362539478</v>
      </c>
      <c r="D97" s="1896"/>
      <c r="E97" s="1897"/>
      <c r="F97" s="1898">
        <f t="shared" si="18"/>
        <v>0.36094790132801513</v>
      </c>
      <c r="G97" s="1899"/>
      <c r="H97" s="1900"/>
      <c r="I97" s="1901">
        <f t="shared" si="19"/>
        <v>0.49220168362911154</v>
      </c>
      <c r="J97" s="1902"/>
      <c r="K97" s="1903"/>
      <c r="L97" s="1904">
        <f t="shared" si="20"/>
        <v>10.991251846129982</v>
      </c>
      <c r="M97" s="1905"/>
      <c r="N97" s="1906"/>
      <c r="O97" s="1907">
        <f t="shared" si="21"/>
        <v>11.34192989044589</v>
      </c>
      <c r="P97" s="1908"/>
      <c r="Q97" s="1909"/>
      <c r="R97" s="1910">
        <v>40036</v>
      </c>
      <c r="S97" s="1911"/>
    </row>
    <row r="98" spans="1:20" hidden="1" outlineLevel="1" x14ac:dyDescent="0.25">
      <c r="A98" s="1540">
        <v>23</v>
      </c>
      <c r="B98" s="1563" t="s">
        <v>744</v>
      </c>
      <c r="C98" s="1895">
        <f t="shared" si="17"/>
        <v>0.40645430345386857</v>
      </c>
      <c r="D98" s="1896"/>
      <c r="E98" s="1897"/>
      <c r="F98" s="1898">
        <f t="shared" si="18"/>
        <v>1.1137175697073392</v>
      </c>
      <c r="G98" s="1899"/>
      <c r="H98" s="1900"/>
      <c r="I98" s="1901">
        <f t="shared" si="19"/>
        <v>1.5187057768736445</v>
      </c>
      <c r="J98" s="1902"/>
      <c r="K98" s="1903"/>
      <c r="L98" s="1904">
        <f t="shared" si="20"/>
        <v>33.913897958888306</v>
      </c>
      <c r="M98" s="1905"/>
      <c r="N98" s="1906"/>
      <c r="O98" s="1907">
        <f t="shared" si="21"/>
        <v>34.995927520019656</v>
      </c>
      <c r="P98" s="1908"/>
      <c r="Q98" s="1909"/>
      <c r="R98" s="1910">
        <v>123532.5</v>
      </c>
      <c r="S98" s="1911"/>
    </row>
    <row r="99" spans="1:20" hidden="1" outlineLevel="1" x14ac:dyDescent="0.25">
      <c r="A99" s="1540">
        <v>24</v>
      </c>
      <c r="B99" s="1563" t="s">
        <v>745</v>
      </c>
      <c r="C99" s="1895">
        <f t="shared" si="17"/>
        <v>6.4094305800346954E-3</v>
      </c>
      <c r="D99" s="1896"/>
      <c r="E99" s="1897"/>
      <c r="F99" s="1898">
        <f t="shared" si="18"/>
        <v>1.7562356673668039E-2</v>
      </c>
      <c r="G99" s="1899"/>
      <c r="H99" s="1900"/>
      <c r="I99" s="1901">
        <f t="shared" si="19"/>
        <v>2.3948668191365506E-2</v>
      </c>
      <c r="J99" s="1902"/>
      <c r="K99" s="1903"/>
      <c r="L99" s="1904">
        <f t="shared" si="20"/>
        <v>0.53479265152016198</v>
      </c>
      <c r="M99" s="1905"/>
      <c r="N99" s="1906"/>
      <c r="O99" s="1907">
        <f t="shared" si="21"/>
        <v>0.55185531588042247</v>
      </c>
      <c r="P99" s="1908"/>
      <c r="Q99" s="1909"/>
      <c r="R99" s="1910">
        <v>1948</v>
      </c>
      <c r="S99" s="1911"/>
    </row>
    <row r="100" spans="1:20" hidden="1" outlineLevel="1" x14ac:dyDescent="0.25">
      <c r="A100" s="1540">
        <v>25</v>
      </c>
      <c r="B100" s="1563" t="s">
        <v>731</v>
      </c>
      <c r="C100" s="1895">
        <f t="shared" si="17"/>
        <v>2.2128657785432927E-2</v>
      </c>
      <c r="D100" s="1896"/>
      <c r="E100" s="1897"/>
      <c r="F100" s="1898">
        <f t="shared" si="18"/>
        <v>6.0634306883344133E-2</v>
      </c>
      <c r="G100" s="1899"/>
      <c r="H100" s="1900"/>
      <c r="I100" s="1901">
        <f t="shared" si="19"/>
        <v>8.268314575001473E-2</v>
      </c>
      <c r="J100" s="1902"/>
      <c r="K100" s="1903"/>
      <c r="L100" s="1904">
        <f t="shared" si="20"/>
        <v>1.84637986539982</v>
      </c>
      <c r="M100" s="1905"/>
      <c r="N100" s="1906"/>
      <c r="O100" s="1907">
        <f t="shared" si="21"/>
        <v>1.9052889768756576</v>
      </c>
      <c r="P100" s="1908"/>
      <c r="Q100" s="1909"/>
      <c r="R100" s="1910">
        <v>6725.5</v>
      </c>
      <c r="S100" s="1911"/>
    </row>
    <row r="101" spans="1:20" hidden="1" outlineLevel="1" x14ac:dyDescent="0.25">
      <c r="A101" s="1540">
        <v>26</v>
      </c>
      <c r="B101" s="1563" t="s">
        <v>746</v>
      </c>
      <c r="C101" s="1895">
        <f t="shared" si="17"/>
        <v>1.7027106392032622E-2</v>
      </c>
      <c r="D101" s="1896"/>
      <c r="E101" s="1897"/>
      <c r="F101" s="1898">
        <f t="shared" si="18"/>
        <v>4.6655644654123252E-2</v>
      </c>
      <c r="G101" s="1899"/>
      <c r="H101" s="1900"/>
      <c r="I101" s="1901">
        <f t="shared" si="19"/>
        <v>6.362133361925898E-2</v>
      </c>
      <c r="J101" s="1902"/>
      <c r="K101" s="1903"/>
      <c r="L101" s="1904">
        <f t="shared" si="20"/>
        <v>1.4207145644850301</v>
      </c>
      <c r="M101" s="1905"/>
      <c r="N101" s="1906"/>
      <c r="O101" s="1907">
        <f t="shared" si="21"/>
        <v>1.4660427411094386</v>
      </c>
      <c r="P101" s="1908"/>
      <c r="Q101" s="1909"/>
      <c r="R101" s="1910">
        <v>5175</v>
      </c>
      <c r="S101" s="1911"/>
    </row>
    <row r="102" spans="1:20" hidden="1" outlineLevel="1" x14ac:dyDescent="0.25">
      <c r="A102" s="1540">
        <v>27</v>
      </c>
      <c r="B102" s="1563" t="s">
        <v>717</v>
      </c>
      <c r="C102" s="1895">
        <f t="shared" si="17"/>
        <v>3.3955504920923029E-3</v>
      </c>
      <c r="D102" s="1896"/>
      <c r="E102" s="1897"/>
      <c r="F102" s="1898">
        <f t="shared" si="18"/>
        <v>9.304082180300521E-3</v>
      </c>
      <c r="G102" s="1899"/>
      <c r="H102" s="1900"/>
      <c r="I102" s="1901">
        <f t="shared" si="19"/>
        <v>1.2687384791318892E-2</v>
      </c>
      <c r="J102" s="1902"/>
      <c r="K102" s="1903"/>
      <c r="L102" s="1904">
        <f t="shared" si="20"/>
        <v>0.28331931025092771</v>
      </c>
      <c r="M102" s="1905"/>
      <c r="N102" s="1906"/>
      <c r="O102" s="1907">
        <f t="shared" si="21"/>
        <v>0.29235866837196917</v>
      </c>
      <c r="P102" s="1908"/>
      <c r="Q102" s="1909"/>
      <c r="R102" s="1910">
        <v>1032</v>
      </c>
      <c r="S102" s="1911"/>
    </row>
    <row r="103" spans="1:20" hidden="1" outlineLevel="1" x14ac:dyDescent="0.25">
      <c r="A103" s="1540">
        <v>28</v>
      </c>
      <c r="B103" s="1563" t="s">
        <v>747</v>
      </c>
      <c r="C103" s="1895">
        <f t="shared" si="17"/>
        <v>1.5684679453298454E-2</v>
      </c>
      <c r="D103" s="1896"/>
      <c r="E103" s="1897"/>
      <c r="F103" s="1898">
        <f t="shared" si="18"/>
        <v>4.2977286582841653E-2</v>
      </c>
      <c r="G103" s="1899"/>
      <c r="H103" s="1900"/>
      <c r="I103" s="1901">
        <f t="shared" si="19"/>
        <v>5.8605390794784072E-2</v>
      </c>
      <c r="J103" s="1902"/>
      <c r="K103" s="1903"/>
      <c r="L103" s="1904">
        <f t="shared" si="20"/>
        <v>1.3087046046183841</v>
      </c>
      <c r="M103" s="1905"/>
      <c r="N103" s="1906"/>
      <c r="O103" s="1907">
        <f t="shared" si="21"/>
        <v>1.3504590815205204</v>
      </c>
      <c r="P103" s="1908"/>
      <c r="Q103" s="1909"/>
      <c r="R103" s="1910">
        <v>4767</v>
      </c>
      <c r="S103" s="1911"/>
    </row>
    <row r="104" spans="1:20" collapsed="1" x14ac:dyDescent="0.25">
      <c r="A104" s="1613"/>
      <c r="B104" s="1614" t="s">
        <v>762</v>
      </c>
      <c r="C104" s="1946">
        <f>SUM(C76:C103)</f>
        <v>3.406042315378794</v>
      </c>
      <c r="D104" s="1947"/>
      <c r="E104" s="1948"/>
      <c r="F104" s="1949">
        <f>SUM(F76:F103)</f>
        <v>9.3328306222117927</v>
      </c>
      <c r="G104" s="1950"/>
      <c r="H104" s="1951"/>
      <c r="I104" s="1952">
        <f>SUM(I76:I103)</f>
        <v>12.726587212106992</v>
      </c>
      <c r="J104" s="1953"/>
      <c r="K104" s="1954"/>
      <c r="L104" s="1955">
        <f>SUM(L76:L103)</f>
        <v>284.19473123015507</v>
      </c>
      <c r="M104" s="1956"/>
      <c r="N104" s="1957"/>
      <c r="O104" s="1958">
        <f>SUM(O76:O103)</f>
        <v>293.26201982911175</v>
      </c>
      <c r="P104" s="1959"/>
      <c r="Q104" s="1960"/>
      <c r="R104" s="1961">
        <f>SUM(R76:R103)</f>
        <v>1035188.75</v>
      </c>
      <c r="S104" s="1962"/>
      <c r="T104" s="4"/>
    </row>
    <row r="105" spans="1:20" hidden="1" outlineLevel="1" x14ac:dyDescent="0.25">
      <c r="A105" s="1615" t="s">
        <v>35</v>
      </c>
      <c r="B105" s="1616" t="s">
        <v>459</v>
      </c>
      <c r="C105" s="1929"/>
      <c r="D105" s="1930"/>
      <c r="E105" s="1931"/>
      <c r="F105" s="1932"/>
      <c r="G105" s="1933"/>
      <c r="H105" s="1934"/>
      <c r="I105" s="1935"/>
      <c r="J105" s="1936"/>
      <c r="K105" s="1937"/>
      <c r="L105" s="1938"/>
      <c r="M105" s="1939"/>
      <c r="N105" s="1940"/>
      <c r="O105" s="1941"/>
      <c r="P105" s="1942"/>
      <c r="Q105" s="1943"/>
      <c r="R105" s="1944"/>
      <c r="S105" s="1945"/>
      <c r="T105" s="4"/>
    </row>
    <row r="106" spans="1:20" hidden="1" outlineLevel="1" x14ac:dyDescent="0.25">
      <c r="A106" s="1540">
        <v>1</v>
      </c>
      <c r="B106" s="1563" t="s">
        <v>701</v>
      </c>
      <c r="C106" s="1895">
        <f t="shared" ref="C106:C115" si="22">((R106/(($C$21*$C$23)+($F$21*$F$23)+($I$21*$I$23)+($L$21*$L$23)+($O$21*$O$23)))*($C$21*$C$23))/$C$21</f>
        <v>3.2112958142268295E-3</v>
      </c>
      <c r="D106" s="1896"/>
      <c r="E106" s="1897"/>
      <c r="F106" s="1898">
        <f t="shared" ref="F106:F115" si="23">((R106/(($C$21*$C$23)+($F$21*$F$23)+($I$21*$I$23)+($L$21*$L$23)+($O$21*$O$23)))*($F$21*$F$23))/$F$21</f>
        <v>8.7992095038501063E-3</v>
      </c>
      <c r="G106" s="1899"/>
      <c r="H106" s="1900"/>
      <c r="I106" s="1901">
        <f t="shared" ref="I106:I115" si="24">((R106/(($C$21*$C$23)+($F$21*$F$23)+($I$21*$I$23)+($L$21*$L$23)+($O$21*$O$23)))*($I$21*$I$23))/$I$21</f>
        <v>1.1998922050704689E-2</v>
      </c>
      <c r="J106" s="1902"/>
      <c r="K106" s="1903"/>
      <c r="L106" s="1904">
        <f t="shared" ref="L106:L115" si="25">((R106/(($C$21*$C$23)+($F$21*$F$23)+($I$21*$I$23)+($L$21*$L$23)+($O$21*$O$23)))*($L$21*$L$23))/$L$21</f>
        <v>0.26794539419079988</v>
      </c>
      <c r="M106" s="1905"/>
      <c r="N106" s="1906"/>
      <c r="O106" s="1907">
        <f t="shared" ref="O106:O115" si="26">((R106/(($C$21*$C$23)+($F$21*$F$23)+($I$21*$I$23)+($L$21*$L$23)+($O$21*$O$23)))*($O$21*$O$23))/$O$21</f>
        <v>0.27649424450682358</v>
      </c>
      <c r="P106" s="1908"/>
      <c r="Q106" s="1909"/>
      <c r="R106" s="1910">
        <v>976</v>
      </c>
      <c r="S106" s="1911"/>
    </row>
    <row r="107" spans="1:20" hidden="1" outlineLevel="1" x14ac:dyDescent="0.25">
      <c r="A107" s="1540">
        <v>2</v>
      </c>
      <c r="B107" s="1563" t="s">
        <v>719</v>
      </c>
      <c r="C107" s="1895">
        <f t="shared" si="22"/>
        <v>5.3631272307271844E-3</v>
      </c>
      <c r="D107" s="1896"/>
      <c r="E107" s="1897"/>
      <c r="F107" s="1898">
        <f t="shared" si="23"/>
        <v>1.469540111811032E-2</v>
      </c>
      <c r="G107" s="1899"/>
      <c r="H107" s="1900"/>
      <c r="I107" s="1901">
        <f t="shared" si="24"/>
        <v>2.0039183342877707E-2</v>
      </c>
      <c r="J107" s="1902"/>
      <c r="K107" s="1903"/>
      <c r="L107" s="1904">
        <f t="shared" si="25"/>
        <v>0.44749077103586454</v>
      </c>
      <c r="M107" s="1905"/>
      <c r="N107" s="1906"/>
      <c r="O107" s="1907">
        <f t="shared" si="26"/>
        <v>0.46176805178905989</v>
      </c>
      <c r="P107" s="1908"/>
      <c r="Q107" s="1909"/>
      <c r="R107" s="1910">
        <v>1630</v>
      </c>
      <c r="S107" s="1911"/>
    </row>
    <row r="108" spans="1:20" hidden="1" outlineLevel="1" x14ac:dyDescent="0.25">
      <c r="A108" s="1540">
        <v>3</v>
      </c>
      <c r="B108" s="1563" t="s">
        <v>705</v>
      </c>
      <c r="C108" s="1895">
        <f t="shared" si="22"/>
        <v>9.8707863142218099E-4</v>
      </c>
      <c r="D108" s="1896"/>
      <c r="E108" s="1897"/>
      <c r="F108" s="1898">
        <f t="shared" si="23"/>
        <v>2.7046750524129422E-3</v>
      </c>
      <c r="G108" s="1899"/>
      <c r="H108" s="1900"/>
      <c r="I108" s="1901">
        <f t="shared" si="24"/>
        <v>3.6881932532903763E-3</v>
      </c>
      <c r="J108" s="1902"/>
      <c r="K108" s="1903"/>
      <c r="L108" s="1904">
        <f t="shared" si="25"/>
        <v>8.2360264607827832E-2</v>
      </c>
      <c r="M108" s="1905"/>
      <c r="N108" s="1906"/>
      <c r="O108" s="1907">
        <f t="shared" si="26"/>
        <v>8.4987984991851506E-2</v>
      </c>
      <c r="P108" s="1908"/>
      <c r="Q108" s="1909"/>
      <c r="R108" s="1910">
        <v>300</v>
      </c>
      <c r="S108" s="1911"/>
    </row>
    <row r="109" spans="1:20" hidden="1" outlineLevel="1" x14ac:dyDescent="0.25">
      <c r="A109" s="1540">
        <v>4</v>
      </c>
      <c r="B109" s="1563" t="s">
        <v>699</v>
      </c>
      <c r="C109" s="1895">
        <f t="shared" si="22"/>
        <v>1.3407818076817961E-3</v>
      </c>
      <c r="D109" s="1896"/>
      <c r="E109" s="1897"/>
      <c r="F109" s="1898">
        <f t="shared" si="23"/>
        <v>3.6738502795275801E-3</v>
      </c>
      <c r="G109" s="1899"/>
      <c r="H109" s="1900"/>
      <c r="I109" s="1901">
        <f t="shared" si="24"/>
        <v>5.0097958357194269E-3</v>
      </c>
      <c r="J109" s="1902"/>
      <c r="K109" s="1903"/>
      <c r="L109" s="1904">
        <f t="shared" si="25"/>
        <v>0.11187269275896614</v>
      </c>
      <c r="M109" s="1905"/>
      <c r="N109" s="1906"/>
      <c r="O109" s="1907">
        <f t="shared" si="26"/>
        <v>0.11544201294726497</v>
      </c>
      <c r="P109" s="1908"/>
      <c r="Q109" s="1909"/>
      <c r="R109" s="1910">
        <v>407.5</v>
      </c>
      <c r="S109" s="1911"/>
    </row>
    <row r="110" spans="1:20" hidden="1" outlineLevel="1" x14ac:dyDescent="0.25">
      <c r="A110" s="1540">
        <v>5</v>
      </c>
      <c r="B110" s="1563" t="s">
        <v>733</v>
      </c>
      <c r="C110" s="1895">
        <f t="shared" si="22"/>
        <v>0.82971274868824196</v>
      </c>
      <c r="D110" s="1896"/>
      <c r="E110" s="1897"/>
      <c r="F110" s="1898">
        <f t="shared" si="23"/>
        <v>2.273479843052379</v>
      </c>
      <c r="G110" s="1899"/>
      <c r="H110" s="1900"/>
      <c r="I110" s="1901">
        <f t="shared" si="24"/>
        <v>3.100199785980517</v>
      </c>
      <c r="J110" s="1902"/>
      <c r="K110" s="1903"/>
      <c r="L110" s="1904">
        <f t="shared" si="25"/>
        <v>69.229906671157806</v>
      </c>
      <c r="M110" s="1905"/>
      <c r="N110" s="1906"/>
      <c r="O110" s="1907">
        <f t="shared" si="26"/>
        <v>71.438700411805499</v>
      </c>
      <c r="P110" s="1908"/>
      <c r="Q110" s="1909"/>
      <c r="R110" s="1910">
        <v>252172.23499999999</v>
      </c>
      <c r="S110" s="1911"/>
    </row>
    <row r="111" spans="1:20" hidden="1" outlineLevel="1" x14ac:dyDescent="0.25">
      <c r="A111" s="1540">
        <v>6</v>
      </c>
      <c r="B111" s="1563" t="s">
        <v>749</v>
      </c>
      <c r="C111" s="1895">
        <f t="shared" si="22"/>
        <v>3.2474886973789755E-3</v>
      </c>
      <c r="D111" s="1896"/>
      <c r="E111" s="1897"/>
      <c r="F111" s="1898">
        <f t="shared" si="23"/>
        <v>8.8983809224385795E-3</v>
      </c>
      <c r="G111" s="1899"/>
      <c r="H111" s="1900"/>
      <c r="I111" s="1901">
        <f t="shared" si="24"/>
        <v>1.2134155803325337E-2</v>
      </c>
      <c r="J111" s="1902"/>
      <c r="K111" s="1903"/>
      <c r="L111" s="1904">
        <f t="shared" si="25"/>
        <v>0.27096527055975356</v>
      </c>
      <c r="M111" s="1905"/>
      <c r="N111" s="1906"/>
      <c r="O111" s="1907">
        <f t="shared" si="26"/>
        <v>0.2796104706231915</v>
      </c>
      <c r="P111" s="1908"/>
      <c r="Q111" s="1909"/>
      <c r="R111" s="1910">
        <v>987</v>
      </c>
      <c r="S111" s="1911"/>
    </row>
    <row r="112" spans="1:20" hidden="1" outlineLevel="1" x14ac:dyDescent="0.25">
      <c r="A112" s="1540">
        <v>7</v>
      </c>
      <c r="B112" s="1563" t="s">
        <v>725</v>
      </c>
      <c r="C112" s="1895">
        <f t="shared" si="22"/>
        <v>3.6191616401236306</v>
      </c>
      <c r="D112" s="1896"/>
      <c r="E112" s="1897"/>
      <c r="F112" s="1898">
        <f t="shared" si="23"/>
        <v>9.9167947588823946</v>
      </c>
      <c r="G112" s="1899"/>
      <c r="H112" s="1900"/>
      <c r="I112" s="1901">
        <f t="shared" si="24"/>
        <v>13.522901943930538</v>
      </c>
      <c r="J112" s="1902"/>
      <c r="K112" s="1903"/>
      <c r="L112" s="1904">
        <f t="shared" si="25"/>
        <v>301.9770673280774</v>
      </c>
      <c r="M112" s="1905"/>
      <c r="N112" s="1906"/>
      <c r="O112" s="1907">
        <f t="shared" si="26"/>
        <v>311.61170484538155</v>
      </c>
      <c r="P112" s="1908"/>
      <c r="Q112" s="1909"/>
      <c r="R112" s="1910">
        <v>1099961.5</v>
      </c>
      <c r="S112" s="1911"/>
    </row>
    <row r="113" spans="1:30" hidden="1" outlineLevel="1" x14ac:dyDescent="0.25">
      <c r="A113" s="1540">
        <v>8</v>
      </c>
      <c r="B113" s="1563" t="s">
        <v>735</v>
      </c>
      <c r="C113" s="1895">
        <f t="shared" si="22"/>
        <v>6.5805242094812077E-4</v>
      </c>
      <c r="D113" s="1896"/>
      <c r="E113" s="1897"/>
      <c r="F113" s="1898">
        <f t="shared" si="23"/>
        <v>1.8031167016086282E-3</v>
      </c>
      <c r="G113" s="1899"/>
      <c r="H113" s="1900"/>
      <c r="I113" s="1901">
        <f t="shared" si="24"/>
        <v>2.4587955021935842E-3</v>
      </c>
      <c r="J113" s="1902"/>
      <c r="K113" s="1903"/>
      <c r="L113" s="1904">
        <f t="shared" si="25"/>
        <v>5.4906843071885224E-2</v>
      </c>
      <c r="M113" s="1905"/>
      <c r="N113" s="1906"/>
      <c r="O113" s="1907">
        <f t="shared" si="26"/>
        <v>5.665865666123434E-2</v>
      </c>
      <c r="P113" s="1908"/>
      <c r="Q113" s="1909"/>
      <c r="R113" s="1910">
        <v>200</v>
      </c>
      <c r="S113" s="1911"/>
    </row>
    <row r="114" spans="1:30" hidden="1" outlineLevel="1" x14ac:dyDescent="0.25">
      <c r="A114" s="1540">
        <v>9</v>
      </c>
      <c r="B114" s="1563" t="s">
        <v>750</v>
      </c>
      <c r="C114" s="1895">
        <f t="shared" si="22"/>
        <v>0.55444206726983902</v>
      </c>
      <c r="D114" s="1896"/>
      <c r="E114" s="1897"/>
      <c r="F114" s="1898">
        <f t="shared" si="23"/>
        <v>1.5192159769403495</v>
      </c>
      <c r="G114" s="1899"/>
      <c r="H114" s="1900"/>
      <c r="I114" s="1901">
        <f t="shared" si="24"/>
        <v>2.0716581503732039</v>
      </c>
      <c r="J114" s="1902"/>
      <c r="K114" s="1903"/>
      <c r="L114" s="1904">
        <f t="shared" si="25"/>
        <v>46.261760630216891</v>
      </c>
      <c r="M114" s="1905"/>
      <c r="N114" s="1906"/>
      <c r="O114" s="1907">
        <f t="shared" si="26"/>
        <v>47.737751169922987</v>
      </c>
      <c r="P114" s="1908"/>
      <c r="Q114" s="1909"/>
      <c r="R114" s="1910">
        <v>168510</v>
      </c>
      <c r="S114" s="1911"/>
    </row>
    <row r="115" spans="1:30" hidden="1" outlineLevel="1" x14ac:dyDescent="0.25">
      <c r="A115" s="1540">
        <v>10</v>
      </c>
      <c r="B115" s="1563" t="s">
        <v>751</v>
      </c>
      <c r="C115" s="1895">
        <f t="shared" si="22"/>
        <v>0</v>
      </c>
      <c r="D115" s="1896"/>
      <c r="E115" s="1897"/>
      <c r="F115" s="1898">
        <f t="shared" si="23"/>
        <v>0</v>
      </c>
      <c r="G115" s="1899"/>
      <c r="H115" s="1900"/>
      <c r="I115" s="1901">
        <f t="shared" si="24"/>
        <v>0</v>
      </c>
      <c r="J115" s="1902"/>
      <c r="K115" s="1903"/>
      <c r="L115" s="1904">
        <f t="shared" si="25"/>
        <v>0</v>
      </c>
      <c r="M115" s="1905"/>
      <c r="N115" s="1906"/>
      <c r="O115" s="1907">
        <f t="shared" si="26"/>
        <v>0</v>
      </c>
      <c r="P115" s="1908"/>
      <c r="Q115" s="1909"/>
      <c r="R115" s="1910">
        <v>0</v>
      </c>
      <c r="S115" s="1911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collapsed="1" x14ac:dyDescent="0.25">
      <c r="A116" s="1613"/>
      <c r="B116" s="1614" t="s">
        <v>759</v>
      </c>
      <c r="C116" s="1878">
        <f>SUM(C106:C115)</f>
        <v>5.0181242806840967</v>
      </c>
      <c r="D116" s="1879"/>
      <c r="E116" s="1880"/>
      <c r="F116" s="1881">
        <f>SUM(F106:F115)</f>
        <v>13.750065212453071</v>
      </c>
      <c r="G116" s="1882"/>
      <c r="H116" s="1883"/>
      <c r="I116" s="1884">
        <f>SUM(I106:I115)</f>
        <v>18.750088926072369</v>
      </c>
      <c r="J116" s="1885"/>
      <c r="K116" s="1886"/>
      <c r="L116" s="1887">
        <f>SUM(L106:L115)</f>
        <v>418.70427586567718</v>
      </c>
      <c r="M116" s="1888"/>
      <c r="N116" s="1889"/>
      <c r="O116" s="1890">
        <f>SUM(O106:O115)</f>
        <v>432.06311784862947</v>
      </c>
      <c r="P116" s="1891"/>
      <c r="Q116" s="1892"/>
      <c r="R116" s="1893">
        <f>SUM(R106:R115)</f>
        <v>1525144.2349999999</v>
      </c>
      <c r="S116" s="189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idden="1" outlineLevel="1" x14ac:dyDescent="0.25">
      <c r="A117" s="1615" t="s">
        <v>36</v>
      </c>
      <c r="B117" s="1616" t="s">
        <v>167</v>
      </c>
      <c r="C117" s="1912"/>
      <c r="D117" s="1913"/>
      <c r="E117" s="1914"/>
      <c r="F117" s="1915"/>
      <c r="G117" s="1916"/>
      <c r="H117" s="1917"/>
      <c r="I117" s="1918"/>
      <c r="J117" s="1919"/>
      <c r="K117" s="1920"/>
      <c r="L117" s="1921"/>
      <c r="M117" s="1922"/>
      <c r="N117" s="1923"/>
      <c r="O117" s="1924"/>
      <c r="P117" s="1925"/>
      <c r="Q117" s="1926"/>
      <c r="R117" s="1927"/>
      <c r="S117" s="1928"/>
      <c r="T117" s="4"/>
    </row>
    <row r="118" spans="1:30" hidden="1" outlineLevel="1" x14ac:dyDescent="0.25">
      <c r="A118" s="1540">
        <v>1</v>
      </c>
      <c r="B118" s="1563" t="s">
        <v>717</v>
      </c>
      <c r="C118" s="1895">
        <f t="shared" ref="C118:C126" si="27">((R118/(($C$21*$C$23)+($F$21*$F$23)+($I$21*$I$23)+($L$21*$L$23)+($O$21*$O$23)))*($C$21*$C$23))/$C$21</f>
        <v>0.29633745646346243</v>
      </c>
      <c r="D118" s="1896"/>
      <c r="E118" s="1897"/>
      <c r="F118" s="1898">
        <f t="shared" ref="F118:F126" si="28">((R118/(($C$21*$C$23)+($F$21*$F$23)+($I$21*$I$23)+($L$21*$L$23)+($O$21*$O$23)))*($F$21*$F$23))/$F$21</f>
        <v>0.81198852865190541</v>
      </c>
      <c r="G118" s="1899"/>
      <c r="H118" s="1900"/>
      <c r="I118" s="1901">
        <f t="shared" ref="I118:I126" si="29">((R118/(($C$21*$C$23)+($F$21*$F$23)+($I$21*$I$23)+($L$21*$L$23)+($O$21*$O$23)))*($I$21*$I$23))/$I$21</f>
        <v>1.1072570845253256</v>
      </c>
      <c r="J118" s="1902"/>
      <c r="K118" s="1903"/>
      <c r="L118" s="1904">
        <f t="shared" ref="L118:L126" si="30">((R118/(($C$21*$C$23)+($F$21*$F$23)+($I$21*$I$23)+($L$21*$L$23)+($O$21*$O$23)))*($L$21*$L$23))/$L$21</f>
        <v>24.72592410634671</v>
      </c>
      <c r="M118" s="1905"/>
      <c r="N118" s="1906"/>
      <c r="O118" s="1907">
        <f t="shared" ref="O118:O126" si="31">((R118/(($C$21*$C$23)+($F$21*$F$23)+($I$21*$I$23)+($L$21*$L$23)+($O$21*$O$23)))*($O$21*$O$23))/$O$21</f>
        <v>25.514809560970352</v>
      </c>
      <c r="P118" s="1908"/>
      <c r="Q118" s="1909"/>
      <c r="R118" s="1910">
        <v>90065</v>
      </c>
      <c r="S118" s="1911"/>
    </row>
    <row r="119" spans="1:30" hidden="1" outlineLevel="1" x14ac:dyDescent="0.25">
      <c r="A119" s="1540">
        <v>2</v>
      </c>
      <c r="B119" s="1563" t="s">
        <v>714</v>
      </c>
      <c r="C119" s="1895">
        <f t="shared" si="27"/>
        <v>0</v>
      </c>
      <c r="D119" s="1896"/>
      <c r="E119" s="1897"/>
      <c r="F119" s="1898">
        <f t="shared" si="28"/>
        <v>0</v>
      </c>
      <c r="G119" s="1899"/>
      <c r="H119" s="1900"/>
      <c r="I119" s="1901">
        <f t="shared" si="29"/>
        <v>0</v>
      </c>
      <c r="J119" s="1902"/>
      <c r="K119" s="1903"/>
      <c r="L119" s="1904">
        <f t="shared" si="30"/>
        <v>0</v>
      </c>
      <c r="M119" s="1905"/>
      <c r="N119" s="1906"/>
      <c r="O119" s="1907">
        <f t="shared" si="31"/>
        <v>0</v>
      </c>
      <c r="P119" s="1908"/>
      <c r="Q119" s="1909"/>
      <c r="R119" s="1910">
        <v>0</v>
      </c>
      <c r="S119" s="1911"/>
    </row>
    <row r="120" spans="1:30" hidden="1" outlineLevel="1" x14ac:dyDescent="0.25">
      <c r="A120" s="1540">
        <v>3</v>
      </c>
      <c r="B120" s="1563" t="s">
        <v>715</v>
      </c>
      <c r="C120" s="1895">
        <f t="shared" si="27"/>
        <v>4.935393157110905E-4</v>
      </c>
      <c r="D120" s="1896"/>
      <c r="E120" s="1897"/>
      <c r="F120" s="1898">
        <f t="shared" si="28"/>
        <v>1.3523375262064711E-3</v>
      </c>
      <c r="G120" s="1899"/>
      <c r="H120" s="1900"/>
      <c r="I120" s="1901">
        <f t="shared" si="29"/>
        <v>1.8440966266451881E-3</v>
      </c>
      <c r="J120" s="1902"/>
      <c r="K120" s="1903"/>
      <c r="L120" s="1904">
        <f t="shared" si="30"/>
        <v>4.1180132303913916E-2</v>
      </c>
      <c r="M120" s="1905"/>
      <c r="N120" s="1906"/>
      <c r="O120" s="1907">
        <f t="shared" si="31"/>
        <v>4.2493992495925753E-2</v>
      </c>
      <c r="P120" s="1908"/>
      <c r="Q120" s="1909"/>
      <c r="R120" s="1910">
        <v>150</v>
      </c>
      <c r="S120" s="1911"/>
    </row>
    <row r="121" spans="1:30" hidden="1" outlineLevel="1" x14ac:dyDescent="0.25">
      <c r="A121" s="1540">
        <v>4</v>
      </c>
      <c r="B121" s="1563" t="s">
        <v>733</v>
      </c>
      <c r="C121" s="1895">
        <f t="shared" si="27"/>
        <v>0.36173141579518192</v>
      </c>
      <c r="D121" s="1896"/>
      <c r="E121" s="1897"/>
      <c r="F121" s="1898">
        <f t="shared" si="28"/>
        <v>0.99117325087426289</v>
      </c>
      <c r="G121" s="1899"/>
      <c r="H121" s="1900"/>
      <c r="I121" s="1901">
        <f t="shared" si="29"/>
        <v>1.3515998875558131</v>
      </c>
      <c r="J121" s="1902"/>
      <c r="K121" s="1903"/>
      <c r="L121" s="1904">
        <f t="shared" si="30"/>
        <v>30.182291636615304</v>
      </c>
      <c r="M121" s="1905"/>
      <c r="N121" s="1906"/>
      <c r="O121" s="1907">
        <f t="shared" si="31"/>
        <v>31.145263566680512</v>
      </c>
      <c r="P121" s="1908"/>
      <c r="Q121" s="1909"/>
      <c r="R121" s="1910">
        <v>109940</v>
      </c>
      <c r="S121" s="1911"/>
    </row>
    <row r="122" spans="1:30" hidden="1" outlineLevel="1" x14ac:dyDescent="0.25">
      <c r="A122" s="1540">
        <v>5</v>
      </c>
      <c r="B122" s="1563" t="s">
        <v>718</v>
      </c>
      <c r="C122" s="1895">
        <f t="shared" si="27"/>
        <v>1.3161048418962413E-2</v>
      </c>
      <c r="D122" s="1896"/>
      <c r="E122" s="1897"/>
      <c r="F122" s="1898">
        <f t="shared" si="28"/>
        <v>3.6062334032172558E-2</v>
      </c>
      <c r="G122" s="1899"/>
      <c r="H122" s="1900"/>
      <c r="I122" s="1901">
        <f t="shared" si="29"/>
        <v>4.9175910043871673E-2</v>
      </c>
      <c r="J122" s="1902"/>
      <c r="K122" s="1903"/>
      <c r="L122" s="1904">
        <f t="shared" si="30"/>
        <v>1.0981368614377043</v>
      </c>
      <c r="M122" s="1905"/>
      <c r="N122" s="1906"/>
      <c r="O122" s="1907">
        <f t="shared" si="31"/>
        <v>1.1331731332246868</v>
      </c>
      <c r="P122" s="1908"/>
      <c r="Q122" s="1909"/>
      <c r="R122" s="1910">
        <v>4000</v>
      </c>
      <c r="S122" s="1911"/>
    </row>
    <row r="123" spans="1:30" hidden="1" outlineLevel="1" x14ac:dyDescent="0.25">
      <c r="A123" s="1540">
        <v>6</v>
      </c>
      <c r="B123" s="1563" t="s">
        <v>703</v>
      </c>
      <c r="C123" s="1895">
        <f t="shared" si="27"/>
        <v>5.664186213310949E-2</v>
      </c>
      <c r="D123" s="1896"/>
      <c r="E123" s="1897"/>
      <c r="F123" s="1898">
        <f t="shared" si="28"/>
        <v>0.15520327009096266</v>
      </c>
      <c r="G123" s="1899"/>
      <c r="H123" s="1900"/>
      <c r="I123" s="1901">
        <f t="shared" si="29"/>
        <v>0.21164082285131275</v>
      </c>
      <c r="J123" s="1902"/>
      <c r="K123" s="1903"/>
      <c r="L123" s="1904">
        <f t="shared" si="30"/>
        <v>4.7261065174125196</v>
      </c>
      <c r="M123" s="1905"/>
      <c r="N123" s="1906"/>
      <c r="O123" s="1907">
        <f t="shared" si="31"/>
        <v>4.8768938721157458</v>
      </c>
      <c r="P123" s="1908"/>
      <c r="Q123" s="1909"/>
      <c r="R123" s="1910">
        <v>17215</v>
      </c>
      <c r="S123" s="1911"/>
    </row>
    <row r="124" spans="1:30" hidden="1" outlineLevel="1" x14ac:dyDescent="0.25">
      <c r="A124" s="1540">
        <v>7</v>
      </c>
      <c r="B124" s="1563" t="s">
        <v>725</v>
      </c>
      <c r="C124" s="1895">
        <f t="shared" si="27"/>
        <v>2.1355627155234647</v>
      </c>
      <c r="D124" s="1896"/>
      <c r="E124" s="1897"/>
      <c r="F124" s="1898">
        <f t="shared" si="28"/>
        <v>5.8516140616046943</v>
      </c>
      <c r="G124" s="1899"/>
      <c r="H124" s="1900"/>
      <c r="I124" s="1901">
        <f t="shared" si="29"/>
        <v>7.9794737203700379</v>
      </c>
      <c r="J124" s="1902"/>
      <c r="K124" s="1903"/>
      <c r="L124" s="1904">
        <f t="shared" si="30"/>
        <v>178.18794241722</v>
      </c>
      <c r="M124" s="1905"/>
      <c r="N124" s="1906"/>
      <c r="O124" s="1907">
        <f t="shared" si="31"/>
        <v>183.87306364292891</v>
      </c>
      <c r="P124" s="1908"/>
      <c r="Q124" s="1909"/>
      <c r="R124" s="1910">
        <v>649055.5</v>
      </c>
      <c r="S124" s="1911"/>
    </row>
    <row r="125" spans="1:30" hidden="1" outlineLevel="1" x14ac:dyDescent="0.25">
      <c r="A125" s="1540">
        <v>8</v>
      </c>
      <c r="B125" s="1563" t="s">
        <v>729</v>
      </c>
      <c r="C125" s="1895">
        <f t="shared" si="27"/>
        <v>6.4670101668676556E-3</v>
      </c>
      <c r="D125" s="1896"/>
      <c r="E125" s="1897"/>
      <c r="F125" s="1898">
        <f t="shared" si="28"/>
        <v>1.7720129385058792E-2</v>
      </c>
      <c r="G125" s="1899"/>
      <c r="H125" s="1900"/>
      <c r="I125" s="1901">
        <f t="shared" si="29"/>
        <v>2.4163812797807445E-2</v>
      </c>
      <c r="J125" s="1902"/>
      <c r="K125" s="1903"/>
      <c r="L125" s="1904">
        <f t="shared" si="30"/>
        <v>0.53959700028895197</v>
      </c>
      <c r="M125" s="1905"/>
      <c r="N125" s="1906"/>
      <c r="O125" s="1907">
        <f t="shared" si="31"/>
        <v>0.55681294833828043</v>
      </c>
      <c r="P125" s="1908"/>
      <c r="Q125" s="1909"/>
      <c r="R125" s="1910">
        <v>1965.5</v>
      </c>
      <c r="S125" s="1911"/>
    </row>
    <row r="126" spans="1:30" hidden="1" outlineLevel="1" x14ac:dyDescent="0.25">
      <c r="A126" s="1540">
        <v>9</v>
      </c>
      <c r="B126" s="1563" t="s">
        <v>752</v>
      </c>
      <c r="C126" s="1895">
        <f t="shared" si="27"/>
        <v>1.120168088427886</v>
      </c>
      <c r="D126" s="1896"/>
      <c r="E126" s="1897"/>
      <c r="F126" s="1898">
        <f t="shared" si="28"/>
        <v>3.0693508975215336</v>
      </c>
      <c r="G126" s="1899"/>
      <c r="H126" s="1900"/>
      <c r="I126" s="1901">
        <f t="shared" si="29"/>
        <v>4.1854784966202727</v>
      </c>
      <c r="J126" s="1902"/>
      <c r="K126" s="1903"/>
      <c r="L126" s="1904">
        <f t="shared" si="30"/>
        <v>93.465036352008937</v>
      </c>
      <c r="M126" s="1905"/>
      <c r="N126" s="1906"/>
      <c r="O126" s="1907">
        <f t="shared" si="31"/>
        <v>96.447056654944504</v>
      </c>
      <c r="P126" s="1908"/>
      <c r="Q126" s="1909"/>
      <c r="R126" s="1910">
        <v>340449.5</v>
      </c>
      <c r="S126" s="1911"/>
    </row>
    <row r="127" spans="1:30" collapsed="1" x14ac:dyDescent="0.25">
      <c r="A127" s="1613"/>
      <c r="B127" s="1614" t="s">
        <v>757</v>
      </c>
      <c r="C127" s="1878">
        <f>SUM(C118:C126)</f>
        <v>3.9905631362446456</v>
      </c>
      <c r="D127" s="1879"/>
      <c r="E127" s="1880"/>
      <c r="F127" s="1881">
        <f>SUM(F118:F126)</f>
        <v>10.934464809686798</v>
      </c>
      <c r="G127" s="1882"/>
      <c r="H127" s="1883"/>
      <c r="I127" s="1884">
        <f>SUM(I118:I126)</f>
        <v>14.910633831391085</v>
      </c>
      <c r="J127" s="1885"/>
      <c r="K127" s="1886"/>
      <c r="L127" s="1887">
        <f>SUM(L118:L126)</f>
        <v>332.96621502363405</v>
      </c>
      <c r="M127" s="1888"/>
      <c r="N127" s="1889"/>
      <c r="O127" s="1890">
        <f>SUM(O118:O126)</f>
        <v>343.58956737169893</v>
      </c>
      <c r="P127" s="1891"/>
      <c r="Q127" s="1892"/>
      <c r="R127" s="1893">
        <f>SUM(R118:R126)</f>
        <v>1212840.5</v>
      </c>
      <c r="S127" s="189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" thickBot="1" x14ac:dyDescent="0.3">
      <c r="A128" s="1611"/>
      <c r="B128" s="1612" t="s">
        <v>176</v>
      </c>
      <c r="C128" s="1865">
        <f>C74+C104+C116+C127</f>
        <v>28.720443134583782</v>
      </c>
      <c r="D128" s="1865"/>
      <c r="E128" s="1865"/>
      <c r="F128" s="1866">
        <f>F74+F104+F116+F127</f>
        <v>78.696330330272559</v>
      </c>
      <c r="G128" s="1867"/>
      <c r="H128" s="1868"/>
      <c r="I128" s="1869">
        <f>I74+I104+I116+I127</f>
        <v>107.31317772309893</v>
      </c>
      <c r="J128" s="1870"/>
      <c r="K128" s="1870"/>
      <c r="L128" s="1871">
        <f>L74+L104+L116+L127</f>
        <v>1035.8652221194664</v>
      </c>
      <c r="M128" s="1872"/>
      <c r="N128" s="1873"/>
      <c r="O128" s="1874">
        <f>O74+O104+O116+O127</f>
        <v>1068.91470504944</v>
      </c>
      <c r="P128" s="1875"/>
      <c r="Q128" s="1875"/>
      <c r="R128" s="1876">
        <f>R74+R104+R116+R127</f>
        <v>8701278.0350000001</v>
      </c>
      <c r="S128" s="1877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" thickBot="1" x14ac:dyDescent="0.3">
      <c r="A129" s="1569" t="s">
        <v>62</v>
      </c>
      <c r="B129" s="1570" t="s">
        <v>462</v>
      </c>
      <c r="C129" s="1852">
        <f>C31-C128</f>
        <v>19.137588147183344</v>
      </c>
      <c r="D129" s="1852"/>
      <c r="E129" s="1852"/>
      <c r="F129" s="1853">
        <f>F31-F128</f>
        <v>43.658856585615666</v>
      </c>
      <c r="G129" s="1854"/>
      <c r="H129" s="1855"/>
      <c r="I129" s="1856">
        <f>I31-I128</f>
        <v>59.891168071292952</v>
      </c>
      <c r="J129" s="1857"/>
      <c r="K129" s="1857"/>
      <c r="L129" s="1858">
        <f>L31-L128</f>
        <v>2987.515756440187</v>
      </c>
      <c r="M129" s="1859"/>
      <c r="N129" s="1860"/>
      <c r="O129" s="1861">
        <f>O31-O128</f>
        <v>2516.0385659785925</v>
      </c>
      <c r="P129" s="1862"/>
      <c r="Q129" s="1862"/>
      <c r="R129" s="1863"/>
      <c r="S129" s="1864"/>
      <c r="T129" s="4"/>
    </row>
    <row r="130" spans="1:30" x14ac:dyDescent="0.25">
      <c r="A130" s="1571" t="s">
        <v>63</v>
      </c>
      <c r="B130" s="1572" t="s">
        <v>464</v>
      </c>
      <c r="C130" s="1839">
        <f>C21*C129</f>
        <v>5782747.5976699498</v>
      </c>
      <c r="D130" s="1839"/>
      <c r="E130" s="1839"/>
      <c r="F130" s="1840">
        <f>F21*F129</f>
        <v>436.58856585615666</v>
      </c>
      <c r="G130" s="1841"/>
      <c r="H130" s="1842"/>
      <c r="I130" s="1843">
        <f>I21*I129</f>
        <v>598.91168071292952</v>
      </c>
      <c r="J130" s="1844"/>
      <c r="K130" s="1844"/>
      <c r="L130" s="1845">
        <f>L21*L129</f>
        <v>29875.15756440187</v>
      </c>
      <c r="M130" s="1846"/>
      <c r="N130" s="1847"/>
      <c r="O130" s="1848">
        <f>O21*O129</f>
        <v>25160.385659785927</v>
      </c>
      <c r="P130" s="1849"/>
      <c r="Q130" s="1849"/>
      <c r="R130" s="1850">
        <f>R31-R128</f>
        <v>5838818.6411408447</v>
      </c>
      <c r="S130" s="1851"/>
      <c r="T130" s="4"/>
    </row>
    <row r="131" spans="1:30" ht="15" thickBot="1" x14ac:dyDescent="0.3">
      <c r="A131" s="1573"/>
      <c r="B131" s="1574" t="s">
        <v>463</v>
      </c>
      <c r="C131" s="1826">
        <f>C130/(C21*C23)</f>
        <v>1.6173501383813356E-2</v>
      </c>
      <c r="D131" s="1826"/>
      <c r="E131" s="1826"/>
      <c r="F131" s="1827">
        <f>F130/(F21*F23)</f>
        <v>1.3465604621980312E-2</v>
      </c>
      <c r="G131" s="1828"/>
      <c r="H131" s="1829"/>
      <c r="I131" s="1830">
        <f>I130/(I21*I23)</f>
        <v>1.3546207084261906E-2</v>
      </c>
      <c r="J131" s="1831"/>
      <c r="K131" s="1831"/>
      <c r="L131" s="1832">
        <f>L130/(L21*L23)</f>
        <v>3.0259452612581658E-2</v>
      </c>
      <c r="M131" s="1833"/>
      <c r="N131" s="1834"/>
      <c r="O131" s="1835">
        <f>O130/(O21*O23)</f>
        <v>2.4696098998612019E-2</v>
      </c>
      <c r="P131" s="1836"/>
      <c r="Q131" s="1836"/>
      <c r="R131" s="1837">
        <f>R130/S21</f>
        <v>1.6235748954437274E-2</v>
      </c>
      <c r="S131" s="1838"/>
      <c r="T131" s="4"/>
    </row>
    <row r="132" spans="1:30" ht="15" thickBot="1" x14ac:dyDescent="0.3">
      <c r="A132" s="1575" t="s">
        <v>86</v>
      </c>
      <c r="B132" s="1820" t="s">
        <v>763</v>
      </c>
      <c r="C132" s="1820"/>
      <c r="D132" s="1820"/>
      <c r="E132" s="1820"/>
      <c r="F132" s="1820"/>
      <c r="G132" s="1820"/>
      <c r="H132" s="1820"/>
      <c r="I132" s="1820"/>
      <c r="J132" s="1820"/>
      <c r="K132" s="1820"/>
      <c r="L132" s="1820"/>
      <c r="M132" s="1820"/>
      <c r="N132" s="1820"/>
      <c r="O132" s="1820"/>
      <c r="P132" s="1820"/>
      <c r="Q132" s="1820"/>
      <c r="R132" s="1821">
        <f>(R6-94512)*68</f>
        <v>-447576</v>
      </c>
      <c r="S132" s="1822"/>
      <c r="T132" s="4"/>
    </row>
    <row r="133" spans="1:30" ht="15" thickBot="1" x14ac:dyDescent="0.3">
      <c r="A133" s="1568" t="s">
        <v>552</v>
      </c>
      <c r="B133" s="1823" t="s">
        <v>465</v>
      </c>
      <c r="C133" s="1823"/>
      <c r="D133" s="1823"/>
      <c r="E133" s="1823"/>
      <c r="F133" s="1823"/>
      <c r="G133" s="1823"/>
      <c r="H133" s="1823"/>
      <c r="I133" s="1823"/>
      <c r="J133" s="1823"/>
      <c r="K133" s="1823"/>
      <c r="L133" s="1823"/>
      <c r="M133" s="1823"/>
      <c r="N133" s="1823"/>
      <c r="O133" s="1823"/>
      <c r="P133" s="1823"/>
      <c r="Q133" s="1823"/>
      <c r="R133" s="1824">
        <f>R130+R132</f>
        <v>5391242.6411408447</v>
      </c>
      <c r="S133" s="1825"/>
      <c r="T133" s="4"/>
    </row>
    <row r="134" spans="1:30" x14ac:dyDescent="0.3">
      <c r="U134" s="1645">
        <f>R133/R21*1026</f>
        <v>1516792.5903509797</v>
      </c>
    </row>
    <row r="137" spans="1:30" x14ac:dyDescent="0.3">
      <c r="R137" s="486"/>
    </row>
    <row r="138" spans="1:30" x14ac:dyDescent="0.3"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3"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3"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3" spans="1:30" x14ac:dyDescent="0.3"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3">
      <c r="U144" s="4"/>
      <c r="V144" s="4"/>
      <c r="W144" s="4"/>
      <c r="X144" s="4"/>
      <c r="Y144" s="4"/>
      <c r="Z144" s="4"/>
      <c r="AA144" s="4"/>
      <c r="AB144" s="4"/>
      <c r="AC144" s="4"/>
      <c r="AD144" s="4"/>
    </row>
  </sheetData>
  <mergeCells count="689">
    <mergeCell ref="C4:H4"/>
    <mergeCell ref="I4:N4"/>
    <mergeCell ref="O4:Q4"/>
    <mergeCell ref="R4:S4"/>
    <mergeCell ref="C5:H5"/>
    <mergeCell ref="I5:N5"/>
    <mergeCell ref="O5:Q5"/>
    <mergeCell ref="R5:S5"/>
    <mergeCell ref="C1:S1"/>
    <mergeCell ref="C2:H2"/>
    <mergeCell ref="I2:N2"/>
    <mergeCell ref="O2:S2"/>
    <mergeCell ref="C3:H3"/>
    <mergeCell ref="I3:N3"/>
    <mergeCell ref="O3:Q3"/>
    <mergeCell ref="R3:S3"/>
    <mergeCell ref="C22:E22"/>
    <mergeCell ref="F22:H22"/>
    <mergeCell ref="I22:K22"/>
    <mergeCell ref="L22:N22"/>
    <mergeCell ref="O22:Q22"/>
    <mergeCell ref="R22:S22"/>
    <mergeCell ref="C6:N6"/>
    <mergeCell ref="O6:Q6"/>
    <mergeCell ref="R6:S6"/>
    <mergeCell ref="C7:E7"/>
    <mergeCell ref="F7:H7"/>
    <mergeCell ref="I7:K7"/>
    <mergeCell ref="L7:N7"/>
    <mergeCell ref="O7:Q7"/>
    <mergeCell ref="R7:S7"/>
    <mergeCell ref="C24:E24"/>
    <mergeCell ref="F24:H24"/>
    <mergeCell ref="I24:K24"/>
    <mergeCell ref="L24:N24"/>
    <mergeCell ref="O24:Q24"/>
    <mergeCell ref="R24:S24"/>
    <mergeCell ref="C23:E23"/>
    <mergeCell ref="F23:H23"/>
    <mergeCell ref="I23:K23"/>
    <mergeCell ref="L23:N23"/>
    <mergeCell ref="O23:Q23"/>
    <mergeCell ref="R23:S23"/>
    <mergeCell ref="C26:E26"/>
    <mergeCell ref="F26:H26"/>
    <mergeCell ref="I26:K26"/>
    <mergeCell ref="L26:N26"/>
    <mergeCell ref="O26:Q26"/>
    <mergeCell ref="R26:S26"/>
    <mergeCell ref="C25:E25"/>
    <mergeCell ref="F25:H25"/>
    <mergeCell ref="I25:K25"/>
    <mergeCell ref="L25:N25"/>
    <mergeCell ref="O25:Q25"/>
    <mergeCell ref="R25:S25"/>
    <mergeCell ref="C28:E28"/>
    <mergeCell ref="F28:H28"/>
    <mergeCell ref="I28:K28"/>
    <mergeCell ref="L28:N28"/>
    <mergeCell ref="O28:Q28"/>
    <mergeCell ref="R28:S28"/>
    <mergeCell ref="C27:E27"/>
    <mergeCell ref="F27:H27"/>
    <mergeCell ref="I27:K27"/>
    <mergeCell ref="L27:N27"/>
    <mergeCell ref="O27:Q27"/>
    <mergeCell ref="R27:S27"/>
    <mergeCell ref="C30:E30"/>
    <mergeCell ref="F30:H30"/>
    <mergeCell ref="I30:K30"/>
    <mergeCell ref="L30:N30"/>
    <mergeCell ref="O30:Q30"/>
    <mergeCell ref="R30:S30"/>
    <mergeCell ref="C29:E29"/>
    <mergeCell ref="F29:H29"/>
    <mergeCell ref="I29:K29"/>
    <mergeCell ref="L29:N29"/>
    <mergeCell ref="O29:Q29"/>
    <mergeCell ref="R29:S29"/>
    <mergeCell ref="C32:E32"/>
    <mergeCell ref="F32:H32"/>
    <mergeCell ref="I32:K32"/>
    <mergeCell ref="L32:N32"/>
    <mergeCell ref="O32:Q32"/>
    <mergeCell ref="R32:S32"/>
    <mergeCell ref="C31:E31"/>
    <mergeCell ref="F31:H31"/>
    <mergeCell ref="I31:K31"/>
    <mergeCell ref="L31:N31"/>
    <mergeCell ref="O31:Q31"/>
    <mergeCell ref="R31:S31"/>
    <mergeCell ref="C34:E34"/>
    <mergeCell ref="F34:H34"/>
    <mergeCell ref="I34:K34"/>
    <mergeCell ref="L34:N34"/>
    <mergeCell ref="O34:Q34"/>
    <mergeCell ref="R34:S34"/>
    <mergeCell ref="C33:E33"/>
    <mergeCell ref="F33:H33"/>
    <mergeCell ref="I33:K33"/>
    <mergeCell ref="L33:N33"/>
    <mergeCell ref="O33:Q33"/>
    <mergeCell ref="R33:S33"/>
    <mergeCell ref="C36:E36"/>
    <mergeCell ref="F36:H36"/>
    <mergeCell ref="I36:K36"/>
    <mergeCell ref="L36:N36"/>
    <mergeCell ref="O36:Q36"/>
    <mergeCell ref="R36:S36"/>
    <mergeCell ref="C35:E35"/>
    <mergeCell ref="F35:H35"/>
    <mergeCell ref="I35:K35"/>
    <mergeCell ref="L35:N35"/>
    <mergeCell ref="O35:Q35"/>
    <mergeCell ref="R35:S35"/>
    <mergeCell ref="C38:E38"/>
    <mergeCell ref="F38:H38"/>
    <mergeCell ref="I38:K38"/>
    <mergeCell ref="L38:N38"/>
    <mergeCell ref="O38:Q38"/>
    <mergeCell ref="R38:S38"/>
    <mergeCell ref="C37:E37"/>
    <mergeCell ref="F37:H37"/>
    <mergeCell ref="I37:K37"/>
    <mergeCell ref="L37:N37"/>
    <mergeCell ref="O37:Q37"/>
    <mergeCell ref="R37:S37"/>
    <mergeCell ref="C40:E40"/>
    <mergeCell ref="F40:H40"/>
    <mergeCell ref="I40:K40"/>
    <mergeCell ref="L40:N40"/>
    <mergeCell ref="O40:Q40"/>
    <mergeCell ref="R40:S40"/>
    <mergeCell ref="C39:E39"/>
    <mergeCell ref="F39:H39"/>
    <mergeCell ref="I39:K39"/>
    <mergeCell ref="L39:N39"/>
    <mergeCell ref="O39:Q39"/>
    <mergeCell ref="R39:S39"/>
    <mergeCell ref="C42:E42"/>
    <mergeCell ref="F42:H42"/>
    <mergeCell ref="I42:K42"/>
    <mergeCell ref="L42:N42"/>
    <mergeCell ref="O42:Q42"/>
    <mergeCell ref="R42:S42"/>
    <mergeCell ref="C41:E41"/>
    <mergeCell ref="F41:H41"/>
    <mergeCell ref="I41:K41"/>
    <mergeCell ref="L41:N41"/>
    <mergeCell ref="O41:Q41"/>
    <mergeCell ref="R41:S41"/>
    <mergeCell ref="C44:E44"/>
    <mergeCell ref="F44:H44"/>
    <mergeCell ref="I44:K44"/>
    <mergeCell ref="L44:N44"/>
    <mergeCell ref="O44:Q44"/>
    <mergeCell ref="R44:S44"/>
    <mergeCell ref="C43:E43"/>
    <mergeCell ref="F43:H43"/>
    <mergeCell ref="I43:K43"/>
    <mergeCell ref="L43:N43"/>
    <mergeCell ref="O43:Q43"/>
    <mergeCell ref="R43:S43"/>
    <mergeCell ref="C46:E46"/>
    <mergeCell ref="F46:H46"/>
    <mergeCell ref="I46:K46"/>
    <mergeCell ref="L46:N46"/>
    <mergeCell ref="O46:Q46"/>
    <mergeCell ref="R46:S46"/>
    <mergeCell ref="C45:E45"/>
    <mergeCell ref="F45:H45"/>
    <mergeCell ref="I45:K45"/>
    <mergeCell ref="L45:N45"/>
    <mergeCell ref="O45:Q45"/>
    <mergeCell ref="R45:S45"/>
    <mergeCell ref="C48:E48"/>
    <mergeCell ref="F48:H48"/>
    <mergeCell ref="I48:K48"/>
    <mergeCell ref="L48:N48"/>
    <mergeCell ref="O48:Q48"/>
    <mergeCell ref="R48:S48"/>
    <mergeCell ref="C47:E47"/>
    <mergeCell ref="F47:H47"/>
    <mergeCell ref="I47:K47"/>
    <mergeCell ref="L47:N47"/>
    <mergeCell ref="O47:Q47"/>
    <mergeCell ref="R47:S47"/>
    <mergeCell ref="C50:E50"/>
    <mergeCell ref="F50:H50"/>
    <mergeCell ref="I50:K50"/>
    <mergeCell ref="L50:N50"/>
    <mergeCell ref="O50:Q50"/>
    <mergeCell ref="R50:S50"/>
    <mergeCell ref="C49:E49"/>
    <mergeCell ref="F49:H49"/>
    <mergeCell ref="I49:K49"/>
    <mergeCell ref="L49:N49"/>
    <mergeCell ref="O49:Q49"/>
    <mergeCell ref="R49:S49"/>
    <mergeCell ref="C52:E52"/>
    <mergeCell ref="F52:H52"/>
    <mergeCell ref="I52:K52"/>
    <mergeCell ref="L52:N52"/>
    <mergeCell ref="O52:Q52"/>
    <mergeCell ref="R52:S52"/>
    <mergeCell ref="C51:E51"/>
    <mergeCell ref="F51:H51"/>
    <mergeCell ref="I51:K51"/>
    <mergeCell ref="L51:N51"/>
    <mergeCell ref="O51:Q51"/>
    <mergeCell ref="R51:S51"/>
    <mergeCell ref="C54:E54"/>
    <mergeCell ref="F54:H54"/>
    <mergeCell ref="I54:K54"/>
    <mergeCell ref="L54:N54"/>
    <mergeCell ref="O54:Q54"/>
    <mergeCell ref="R54:S54"/>
    <mergeCell ref="C53:E53"/>
    <mergeCell ref="F53:H53"/>
    <mergeCell ref="I53:K53"/>
    <mergeCell ref="L53:N53"/>
    <mergeCell ref="O53:Q53"/>
    <mergeCell ref="R53:S53"/>
    <mergeCell ref="C56:E56"/>
    <mergeCell ref="F56:H56"/>
    <mergeCell ref="I56:K56"/>
    <mergeCell ref="L56:N56"/>
    <mergeCell ref="O56:Q56"/>
    <mergeCell ref="R56:S56"/>
    <mergeCell ref="C55:E55"/>
    <mergeCell ref="F55:H55"/>
    <mergeCell ref="I55:K55"/>
    <mergeCell ref="L55:N55"/>
    <mergeCell ref="O55:Q55"/>
    <mergeCell ref="R55:S55"/>
    <mergeCell ref="C58:E58"/>
    <mergeCell ref="F58:H58"/>
    <mergeCell ref="I58:K58"/>
    <mergeCell ref="L58:N58"/>
    <mergeCell ref="O58:Q58"/>
    <mergeCell ref="R58:S58"/>
    <mergeCell ref="C57:E57"/>
    <mergeCell ref="F57:H57"/>
    <mergeCell ref="I57:K57"/>
    <mergeCell ref="L57:N57"/>
    <mergeCell ref="O57:Q57"/>
    <mergeCell ref="R57:S57"/>
    <mergeCell ref="C60:E60"/>
    <mergeCell ref="F60:H60"/>
    <mergeCell ref="I60:K60"/>
    <mergeCell ref="L60:N60"/>
    <mergeCell ref="O60:Q60"/>
    <mergeCell ref="R60:S60"/>
    <mergeCell ref="C59:E59"/>
    <mergeCell ref="F59:H59"/>
    <mergeCell ref="I59:K59"/>
    <mergeCell ref="L59:N59"/>
    <mergeCell ref="O59:Q59"/>
    <mergeCell ref="R59:S59"/>
    <mergeCell ref="C62:E62"/>
    <mergeCell ref="F62:H62"/>
    <mergeCell ref="I62:K62"/>
    <mergeCell ref="L62:N62"/>
    <mergeCell ref="O62:Q62"/>
    <mergeCell ref="R62:S62"/>
    <mergeCell ref="C61:E61"/>
    <mergeCell ref="F61:H61"/>
    <mergeCell ref="I61:K61"/>
    <mergeCell ref="L61:N61"/>
    <mergeCell ref="O61:Q61"/>
    <mergeCell ref="R61:S61"/>
    <mergeCell ref="C64:E64"/>
    <mergeCell ref="F64:H64"/>
    <mergeCell ref="I64:K64"/>
    <mergeCell ref="L64:N64"/>
    <mergeCell ref="O64:Q64"/>
    <mergeCell ref="R64:S64"/>
    <mergeCell ref="C63:E63"/>
    <mergeCell ref="F63:H63"/>
    <mergeCell ref="I63:K63"/>
    <mergeCell ref="L63:N63"/>
    <mergeCell ref="O63:Q63"/>
    <mergeCell ref="R63:S63"/>
    <mergeCell ref="C66:E66"/>
    <mergeCell ref="F66:H66"/>
    <mergeCell ref="I66:K66"/>
    <mergeCell ref="L66:N66"/>
    <mergeCell ref="O66:Q66"/>
    <mergeCell ref="R66:S66"/>
    <mergeCell ref="C65:E65"/>
    <mergeCell ref="F65:H65"/>
    <mergeCell ref="I65:K65"/>
    <mergeCell ref="L65:N65"/>
    <mergeCell ref="O65:Q65"/>
    <mergeCell ref="R65:S65"/>
    <mergeCell ref="C68:E68"/>
    <mergeCell ref="F68:H68"/>
    <mergeCell ref="I68:K68"/>
    <mergeCell ref="L68:N68"/>
    <mergeCell ref="O68:Q68"/>
    <mergeCell ref="R68:S68"/>
    <mergeCell ref="C67:E67"/>
    <mergeCell ref="F67:H67"/>
    <mergeCell ref="I67:K67"/>
    <mergeCell ref="L67:N67"/>
    <mergeCell ref="O67:Q67"/>
    <mergeCell ref="R67:S67"/>
    <mergeCell ref="C70:E70"/>
    <mergeCell ref="F70:H70"/>
    <mergeCell ref="I70:K70"/>
    <mergeCell ref="L70:N70"/>
    <mergeCell ref="O70:Q70"/>
    <mergeCell ref="R70:S70"/>
    <mergeCell ref="C69:E69"/>
    <mergeCell ref="F69:H69"/>
    <mergeCell ref="I69:K69"/>
    <mergeCell ref="L69:N69"/>
    <mergeCell ref="O69:Q69"/>
    <mergeCell ref="R69:S69"/>
    <mergeCell ref="C72:E72"/>
    <mergeCell ref="F72:H72"/>
    <mergeCell ref="I72:K72"/>
    <mergeCell ref="L72:N72"/>
    <mergeCell ref="O72:Q72"/>
    <mergeCell ref="R72:S72"/>
    <mergeCell ref="C71:E71"/>
    <mergeCell ref="F71:H71"/>
    <mergeCell ref="I71:K71"/>
    <mergeCell ref="L71:N71"/>
    <mergeCell ref="O71:Q71"/>
    <mergeCell ref="R71:S71"/>
    <mergeCell ref="C74:E74"/>
    <mergeCell ref="F74:H74"/>
    <mergeCell ref="I74:K74"/>
    <mergeCell ref="L74:N74"/>
    <mergeCell ref="O74:Q74"/>
    <mergeCell ref="R74:S74"/>
    <mergeCell ref="C73:E73"/>
    <mergeCell ref="F73:H73"/>
    <mergeCell ref="I73:K73"/>
    <mergeCell ref="L73:N73"/>
    <mergeCell ref="O73:Q73"/>
    <mergeCell ref="R73:S73"/>
    <mergeCell ref="C76:E76"/>
    <mergeCell ref="F76:H76"/>
    <mergeCell ref="I76:K76"/>
    <mergeCell ref="L76:N76"/>
    <mergeCell ref="O76:Q76"/>
    <mergeCell ref="R76:S76"/>
    <mergeCell ref="C75:E75"/>
    <mergeCell ref="F75:H75"/>
    <mergeCell ref="I75:K75"/>
    <mergeCell ref="L75:N75"/>
    <mergeCell ref="O75:Q75"/>
    <mergeCell ref="R75:S75"/>
    <mergeCell ref="C78:E78"/>
    <mergeCell ref="F78:H78"/>
    <mergeCell ref="I78:K78"/>
    <mergeCell ref="L78:N78"/>
    <mergeCell ref="O78:Q78"/>
    <mergeCell ref="R78:S78"/>
    <mergeCell ref="C77:E77"/>
    <mergeCell ref="F77:H77"/>
    <mergeCell ref="I77:K77"/>
    <mergeCell ref="L77:N77"/>
    <mergeCell ref="O77:Q77"/>
    <mergeCell ref="R77:S77"/>
    <mergeCell ref="C80:E80"/>
    <mergeCell ref="F80:H80"/>
    <mergeCell ref="I80:K80"/>
    <mergeCell ref="L80:N80"/>
    <mergeCell ref="O80:Q80"/>
    <mergeCell ref="R80:S80"/>
    <mergeCell ref="C79:E79"/>
    <mergeCell ref="F79:H79"/>
    <mergeCell ref="I79:K79"/>
    <mergeCell ref="L79:N79"/>
    <mergeCell ref="O79:Q79"/>
    <mergeCell ref="R79:S79"/>
    <mergeCell ref="C82:E82"/>
    <mergeCell ref="F82:H82"/>
    <mergeCell ref="I82:K82"/>
    <mergeCell ref="L82:N82"/>
    <mergeCell ref="O82:Q82"/>
    <mergeCell ref="R82:S82"/>
    <mergeCell ref="C81:E81"/>
    <mergeCell ref="F81:H81"/>
    <mergeCell ref="I81:K81"/>
    <mergeCell ref="L81:N81"/>
    <mergeCell ref="O81:Q81"/>
    <mergeCell ref="R81:S81"/>
    <mergeCell ref="C84:E84"/>
    <mergeCell ref="F84:H84"/>
    <mergeCell ref="I84:K84"/>
    <mergeCell ref="L84:N84"/>
    <mergeCell ref="O84:Q84"/>
    <mergeCell ref="R84:S84"/>
    <mergeCell ref="C83:E83"/>
    <mergeCell ref="F83:H83"/>
    <mergeCell ref="I83:K83"/>
    <mergeCell ref="L83:N83"/>
    <mergeCell ref="O83:Q83"/>
    <mergeCell ref="R83:S83"/>
    <mergeCell ref="C86:E86"/>
    <mergeCell ref="F86:H86"/>
    <mergeCell ref="I86:K86"/>
    <mergeCell ref="L86:N86"/>
    <mergeCell ref="O86:Q86"/>
    <mergeCell ref="R86:S86"/>
    <mergeCell ref="C85:E85"/>
    <mergeCell ref="F85:H85"/>
    <mergeCell ref="I85:K85"/>
    <mergeCell ref="L85:N85"/>
    <mergeCell ref="O85:Q85"/>
    <mergeCell ref="R85:S85"/>
    <mergeCell ref="C88:E88"/>
    <mergeCell ref="F88:H88"/>
    <mergeCell ref="I88:K88"/>
    <mergeCell ref="L88:N88"/>
    <mergeCell ref="O88:Q88"/>
    <mergeCell ref="R88:S88"/>
    <mergeCell ref="C87:E87"/>
    <mergeCell ref="F87:H87"/>
    <mergeCell ref="I87:K87"/>
    <mergeCell ref="L87:N87"/>
    <mergeCell ref="O87:Q87"/>
    <mergeCell ref="R87:S87"/>
    <mergeCell ref="C90:E90"/>
    <mergeCell ref="F90:H90"/>
    <mergeCell ref="I90:K90"/>
    <mergeCell ref="L90:N90"/>
    <mergeCell ref="O90:Q90"/>
    <mergeCell ref="R90:S90"/>
    <mergeCell ref="C89:E89"/>
    <mergeCell ref="F89:H89"/>
    <mergeCell ref="I89:K89"/>
    <mergeCell ref="L89:N89"/>
    <mergeCell ref="O89:Q89"/>
    <mergeCell ref="R89:S89"/>
    <mergeCell ref="C92:E92"/>
    <mergeCell ref="F92:H92"/>
    <mergeCell ref="I92:K92"/>
    <mergeCell ref="L92:N92"/>
    <mergeCell ref="O92:Q92"/>
    <mergeCell ref="R92:S92"/>
    <mergeCell ref="C91:E91"/>
    <mergeCell ref="F91:H91"/>
    <mergeCell ref="I91:K91"/>
    <mergeCell ref="L91:N91"/>
    <mergeCell ref="O91:Q91"/>
    <mergeCell ref="R91:S91"/>
    <mergeCell ref="C94:E94"/>
    <mergeCell ref="F94:H94"/>
    <mergeCell ref="I94:K94"/>
    <mergeCell ref="L94:N94"/>
    <mergeCell ref="O94:Q94"/>
    <mergeCell ref="R94:S94"/>
    <mergeCell ref="C93:E93"/>
    <mergeCell ref="F93:H93"/>
    <mergeCell ref="I93:K93"/>
    <mergeCell ref="L93:N93"/>
    <mergeCell ref="O93:Q93"/>
    <mergeCell ref="R93:S93"/>
    <mergeCell ref="C96:E96"/>
    <mergeCell ref="F96:H96"/>
    <mergeCell ref="I96:K96"/>
    <mergeCell ref="L96:N96"/>
    <mergeCell ref="O96:Q96"/>
    <mergeCell ref="R96:S96"/>
    <mergeCell ref="C95:E95"/>
    <mergeCell ref="F95:H95"/>
    <mergeCell ref="I95:K95"/>
    <mergeCell ref="L95:N95"/>
    <mergeCell ref="O95:Q95"/>
    <mergeCell ref="R95:S95"/>
    <mergeCell ref="C98:E98"/>
    <mergeCell ref="F98:H98"/>
    <mergeCell ref="I98:K98"/>
    <mergeCell ref="L98:N98"/>
    <mergeCell ref="O98:Q98"/>
    <mergeCell ref="R98:S98"/>
    <mergeCell ref="C97:E97"/>
    <mergeCell ref="F97:H97"/>
    <mergeCell ref="I97:K97"/>
    <mergeCell ref="L97:N97"/>
    <mergeCell ref="O97:Q97"/>
    <mergeCell ref="R97:S97"/>
    <mergeCell ref="C100:E100"/>
    <mergeCell ref="F100:H100"/>
    <mergeCell ref="I100:K100"/>
    <mergeCell ref="L100:N100"/>
    <mergeCell ref="O100:Q100"/>
    <mergeCell ref="R100:S100"/>
    <mergeCell ref="C99:E99"/>
    <mergeCell ref="F99:H99"/>
    <mergeCell ref="I99:K99"/>
    <mergeCell ref="L99:N99"/>
    <mergeCell ref="O99:Q99"/>
    <mergeCell ref="R99:S99"/>
    <mergeCell ref="C102:E102"/>
    <mergeCell ref="F102:H102"/>
    <mergeCell ref="I102:K102"/>
    <mergeCell ref="L102:N102"/>
    <mergeCell ref="O102:Q102"/>
    <mergeCell ref="R102:S102"/>
    <mergeCell ref="C101:E101"/>
    <mergeCell ref="F101:H101"/>
    <mergeCell ref="I101:K101"/>
    <mergeCell ref="L101:N101"/>
    <mergeCell ref="O101:Q101"/>
    <mergeCell ref="R101:S101"/>
    <mergeCell ref="C104:E104"/>
    <mergeCell ref="F104:H104"/>
    <mergeCell ref="I104:K104"/>
    <mergeCell ref="L104:N104"/>
    <mergeCell ref="O104:Q104"/>
    <mergeCell ref="R104:S104"/>
    <mergeCell ref="C103:E103"/>
    <mergeCell ref="F103:H103"/>
    <mergeCell ref="I103:K103"/>
    <mergeCell ref="L103:N103"/>
    <mergeCell ref="O103:Q103"/>
    <mergeCell ref="R103:S103"/>
    <mergeCell ref="C106:E106"/>
    <mergeCell ref="F106:H106"/>
    <mergeCell ref="I106:K106"/>
    <mergeCell ref="L106:N106"/>
    <mergeCell ref="O106:Q106"/>
    <mergeCell ref="R106:S106"/>
    <mergeCell ref="C105:E105"/>
    <mergeCell ref="F105:H105"/>
    <mergeCell ref="I105:K105"/>
    <mergeCell ref="L105:N105"/>
    <mergeCell ref="O105:Q105"/>
    <mergeCell ref="R105:S105"/>
    <mergeCell ref="C108:E108"/>
    <mergeCell ref="F108:H108"/>
    <mergeCell ref="I108:K108"/>
    <mergeCell ref="L108:N108"/>
    <mergeCell ref="O108:Q108"/>
    <mergeCell ref="R108:S108"/>
    <mergeCell ref="C107:E107"/>
    <mergeCell ref="F107:H107"/>
    <mergeCell ref="I107:K107"/>
    <mergeCell ref="L107:N107"/>
    <mergeCell ref="O107:Q107"/>
    <mergeCell ref="R107:S107"/>
    <mergeCell ref="C110:E110"/>
    <mergeCell ref="F110:H110"/>
    <mergeCell ref="I110:K110"/>
    <mergeCell ref="L110:N110"/>
    <mergeCell ref="O110:Q110"/>
    <mergeCell ref="R110:S110"/>
    <mergeCell ref="C109:E109"/>
    <mergeCell ref="F109:H109"/>
    <mergeCell ref="I109:K109"/>
    <mergeCell ref="L109:N109"/>
    <mergeCell ref="O109:Q109"/>
    <mergeCell ref="R109:S109"/>
    <mergeCell ref="C112:E112"/>
    <mergeCell ref="F112:H112"/>
    <mergeCell ref="I112:K112"/>
    <mergeCell ref="L112:N112"/>
    <mergeCell ref="O112:Q112"/>
    <mergeCell ref="R112:S112"/>
    <mergeCell ref="C111:E111"/>
    <mergeCell ref="F111:H111"/>
    <mergeCell ref="I111:K111"/>
    <mergeCell ref="L111:N111"/>
    <mergeCell ref="O111:Q111"/>
    <mergeCell ref="R111:S111"/>
    <mergeCell ref="C114:E114"/>
    <mergeCell ref="F114:H114"/>
    <mergeCell ref="I114:K114"/>
    <mergeCell ref="L114:N114"/>
    <mergeCell ref="O114:Q114"/>
    <mergeCell ref="R114:S114"/>
    <mergeCell ref="C113:E113"/>
    <mergeCell ref="F113:H113"/>
    <mergeCell ref="I113:K113"/>
    <mergeCell ref="L113:N113"/>
    <mergeCell ref="O113:Q113"/>
    <mergeCell ref="R113:S113"/>
    <mergeCell ref="C116:E116"/>
    <mergeCell ref="F116:H116"/>
    <mergeCell ref="I116:K116"/>
    <mergeCell ref="L116:N116"/>
    <mergeCell ref="O116:Q116"/>
    <mergeCell ref="R116:S116"/>
    <mergeCell ref="C115:E115"/>
    <mergeCell ref="F115:H115"/>
    <mergeCell ref="I115:K115"/>
    <mergeCell ref="L115:N115"/>
    <mergeCell ref="O115:Q115"/>
    <mergeCell ref="R115:S115"/>
    <mergeCell ref="C118:E118"/>
    <mergeCell ref="F118:H118"/>
    <mergeCell ref="I118:K118"/>
    <mergeCell ref="L118:N118"/>
    <mergeCell ref="O118:Q118"/>
    <mergeCell ref="R118:S118"/>
    <mergeCell ref="C117:E117"/>
    <mergeCell ref="F117:H117"/>
    <mergeCell ref="I117:K117"/>
    <mergeCell ref="L117:N117"/>
    <mergeCell ref="O117:Q117"/>
    <mergeCell ref="R117:S117"/>
    <mergeCell ref="C120:E120"/>
    <mergeCell ref="F120:H120"/>
    <mergeCell ref="I120:K120"/>
    <mergeCell ref="L120:N120"/>
    <mergeCell ref="O120:Q120"/>
    <mergeCell ref="R120:S120"/>
    <mergeCell ref="C119:E119"/>
    <mergeCell ref="F119:H119"/>
    <mergeCell ref="I119:K119"/>
    <mergeCell ref="L119:N119"/>
    <mergeCell ref="O119:Q119"/>
    <mergeCell ref="R119:S119"/>
    <mergeCell ref="C122:E122"/>
    <mergeCell ref="F122:H122"/>
    <mergeCell ref="I122:K122"/>
    <mergeCell ref="L122:N122"/>
    <mergeCell ref="O122:Q122"/>
    <mergeCell ref="R122:S122"/>
    <mergeCell ref="C121:E121"/>
    <mergeCell ref="F121:H121"/>
    <mergeCell ref="I121:K121"/>
    <mergeCell ref="L121:N121"/>
    <mergeCell ref="O121:Q121"/>
    <mergeCell ref="R121:S121"/>
    <mergeCell ref="C124:E124"/>
    <mergeCell ref="F124:H124"/>
    <mergeCell ref="I124:K124"/>
    <mergeCell ref="L124:N124"/>
    <mergeCell ref="O124:Q124"/>
    <mergeCell ref="R124:S124"/>
    <mergeCell ref="C123:E123"/>
    <mergeCell ref="F123:H123"/>
    <mergeCell ref="I123:K123"/>
    <mergeCell ref="L123:N123"/>
    <mergeCell ref="O123:Q123"/>
    <mergeCell ref="R123:S123"/>
    <mergeCell ref="C126:E126"/>
    <mergeCell ref="F126:H126"/>
    <mergeCell ref="I126:K126"/>
    <mergeCell ref="L126:N126"/>
    <mergeCell ref="O126:Q126"/>
    <mergeCell ref="R126:S126"/>
    <mergeCell ref="C125:E125"/>
    <mergeCell ref="F125:H125"/>
    <mergeCell ref="I125:K125"/>
    <mergeCell ref="L125:N125"/>
    <mergeCell ref="O125:Q125"/>
    <mergeCell ref="R125:S125"/>
    <mergeCell ref="C128:E128"/>
    <mergeCell ref="F128:H128"/>
    <mergeCell ref="I128:K128"/>
    <mergeCell ref="L128:N128"/>
    <mergeCell ref="O128:Q128"/>
    <mergeCell ref="R128:S128"/>
    <mergeCell ref="C127:E127"/>
    <mergeCell ref="F127:H127"/>
    <mergeCell ref="I127:K127"/>
    <mergeCell ref="L127:N127"/>
    <mergeCell ref="O127:Q127"/>
    <mergeCell ref="R127:S127"/>
    <mergeCell ref="C130:E130"/>
    <mergeCell ref="F130:H130"/>
    <mergeCell ref="I130:K130"/>
    <mergeCell ref="L130:N130"/>
    <mergeCell ref="O130:Q130"/>
    <mergeCell ref="R130:S130"/>
    <mergeCell ref="C129:E129"/>
    <mergeCell ref="F129:H129"/>
    <mergeCell ref="I129:K129"/>
    <mergeCell ref="L129:N129"/>
    <mergeCell ref="O129:Q129"/>
    <mergeCell ref="R129:S129"/>
    <mergeCell ref="B132:Q132"/>
    <mergeCell ref="R132:S132"/>
    <mergeCell ref="B133:Q133"/>
    <mergeCell ref="R133:S133"/>
    <mergeCell ref="C131:E131"/>
    <mergeCell ref="F131:H131"/>
    <mergeCell ref="I131:K131"/>
    <mergeCell ref="L131:N131"/>
    <mergeCell ref="O131:Q131"/>
    <mergeCell ref="R131:S1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S18"/>
  <sheetViews>
    <sheetView workbookViewId="0">
      <selection activeCell="G19" sqref="G19"/>
    </sheetView>
  </sheetViews>
  <sheetFormatPr defaultRowHeight="14.4" x14ac:dyDescent="0.3"/>
  <cols>
    <col min="1" max="1" width="2.5546875" customWidth="1"/>
    <col min="2" max="2" width="15.21875" bestFit="1" customWidth="1"/>
    <col min="3" max="3" width="9.109375" bestFit="1" customWidth="1"/>
    <col min="4" max="4" width="10.88671875" customWidth="1"/>
    <col min="5" max="5" width="8.6640625" bestFit="1" customWidth="1"/>
    <col min="6" max="7" width="9.109375" bestFit="1" customWidth="1"/>
    <col min="8" max="8" width="8.33203125" customWidth="1"/>
    <col min="9" max="9" width="2.21875" customWidth="1"/>
    <col min="10" max="11" width="8.33203125" customWidth="1"/>
    <col min="12" max="12" width="8" bestFit="1" customWidth="1"/>
    <col min="13" max="13" width="5.109375" bestFit="1" customWidth="1"/>
    <col min="14" max="15" width="10" customWidth="1"/>
    <col min="16" max="16" width="9.109375" bestFit="1" customWidth="1"/>
    <col min="17" max="18" width="12.44140625" bestFit="1" customWidth="1"/>
    <col min="19" max="19" width="11.109375" bestFit="1" customWidth="1"/>
  </cols>
  <sheetData>
    <row r="1" spans="2:19" ht="15" thickBot="1" x14ac:dyDescent="0.35"/>
    <row r="2" spans="2:19" ht="55.8" thickBot="1" x14ac:dyDescent="0.35">
      <c r="B2" s="1720" t="s">
        <v>660</v>
      </c>
      <c r="C2" s="1687" t="s">
        <v>964</v>
      </c>
      <c r="D2" s="1705" t="s">
        <v>961</v>
      </c>
      <c r="E2" s="1687" t="s">
        <v>962</v>
      </c>
      <c r="F2" s="1705" t="s">
        <v>965</v>
      </c>
      <c r="G2" s="1687" t="s">
        <v>959</v>
      </c>
      <c r="H2" s="1696" t="s">
        <v>960</v>
      </c>
      <c r="J2" s="1687" t="s">
        <v>655</v>
      </c>
      <c r="K2" s="1696" t="s">
        <v>537</v>
      </c>
      <c r="N2" s="1688" t="s">
        <v>957</v>
      </c>
      <c r="O2" s="1697" t="s">
        <v>964</v>
      </c>
      <c r="P2" s="1705" t="s">
        <v>958</v>
      </c>
      <c r="Q2" s="1687" t="s">
        <v>966</v>
      </c>
      <c r="R2" s="1705" t="s">
        <v>967</v>
      </c>
      <c r="S2" s="1687" t="s">
        <v>963</v>
      </c>
    </row>
    <row r="3" spans="2:19" x14ac:dyDescent="0.3">
      <c r="B3" s="1721" t="s">
        <v>684</v>
      </c>
      <c r="C3" s="1698">
        <v>1200</v>
      </c>
      <c r="D3" s="1706">
        <v>1263</v>
      </c>
      <c r="E3" s="1698">
        <f>D3-C3</f>
        <v>63</v>
      </c>
      <c r="F3" s="1706">
        <v>20</v>
      </c>
      <c r="G3" s="1698">
        <f>E3-F3</f>
        <v>43</v>
      </c>
      <c r="H3" s="1713">
        <f>D3-F3</f>
        <v>1243</v>
      </c>
      <c r="J3" s="1698">
        <f>H3/12*33</f>
        <v>3418.25</v>
      </c>
      <c r="K3" s="1713">
        <f>H3/12*45</f>
        <v>4661.25</v>
      </c>
      <c r="L3">
        <f>1263/12*33</f>
        <v>3473.25</v>
      </c>
      <c r="M3" s="133">
        <f>L3-J3</f>
        <v>55</v>
      </c>
      <c r="N3" s="1689">
        <v>17000</v>
      </c>
      <c r="O3" s="1698">
        <v>1200</v>
      </c>
      <c r="P3" s="1706">
        <v>1243</v>
      </c>
      <c r="Q3" s="1698">
        <f>N3*O3</f>
        <v>20400000</v>
      </c>
      <c r="R3" s="1706">
        <f>N3*P3</f>
        <v>21131000</v>
      </c>
      <c r="S3" s="1698">
        <f>R3-Q3</f>
        <v>731000</v>
      </c>
    </row>
    <row r="4" spans="2:19" x14ac:dyDescent="0.3">
      <c r="B4" s="1722" t="s">
        <v>686</v>
      </c>
      <c r="C4" s="1699">
        <v>1200</v>
      </c>
      <c r="D4" s="1707">
        <v>1263</v>
      </c>
      <c r="E4" s="1699">
        <f t="shared" ref="E4:E12" si="0">D4-C4</f>
        <v>63</v>
      </c>
      <c r="F4" s="1707">
        <v>20</v>
      </c>
      <c r="G4" s="1699">
        <f t="shared" ref="G4:G12" si="1">E4-F4</f>
        <v>43</v>
      </c>
      <c r="H4" s="1714">
        <f t="shared" ref="H4:H12" si="2">D4-F4</f>
        <v>1243</v>
      </c>
      <c r="J4" s="1699">
        <f t="shared" ref="J4:J12" si="3">H4/12*33</f>
        <v>3418.25</v>
      </c>
      <c r="K4" s="1714">
        <f t="shared" ref="K4:K12" si="4">H4/12*45</f>
        <v>4661.25</v>
      </c>
      <c r="L4">
        <f t="shared" ref="L4:L12" si="5">1263/12*33</f>
        <v>3473.25</v>
      </c>
      <c r="M4" s="133">
        <f t="shared" ref="M4:M12" si="6">L4-J4</f>
        <v>55</v>
      </c>
      <c r="N4" s="1690">
        <v>15000</v>
      </c>
      <c r="O4" s="1699">
        <v>1200</v>
      </c>
      <c r="P4" s="1707">
        <v>1243</v>
      </c>
      <c r="Q4" s="1699">
        <f t="shared" ref="Q4:Q12" si="7">N4*O4</f>
        <v>18000000</v>
      </c>
      <c r="R4" s="1707">
        <f t="shared" ref="R4:R12" si="8">N4*P4</f>
        <v>18645000</v>
      </c>
      <c r="S4" s="1699">
        <f t="shared" ref="S4:S12" si="9">R4-Q4</f>
        <v>645000</v>
      </c>
    </row>
    <row r="5" spans="2:19" x14ac:dyDescent="0.3">
      <c r="B5" s="1723" t="s">
        <v>817</v>
      </c>
      <c r="C5" s="1700">
        <v>1190</v>
      </c>
      <c r="D5" s="1708">
        <v>1263</v>
      </c>
      <c r="E5" s="1700">
        <f t="shared" si="0"/>
        <v>73</v>
      </c>
      <c r="F5" s="1708">
        <v>30</v>
      </c>
      <c r="G5" s="1700">
        <f t="shared" si="1"/>
        <v>43</v>
      </c>
      <c r="H5" s="1715">
        <f t="shared" si="2"/>
        <v>1233</v>
      </c>
      <c r="J5" s="1700">
        <f t="shared" si="3"/>
        <v>3390.75</v>
      </c>
      <c r="K5" s="1715">
        <f t="shared" si="4"/>
        <v>4623.75</v>
      </c>
      <c r="L5">
        <f t="shared" si="5"/>
        <v>3473.25</v>
      </c>
      <c r="M5" s="133">
        <f t="shared" si="6"/>
        <v>82.5</v>
      </c>
      <c r="N5" s="1691">
        <v>7500</v>
      </c>
      <c r="O5" s="1700">
        <v>1190</v>
      </c>
      <c r="P5" s="1708">
        <v>1233</v>
      </c>
      <c r="Q5" s="1700">
        <f t="shared" si="7"/>
        <v>8925000</v>
      </c>
      <c r="R5" s="1708">
        <f t="shared" si="8"/>
        <v>9247500</v>
      </c>
      <c r="S5" s="1700">
        <f t="shared" si="9"/>
        <v>322500</v>
      </c>
    </row>
    <row r="6" spans="2:19" x14ac:dyDescent="0.3">
      <c r="B6" s="1723" t="s">
        <v>777</v>
      </c>
      <c r="C6" s="1700">
        <v>1190</v>
      </c>
      <c r="D6" s="1708">
        <v>1263</v>
      </c>
      <c r="E6" s="1700">
        <f t="shared" si="0"/>
        <v>73</v>
      </c>
      <c r="F6" s="1708">
        <v>30</v>
      </c>
      <c r="G6" s="1700">
        <f t="shared" si="1"/>
        <v>43</v>
      </c>
      <c r="H6" s="1715">
        <f t="shared" si="2"/>
        <v>1233</v>
      </c>
      <c r="J6" s="1700">
        <f t="shared" si="3"/>
        <v>3390.75</v>
      </c>
      <c r="K6" s="1715">
        <f t="shared" si="4"/>
        <v>4623.75</v>
      </c>
      <c r="L6">
        <f t="shared" si="5"/>
        <v>3473.25</v>
      </c>
      <c r="M6" s="133">
        <f t="shared" si="6"/>
        <v>82.5</v>
      </c>
      <c r="N6" s="1691">
        <v>10000</v>
      </c>
      <c r="O6" s="1700">
        <v>1190</v>
      </c>
      <c r="P6" s="1708">
        <v>1233</v>
      </c>
      <c r="Q6" s="1700">
        <f t="shared" si="7"/>
        <v>11900000</v>
      </c>
      <c r="R6" s="1708">
        <f t="shared" si="8"/>
        <v>12330000</v>
      </c>
      <c r="S6" s="1700">
        <f t="shared" si="9"/>
        <v>430000</v>
      </c>
    </row>
    <row r="7" spans="2:19" x14ac:dyDescent="0.3">
      <c r="B7" s="1724" t="s">
        <v>681</v>
      </c>
      <c r="C7" s="1701">
        <v>1160</v>
      </c>
      <c r="D7" s="1709">
        <v>1263</v>
      </c>
      <c r="E7" s="1701">
        <f t="shared" si="0"/>
        <v>103</v>
      </c>
      <c r="F7" s="1709">
        <v>50</v>
      </c>
      <c r="G7" s="1701">
        <f t="shared" si="1"/>
        <v>53</v>
      </c>
      <c r="H7" s="1716">
        <f t="shared" si="2"/>
        <v>1213</v>
      </c>
      <c r="J7" s="1701">
        <f t="shared" si="3"/>
        <v>3335.75</v>
      </c>
      <c r="K7" s="1716">
        <f t="shared" si="4"/>
        <v>4548.75</v>
      </c>
      <c r="L7">
        <f t="shared" si="5"/>
        <v>3473.25</v>
      </c>
      <c r="M7" s="133">
        <f t="shared" si="6"/>
        <v>137.5</v>
      </c>
      <c r="N7" s="1692">
        <v>16000</v>
      </c>
      <c r="O7" s="1701">
        <v>1160</v>
      </c>
      <c r="P7" s="1709">
        <v>1213</v>
      </c>
      <c r="Q7" s="1701">
        <f t="shared" si="7"/>
        <v>18560000</v>
      </c>
      <c r="R7" s="1709">
        <f t="shared" si="8"/>
        <v>19408000</v>
      </c>
      <c r="S7" s="1701">
        <f t="shared" si="9"/>
        <v>848000</v>
      </c>
    </row>
    <row r="8" spans="2:19" x14ac:dyDescent="0.3">
      <c r="B8" s="1725" t="s">
        <v>683</v>
      </c>
      <c r="C8" s="1702">
        <v>1170</v>
      </c>
      <c r="D8" s="1710">
        <v>1263</v>
      </c>
      <c r="E8" s="1702">
        <f t="shared" si="0"/>
        <v>93</v>
      </c>
      <c r="F8" s="1710">
        <v>40</v>
      </c>
      <c r="G8" s="1702">
        <f t="shared" si="1"/>
        <v>53</v>
      </c>
      <c r="H8" s="1717">
        <f t="shared" si="2"/>
        <v>1223</v>
      </c>
      <c r="J8" s="1702">
        <f t="shared" si="3"/>
        <v>3363.25</v>
      </c>
      <c r="K8" s="1717">
        <f t="shared" si="4"/>
        <v>4586.25</v>
      </c>
      <c r="L8">
        <f t="shared" si="5"/>
        <v>3473.25</v>
      </c>
      <c r="M8" s="133">
        <f t="shared" si="6"/>
        <v>110</v>
      </c>
      <c r="N8" s="1693">
        <v>7000</v>
      </c>
      <c r="O8" s="1702">
        <v>1170</v>
      </c>
      <c r="P8" s="1710">
        <v>1223</v>
      </c>
      <c r="Q8" s="1702">
        <f t="shared" si="7"/>
        <v>8190000</v>
      </c>
      <c r="R8" s="1710">
        <f t="shared" si="8"/>
        <v>8561000</v>
      </c>
      <c r="S8" s="1702">
        <f t="shared" si="9"/>
        <v>371000</v>
      </c>
    </row>
    <row r="9" spans="2:19" x14ac:dyDescent="0.3">
      <c r="B9" s="1725" t="s">
        <v>764</v>
      </c>
      <c r="C9" s="1702">
        <v>1170</v>
      </c>
      <c r="D9" s="1710">
        <v>1263</v>
      </c>
      <c r="E9" s="1702">
        <f t="shared" si="0"/>
        <v>93</v>
      </c>
      <c r="F9" s="1710">
        <v>40</v>
      </c>
      <c r="G9" s="1702">
        <f t="shared" si="1"/>
        <v>53</v>
      </c>
      <c r="H9" s="1717">
        <f t="shared" si="2"/>
        <v>1223</v>
      </c>
      <c r="J9" s="1702">
        <f t="shared" si="3"/>
        <v>3363.25</v>
      </c>
      <c r="K9" s="1717">
        <f t="shared" si="4"/>
        <v>4586.25</v>
      </c>
      <c r="L9">
        <f t="shared" si="5"/>
        <v>3473.25</v>
      </c>
      <c r="M9" s="133">
        <f t="shared" si="6"/>
        <v>110</v>
      </c>
      <c r="N9" s="1693">
        <v>6000</v>
      </c>
      <c r="O9" s="1702">
        <v>1170</v>
      </c>
      <c r="P9" s="1710">
        <v>1223</v>
      </c>
      <c r="Q9" s="1702">
        <f t="shared" si="7"/>
        <v>7020000</v>
      </c>
      <c r="R9" s="1710">
        <f t="shared" si="8"/>
        <v>7338000</v>
      </c>
      <c r="S9" s="1702">
        <f t="shared" si="9"/>
        <v>318000</v>
      </c>
    </row>
    <row r="10" spans="2:19" x14ac:dyDescent="0.3">
      <c r="B10" s="1723" t="s">
        <v>859</v>
      </c>
      <c r="C10" s="1700">
        <v>1170</v>
      </c>
      <c r="D10" s="1708">
        <v>1263</v>
      </c>
      <c r="E10" s="1700">
        <f t="shared" si="0"/>
        <v>93</v>
      </c>
      <c r="F10" s="1708">
        <v>35</v>
      </c>
      <c r="G10" s="1700">
        <f t="shared" si="1"/>
        <v>58</v>
      </c>
      <c r="H10" s="1715">
        <f t="shared" si="2"/>
        <v>1228</v>
      </c>
      <c r="J10" s="1700">
        <f t="shared" si="3"/>
        <v>3377</v>
      </c>
      <c r="K10" s="1715">
        <f t="shared" si="4"/>
        <v>4605</v>
      </c>
      <c r="L10">
        <f t="shared" si="5"/>
        <v>3473.25</v>
      </c>
      <c r="M10" s="133">
        <f t="shared" si="6"/>
        <v>96.25</v>
      </c>
      <c r="N10" s="1691">
        <v>4000</v>
      </c>
      <c r="O10" s="1700">
        <v>1170</v>
      </c>
      <c r="P10" s="1708">
        <v>1228</v>
      </c>
      <c r="Q10" s="1700">
        <f t="shared" si="7"/>
        <v>4680000</v>
      </c>
      <c r="R10" s="1708">
        <f t="shared" si="8"/>
        <v>4912000</v>
      </c>
      <c r="S10" s="1700">
        <f t="shared" si="9"/>
        <v>232000</v>
      </c>
    </row>
    <row r="11" spans="2:19" x14ac:dyDescent="0.3">
      <c r="B11" s="1726" t="s">
        <v>935</v>
      </c>
      <c r="C11" s="1703">
        <v>1180</v>
      </c>
      <c r="D11" s="1711">
        <v>1263</v>
      </c>
      <c r="E11" s="1703">
        <f t="shared" si="0"/>
        <v>83</v>
      </c>
      <c r="F11" s="1711">
        <v>40</v>
      </c>
      <c r="G11" s="1703">
        <f t="shared" si="1"/>
        <v>43</v>
      </c>
      <c r="H11" s="1718">
        <f t="shared" si="2"/>
        <v>1223</v>
      </c>
      <c r="J11" s="1703">
        <f t="shared" si="3"/>
        <v>3363.25</v>
      </c>
      <c r="K11" s="1718">
        <f t="shared" si="4"/>
        <v>4586.25</v>
      </c>
      <c r="L11">
        <f t="shared" si="5"/>
        <v>3473.25</v>
      </c>
      <c r="M11" s="133">
        <f t="shared" si="6"/>
        <v>110</v>
      </c>
      <c r="N11" s="1694">
        <v>2000</v>
      </c>
      <c r="O11" s="1703">
        <v>1180</v>
      </c>
      <c r="P11" s="1711">
        <v>1223.0000000000002</v>
      </c>
      <c r="Q11" s="1703">
        <f t="shared" si="7"/>
        <v>2360000</v>
      </c>
      <c r="R11" s="1711">
        <f t="shared" si="8"/>
        <v>2446000.0000000005</v>
      </c>
      <c r="S11" s="1703">
        <f t="shared" si="9"/>
        <v>86000.000000000466</v>
      </c>
    </row>
    <row r="12" spans="2:19" ht="15" thickBot="1" x14ac:dyDescent="0.35">
      <c r="B12" s="1727" t="s">
        <v>941</v>
      </c>
      <c r="C12" s="1704">
        <v>1160</v>
      </c>
      <c r="D12" s="1712">
        <v>1263</v>
      </c>
      <c r="E12" s="1704">
        <f t="shared" si="0"/>
        <v>103</v>
      </c>
      <c r="F12" s="1712">
        <v>50</v>
      </c>
      <c r="G12" s="1704">
        <f t="shared" si="1"/>
        <v>53</v>
      </c>
      <c r="H12" s="1719">
        <f t="shared" si="2"/>
        <v>1213</v>
      </c>
      <c r="J12" s="1704">
        <f t="shared" si="3"/>
        <v>3335.75</v>
      </c>
      <c r="K12" s="1719">
        <f t="shared" si="4"/>
        <v>4548.75</v>
      </c>
      <c r="L12">
        <f t="shared" si="5"/>
        <v>3473.25</v>
      </c>
      <c r="M12" s="133">
        <f t="shared" si="6"/>
        <v>137.5</v>
      </c>
      <c r="N12" s="1695">
        <v>1000</v>
      </c>
      <c r="O12" s="1704">
        <v>1160</v>
      </c>
      <c r="P12" s="1712">
        <v>1213</v>
      </c>
      <c r="Q12" s="1704">
        <f t="shared" si="7"/>
        <v>1160000</v>
      </c>
      <c r="R12" s="1712">
        <f t="shared" si="8"/>
        <v>1213000</v>
      </c>
      <c r="S12" s="1704">
        <f t="shared" si="9"/>
        <v>53000</v>
      </c>
    </row>
    <row r="13" spans="2:19" x14ac:dyDescent="0.3">
      <c r="N13" s="1728">
        <f>SUM(N3:N12)</f>
        <v>85500</v>
      </c>
      <c r="O13" s="1"/>
      <c r="P13" s="1" t="s">
        <v>0</v>
      </c>
      <c r="Q13" s="1728">
        <f>SUM(Q3:Q12)</f>
        <v>101195000</v>
      </c>
      <c r="R13" s="1728">
        <f t="shared" ref="R13:S13" si="10">SUM(R3:R12)</f>
        <v>105231500</v>
      </c>
      <c r="S13" s="1728">
        <f t="shared" si="10"/>
        <v>4036500.0000000005</v>
      </c>
    </row>
    <row r="14" spans="2:19" x14ac:dyDescent="0.3">
      <c r="N14" s="1728">
        <f>N13*12/1000</f>
        <v>1026</v>
      </c>
      <c r="O14" s="1" t="s">
        <v>469</v>
      </c>
      <c r="Q14" s="1729" t="s">
        <v>968</v>
      </c>
      <c r="R14" s="1730"/>
      <c r="S14" s="1731">
        <f>S13*7/107</f>
        <v>264070.09345794393</v>
      </c>
    </row>
    <row r="15" spans="2:19" x14ac:dyDescent="0.3">
      <c r="Q15" s="1729" t="s">
        <v>969</v>
      </c>
      <c r="R15" s="1730"/>
      <c r="S15" s="1731">
        <f>S13-S14</f>
        <v>3772429.9065420567</v>
      </c>
    </row>
    <row r="16" spans="2:19" x14ac:dyDescent="0.3">
      <c r="Q16" s="1729" t="s">
        <v>970</v>
      </c>
      <c r="R16" s="1730"/>
      <c r="S16" s="1731">
        <v>1516792.5903509797</v>
      </c>
    </row>
    <row r="17" spans="4:19" x14ac:dyDescent="0.3">
      <c r="Q17" s="1732" t="s">
        <v>971</v>
      </c>
      <c r="R17" s="1730"/>
      <c r="S17" s="1731">
        <f>S15+S16</f>
        <v>5289222.4968930362</v>
      </c>
    </row>
    <row r="18" spans="4:19" x14ac:dyDescent="0.3">
      <c r="D18" s="6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Cash_Feb22V1</vt:lpstr>
      <vt:lpstr>June-22</vt:lpstr>
      <vt:lpstr>OPEX</vt:lpstr>
      <vt:lpstr>Sheet3</vt:lpstr>
      <vt:lpstr>Competitors June-22</vt:lpstr>
      <vt:lpstr>Actual May-22</vt:lpstr>
      <vt:lpstr>Price Updated May-22</vt:lpstr>
      <vt:lpstr>LOAB May-22</vt:lpstr>
      <vt:lpstr>Sheet5</vt:lpstr>
      <vt:lpstr>Competitors May-22</vt:lpstr>
      <vt:lpstr>Target APR-22</vt:lpstr>
      <vt:lpstr>Actual APR-22</vt:lpstr>
      <vt:lpstr>April-22</vt:lpstr>
      <vt:lpstr>NLPG Price1005</vt:lpstr>
      <vt:lpstr>Sheet2</vt:lpstr>
      <vt:lpstr>Noakhali</vt:lpstr>
      <vt:lpstr>Fixed Cost</vt:lpstr>
      <vt:lpstr>Cash_Apr22V1</vt:lpstr>
      <vt:lpstr>Autogas</vt:lpstr>
      <vt:lpstr>Sheet1</vt:lpstr>
      <vt:lpstr>Market Price_Apr22</vt:lpstr>
      <vt:lpstr>Mongla</vt:lpstr>
      <vt:lpstr>Ashulia</vt:lpstr>
      <vt:lpstr>Sales Target Mar22</vt:lpstr>
      <vt:lpstr>Cash_Feb22V2</vt:lpstr>
      <vt:lpstr>Cash_Feb22V4</vt:lpstr>
      <vt:lpstr>Market Price_Feb22</vt:lpstr>
      <vt:lpstr>Cash_Feb22V3</vt:lpstr>
      <vt:lpstr>P&amp;L Jul-Dec21</vt:lpstr>
      <vt:lpstr>LPG Pricing (Local)</vt:lpstr>
      <vt:lpstr>LPG Pricing (Import)</vt:lpstr>
      <vt:lpstr>Mongla!Print_Area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SM-A305F</dc:creator>
  <cp:lastModifiedBy>User</cp:lastModifiedBy>
  <cp:lastPrinted>2022-05-10T08:57:16Z</cp:lastPrinted>
  <dcterms:created xsi:type="dcterms:W3CDTF">2006-08-13T00:00:00Z</dcterms:created>
  <dcterms:modified xsi:type="dcterms:W3CDTF">2022-06-02T11:03:03Z</dcterms:modified>
</cp:coreProperties>
</file>