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ousuf\Daily electricity bill-2022\"/>
    </mc:Choice>
  </mc:AlternateContent>
  <bookViews>
    <workbookView xWindow="0" yWindow="0" windowWidth="20490" windowHeight="7635"/>
  </bookViews>
  <sheets>
    <sheet name="May-2022" sheetId="14" r:id="rId1"/>
  </sheets>
  <calcPr calcId="162913"/>
</workbook>
</file>

<file path=xl/calcChain.xml><?xml version="1.0" encoding="utf-8"?>
<calcChain xmlns="http://schemas.openxmlformats.org/spreadsheetml/2006/main">
  <c r="Z10" i="14" l="1"/>
  <c r="Z9" i="14"/>
  <c r="N6" i="14"/>
  <c r="Y6" i="14" s="1"/>
  <c r="K6" i="14"/>
  <c r="X6" i="14" s="1"/>
  <c r="H6" i="14"/>
  <c r="E6" i="14"/>
  <c r="N5" i="14"/>
  <c r="Y5" i="14" s="1"/>
  <c r="K5" i="14"/>
  <c r="X5" i="14" s="1"/>
  <c r="H5" i="14"/>
  <c r="E5" i="14"/>
  <c r="Q5" i="14" l="1"/>
  <c r="S5" i="14" s="1"/>
  <c r="Q6" i="14"/>
  <c r="S6" i="14" s="1"/>
  <c r="O5" i="14"/>
  <c r="P5" i="14" s="1"/>
  <c r="R5" i="14" s="1"/>
  <c r="Z5" i="14"/>
  <c r="Z7" i="14" s="1"/>
  <c r="Z11" i="14" s="1"/>
  <c r="O6" i="14"/>
  <c r="P6" i="14" s="1"/>
  <c r="AA5" i="14" l="1"/>
  <c r="T5" i="14" s="1"/>
  <c r="V5" i="14" s="1"/>
  <c r="AA6" i="14"/>
  <c r="T6" i="14" s="1"/>
  <c r="R6" i="14"/>
  <c r="U5" i="14" l="1"/>
  <c r="W5" i="14" s="1"/>
  <c r="U6" i="14"/>
  <c r="V6" i="14"/>
  <c r="W6" i="14" l="1"/>
  <c r="Z6" i="14" s="1"/>
  <c r="Z8" i="14" s="1"/>
  <c r="Z12" i="14" s="1"/>
  <c r="Z13" i="14" l="1"/>
</calcChain>
</file>

<file path=xl/sharedStrings.xml><?xml version="1.0" encoding="utf-8"?>
<sst xmlns="http://schemas.openxmlformats.org/spreadsheetml/2006/main" count="43" uniqueCount="35">
  <si>
    <t>KVARH</t>
  </si>
  <si>
    <t>KWH</t>
  </si>
  <si>
    <t>Total kwh</t>
  </si>
  <si>
    <t>θ2=tan-1 B2/A2</t>
  </si>
  <si>
    <t>Cosθ1(&gt;0.95)</t>
  </si>
  <si>
    <t>Cosθ2(&gt;0.95)</t>
  </si>
  <si>
    <t>P.F.I Avg</t>
  </si>
  <si>
    <t>Peak PFC= (.95/Cosθ1-1)*Kwh*Tk</t>
  </si>
  <si>
    <t>OFF Peak PFC= (.95/Cosθ2-1)*Kwh*Tk</t>
  </si>
  <si>
    <t>Total PFC</t>
  </si>
  <si>
    <t>Peak= A1*TK</t>
  </si>
  <si>
    <t>Off Peak= A2*TK</t>
  </si>
  <si>
    <t>Original PFI</t>
  </si>
  <si>
    <t>PEAK</t>
  </si>
  <si>
    <t>OFF PEAK</t>
  </si>
  <si>
    <t>Opening</t>
  </si>
  <si>
    <t>Closing</t>
  </si>
  <si>
    <t>θ1=tan-1 B1/A1</t>
  </si>
  <si>
    <t>33 KV</t>
  </si>
  <si>
    <t>11 KV</t>
  </si>
  <si>
    <t>33 KVA Bill   =</t>
  </si>
  <si>
    <t>11 KVA Bill=</t>
  </si>
  <si>
    <t>33 KVA    VAT 5%  =</t>
  </si>
  <si>
    <t>11 KVA   VAT  5% =</t>
  </si>
  <si>
    <t>Total Bill  =</t>
  </si>
  <si>
    <t>Difference (B1)</t>
  </si>
  <si>
    <t>Difference (A1)</t>
  </si>
  <si>
    <t>Difference (B2)</t>
  </si>
  <si>
    <t>Difference (A2)</t>
  </si>
  <si>
    <t>Total Bill (TK)</t>
  </si>
  <si>
    <t>Month Name</t>
  </si>
  <si>
    <t>11 KVA  Demand charge =</t>
  </si>
  <si>
    <t>33 KVA  Demand charge=</t>
  </si>
  <si>
    <t>Line KV</t>
  </si>
  <si>
    <t xml:space="preserve"> Meter Reading Analysis May-2022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</si>
</sst>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name val="Calibri"/>
    </font>
    <font>
      <b/>
      <sz val="10"/>
      <name val="New time"/>
    </font>
    <font>
      <sz val="10"/>
      <name val="New time"/>
    </font>
    <font>
      <sz val="18"/>
      <name val="New time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3" borderId="15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17" xfId="0" applyFont="1" applyFill="1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 vertical="center" textRotation="90"/>
    </xf>
    <xf numFmtId="0" fontId="1" fillId="4" borderId="15" xfId="0" applyFont="1" applyFill="1" applyBorder="1" applyAlignment="1">
      <alignment horizontal="center" vertical="center" textRotation="90"/>
    </xf>
    <xf numFmtId="0" fontId="1" fillId="4" borderId="18" xfId="0" applyFont="1" applyFill="1" applyBorder="1" applyAlignment="1">
      <alignment horizontal="center" vertical="center" textRotation="90"/>
    </xf>
    <xf numFmtId="164" fontId="1" fillId="7" borderId="8" xfId="0" applyNumberFormat="1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1" fillId="7" borderId="8" xfId="0" applyNumberFormat="1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 vertical="center"/>
    </xf>
    <xf numFmtId="2" fontId="1" fillId="7" borderId="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8" borderId="8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textRotation="90" wrapText="1"/>
    </xf>
    <xf numFmtId="0" fontId="3" fillId="2" borderId="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  <xf numFmtId="0" fontId="1" fillId="0" borderId="20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17" fontId="1" fillId="7" borderId="3" xfId="0" applyNumberFormat="1" applyFont="1" applyFill="1" applyBorder="1" applyAlignment="1">
      <alignment horizontal="center" vertical="center"/>
    </xf>
    <xf numFmtId="0" fontId="1" fillId="7" borderId="20" xfId="0" applyNumberFormat="1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0" fontId="1" fillId="9" borderId="6" xfId="0" applyNumberFormat="1" applyFont="1" applyFill="1" applyBorder="1" applyAlignment="1">
      <alignment horizontal="center" vertical="center" textRotation="90" wrapText="1"/>
    </xf>
    <xf numFmtId="10" fontId="1" fillId="9" borderId="16" xfId="0" applyNumberFormat="1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textRotation="90" wrapText="1"/>
    </xf>
    <xf numFmtId="0" fontId="1" fillId="9" borderId="16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5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textRotation="90" wrapText="1"/>
    </xf>
    <xf numFmtId="0" fontId="1" fillId="6" borderId="16" xfId="0" applyFont="1" applyFill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justify" textRotation="90" wrapText="1"/>
    </xf>
    <xf numFmtId="0" fontId="1" fillId="0" borderId="8" xfId="0" applyFont="1" applyBorder="1" applyAlignment="1">
      <alignment horizontal="center" vertical="justify" textRotation="90" wrapText="1"/>
    </xf>
    <xf numFmtId="0" fontId="1" fillId="0" borderId="3" xfId="0" applyFont="1" applyBorder="1" applyAlignment="1">
      <alignment horizontal="center" vertical="justify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14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Y9" sqref="Y9"/>
    </sheetView>
  </sheetViews>
  <sheetFormatPr defaultColWidth="10" defaultRowHeight="15"/>
  <cols>
    <col min="1" max="1" width="12.7109375" bestFit="1" customWidth="1"/>
    <col min="3" max="7" width="10.140625" bestFit="1" customWidth="1"/>
    <col min="8" max="8" width="11.28515625" customWidth="1"/>
    <col min="9" max="22" width="10.140625" bestFit="1" customWidth="1"/>
    <col min="23" max="23" width="9.5703125" customWidth="1"/>
    <col min="24" max="24" width="12.28515625" customWidth="1"/>
    <col min="25" max="25" width="27.5703125" bestFit="1" customWidth="1"/>
    <col min="26" max="26" width="13.42578125" customWidth="1"/>
    <col min="27" max="27" width="10.140625" bestFit="1" customWidth="1"/>
  </cols>
  <sheetData>
    <row r="1" spans="1:27" ht="23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.75" thickBot="1">
      <c r="A2" s="24" t="s">
        <v>30</v>
      </c>
      <c r="B2" s="27" t="s">
        <v>33</v>
      </c>
      <c r="C2" s="30" t="s">
        <v>0</v>
      </c>
      <c r="D2" s="31"/>
      <c r="E2" s="31"/>
      <c r="F2" s="32"/>
      <c r="G2" s="32"/>
      <c r="H2" s="33"/>
      <c r="I2" s="34" t="s">
        <v>1</v>
      </c>
      <c r="J2" s="35"/>
      <c r="K2" s="35"/>
      <c r="L2" s="36"/>
      <c r="M2" s="36"/>
      <c r="N2" s="37"/>
      <c r="O2" s="38" t="s">
        <v>2</v>
      </c>
      <c r="P2" s="41" t="s">
        <v>17</v>
      </c>
      <c r="Q2" s="41" t="s">
        <v>3</v>
      </c>
      <c r="R2" s="41" t="s">
        <v>4</v>
      </c>
      <c r="S2" s="41" t="s">
        <v>5</v>
      </c>
      <c r="T2" s="66" t="s">
        <v>6</v>
      </c>
      <c r="U2" s="69" t="s">
        <v>7</v>
      </c>
      <c r="V2" s="69" t="s">
        <v>8</v>
      </c>
      <c r="W2" s="66" t="s">
        <v>9</v>
      </c>
      <c r="X2" s="66" t="s">
        <v>10</v>
      </c>
      <c r="Y2" s="22" t="s">
        <v>11</v>
      </c>
      <c r="Z2" s="46" t="s">
        <v>29</v>
      </c>
      <c r="AA2" s="49" t="s">
        <v>12</v>
      </c>
    </row>
    <row r="3" spans="1:27">
      <c r="A3" s="25"/>
      <c r="B3" s="28"/>
      <c r="C3" s="50" t="s">
        <v>13</v>
      </c>
      <c r="D3" s="51"/>
      <c r="E3" s="52" t="s">
        <v>25</v>
      </c>
      <c r="F3" s="54" t="s">
        <v>14</v>
      </c>
      <c r="G3" s="55"/>
      <c r="H3" s="56" t="s">
        <v>27</v>
      </c>
      <c r="I3" s="58" t="s">
        <v>13</v>
      </c>
      <c r="J3" s="59"/>
      <c r="K3" s="60" t="s">
        <v>26</v>
      </c>
      <c r="L3" s="62" t="s">
        <v>14</v>
      </c>
      <c r="M3" s="63"/>
      <c r="N3" s="64" t="s">
        <v>28</v>
      </c>
      <c r="O3" s="39"/>
      <c r="P3" s="42"/>
      <c r="Q3" s="42"/>
      <c r="R3" s="42"/>
      <c r="S3" s="42"/>
      <c r="T3" s="67"/>
      <c r="U3" s="70"/>
      <c r="V3" s="70"/>
      <c r="W3" s="67"/>
      <c r="X3" s="67"/>
      <c r="Y3" s="22"/>
      <c r="Z3" s="47"/>
      <c r="AA3" s="49"/>
    </row>
    <row r="4" spans="1:27" ht="45.75">
      <c r="A4" s="26"/>
      <c r="B4" s="29"/>
      <c r="C4" s="1" t="s">
        <v>15</v>
      </c>
      <c r="D4" s="2" t="s">
        <v>16</v>
      </c>
      <c r="E4" s="53"/>
      <c r="F4" s="3" t="s">
        <v>15</v>
      </c>
      <c r="G4" s="4" t="s">
        <v>16</v>
      </c>
      <c r="H4" s="57"/>
      <c r="I4" s="5" t="s">
        <v>15</v>
      </c>
      <c r="J4" s="6" t="s">
        <v>16</v>
      </c>
      <c r="K4" s="61"/>
      <c r="L4" s="5" t="s">
        <v>15</v>
      </c>
      <c r="M4" s="6" t="s">
        <v>16</v>
      </c>
      <c r="N4" s="65"/>
      <c r="O4" s="40"/>
      <c r="P4" s="43"/>
      <c r="Q4" s="43"/>
      <c r="R4" s="43"/>
      <c r="S4" s="43"/>
      <c r="T4" s="68"/>
      <c r="U4" s="71"/>
      <c r="V4" s="71"/>
      <c r="W4" s="68"/>
      <c r="X4" s="68"/>
      <c r="Y4" s="22"/>
      <c r="Z4" s="48"/>
      <c r="AA4" s="49"/>
    </row>
    <row r="5" spans="1:27">
      <c r="A5" s="44">
        <v>44685</v>
      </c>
      <c r="B5" s="7" t="s">
        <v>18</v>
      </c>
      <c r="C5" s="9">
        <v>17.27</v>
      </c>
      <c r="D5" s="9">
        <v>21.19</v>
      </c>
      <c r="E5" s="8">
        <f>D5-C5</f>
        <v>3.9200000000000017</v>
      </c>
      <c r="F5" s="9">
        <v>50.26</v>
      </c>
      <c r="G5" s="9">
        <v>61.88</v>
      </c>
      <c r="H5" s="8">
        <f>G5-F5</f>
        <v>11.620000000000005</v>
      </c>
      <c r="I5" s="9">
        <v>77.61</v>
      </c>
      <c r="J5" s="9">
        <v>96.86</v>
      </c>
      <c r="K5" s="8">
        <f>J5-I5</f>
        <v>19.25</v>
      </c>
      <c r="L5" s="9">
        <v>224.12</v>
      </c>
      <c r="M5" s="9">
        <v>275.5</v>
      </c>
      <c r="N5" s="8">
        <f>M5-L5</f>
        <v>51.379999999999995</v>
      </c>
      <c r="O5" s="11">
        <f>(N5+K5)*2750</f>
        <v>194232.5</v>
      </c>
      <c r="P5" s="10">
        <f>DEGREES(ATAN(K5/O5))</f>
        <v>5.6784716873625653E-3</v>
      </c>
      <c r="Q5" s="10">
        <f>DEGREES(ATAN(H5/N5))</f>
        <v>12.74352135773416</v>
      </c>
      <c r="R5" s="12">
        <f>COS((RADIANS(P5)))</f>
        <v>0.99999999508879944</v>
      </c>
      <c r="S5" s="12">
        <f>COS((RADIANS(Q5)))</f>
        <v>0.97536726933527496</v>
      </c>
      <c r="T5" s="12">
        <f>IF(AA5&gt;=0.95,0.95,IF(AA5&lt;0.95,AA5))</f>
        <v>0.95</v>
      </c>
      <c r="U5" s="11">
        <f>((0.95/T5)-1)*K5*10.56*2750</f>
        <v>0</v>
      </c>
      <c r="V5" s="11">
        <f>((0.95/T5)-1)*N5*7.61*530</f>
        <v>0</v>
      </c>
      <c r="W5" s="13">
        <f>U5+V5</f>
        <v>0</v>
      </c>
      <c r="X5" s="11">
        <f>K5*10.61*2750</f>
        <v>561666.87499999988</v>
      </c>
      <c r="Y5" s="11">
        <f>N5*7.61*2750</f>
        <v>1075254.95</v>
      </c>
      <c r="Z5" s="13">
        <f>Y5+X5</f>
        <v>1636921.8249999997</v>
      </c>
      <c r="AA5" s="12">
        <f>COS((RADIANS(P5)))</f>
        <v>0.99999999508879944</v>
      </c>
    </row>
    <row r="6" spans="1:27">
      <c r="A6" s="45"/>
      <c r="B6" s="7" t="s">
        <v>19</v>
      </c>
      <c r="C6" s="9">
        <v>169.09</v>
      </c>
      <c r="D6" s="9">
        <v>173.05</v>
      </c>
      <c r="E6" s="8">
        <f>D6-C6</f>
        <v>3.960000000000008</v>
      </c>
      <c r="F6" s="9">
        <v>491.14</v>
      </c>
      <c r="G6" s="9">
        <v>501.1</v>
      </c>
      <c r="H6" s="8">
        <f>G6-F6</f>
        <v>9.9600000000000364</v>
      </c>
      <c r="I6" s="9">
        <v>611.16999999999996</v>
      </c>
      <c r="J6" s="9">
        <v>616.89</v>
      </c>
      <c r="K6" s="8">
        <f>J6-I6</f>
        <v>5.7200000000000273</v>
      </c>
      <c r="L6" s="9">
        <v>1783.34</v>
      </c>
      <c r="M6" s="9">
        <v>1804.73</v>
      </c>
      <c r="N6" s="8">
        <f>M6-L6</f>
        <v>21.3900000000001</v>
      </c>
      <c r="O6" s="11">
        <f>(N6+K6)*529.166</f>
        <v>14345.690260000069</v>
      </c>
      <c r="P6" s="10">
        <f>DEGREES(ATAN(K6/O6))</f>
        <v>2.2845316991178529E-2</v>
      </c>
      <c r="Q6" s="10">
        <f>DEGREES(ATAN(H6/N6))</f>
        <v>24.968483198918257</v>
      </c>
      <c r="R6" s="12">
        <f>COS((RADIANS(P6)))</f>
        <v>0.9999999205087895</v>
      </c>
      <c r="S6" s="12">
        <f>COS((RADIANS(Q6)))</f>
        <v>0.90654012036074871</v>
      </c>
      <c r="T6" s="12">
        <f>IF(AA6&gt;=0.95,0.95,IF(AA6&lt;0.95,AA6))</f>
        <v>0.95</v>
      </c>
      <c r="U6" s="11">
        <f>((0.95/T6)-1)*K6*10.69*529.166</f>
        <v>0</v>
      </c>
      <c r="V6" s="11">
        <f>((0.95/T6)-1)*N6*7.7*529.166</f>
        <v>0</v>
      </c>
      <c r="W6" s="13">
        <f>U6+V6</f>
        <v>0</v>
      </c>
      <c r="X6" s="11">
        <f>K6*10.69*529.166</f>
        <v>32356.807568800155</v>
      </c>
      <c r="Y6" s="11">
        <f>N6*7.7*529.166</f>
        <v>87155.22769800041</v>
      </c>
      <c r="Z6" s="13">
        <f>Y6+X6+W6</f>
        <v>119512.03526680057</v>
      </c>
      <c r="AA6" s="12">
        <f>COS((RADIANS((P6+Q6)/2)))</f>
        <v>0.97631238295391043</v>
      </c>
    </row>
    <row r="7" spans="1:2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9" t="s">
        <v>20</v>
      </c>
      <c r="Z7" s="15">
        <f>Z5</f>
        <v>1636921.8249999997</v>
      </c>
      <c r="AA7" s="16"/>
    </row>
    <row r="8" spans="1:27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9" t="s">
        <v>21</v>
      </c>
      <c r="Z8" s="12">
        <f>Z6</f>
        <v>119512.03526680057</v>
      </c>
      <c r="AA8" s="16"/>
    </row>
    <row r="9" spans="1:27">
      <c r="A9" s="14"/>
      <c r="B9" s="14"/>
      <c r="C9" s="14"/>
      <c r="D9" s="14"/>
      <c r="E9" s="17"/>
      <c r="F9" s="14"/>
      <c r="G9" s="14"/>
      <c r="H9" s="17"/>
      <c r="I9" s="1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8" t="s">
        <v>32</v>
      </c>
      <c r="Z9" s="19">
        <f>(3000*80%)*60</f>
        <v>144000</v>
      </c>
      <c r="AA9" s="16"/>
    </row>
    <row r="10" spans="1:27">
      <c r="A10" s="14"/>
      <c r="B10" s="14"/>
      <c r="C10" s="14"/>
      <c r="D10" s="14"/>
      <c r="E10" s="17"/>
      <c r="F10" s="14"/>
      <c r="G10" s="17"/>
      <c r="H10" s="17"/>
      <c r="I10" s="16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8" t="s">
        <v>31</v>
      </c>
      <c r="Z10" s="19">
        <f>(830*100%)*60</f>
        <v>49800</v>
      </c>
      <c r="AA10" s="20"/>
    </row>
    <row r="11" spans="1:27">
      <c r="A11" s="14"/>
      <c r="B11" s="14"/>
      <c r="C11" s="14"/>
      <c r="D11" s="14"/>
      <c r="E11" s="17"/>
      <c r="F11" s="17"/>
      <c r="G11" s="17"/>
      <c r="H11" s="17"/>
      <c r="I11" s="1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9" t="s">
        <v>22</v>
      </c>
      <c r="Z11" s="19">
        <f>(Z7+Z9)*5%</f>
        <v>89046.091249999998</v>
      </c>
      <c r="AA11" s="20"/>
    </row>
    <row r="12" spans="1:27">
      <c r="A12" s="14"/>
      <c r="B12" s="14"/>
      <c r="C12" s="14"/>
      <c r="D12" s="14"/>
      <c r="E12" s="17"/>
      <c r="F12" s="17"/>
      <c r="G12" s="14"/>
      <c r="H12" s="17"/>
      <c r="I12" s="1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9" t="s">
        <v>23</v>
      </c>
      <c r="Z12" s="19">
        <f>(Z8+Z10)*5%</f>
        <v>8465.6017633400279</v>
      </c>
      <c r="AA12" s="20"/>
    </row>
    <row r="13" spans="1:27">
      <c r="A13" s="14"/>
      <c r="B13" s="14"/>
      <c r="C13" s="14"/>
      <c r="D13" s="14"/>
      <c r="E13" s="17"/>
      <c r="F13" s="17"/>
      <c r="G13" s="17"/>
      <c r="H13" s="17"/>
      <c r="I13" s="1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8" t="s">
        <v>24</v>
      </c>
      <c r="Z13" s="21">
        <f>SUM(Z7:Z12)</f>
        <v>2047745.5532801403</v>
      </c>
      <c r="AA13" s="20"/>
    </row>
  </sheetData>
  <mergeCells count="27">
    <mergeCell ref="A5:A6"/>
    <mergeCell ref="Z2:Z4"/>
    <mergeCell ref="AA2:AA4"/>
    <mergeCell ref="C3:D3"/>
    <mergeCell ref="E3:E4"/>
    <mergeCell ref="F3:G3"/>
    <mergeCell ref="H3:H4"/>
    <mergeCell ref="I3:J3"/>
    <mergeCell ref="K3:K4"/>
    <mergeCell ref="L3:M3"/>
    <mergeCell ref="N3:N4"/>
    <mergeCell ref="T2:T4"/>
    <mergeCell ref="U2:U4"/>
    <mergeCell ref="V2:V4"/>
    <mergeCell ref="W2:W4"/>
    <mergeCell ref="X2:X4"/>
    <mergeCell ref="Y2:Y4"/>
    <mergeCell ref="A1:AA1"/>
    <mergeCell ref="A2:A4"/>
    <mergeCell ref="B2:B4"/>
    <mergeCell ref="C2:H2"/>
    <mergeCell ref="I2:N2"/>
    <mergeCell ref="O2:O4"/>
    <mergeCell ref="P2:P4"/>
    <mergeCell ref="Q2:Q4"/>
    <mergeCell ref="R2:R4"/>
    <mergeCell ref="S2:S4"/>
  </mergeCells>
  <conditionalFormatting sqref="I10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M2004J19C</dc:creator>
  <cp:lastModifiedBy>Yousuf_Ali</cp:lastModifiedBy>
  <dcterms:created xsi:type="dcterms:W3CDTF">2006-09-15T18:00:00Z</dcterms:created>
  <dcterms:modified xsi:type="dcterms:W3CDTF">2022-06-04T04:03:24Z</dcterms:modified>
</cp:coreProperties>
</file>