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F:\Proyecto Uipath\BOT-Facturador-AFIP\"/>
    </mc:Choice>
  </mc:AlternateContent>
  <xr:revisionPtr revIDLastSave="0" documentId="13_ncr:1_{325D8F79-BB93-4A98-95BE-CE9A56432F9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Factura" sheetId="2" r:id="rId1"/>
  </sheets>
  <definedNames>
    <definedName name="_xlnm._FilterDatabase" localSheetId="0" hidden="1">Factura!$A$1:$AZ$17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17" i="2" l="1"/>
  <c r="X16" i="2"/>
  <c r="X15" i="2"/>
  <c r="X14" i="2"/>
  <c r="X13" i="2"/>
  <c r="X12" i="2"/>
  <c r="X11" i="2"/>
  <c r="X10" i="2"/>
  <c r="X9" i="2"/>
  <c r="X8" i="2"/>
  <c r="X7" i="2"/>
  <c r="X6" i="2"/>
  <c r="X5" i="2"/>
  <c r="X4" i="2"/>
  <c r="X3" i="2"/>
  <c r="Y17" i="2"/>
  <c r="Y16" i="2"/>
  <c r="Y15" i="2"/>
  <c r="Y14" i="2"/>
  <c r="Y13" i="2"/>
  <c r="Y12" i="2"/>
  <c r="Y11" i="2"/>
  <c r="Y10" i="2"/>
  <c r="Y9" i="2"/>
  <c r="Y8" i="2"/>
  <c r="Y7" i="2"/>
  <c r="Y6" i="2"/>
  <c r="Y5" i="2"/>
  <c r="Y4" i="2"/>
  <c r="Y2" i="2"/>
  <c r="Y3" i="2"/>
  <c r="X2" i="2"/>
  <c r="AE17" i="2"/>
  <c r="AE16" i="2"/>
  <c r="AE15" i="2"/>
  <c r="AE14" i="2"/>
  <c r="AE13" i="2"/>
  <c r="AE12" i="2"/>
  <c r="AE11" i="2"/>
  <c r="AE10" i="2"/>
  <c r="AE9" i="2"/>
  <c r="AE8" i="2"/>
  <c r="AE7" i="2"/>
  <c r="AE6" i="2"/>
  <c r="AE5" i="2"/>
  <c r="AE4" i="2"/>
  <c r="AE3" i="2"/>
  <c r="AE2" i="2"/>
  <c r="A17" i="2"/>
  <c r="C17" i="2" s="1"/>
  <c r="B17" i="2" s="1"/>
  <c r="A16" i="2"/>
  <c r="C16" i="2" s="1"/>
  <c r="B16" i="2" s="1"/>
  <c r="A15" i="2"/>
  <c r="C15" i="2" s="1"/>
  <c r="B15" i="2" s="1"/>
  <c r="A14" i="2"/>
  <c r="C14" i="2" s="1"/>
  <c r="B14" i="2" s="1"/>
  <c r="A13" i="2"/>
  <c r="C13" i="2" s="1"/>
  <c r="B13" i="2" s="1"/>
  <c r="A12" i="2"/>
  <c r="C12" i="2" s="1"/>
  <c r="B12" i="2" s="1"/>
  <c r="A11" i="2"/>
  <c r="C11" i="2" s="1"/>
  <c r="B11" i="2" s="1"/>
  <c r="A10" i="2"/>
  <c r="C10" i="2" s="1"/>
  <c r="B10" i="2" s="1"/>
  <c r="A9" i="2"/>
  <c r="C9" i="2" s="1"/>
  <c r="B9" i="2" s="1"/>
  <c r="A8" i="2"/>
  <c r="C8" i="2" s="1"/>
  <c r="B8" i="2" s="1"/>
  <c r="A7" i="2"/>
  <c r="C7" i="2" s="1"/>
  <c r="B7" i="2" s="1"/>
  <c r="A6" i="2"/>
  <c r="C6" i="2" s="1"/>
  <c r="B6" i="2" s="1"/>
  <c r="A5" i="2"/>
  <c r="C5" i="2" s="1"/>
  <c r="B5" i="2" s="1"/>
  <c r="A4" i="2"/>
  <c r="C4" i="2" s="1"/>
  <c r="B4" i="2" s="1"/>
  <c r="A3" i="2"/>
  <c r="C3" i="2" s="1"/>
  <c r="B3" i="2" s="1"/>
  <c r="A2" i="2"/>
  <c r="C2" i="2" s="1"/>
  <c r="B2" i="2" s="1"/>
  <c r="AR16" i="2"/>
  <c r="AR14" i="2"/>
  <c r="AR10" i="2"/>
  <c r="AR9" i="2"/>
  <c r="AR8" i="2"/>
  <c r="AR7" i="2"/>
  <c r="AR6" i="2"/>
  <c r="AR5" i="2"/>
  <c r="AR4" i="2"/>
  <c r="AR3" i="2"/>
  <c r="AR2" i="2"/>
  <c r="D5" i="2" l="1"/>
  <c r="D17" i="2"/>
  <c r="D8" i="2"/>
  <c r="D6" i="2"/>
  <c r="D7" i="2"/>
  <c r="D9" i="2"/>
  <c r="D10" i="2"/>
  <c r="D11" i="2"/>
  <c r="D12" i="2"/>
  <c r="D13" i="2"/>
  <c r="D2" i="2"/>
  <c r="D14" i="2"/>
  <c r="D3" i="2"/>
  <c r="D15" i="2"/>
  <c r="D4" i="2"/>
  <c r="D16" i="2"/>
  <c r="AP2" i="2"/>
  <c r="P17" i="2"/>
  <c r="P16" i="2"/>
  <c r="P15" i="2"/>
  <c r="P14" i="2"/>
  <c r="P13" i="2"/>
  <c r="P12" i="2"/>
  <c r="P11" i="2"/>
  <c r="P10" i="2"/>
  <c r="P9" i="2"/>
  <c r="P8" i="2"/>
  <c r="P7" i="2"/>
  <c r="P6" i="2"/>
  <c r="P5" i="2"/>
  <c r="P4" i="2"/>
  <c r="P3" i="2"/>
  <c r="P2" i="2"/>
  <c r="AB17" i="2" l="1"/>
  <c r="AB16" i="2"/>
  <c r="AB15" i="2"/>
  <c r="AB14" i="2"/>
  <c r="AB13" i="2"/>
  <c r="AB12" i="2"/>
  <c r="AB11" i="2"/>
  <c r="AB10" i="2"/>
  <c r="AB9" i="2"/>
  <c r="AB8" i="2"/>
  <c r="AB7" i="2"/>
  <c r="AB6" i="2"/>
  <c r="AB5" i="2"/>
  <c r="AB4" i="2"/>
  <c r="AB3" i="2"/>
  <c r="AB2" i="2"/>
  <c r="Z17" i="2"/>
  <c r="Z16" i="2"/>
  <c r="Z15" i="2"/>
  <c r="Z14" i="2"/>
  <c r="Z13" i="2"/>
  <c r="Z12" i="2"/>
  <c r="Z11" i="2"/>
  <c r="Z10" i="2"/>
  <c r="Z9" i="2"/>
  <c r="Z8" i="2"/>
  <c r="Z7" i="2"/>
  <c r="Z6" i="2"/>
  <c r="Z5" i="2"/>
  <c r="Z4" i="2"/>
  <c r="Z3" i="2"/>
  <c r="Z2" i="2"/>
  <c r="AP13" i="2"/>
  <c r="AP17" i="2"/>
  <c r="AP15" i="2"/>
  <c r="AP11" i="2"/>
  <c r="AP12" i="2"/>
  <c r="AP9" i="2"/>
  <c r="AP10" i="2"/>
  <c r="AP8" i="2"/>
  <c r="AP5" i="2"/>
  <c r="AP3" i="2"/>
  <c r="AP16" i="2"/>
  <c r="AP14" i="2"/>
  <c r="AP4" i="2"/>
  <c r="AP7" i="2"/>
  <c r="AP6" i="2"/>
  <c r="AO13" i="2"/>
  <c r="AU13" i="2" s="1"/>
  <c r="AV13" i="2" s="1"/>
  <c r="AO17" i="2"/>
  <c r="AU17" i="2" s="1"/>
  <c r="AV17" i="2" s="1"/>
  <c r="AO15" i="2"/>
  <c r="AU15" i="2" s="1"/>
  <c r="AV15" i="2" s="1"/>
  <c r="AO11" i="2"/>
  <c r="AU11" i="2" s="1"/>
  <c r="AV11" i="2" s="1"/>
  <c r="AO12" i="2"/>
  <c r="AU12" i="2" s="1"/>
  <c r="AV12" i="2" s="1"/>
  <c r="AO9" i="2"/>
  <c r="AU9" i="2" s="1"/>
  <c r="AO10" i="2"/>
  <c r="AU10" i="2" s="1"/>
  <c r="AO2" i="2"/>
  <c r="AF2" i="2" s="1"/>
  <c r="AG2" i="2" s="1"/>
  <c r="AO8" i="2"/>
  <c r="AU8" i="2" s="1"/>
  <c r="AO5" i="2"/>
  <c r="AU5" i="2" s="1"/>
  <c r="AO3" i="2"/>
  <c r="AU3" i="2" s="1"/>
  <c r="AO16" i="2"/>
  <c r="AU16" i="2" s="1"/>
  <c r="AO14" i="2"/>
  <c r="AU14" i="2" s="1"/>
  <c r="AO4" i="2"/>
  <c r="AU4" i="2" s="1"/>
  <c r="AO7" i="2"/>
  <c r="AU7" i="2" s="1"/>
  <c r="AO6" i="2"/>
  <c r="AU6" i="2" s="1"/>
  <c r="AN13" i="2"/>
  <c r="AN17" i="2"/>
  <c r="AN15" i="2"/>
  <c r="AN11" i="2"/>
  <c r="AN12" i="2"/>
  <c r="AN9" i="2"/>
  <c r="AN10" i="2"/>
  <c r="AN2" i="2"/>
  <c r="AN8" i="2"/>
  <c r="AN5" i="2"/>
  <c r="AN3" i="2"/>
  <c r="AN16" i="2"/>
  <c r="AN14" i="2"/>
  <c r="AN4" i="2"/>
  <c r="AN7" i="2"/>
  <c r="AN6" i="2"/>
  <c r="AM6" i="2"/>
  <c r="AM13" i="2"/>
  <c r="AM17" i="2"/>
  <c r="AM15" i="2"/>
  <c r="AM11" i="2"/>
  <c r="AM12" i="2"/>
  <c r="AM9" i="2"/>
  <c r="AM10" i="2"/>
  <c r="AM2" i="2"/>
  <c r="AM8" i="2"/>
  <c r="AM5" i="2"/>
  <c r="AM3" i="2"/>
  <c r="AM16" i="2"/>
  <c r="AM14" i="2"/>
  <c r="AM4" i="2"/>
  <c r="AM7" i="2"/>
  <c r="AL13" i="2"/>
  <c r="AK13" i="2"/>
  <c r="AD13" i="2"/>
  <c r="AC13" i="2"/>
  <c r="AL17" i="2"/>
  <c r="AK17" i="2"/>
  <c r="AD17" i="2"/>
  <c r="AC17" i="2"/>
  <c r="AL15" i="2"/>
  <c r="AK15" i="2"/>
  <c r="AD15" i="2"/>
  <c r="AC15" i="2"/>
  <c r="AL11" i="2"/>
  <c r="AK11" i="2"/>
  <c r="AD11" i="2"/>
  <c r="AC11" i="2"/>
  <c r="AL12" i="2"/>
  <c r="AK12" i="2"/>
  <c r="AD12" i="2"/>
  <c r="AC12" i="2"/>
  <c r="AL9" i="2"/>
  <c r="AK9" i="2"/>
  <c r="AD9" i="2"/>
  <c r="AC9" i="2"/>
  <c r="AL10" i="2"/>
  <c r="AK10" i="2"/>
  <c r="AD10" i="2"/>
  <c r="AC10" i="2"/>
  <c r="AL2" i="2"/>
  <c r="AK2" i="2"/>
  <c r="AD2" i="2"/>
  <c r="AC2" i="2"/>
  <c r="AL8" i="2"/>
  <c r="AK8" i="2"/>
  <c r="AD8" i="2"/>
  <c r="AC8" i="2"/>
  <c r="AL5" i="2"/>
  <c r="AK5" i="2"/>
  <c r="AD5" i="2"/>
  <c r="AC5" i="2"/>
  <c r="AL3" i="2"/>
  <c r="AK3" i="2"/>
  <c r="AD3" i="2"/>
  <c r="AC3" i="2"/>
  <c r="AL16" i="2"/>
  <c r="AK16" i="2"/>
  <c r="AD16" i="2"/>
  <c r="AC16" i="2"/>
  <c r="AL14" i="2"/>
  <c r="AK14" i="2"/>
  <c r="AD14" i="2"/>
  <c r="AC14" i="2"/>
  <c r="AL4" i="2"/>
  <c r="AK4" i="2"/>
  <c r="AD4" i="2"/>
  <c r="AC4" i="2"/>
  <c r="AL7" i="2"/>
  <c r="AK7" i="2"/>
  <c r="AD7" i="2"/>
  <c r="AC7" i="2"/>
  <c r="AG15" i="2" l="1"/>
  <c r="AA6" i="2"/>
  <c r="AF15" i="2"/>
  <c r="AF6" i="2"/>
  <c r="AG6" i="2" s="1"/>
  <c r="AF3" i="2"/>
  <c r="AG3" i="2" s="1"/>
  <c r="AA14" i="2"/>
  <c r="AA3" i="2"/>
  <c r="AF14" i="2"/>
  <c r="AG14" i="2" s="1"/>
  <c r="AA8" i="2"/>
  <c r="AA2" i="2"/>
  <c r="AG12" i="2"/>
  <c r="AF8" i="2"/>
  <c r="AG8" i="2" s="1"/>
  <c r="AI8" i="2" s="1"/>
  <c r="AF12" i="2"/>
  <c r="AF17" i="2"/>
  <c r="AG11" i="2"/>
  <c r="AF16" i="2"/>
  <c r="AG16" i="2" s="1"/>
  <c r="AG17" i="2"/>
  <c r="AF11" i="2"/>
  <c r="AA16" i="2"/>
  <c r="AA5" i="2"/>
  <c r="AA7" i="2"/>
  <c r="AA10" i="2"/>
  <c r="AS2" i="2"/>
  <c r="AT2" i="2" s="1"/>
  <c r="AU2" i="2"/>
  <c r="AF5" i="2"/>
  <c r="AG5" i="2" s="1"/>
  <c r="AF7" i="2"/>
  <c r="AG7" i="2" s="1"/>
  <c r="AF10" i="2"/>
  <c r="AG10" i="2" s="1"/>
  <c r="AA4" i="2"/>
  <c r="AG13" i="2"/>
  <c r="AA9" i="2"/>
  <c r="AF4" i="2"/>
  <c r="AG4" i="2" s="1"/>
  <c r="AF13" i="2"/>
  <c r="AF9" i="2"/>
  <c r="AG9" i="2" s="1"/>
  <c r="AH6" i="2"/>
  <c r="AS8" i="2"/>
  <c r="AI7" i="2"/>
  <c r="AH9" i="2"/>
  <c r="AH10" i="2"/>
  <c r="AH14" i="2"/>
  <c r="AH3" i="2"/>
  <c r="AH16" i="2"/>
  <c r="AH4" i="2"/>
  <c r="AS5" i="2"/>
  <c r="AS7" i="2"/>
  <c r="AS9" i="2"/>
  <c r="AS10" i="2"/>
  <c r="AS14" i="2"/>
  <c r="AS3" i="2"/>
  <c r="AS16" i="2"/>
  <c r="AS4" i="2"/>
  <c r="L13" i="2"/>
  <c r="L9" i="2"/>
  <c r="L10" i="2"/>
  <c r="L8" i="2"/>
  <c r="L5" i="2"/>
  <c r="L3" i="2"/>
  <c r="L4" i="2"/>
  <c r="L12" i="2"/>
  <c r="L11" i="2"/>
  <c r="AV2" i="2" l="1"/>
  <c r="AT8" i="2"/>
  <c r="AV8" i="2"/>
  <c r="AT4" i="2"/>
  <c r="AV4" i="2"/>
  <c r="AT3" i="2"/>
  <c r="AV3" i="2"/>
  <c r="AT7" i="2"/>
  <c r="AV7" i="2"/>
  <c r="AT16" i="2"/>
  <c r="AV16" i="2"/>
  <c r="AT14" i="2"/>
  <c r="AV14" i="2"/>
  <c r="AT10" i="2"/>
  <c r="AV10" i="2"/>
  <c r="AT9" i="2"/>
  <c r="AV9" i="2"/>
  <c r="AT5" i="2"/>
  <c r="AV5" i="2"/>
  <c r="AA17" i="2"/>
  <c r="AR17" i="2"/>
  <c r="AR15" i="2"/>
  <c r="AA15" i="2"/>
  <c r="AR13" i="2"/>
  <c r="AA13" i="2"/>
  <c r="AR12" i="2"/>
  <c r="AA12" i="2"/>
  <c r="AH5" i="2"/>
  <c r="AH7" i="2"/>
  <c r="AH8" i="2"/>
  <c r="AI5" i="2"/>
  <c r="AI9" i="2"/>
  <c r="AI10" i="2"/>
  <c r="AH12" i="2"/>
  <c r="AH2" i="2"/>
  <c r="AI4" i="2"/>
  <c r="AI14" i="2"/>
  <c r="AI16" i="2"/>
  <c r="AI3" i="2"/>
  <c r="AI12" i="2"/>
  <c r="AH13" i="2"/>
  <c r="AH15" i="2"/>
  <c r="AI13" i="2"/>
  <c r="AI17" i="2"/>
  <c r="AH17" i="2"/>
  <c r="AI15" i="2"/>
  <c r="AI2" i="2"/>
  <c r="L6" i="2"/>
  <c r="AC6" i="2"/>
  <c r="AD6" i="2"/>
  <c r="AK6" i="2"/>
  <c r="AL6" i="2"/>
  <c r="AS6" i="2"/>
  <c r="AT6" i="2" l="1"/>
  <c r="AV6" i="2"/>
  <c r="AS12" i="2"/>
  <c r="AT12" i="2"/>
  <c r="AS13" i="2"/>
  <c r="AT13" i="2"/>
  <c r="AS15" i="2"/>
  <c r="AT15" i="2"/>
  <c r="AS17" i="2"/>
  <c r="AT17" i="2"/>
  <c r="AR11" i="2"/>
  <c r="AA11" i="2"/>
  <c r="AH11" i="2"/>
  <c r="AI11" i="2"/>
  <c r="AI6" i="2"/>
  <c r="AS11" i="2" l="1"/>
  <c r="AT11" i="2"/>
</calcChain>
</file>

<file path=xl/sharedStrings.xml><?xml version="1.0" encoding="utf-8"?>
<sst xmlns="http://schemas.openxmlformats.org/spreadsheetml/2006/main" count="193" uniqueCount="94">
  <si>
    <t>Fecha</t>
  </si>
  <si>
    <t>Desde</t>
  </si>
  <si>
    <t>Hasta</t>
  </si>
  <si>
    <t>Vencimiento</t>
  </si>
  <si>
    <t>Pto de Venta</t>
  </si>
  <si>
    <t>Tipo de comprobante</t>
  </si>
  <si>
    <t>Concepto</t>
  </si>
  <si>
    <t>Condición IVA</t>
  </si>
  <si>
    <t>Tipo CUIT</t>
  </si>
  <si>
    <t>CUIT</t>
  </si>
  <si>
    <t>Denominación</t>
  </si>
  <si>
    <t>Descripción del servicio</t>
  </si>
  <si>
    <t>Unidades</t>
  </si>
  <si>
    <t>Precio unidad</t>
  </si>
  <si>
    <t>Neto Gravado</t>
  </si>
  <si>
    <t>Alicuota IVA</t>
  </si>
  <si>
    <t>CBTE A</t>
  </si>
  <si>
    <t>Pto Vta Asociado</t>
  </si>
  <si>
    <t>Nro Cbte Asociado</t>
  </si>
  <si>
    <t>Fecha Cbte A</t>
  </si>
  <si>
    <t>Pto A</t>
  </si>
  <si>
    <t>Cbte A</t>
  </si>
  <si>
    <t>Fecha asociada</t>
  </si>
  <si>
    <t>IVA</t>
  </si>
  <si>
    <t>Total</t>
  </si>
  <si>
    <t>Base</t>
  </si>
  <si>
    <t>Redondeo</t>
  </si>
  <si>
    <t>facturado</t>
  </si>
  <si>
    <t>Fila</t>
  </si>
  <si>
    <t>AUX</t>
  </si>
  <si>
    <t>Nombre de Archivo</t>
  </si>
  <si>
    <t>Aux Total redondeado</t>
  </si>
  <si>
    <t>Aux neto</t>
  </si>
  <si>
    <t>Aux unidades</t>
  </si>
  <si>
    <t>Factura A</t>
  </si>
  <si>
    <t>Productos</t>
  </si>
  <si>
    <t>IVA Responsable Inscripto</t>
  </si>
  <si>
    <t>ACCENTURE SOCIEDAD DE RESPONSABILIDAD LIMITADA</t>
  </si>
  <si>
    <t>21%</t>
  </si>
  <si>
    <t>Servicios</t>
  </si>
  <si>
    <t>Horas extra</t>
  </si>
  <si>
    <t>Productos y Servicios</t>
  </si>
  <si>
    <t>ARCOS DORADOS ARGENTINA SOCIEDAD ANONIMA</t>
  </si>
  <si>
    <t>Nota de Crédito A</t>
  </si>
  <si>
    <t>SAMSUNG ELECTRONICS ARGENTINA S A</t>
  </si>
  <si>
    <t>Ajuste Honorarios</t>
  </si>
  <si>
    <t>2</t>
  </si>
  <si>
    <t>150</t>
  </si>
  <si>
    <t>Nota de Débito A</t>
  </si>
  <si>
    <t>151</t>
  </si>
  <si>
    <t>PRICE WATERHOUSE &amp; CO SOCIEDAD DE RESPONSABILIDAD LIMITADA</t>
  </si>
  <si>
    <t>LAKAUT S.A.</t>
  </si>
  <si>
    <t>AUSTRAL LINEAS AEREAS CIELOS DEL SUR S A</t>
  </si>
  <si>
    <t>COCA COLA FEMSA DE BUENOS AIRES S A</t>
  </si>
  <si>
    <t>Ajustes Marzo/Abril 2022</t>
  </si>
  <si>
    <t>Responsable Monotributo</t>
  </si>
  <si>
    <t>BUSTOS PIASENTINI AGUSTIN</t>
  </si>
  <si>
    <t>BUSTOS JOSE MARTIN</t>
  </si>
  <si>
    <t>Factura B</t>
  </si>
  <si>
    <t>IVA Sujeto Exento</t>
  </si>
  <si>
    <t>CAMARA DE ELABORADORES DE TE ARGENTINO C. E. T.A.</t>
  </si>
  <si>
    <t>Consumidor Final</t>
  </si>
  <si>
    <t>DNI</t>
  </si>
  <si>
    <t>Nota de Crédito B</t>
  </si>
  <si>
    <t>Ajuste</t>
  </si>
  <si>
    <t>152</t>
  </si>
  <si>
    <t>Nota de Débito B</t>
  </si>
  <si>
    <t>Nota de Cédito B</t>
  </si>
  <si>
    <t>153</t>
  </si>
  <si>
    <t>Factura C</t>
  </si>
  <si>
    <t>MARTIN BUSTOS</t>
  </si>
  <si>
    <t>Item</t>
  </si>
  <si>
    <t>Anterior</t>
  </si>
  <si>
    <t>Posterior</t>
  </si>
  <si>
    <t>Derecha Tipo</t>
  </si>
  <si>
    <t>Nota</t>
  </si>
  <si>
    <t>Remito R</t>
  </si>
  <si>
    <t>3</t>
  </si>
  <si>
    <t>Unidades Facturador</t>
  </si>
  <si>
    <t>Precio Facturador</t>
  </si>
  <si>
    <t>Control</t>
  </si>
  <si>
    <t>Mult Sup 500</t>
  </si>
  <si>
    <t>AUX unidades mult</t>
  </si>
  <si>
    <t>Cod</t>
  </si>
  <si>
    <t>Bonif</t>
  </si>
  <si>
    <t>% Bonif</t>
  </si>
  <si>
    <t>% Bonif (Facturador)</t>
  </si>
  <si>
    <t>Bonif Facturador</t>
  </si>
  <si>
    <t>Domicilio</t>
  </si>
  <si>
    <t>Guardar</t>
  </si>
  <si>
    <t>Ubicación a Guardar</t>
  </si>
  <si>
    <t>C:\Users\ABP\Desktop\Test\</t>
  </si>
  <si>
    <t>SI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</si>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</sst>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 * #,##0.000000_ ;_ * \-#,##0.000000_ ;_ * &quot;-&quot;??_ ;_ @_ 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64" fontId="1" fillId="0" borderId="0" applyFont="0" applyFill="0" applyBorder="0" applyAlignment="0" applyProtection="0"/>
  </cellStyleXfs>
  <cellXfs count="22">
    <xf numFmtId="0" fontId="0" fillId="0" borderId="0" xfId="0"/>
    <xf numFmtId="0" fontId="0" fillId="35" borderId="10" xfId="0" applyFill="1" applyBorder="1"/>
    <xf numFmtId="0" fontId="0" fillId="0" borderId="10" xfId="0" applyBorder="1"/>
    <xf numFmtId="1" fontId="0" fillId="0" borderId="10" xfId="0" applyNumberFormat="1" applyBorder="1"/>
    <xf numFmtId="2" fontId="0" fillId="0" borderId="10" xfId="0" applyNumberFormat="1" applyBorder="1"/>
    <xf numFmtId="164" fontId="0" fillId="0" borderId="10" xfId="42" applyFont="1" applyBorder="1"/>
    <xf numFmtId="0" fontId="0" fillId="34" borderId="10" xfId="0" applyFill="1" applyBorder="1"/>
    <xf numFmtId="0" fontId="13" fillId="33" borderId="0" xfId="0" applyFont="1" applyFill="1"/>
    <xf numFmtId="14" fontId="0" fillId="0" borderId="10" xfId="0" quotePrefix="1" applyNumberFormat="1" applyBorder="1"/>
    <xf numFmtId="14" fontId="0" fillId="35" borderId="10" xfId="0" applyNumberFormat="1" applyFill="1" applyBorder="1"/>
    <xf numFmtId="164" fontId="0" fillId="35" borderId="10" xfId="0" applyNumberFormat="1" applyFill="1" applyBorder="1" applyAlignment="1">
      <alignment horizontal="right"/>
    </xf>
    <xf numFmtId="49" fontId="0" fillId="0" borderId="10" xfId="42" applyNumberFormat="1" applyFont="1" applyBorder="1"/>
    <xf numFmtId="14" fontId="0" fillId="0" borderId="10" xfId="42" applyNumberFormat="1" applyFont="1" applyBorder="1"/>
    <xf numFmtId="164" fontId="0" fillId="35" borderId="10" xfId="0" applyNumberFormat="1" applyFill="1" applyBorder="1"/>
    <xf numFmtId="1" fontId="0" fillId="35" borderId="10" xfId="42" applyNumberFormat="1" applyFont="1" applyFill="1" applyBorder="1"/>
    <xf numFmtId="0" fontId="0" fillId="35" borderId="11" xfId="0" applyFill="1" applyBorder="1"/>
    <xf numFmtId="0" fontId="13" fillId="33" borderId="10" xfId="0" applyFont="1" applyFill="1" applyBorder="1"/>
    <xf numFmtId="0" fontId="13" fillId="36" borderId="10" xfId="0" applyFont="1" applyFill="1" applyBorder="1"/>
    <xf numFmtId="2" fontId="0" fillId="35" borderId="10" xfId="42" applyNumberFormat="1" applyFont="1" applyFill="1" applyBorder="1"/>
    <xf numFmtId="0" fontId="13" fillId="36" borderId="0" xfId="0" applyFont="1" applyFill="1"/>
    <xf numFmtId="165" fontId="0" fillId="35" borderId="10" xfId="0" applyNumberFormat="1" applyFill="1" applyBorder="1"/>
    <xf numFmtId="9" fontId="0" fillId="0" borderId="10" xfId="0" applyNumberFormat="1" applyBorder="1"/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Millares" xfId="42" builtinId="3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colors>
    <mruColors>
      <color rgb="FF0000FF"/>
      <color rgb="FF00006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17"/>
  <sheetViews>
    <sheetView showGridLines="0" tabSelected="1" topLeftCell="AK1" workbookViewId="0">
      <pane ySplit="1" topLeftCell="A2" activePane="bottomLeft" state="frozenSplit"/>
      <selection activeCell="K17" sqref="K17"/>
      <selection pane="bottomLeft" activeCell="AY12" sqref="AY12"/>
    </sheetView>
  </sheetViews>
  <sheetFormatPr baseColWidth="10" defaultRowHeight="15" x14ac:dyDescent="0.25"/>
  <cols>
    <col min="1" max="2" width="10.7109375" bestFit="1" customWidth="1"/>
    <col min="3" max="3" width="11.5703125" bestFit="1" customWidth="1"/>
    <col min="4" max="4" width="14.7109375" bestFit="1" customWidth="1"/>
    <col min="5" max="7" width="9.140625" customWidth="1"/>
    <col min="8" max="8" width="24.28515625" bestFit="1" customWidth="1"/>
    <col min="9" max="9" width="11.7109375" bestFit="1" customWidth="1"/>
    <col min="10" max="10" width="12" bestFit="1" customWidth="1"/>
    <col min="11" max="11" width="29" customWidth="1"/>
    <col min="12" max="12" width="24.42578125" bestFit="1" customWidth="1"/>
    <col min="13" max="13" width="8" customWidth="1"/>
    <col min="14" max="14" width="9.140625" customWidth="1"/>
    <col min="15" max="15" width="10.5703125" customWidth="1"/>
    <col min="16" max="16" width="15.5703125" bestFit="1" customWidth="1"/>
    <col min="17" max="21" width="9.140625" customWidth="1"/>
    <col min="22" max="25" width="8" customWidth="1"/>
    <col min="26" max="30" width="9.140625" customWidth="1"/>
    <col min="31" max="31" width="11" customWidth="1"/>
    <col min="32" max="32" width="10" bestFit="1" customWidth="1"/>
    <col min="33" max="33" width="12.5703125" bestFit="1" customWidth="1"/>
    <col min="34" max="34" width="11" customWidth="1"/>
    <col min="35" max="35" width="11.5703125" customWidth="1"/>
    <col min="36" max="36" width="9.140625" customWidth="1"/>
    <col min="37" max="37" width="6.42578125" bestFit="1" customWidth="1"/>
    <col min="38" max="38" width="13.7109375" bestFit="1" customWidth="1"/>
    <col min="39" max="39" width="6" customWidth="1"/>
    <col min="40" max="40" width="5.85546875" customWidth="1"/>
    <col min="41" max="41" width="4" customWidth="1"/>
    <col min="42" max="42" width="7.5703125" bestFit="1" customWidth="1"/>
    <col min="43" max="43" width="18.28515625" bestFit="1" customWidth="1"/>
    <col min="44" max="44" width="14" bestFit="1" customWidth="1"/>
    <col min="45" max="45" width="11" bestFit="1" customWidth="1"/>
    <col min="46" max="46" width="13" bestFit="1" customWidth="1"/>
  </cols>
  <sheetData>
    <row r="1" spans="1:52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83</v>
      </c>
      <c r="N1" s="7" t="s">
        <v>12</v>
      </c>
      <c r="O1" s="7" t="s">
        <v>13</v>
      </c>
      <c r="P1" s="7" t="s">
        <v>14</v>
      </c>
      <c r="Q1" s="7" t="s">
        <v>15</v>
      </c>
      <c r="R1" s="7" t="s">
        <v>16</v>
      </c>
      <c r="S1" s="7" t="s">
        <v>17</v>
      </c>
      <c r="T1" s="7" t="s">
        <v>18</v>
      </c>
      <c r="U1" s="7" t="s">
        <v>19</v>
      </c>
      <c r="V1" s="7" t="s">
        <v>85</v>
      </c>
      <c r="W1" s="7" t="s">
        <v>84</v>
      </c>
      <c r="X1" s="7" t="s">
        <v>86</v>
      </c>
      <c r="Y1" s="7" t="s">
        <v>87</v>
      </c>
      <c r="Z1" s="7" t="s">
        <v>71</v>
      </c>
      <c r="AA1" s="7" t="s">
        <v>78</v>
      </c>
      <c r="AB1" s="7" t="s">
        <v>79</v>
      </c>
      <c r="AC1" s="7" t="s">
        <v>20</v>
      </c>
      <c r="AD1" s="7" t="s">
        <v>21</v>
      </c>
      <c r="AE1" s="7" t="s">
        <v>22</v>
      </c>
      <c r="AF1" s="7" t="s">
        <v>23</v>
      </c>
      <c r="AG1" s="7" t="s">
        <v>24</v>
      </c>
      <c r="AH1" s="7" t="s">
        <v>25</v>
      </c>
      <c r="AI1" s="7" t="s">
        <v>26</v>
      </c>
      <c r="AJ1" s="7" t="s">
        <v>27</v>
      </c>
      <c r="AK1" s="7" t="s">
        <v>28</v>
      </c>
      <c r="AL1" s="7" t="s">
        <v>29</v>
      </c>
      <c r="AM1" s="16" t="s">
        <v>72</v>
      </c>
      <c r="AN1" s="16" t="s">
        <v>73</v>
      </c>
      <c r="AO1" s="16" t="s">
        <v>74</v>
      </c>
      <c r="AP1" s="16" t="s">
        <v>75</v>
      </c>
      <c r="AQ1" s="16" t="s">
        <v>30</v>
      </c>
      <c r="AR1" s="17" t="s">
        <v>31</v>
      </c>
      <c r="AS1" s="17" t="s">
        <v>32</v>
      </c>
      <c r="AT1" s="17" t="s">
        <v>33</v>
      </c>
      <c r="AU1" s="19" t="s">
        <v>81</v>
      </c>
      <c r="AV1" s="19" t="s">
        <v>82</v>
      </c>
      <c r="AW1" s="19" t="s">
        <v>80</v>
      </c>
      <c r="AX1" s="16" t="s">
        <v>88</v>
      </c>
      <c r="AY1" s="16" t="s">
        <v>89</v>
      </c>
      <c r="AZ1" s="16" t="s">
        <v>90</v>
      </c>
    </row>
    <row r="2" spans="1:52" x14ac:dyDescent="0.25">
      <c r="A2" s="8">
        <f ca="1">TODAY()</f>
        <v>45141</v>
      </c>
      <c r="B2" s="9">
        <f ca="1">DATE(YEAR(C2),MONTH(C2),1)</f>
        <v>45108</v>
      </c>
      <c r="C2" s="9">
        <f ca="1">EOMONTH(A2,-1)</f>
        <v>45138</v>
      </c>
      <c r="D2" s="9">
        <f ca="1">A2+14</f>
        <v>45155</v>
      </c>
      <c r="E2" s="2">
        <v>2</v>
      </c>
      <c r="F2" s="2" t="s">
        <v>34</v>
      </c>
      <c r="G2" s="2" t="s">
        <v>39</v>
      </c>
      <c r="H2" s="2" t="s">
        <v>36</v>
      </c>
      <c r="I2" s="2" t="s">
        <v>9</v>
      </c>
      <c r="J2" s="3">
        <v>30525390086</v>
      </c>
      <c r="K2" s="2" t="s">
        <v>53</v>
      </c>
      <c r="L2" s="6" t="s">
        <v>54</v>
      </c>
      <c r="M2" s="2"/>
      <c r="N2" s="4">
        <v>7.003044</v>
      </c>
      <c r="O2" s="5">
        <v>19000</v>
      </c>
      <c r="P2" s="5">
        <f>N2*O2</f>
        <v>133057.83600000001</v>
      </c>
      <c r="Q2" s="11" t="s">
        <v>38</v>
      </c>
      <c r="R2" s="11"/>
      <c r="S2" s="11"/>
      <c r="T2" s="11"/>
      <c r="U2" s="12"/>
      <c r="V2" s="21"/>
      <c r="W2" s="2"/>
      <c r="X2" s="1" t="str">
        <f>SUBSTITUTE(V2,",",".")</f>
        <v/>
      </c>
      <c r="Y2" s="1" t="str">
        <f t="shared" ref="Y2" si="0">SUBSTITUTE(W2,",",".")</f>
        <v/>
      </c>
      <c r="Z2" s="14">
        <f>COUNTIFS($F$1:F2,F2,$K$1:K2,K2)+1</f>
        <v>2</v>
      </c>
      <c r="AA2" s="18" t="str">
        <f t="shared" ref="AA2:AA17" si="1">SUBSTITUTE(IF(AO2="A",ROUND(P2/O2,6),ROUND(AG2/O2,6)),",",".")</f>
        <v>7.003044</v>
      </c>
      <c r="AB2" s="18" t="str">
        <f>SUBSTITUTE(TEXT(O2,"0,00"),",",".")</f>
        <v>19000.00</v>
      </c>
      <c r="AC2" s="1" t="str">
        <f t="shared" ref="AC2:AC17" si="2">TEXT(S2,"00000")</f>
        <v>00000</v>
      </c>
      <c r="AD2" s="1" t="str">
        <f t="shared" ref="AD2:AD17" si="3">TEXT(T2,"00000000")</f>
        <v>00000000</v>
      </c>
      <c r="AE2" s="9">
        <f>U2</f>
        <v>0</v>
      </c>
      <c r="AF2" s="13">
        <f t="shared" ref="AF2:AF17" si="4">IF(AO2="A",ROUND(P2*Q2,2),ROUND(P2*Q2/(1+Q2),2))</f>
        <v>27942.15</v>
      </c>
      <c r="AG2" s="13">
        <f>IF(AO2="A",ROUND(P2+AF2,2),ROUND(P2,2))</f>
        <v>160999.99</v>
      </c>
      <c r="AH2" s="10" t="str">
        <f t="shared" ref="AH2:AH17" si="5">IF(RIGHT(F2,1)="A",SUBSTITUTE(TEXT(P2,"0,00"),",","."),SUBSTITUTE(TEXT(AG2,"0,00"),",","."))</f>
        <v>133057.84</v>
      </c>
      <c r="AI2" s="10" t="str">
        <f>SUBSTITUTE(TEXT(ROUNDUP(AG2,0)-AG2,"0,00"),",",".")</f>
        <v>0.01</v>
      </c>
      <c r="AJ2" s="2"/>
      <c r="AK2" s="1">
        <f t="shared" ref="AK2:AK17" si="6">ROW(K2)</f>
        <v>2</v>
      </c>
      <c r="AL2" s="15" t="str">
        <f>J2&amp;"-"&amp;COUNTIF($J$1:J2,J2)</f>
        <v>30525390086-1</v>
      </c>
      <c r="AM2" s="1">
        <f t="shared" ref="AM2:AM17" si="7">IF(K1=K2,1,0)</f>
        <v>0</v>
      </c>
      <c r="AN2" s="1">
        <f t="shared" ref="AN2:AN17" si="8">IF(K2=K3,1,0)</f>
        <v>0</v>
      </c>
      <c r="AO2" s="1" t="str">
        <f t="shared" ref="AO2:AO17" si="9">RIGHT(F2)</f>
        <v>A</v>
      </c>
      <c r="AP2" s="1">
        <f t="shared" ref="AP2:AP17" si="10">IF(LEFT(F2,4)="Nota",0,1)</f>
        <v>1</v>
      </c>
      <c r="AQ2" s="2"/>
      <c r="AR2" s="13">
        <f t="shared" ref="AR2:AR17" si="11">IF(RIGHT(F2,1)="A",ROUND(O2*N2*(1+Q2),2),AG2)</f>
        <v>160999.98000000001</v>
      </c>
      <c r="AS2" s="13">
        <f t="shared" ref="AS2:AS17" si="12">ROUND((AR2/(1+Q2)),2)</f>
        <v>133057.82999999999</v>
      </c>
      <c r="AT2" s="20">
        <f t="shared" ref="AT2:AT17" si="13">IF(AO2="A",ROUND(AS2/O2,6),AR2/O2)</f>
        <v>7.003044</v>
      </c>
      <c r="AU2" s="13">
        <f t="shared" ref="AU2:AU17" si="14">IF(AO2="A",ROUND(CEILING(O2*N2*(1+Q2),500),2),ROUND(CEILING(O2*N2,500),2))</f>
        <v>161000</v>
      </c>
      <c r="AV2" s="20">
        <f>IF(AO2="A",ROUND(AS2/O2,6),AU2/O2)</f>
        <v>7.003044</v>
      </c>
      <c r="AW2" s="2"/>
      <c r="AX2" s="2"/>
      <c r="AY2" s="2" t="s">
        <v>92</v>
      </c>
      <c r="AZ2" s="2" t="s">
        <v>91</v>
      </c>
    </row>
    <row r="3" spans="1:52" x14ac:dyDescent="0.25">
      <c r="A3" s="8">
        <f t="shared" ref="A3:A17" ca="1" si="15">TODAY()</f>
        <v>45141</v>
      </c>
      <c r="B3" s="9">
        <f t="shared" ref="B3:B17" ca="1" si="16">DATE(YEAR(C3),MONTH(C3),1)</f>
        <v>45108</v>
      </c>
      <c r="C3" s="9">
        <f t="shared" ref="C3:C17" ca="1" si="17">EOMONTH(A3,-1)</f>
        <v>45138</v>
      </c>
      <c r="D3" s="9">
        <f t="shared" ref="D3:D17" ca="1" si="18">A3+14</f>
        <v>45155</v>
      </c>
      <c r="E3" s="2">
        <v>2</v>
      </c>
      <c r="F3" s="2" t="s">
        <v>34</v>
      </c>
      <c r="G3" s="2" t="s">
        <v>39</v>
      </c>
      <c r="H3" s="2" t="s">
        <v>36</v>
      </c>
      <c r="I3" s="2" t="s">
        <v>9</v>
      </c>
      <c r="J3" s="3">
        <v>30525733870</v>
      </c>
      <c r="K3" s="2" t="s">
        <v>50</v>
      </c>
      <c r="L3" s="1" t="str">
        <f ca="1">"Honorarios "&amp;PROPER(TEXT(B3,"mmmm"))</f>
        <v>Honorarios Julio</v>
      </c>
      <c r="M3" s="2"/>
      <c r="N3" s="4">
        <v>8.0252280000000003</v>
      </c>
      <c r="O3" s="5">
        <v>19000</v>
      </c>
      <c r="P3" s="5">
        <f t="shared" ref="P3:P17" si="19">N3*O3</f>
        <v>152479.33199999999</v>
      </c>
      <c r="Q3" s="11" t="s">
        <v>38</v>
      </c>
      <c r="R3" s="11"/>
      <c r="S3" s="11"/>
      <c r="T3" s="11"/>
      <c r="U3" s="12"/>
      <c r="V3" s="2"/>
      <c r="W3" s="2"/>
      <c r="X3" s="1" t="str">
        <f t="shared" ref="X3:X17" si="20">SUBSTITUTE(V3,",",".")</f>
        <v/>
      </c>
      <c r="Y3" s="1" t="str">
        <f>SUBSTITUTE(W3,",",".")</f>
        <v/>
      </c>
      <c r="Z3" s="14">
        <f>COUNTIFS($F$1:F3,F3,$K$1:K3,K3)+1</f>
        <v>2</v>
      </c>
      <c r="AA3" s="18" t="str">
        <f t="shared" si="1"/>
        <v>8.025228</v>
      </c>
      <c r="AB3" s="18" t="str">
        <f t="shared" ref="AB3:AB17" si="21">SUBSTITUTE(TEXT(O3,"0,00"),",",".")</f>
        <v>19000.00</v>
      </c>
      <c r="AC3" s="1" t="str">
        <f t="shared" si="2"/>
        <v>00000</v>
      </c>
      <c r="AD3" s="1" t="str">
        <f t="shared" si="3"/>
        <v>00000000</v>
      </c>
      <c r="AE3" s="9">
        <f t="shared" ref="AE3:AE17" si="22">U3</f>
        <v>0</v>
      </c>
      <c r="AF3" s="13">
        <f t="shared" si="4"/>
        <v>32020.66</v>
      </c>
      <c r="AG3" s="13">
        <f t="shared" ref="AG3:AG17" si="23">IF(AO3="A",ROUND(P3+AF3,2),ROUND(P3,2))</f>
        <v>184499.99</v>
      </c>
      <c r="AH3" s="10" t="str">
        <f t="shared" si="5"/>
        <v>152479.33</v>
      </c>
      <c r="AI3" s="10" t="str">
        <f>SUBSTITUTE(TEXT(ROUNDUP(AG3,0)-AG3,"0,00"),",",".")</f>
        <v>0.01</v>
      </c>
      <c r="AJ3" s="2"/>
      <c r="AK3" s="1">
        <f t="shared" si="6"/>
        <v>3</v>
      </c>
      <c r="AL3" s="15" t="str">
        <f>J3&amp;"-"&amp;COUNTIF($J$1:J3,J3)</f>
        <v>30525733870-1</v>
      </c>
      <c r="AM3" s="1">
        <f t="shared" si="7"/>
        <v>0</v>
      </c>
      <c r="AN3" s="1">
        <f t="shared" si="8"/>
        <v>0</v>
      </c>
      <c r="AO3" s="1" t="str">
        <f t="shared" si="9"/>
        <v>A</v>
      </c>
      <c r="AP3" s="1">
        <f t="shared" si="10"/>
        <v>1</v>
      </c>
      <c r="AQ3" s="2"/>
      <c r="AR3" s="13">
        <f t="shared" si="11"/>
        <v>184499.99</v>
      </c>
      <c r="AS3" s="13">
        <f t="shared" si="12"/>
        <v>152479.32999999999</v>
      </c>
      <c r="AT3" s="20">
        <f t="shared" si="13"/>
        <v>8.0252280000000003</v>
      </c>
      <c r="AU3" s="13">
        <f t="shared" si="14"/>
        <v>184500</v>
      </c>
      <c r="AV3" s="20">
        <f t="shared" ref="AV3:AV17" si="24">IF(AO3="A",ROUND(AS3/O3,6),AU3/O3)</f>
        <v>8.0252280000000003</v>
      </c>
      <c r="AW3" s="2"/>
      <c r="AX3" s="2"/>
      <c r="AY3" s="2" t="s">
        <v>92</v>
      </c>
      <c r="AZ3" s="2" t="s">
        <v>91</v>
      </c>
    </row>
    <row r="4" spans="1:52" x14ac:dyDescent="0.25">
      <c r="A4" s="8">
        <f t="shared" ca="1" si="15"/>
        <v>45141</v>
      </c>
      <c r="B4" s="9">
        <f t="shared" ca="1" si="16"/>
        <v>45108</v>
      </c>
      <c r="C4" s="9">
        <f t="shared" ca="1" si="17"/>
        <v>45138</v>
      </c>
      <c r="D4" s="9">
        <f t="shared" ca="1" si="18"/>
        <v>45155</v>
      </c>
      <c r="E4" s="2">
        <v>2</v>
      </c>
      <c r="F4" s="2" t="s">
        <v>34</v>
      </c>
      <c r="G4" s="2" t="s">
        <v>41</v>
      </c>
      <c r="H4" s="2" t="s">
        <v>36</v>
      </c>
      <c r="I4" s="2" t="s">
        <v>9</v>
      </c>
      <c r="J4" s="3">
        <v>30610252334</v>
      </c>
      <c r="K4" s="2" t="s">
        <v>42</v>
      </c>
      <c r="L4" s="1" t="str">
        <f ca="1">"Honorarios "&amp;PROPER(TEXT(B4,"mmmm"))</f>
        <v>Honorarios Julio</v>
      </c>
      <c r="M4" s="2"/>
      <c r="N4" s="4">
        <v>10.004348999999999</v>
      </c>
      <c r="O4" s="5">
        <v>19000</v>
      </c>
      <c r="P4" s="5">
        <f t="shared" si="19"/>
        <v>190082.63099999999</v>
      </c>
      <c r="Q4" s="11" t="s">
        <v>38</v>
      </c>
      <c r="R4" s="11"/>
      <c r="S4" s="11"/>
      <c r="T4" s="11"/>
      <c r="U4" s="12"/>
      <c r="V4" s="2"/>
      <c r="W4" s="2"/>
      <c r="X4" s="1" t="str">
        <f t="shared" si="20"/>
        <v/>
      </c>
      <c r="Y4" s="1" t="str">
        <f t="shared" ref="Y4:Y17" si="25">SUBSTITUTE(W4,",",".")</f>
        <v/>
      </c>
      <c r="Z4" s="14">
        <f>COUNTIFS($F$1:F4,F4,$K$1:K4,K4)+1</f>
        <v>2</v>
      </c>
      <c r="AA4" s="18" t="str">
        <f t="shared" si="1"/>
        <v>10.004349</v>
      </c>
      <c r="AB4" s="18" t="str">
        <f t="shared" si="21"/>
        <v>19000.00</v>
      </c>
      <c r="AC4" s="1" t="str">
        <f t="shared" si="2"/>
        <v>00000</v>
      </c>
      <c r="AD4" s="1" t="str">
        <f t="shared" si="3"/>
        <v>00000000</v>
      </c>
      <c r="AE4" s="9">
        <f t="shared" si="22"/>
        <v>0</v>
      </c>
      <c r="AF4" s="13">
        <f t="shared" si="4"/>
        <v>39917.35</v>
      </c>
      <c r="AG4" s="13">
        <f t="shared" si="23"/>
        <v>229999.98</v>
      </c>
      <c r="AH4" s="10" t="str">
        <f t="shared" si="5"/>
        <v>190082.63</v>
      </c>
      <c r="AI4" s="10" t="str">
        <f>SUBSTITUTE(TEXT(ROUNDUP(AG4,0)-AG4,"0,00"),",",".")</f>
        <v>0.02</v>
      </c>
      <c r="AJ4" s="2"/>
      <c r="AK4" s="1">
        <f t="shared" si="6"/>
        <v>4</v>
      </c>
      <c r="AL4" s="15" t="str">
        <f>J4&amp;"-"&amp;COUNTIF($J$1:J4,J4)</f>
        <v>30610252334-1</v>
      </c>
      <c r="AM4" s="1">
        <f t="shared" si="7"/>
        <v>0</v>
      </c>
      <c r="AN4" s="1">
        <f t="shared" si="8"/>
        <v>0</v>
      </c>
      <c r="AO4" s="1" t="str">
        <f t="shared" si="9"/>
        <v>A</v>
      </c>
      <c r="AP4" s="1">
        <f t="shared" si="10"/>
        <v>1</v>
      </c>
      <c r="AQ4" s="2"/>
      <c r="AR4" s="13">
        <f t="shared" si="11"/>
        <v>229999.98</v>
      </c>
      <c r="AS4" s="13">
        <f t="shared" si="12"/>
        <v>190082.63</v>
      </c>
      <c r="AT4" s="20">
        <f t="shared" si="13"/>
        <v>10.004348999999999</v>
      </c>
      <c r="AU4" s="13">
        <f t="shared" si="14"/>
        <v>230000</v>
      </c>
      <c r="AV4" s="20">
        <f t="shared" si="24"/>
        <v>10.004348999999999</v>
      </c>
      <c r="AW4" s="2"/>
      <c r="AX4" s="2"/>
      <c r="AY4" s="2" t="s">
        <v>92</v>
      </c>
      <c r="AZ4" s="2" t="s">
        <v>91</v>
      </c>
    </row>
    <row r="5" spans="1:52" x14ac:dyDescent="0.25">
      <c r="A5" s="8">
        <f t="shared" ca="1" si="15"/>
        <v>45141</v>
      </c>
      <c r="B5" s="9">
        <f t="shared" ca="1" si="16"/>
        <v>45108</v>
      </c>
      <c r="C5" s="9">
        <f t="shared" ca="1" si="17"/>
        <v>45138</v>
      </c>
      <c r="D5" s="9">
        <f t="shared" ca="1" si="18"/>
        <v>45155</v>
      </c>
      <c r="E5" s="2">
        <v>2</v>
      </c>
      <c r="F5" s="2" t="s">
        <v>34</v>
      </c>
      <c r="G5" s="2" t="s">
        <v>39</v>
      </c>
      <c r="H5" s="2" t="s">
        <v>36</v>
      </c>
      <c r="I5" s="2" t="s">
        <v>9</v>
      </c>
      <c r="J5" s="3">
        <v>30710964277</v>
      </c>
      <c r="K5" s="2" t="s">
        <v>51</v>
      </c>
      <c r="L5" s="1" t="str">
        <f ca="1">"Honorarios "&amp;PROPER(TEXT(B5,"mmmm"))</f>
        <v>Honorarios Julio</v>
      </c>
      <c r="M5" s="2"/>
      <c r="N5" s="4">
        <v>9.0256629999999998</v>
      </c>
      <c r="O5" s="5">
        <v>19000</v>
      </c>
      <c r="P5" s="5">
        <f t="shared" si="19"/>
        <v>171487.59700000001</v>
      </c>
      <c r="Q5" s="11" t="s">
        <v>38</v>
      </c>
      <c r="R5" s="11"/>
      <c r="S5" s="11"/>
      <c r="T5" s="11"/>
      <c r="U5" s="12"/>
      <c r="V5" s="2"/>
      <c r="W5" s="2"/>
      <c r="X5" s="1" t="str">
        <f t="shared" si="20"/>
        <v/>
      </c>
      <c r="Y5" s="1" t="str">
        <f t="shared" si="25"/>
        <v/>
      </c>
      <c r="Z5" s="14">
        <f>COUNTIFS($F$1:F5,F5,$K$1:K5,K5)+1</f>
        <v>2</v>
      </c>
      <c r="AA5" s="18" t="str">
        <f t="shared" si="1"/>
        <v>9.025663</v>
      </c>
      <c r="AB5" s="18" t="str">
        <f t="shared" si="21"/>
        <v>19000.00</v>
      </c>
      <c r="AC5" s="1" t="str">
        <f t="shared" si="2"/>
        <v>00000</v>
      </c>
      <c r="AD5" s="1" t="str">
        <f t="shared" si="3"/>
        <v>00000000</v>
      </c>
      <c r="AE5" s="9">
        <f t="shared" si="22"/>
        <v>0</v>
      </c>
      <c r="AF5" s="13">
        <f t="shared" si="4"/>
        <v>36012.400000000001</v>
      </c>
      <c r="AG5" s="13">
        <f t="shared" si="23"/>
        <v>207500</v>
      </c>
      <c r="AH5" s="10" t="str">
        <f t="shared" si="5"/>
        <v>171487.60</v>
      </c>
      <c r="AI5" s="10" t="str">
        <f>SUBSTITUTE(TEXT(ROUNDUP(AG5,0)-AG5,"0,00"),",",".")</f>
        <v>0.00</v>
      </c>
      <c r="AJ5" s="2"/>
      <c r="AK5" s="1">
        <f t="shared" si="6"/>
        <v>5</v>
      </c>
      <c r="AL5" s="15" t="str">
        <f>J5&amp;"-"&amp;COUNTIF($J$1:J5,J5)</f>
        <v>30710964277-1</v>
      </c>
      <c r="AM5" s="1">
        <f t="shared" si="7"/>
        <v>0</v>
      </c>
      <c r="AN5" s="1">
        <f t="shared" si="8"/>
        <v>0</v>
      </c>
      <c r="AO5" s="1" t="str">
        <f t="shared" si="9"/>
        <v>A</v>
      </c>
      <c r="AP5" s="1">
        <f t="shared" si="10"/>
        <v>1</v>
      </c>
      <c r="AQ5" s="2"/>
      <c r="AR5" s="13">
        <f t="shared" si="11"/>
        <v>207499.99</v>
      </c>
      <c r="AS5" s="13">
        <f t="shared" si="12"/>
        <v>171487.6</v>
      </c>
      <c r="AT5" s="20">
        <f t="shared" si="13"/>
        <v>9.0256629999999998</v>
      </c>
      <c r="AU5" s="13">
        <f t="shared" si="14"/>
        <v>207500</v>
      </c>
      <c r="AV5" s="20">
        <f t="shared" si="24"/>
        <v>9.0256629999999998</v>
      </c>
      <c r="AW5" s="2"/>
      <c r="AX5" s="2"/>
      <c r="AY5" s="2" t="s">
        <v>92</v>
      </c>
      <c r="AZ5" s="2" t="s">
        <v>91</v>
      </c>
    </row>
    <row r="6" spans="1:52" x14ac:dyDescent="0.25">
      <c r="A6" s="8">
        <f t="shared" ca="1" si="15"/>
        <v>45141</v>
      </c>
      <c r="B6" s="9">
        <f t="shared" ca="1" si="16"/>
        <v>45108</v>
      </c>
      <c r="C6" s="9">
        <f t="shared" ca="1" si="17"/>
        <v>45138</v>
      </c>
      <c r="D6" s="9">
        <f t="shared" ca="1" si="18"/>
        <v>45155</v>
      </c>
      <c r="E6" s="2">
        <v>2</v>
      </c>
      <c r="F6" s="2" t="s">
        <v>34</v>
      </c>
      <c r="G6" s="2" t="s">
        <v>35</v>
      </c>
      <c r="H6" s="2" t="s">
        <v>36</v>
      </c>
      <c r="I6" s="2" t="s">
        <v>9</v>
      </c>
      <c r="J6" s="3">
        <v>33610006189</v>
      </c>
      <c r="K6" s="2" t="s">
        <v>37</v>
      </c>
      <c r="L6" s="1" t="str">
        <f ca="1">"Honorarios "&amp;PROPER(TEXT(B6,"mmmm"))</f>
        <v>Honorarios Julio</v>
      </c>
      <c r="M6" s="2"/>
      <c r="N6" s="4">
        <v>5.0239229999999999</v>
      </c>
      <c r="O6" s="5">
        <v>19000</v>
      </c>
      <c r="P6" s="5">
        <f t="shared" si="19"/>
        <v>95454.536999999997</v>
      </c>
      <c r="Q6" s="11" t="s">
        <v>38</v>
      </c>
      <c r="R6" s="11" t="s">
        <v>76</v>
      </c>
      <c r="S6" s="11" t="s">
        <v>46</v>
      </c>
      <c r="T6" s="11" t="s">
        <v>77</v>
      </c>
      <c r="U6" s="12">
        <v>44816</v>
      </c>
      <c r="V6" s="2"/>
      <c r="W6" s="2"/>
      <c r="X6" s="1" t="str">
        <f t="shared" si="20"/>
        <v/>
      </c>
      <c r="Y6" s="1" t="str">
        <f t="shared" si="25"/>
        <v/>
      </c>
      <c r="Z6" s="14">
        <f>COUNTIFS($F$1:F6,F6,$K$1:K6,K6)+1</f>
        <v>2</v>
      </c>
      <c r="AA6" s="18" t="str">
        <f t="shared" si="1"/>
        <v>5.023923</v>
      </c>
      <c r="AB6" s="18" t="str">
        <f t="shared" si="21"/>
        <v>19000.00</v>
      </c>
      <c r="AC6" s="1" t="str">
        <f t="shared" si="2"/>
        <v>00002</v>
      </c>
      <c r="AD6" s="1" t="str">
        <f t="shared" si="3"/>
        <v>00000003</v>
      </c>
      <c r="AE6" s="9">
        <f t="shared" si="22"/>
        <v>44816</v>
      </c>
      <c r="AF6" s="13">
        <f t="shared" si="4"/>
        <v>20045.45</v>
      </c>
      <c r="AG6" s="13">
        <f t="shared" si="23"/>
        <v>115499.99</v>
      </c>
      <c r="AH6" s="10" t="str">
        <f t="shared" si="5"/>
        <v>95454.54</v>
      </c>
      <c r="AI6" s="10" t="str">
        <f>SUBSTITUTE(TEXT(ROUNDUP(AG6,0)-AG6,"0,00"),",",".")</f>
        <v>0.01</v>
      </c>
      <c r="AJ6" s="2"/>
      <c r="AK6" s="1">
        <f t="shared" si="6"/>
        <v>6</v>
      </c>
      <c r="AL6" s="15" t="str">
        <f>J6&amp;"-"&amp;COUNTIF($J$1:J6,J6)</f>
        <v>33610006189-1</v>
      </c>
      <c r="AM6" s="1">
        <f t="shared" si="7"/>
        <v>0</v>
      </c>
      <c r="AN6" s="1">
        <f t="shared" si="8"/>
        <v>1</v>
      </c>
      <c r="AO6" s="1" t="str">
        <f t="shared" si="9"/>
        <v>A</v>
      </c>
      <c r="AP6" s="1">
        <f t="shared" si="10"/>
        <v>1</v>
      </c>
      <c r="AQ6" s="2"/>
      <c r="AR6" s="13">
        <f t="shared" si="11"/>
        <v>115499.99</v>
      </c>
      <c r="AS6" s="13">
        <f t="shared" si="12"/>
        <v>95454.54</v>
      </c>
      <c r="AT6" s="20">
        <f t="shared" si="13"/>
        <v>5.0239229999999999</v>
      </c>
      <c r="AU6" s="13">
        <f t="shared" si="14"/>
        <v>115500</v>
      </c>
      <c r="AV6" s="20">
        <f t="shared" si="24"/>
        <v>5.0239229999999999</v>
      </c>
      <c r="AW6" s="2"/>
      <c r="AX6" s="2"/>
      <c r="AY6" s="2" t="s">
        <v>92</v>
      </c>
      <c r="AZ6" s="2" t="s">
        <v>91</v>
      </c>
    </row>
    <row r="7" spans="1:52" x14ac:dyDescent="0.25">
      <c r="A7" s="8">
        <f t="shared" ca="1" si="15"/>
        <v>45141</v>
      </c>
      <c r="B7" s="9">
        <f t="shared" ca="1" si="16"/>
        <v>45108</v>
      </c>
      <c r="C7" s="9">
        <f t="shared" ca="1" si="17"/>
        <v>45138</v>
      </c>
      <c r="D7" s="9">
        <f t="shared" ca="1" si="18"/>
        <v>45155</v>
      </c>
      <c r="E7" s="2">
        <v>2</v>
      </c>
      <c r="F7" s="2" t="s">
        <v>34</v>
      </c>
      <c r="G7" s="2" t="s">
        <v>39</v>
      </c>
      <c r="H7" s="2" t="s">
        <v>36</v>
      </c>
      <c r="I7" s="2" t="s">
        <v>9</v>
      </c>
      <c r="J7" s="3">
        <v>33610006189</v>
      </c>
      <c r="K7" s="2" t="s">
        <v>37</v>
      </c>
      <c r="L7" s="6" t="s">
        <v>40</v>
      </c>
      <c r="M7" s="2"/>
      <c r="N7" s="4">
        <v>5.0021740000000001</v>
      </c>
      <c r="O7" s="5">
        <v>19000</v>
      </c>
      <c r="P7" s="5">
        <f t="shared" si="19"/>
        <v>95041.305999999997</v>
      </c>
      <c r="Q7" s="11" t="s">
        <v>38</v>
      </c>
      <c r="R7" s="11"/>
      <c r="S7" s="11"/>
      <c r="T7" s="11"/>
      <c r="U7" s="12"/>
      <c r="V7" s="2"/>
      <c r="W7" s="2"/>
      <c r="X7" s="1" t="str">
        <f t="shared" si="20"/>
        <v/>
      </c>
      <c r="Y7" s="1" t="str">
        <f t="shared" si="25"/>
        <v/>
      </c>
      <c r="Z7" s="14">
        <f>COUNTIFS($F$1:F7,F7,$K$1:K7,K7)+1</f>
        <v>3</v>
      </c>
      <c r="AA7" s="18" t="str">
        <f t="shared" si="1"/>
        <v>5.002174</v>
      </c>
      <c r="AB7" s="18" t="str">
        <f t="shared" si="21"/>
        <v>19000.00</v>
      </c>
      <c r="AC7" s="1" t="str">
        <f t="shared" si="2"/>
        <v>00000</v>
      </c>
      <c r="AD7" s="1" t="str">
        <f t="shared" si="3"/>
        <v>00000000</v>
      </c>
      <c r="AE7" s="9">
        <f t="shared" si="22"/>
        <v>0</v>
      </c>
      <c r="AF7" s="13">
        <f t="shared" si="4"/>
        <v>19958.669999999998</v>
      </c>
      <c r="AG7" s="13">
        <f t="shared" si="23"/>
        <v>114999.98</v>
      </c>
      <c r="AH7" s="10" t="str">
        <f t="shared" si="5"/>
        <v>95041.31</v>
      </c>
      <c r="AI7" s="10" t="str">
        <f t="shared" ref="AI7:AI17" si="26">SUBSTITUTE(TEXT(ROUNDUP(AG7,0)-AG7,"0,00"),",",".")</f>
        <v>0.02</v>
      </c>
      <c r="AJ7" s="2"/>
      <c r="AK7" s="1">
        <f t="shared" si="6"/>
        <v>7</v>
      </c>
      <c r="AL7" s="15" t="str">
        <f>J7&amp;"-"&amp;COUNTIF($J$1:J7,J7)</f>
        <v>33610006189-2</v>
      </c>
      <c r="AM7" s="1">
        <f t="shared" si="7"/>
        <v>1</v>
      </c>
      <c r="AN7" s="1">
        <f t="shared" si="8"/>
        <v>0</v>
      </c>
      <c r="AO7" s="1" t="str">
        <f t="shared" si="9"/>
        <v>A</v>
      </c>
      <c r="AP7" s="1">
        <f t="shared" si="10"/>
        <v>1</v>
      </c>
      <c r="AQ7" s="2"/>
      <c r="AR7" s="13">
        <f t="shared" si="11"/>
        <v>114999.98</v>
      </c>
      <c r="AS7" s="13">
        <f t="shared" si="12"/>
        <v>95041.31</v>
      </c>
      <c r="AT7" s="20">
        <f t="shared" si="13"/>
        <v>5.0021740000000001</v>
      </c>
      <c r="AU7" s="13">
        <f t="shared" si="14"/>
        <v>115000</v>
      </c>
      <c r="AV7" s="20">
        <f t="shared" si="24"/>
        <v>5.0021740000000001</v>
      </c>
      <c r="AW7" s="2"/>
      <c r="AX7" s="2"/>
      <c r="AY7" s="2" t="s">
        <v>92</v>
      </c>
      <c r="AZ7" s="2" t="s">
        <v>91</v>
      </c>
    </row>
    <row r="8" spans="1:52" x14ac:dyDescent="0.25">
      <c r="A8" s="8">
        <f t="shared" ca="1" si="15"/>
        <v>45141</v>
      </c>
      <c r="B8" s="9">
        <f t="shared" ca="1" si="16"/>
        <v>45108</v>
      </c>
      <c r="C8" s="9">
        <f t="shared" ca="1" si="17"/>
        <v>45138</v>
      </c>
      <c r="D8" s="9">
        <f t="shared" ca="1" si="18"/>
        <v>45155</v>
      </c>
      <c r="E8" s="2">
        <v>2</v>
      </c>
      <c r="F8" s="2" t="s">
        <v>34</v>
      </c>
      <c r="G8" s="2" t="s">
        <v>39</v>
      </c>
      <c r="H8" s="2" t="s">
        <v>36</v>
      </c>
      <c r="I8" s="2" t="s">
        <v>9</v>
      </c>
      <c r="J8" s="3">
        <v>33615420269</v>
      </c>
      <c r="K8" s="2" t="s">
        <v>52</v>
      </c>
      <c r="L8" s="1" t="str">
        <f t="shared" ref="L8:L13" ca="1" si="27">"Honorarios "&amp;PROPER(TEXT(B8,"mmmm"))</f>
        <v>Honorarios Julio</v>
      </c>
      <c r="M8" s="2"/>
      <c r="N8" s="4">
        <v>10.004348999999999</v>
      </c>
      <c r="O8" s="5">
        <v>19000</v>
      </c>
      <c r="P8" s="5">
        <f t="shared" si="19"/>
        <v>190082.63099999999</v>
      </c>
      <c r="Q8" s="11" t="s">
        <v>38</v>
      </c>
      <c r="R8" s="11"/>
      <c r="S8" s="11"/>
      <c r="T8" s="11"/>
      <c r="U8" s="12"/>
      <c r="V8" s="2"/>
      <c r="W8" s="2"/>
      <c r="X8" s="1" t="str">
        <f t="shared" si="20"/>
        <v/>
      </c>
      <c r="Y8" s="1" t="str">
        <f t="shared" si="25"/>
        <v/>
      </c>
      <c r="Z8" s="14">
        <f>COUNTIFS($F$1:F8,F8,$K$1:K8,K8)+1</f>
        <v>2</v>
      </c>
      <c r="AA8" s="18" t="str">
        <f t="shared" si="1"/>
        <v>10.004349</v>
      </c>
      <c r="AB8" s="18" t="str">
        <f t="shared" si="21"/>
        <v>19000.00</v>
      </c>
      <c r="AC8" s="1" t="str">
        <f t="shared" si="2"/>
        <v>00000</v>
      </c>
      <c r="AD8" s="1" t="str">
        <f t="shared" si="3"/>
        <v>00000000</v>
      </c>
      <c r="AE8" s="9">
        <f t="shared" si="22"/>
        <v>0</v>
      </c>
      <c r="AF8" s="13">
        <f t="shared" si="4"/>
        <v>39917.35</v>
      </c>
      <c r="AG8" s="13">
        <f t="shared" si="23"/>
        <v>229999.98</v>
      </c>
      <c r="AH8" s="10" t="str">
        <f t="shared" si="5"/>
        <v>190082.63</v>
      </c>
      <c r="AI8" s="10" t="str">
        <f t="shared" si="26"/>
        <v>0.02</v>
      </c>
      <c r="AJ8" s="2"/>
      <c r="AK8" s="1">
        <f t="shared" si="6"/>
        <v>8</v>
      </c>
      <c r="AL8" s="15" t="str">
        <f>J8&amp;"-"&amp;COUNTIF($J$1:J8,J8)</f>
        <v>33615420269-1</v>
      </c>
      <c r="AM8" s="1">
        <f t="shared" si="7"/>
        <v>0</v>
      </c>
      <c r="AN8" s="1">
        <f t="shared" si="8"/>
        <v>0</v>
      </c>
      <c r="AO8" s="1" t="str">
        <f t="shared" si="9"/>
        <v>A</v>
      </c>
      <c r="AP8" s="1">
        <f t="shared" si="10"/>
        <v>1</v>
      </c>
      <c r="AQ8" s="2"/>
      <c r="AR8" s="13">
        <f t="shared" si="11"/>
        <v>229999.98</v>
      </c>
      <c r="AS8" s="13">
        <f t="shared" si="12"/>
        <v>190082.63</v>
      </c>
      <c r="AT8" s="20">
        <f t="shared" si="13"/>
        <v>10.004348999999999</v>
      </c>
      <c r="AU8" s="13">
        <f t="shared" si="14"/>
        <v>230000</v>
      </c>
      <c r="AV8" s="20">
        <f t="shared" si="24"/>
        <v>10.004348999999999</v>
      </c>
      <c r="AW8" s="2"/>
      <c r="AX8" s="2"/>
      <c r="AY8" s="2" t="s">
        <v>92</v>
      </c>
      <c r="AZ8" s="2" t="s">
        <v>91</v>
      </c>
    </row>
    <row r="9" spans="1:52" x14ac:dyDescent="0.25">
      <c r="A9" s="8">
        <f t="shared" ca="1" si="15"/>
        <v>45141</v>
      </c>
      <c r="B9" s="9">
        <f t="shared" ca="1" si="16"/>
        <v>45108</v>
      </c>
      <c r="C9" s="9">
        <f t="shared" ca="1" si="17"/>
        <v>45138</v>
      </c>
      <c r="D9" s="9">
        <f t="shared" ca="1" si="18"/>
        <v>45155</v>
      </c>
      <c r="E9" s="2">
        <v>2</v>
      </c>
      <c r="F9" s="2" t="s">
        <v>34</v>
      </c>
      <c r="G9" s="2" t="s">
        <v>39</v>
      </c>
      <c r="H9" s="2" t="s">
        <v>55</v>
      </c>
      <c r="I9" s="2" t="s">
        <v>9</v>
      </c>
      <c r="J9" s="2">
        <v>20147130202</v>
      </c>
      <c r="K9" s="2" t="s">
        <v>57</v>
      </c>
      <c r="L9" s="1" t="str">
        <f t="shared" ca="1" si="27"/>
        <v>Honorarios Julio</v>
      </c>
      <c r="M9" s="2"/>
      <c r="N9" s="4">
        <v>1.0221830000000001</v>
      </c>
      <c r="O9" s="5">
        <v>19000</v>
      </c>
      <c r="P9" s="5">
        <f t="shared" si="19"/>
        <v>19421.477000000003</v>
      </c>
      <c r="Q9" s="11" t="s">
        <v>38</v>
      </c>
      <c r="R9" s="11"/>
      <c r="S9" s="11"/>
      <c r="T9" s="11"/>
      <c r="U9" s="12"/>
      <c r="V9" s="2"/>
      <c r="W9" s="2"/>
      <c r="X9" s="1" t="str">
        <f t="shared" si="20"/>
        <v/>
      </c>
      <c r="Y9" s="1" t="str">
        <f t="shared" si="25"/>
        <v/>
      </c>
      <c r="Z9" s="14">
        <f>COUNTIFS($F$1:F9,F9,$K$1:K9,K9)+1</f>
        <v>2</v>
      </c>
      <c r="AA9" s="18" t="str">
        <f t="shared" si="1"/>
        <v>1.022183</v>
      </c>
      <c r="AB9" s="18" t="str">
        <f t="shared" si="21"/>
        <v>19000.00</v>
      </c>
      <c r="AC9" s="1" t="str">
        <f t="shared" si="2"/>
        <v>00000</v>
      </c>
      <c r="AD9" s="1" t="str">
        <f t="shared" si="3"/>
        <v>00000000</v>
      </c>
      <c r="AE9" s="9">
        <f t="shared" si="22"/>
        <v>0</v>
      </c>
      <c r="AF9" s="13">
        <f t="shared" si="4"/>
        <v>4078.51</v>
      </c>
      <c r="AG9" s="13">
        <f t="shared" si="23"/>
        <v>23499.99</v>
      </c>
      <c r="AH9" s="10" t="str">
        <f t="shared" si="5"/>
        <v>19421.48</v>
      </c>
      <c r="AI9" s="10" t="str">
        <f t="shared" si="26"/>
        <v>0.01</v>
      </c>
      <c r="AJ9" s="2"/>
      <c r="AK9" s="1">
        <f t="shared" si="6"/>
        <v>9</v>
      </c>
      <c r="AL9" s="15" t="str">
        <f>J9&amp;"-"&amp;COUNTIF($J$1:J9,J9)</f>
        <v>20147130202-1</v>
      </c>
      <c r="AM9" s="1">
        <f t="shared" si="7"/>
        <v>0</v>
      </c>
      <c r="AN9" s="1">
        <f t="shared" si="8"/>
        <v>0</v>
      </c>
      <c r="AO9" s="1" t="str">
        <f t="shared" si="9"/>
        <v>A</v>
      </c>
      <c r="AP9" s="1">
        <f t="shared" si="10"/>
        <v>1</v>
      </c>
      <c r="AQ9" s="2"/>
      <c r="AR9" s="13">
        <f t="shared" si="11"/>
        <v>23499.99</v>
      </c>
      <c r="AS9" s="13">
        <f t="shared" si="12"/>
        <v>19421.48</v>
      </c>
      <c r="AT9" s="20">
        <f t="shared" si="13"/>
        <v>1.0221830000000001</v>
      </c>
      <c r="AU9" s="13">
        <f t="shared" si="14"/>
        <v>23500</v>
      </c>
      <c r="AV9" s="20">
        <f t="shared" si="24"/>
        <v>1.0221830000000001</v>
      </c>
      <c r="AW9" s="2"/>
      <c r="AX9" s="2"/>
      <c r="AY9" s="2" t="s">
        <v>92</v>
      </c>
      <c r="AZ9" s="2" t="s">
        <v>91</v>
      </c>
    </row>
    <row r="10" spans="1:52" x14ac:dyDescent="0.25">
      <c r="A10" s="8">
        <f t="shared" ca="1" si="15"/>
        <v>45141</v>
      </c>
      <c r="B10" s="9">
        <f t="shared" ca="1" si="16"/>
        <v>45108</v>
      </c>
      <c r="C10" s="9">
        <f t="shared" ca="1" si="17"/>
        <v>45138</v>
      </c>
      <c r="D10" s="9">
        <f t="shared" ca="1" si="18"/>
        <v>45155</v>
      </c>
      <c r="E10" s="2">
        <v>2</v>
      </c>
      <c r="F10" s="2" t="s">
        <v>34</v>
      </c>
      <c r="G10" s="2" t="s">
        <v>39</v>
      </c>
      <c r="H10" s="2" t="s">
        <v>55</v>
      </c>
      <c r="I10" s="2" t="s">
        <v>9</v>
      </c>
      <c r="J10" s="2">
        <v>20374730429</v>
      </c>
      <c r="K10" s="2" t="s">
        <v>56</v>
      </c>
      <c r="L10" s="1" t="str">
        <f t="shared" ca="1" si="27"/>
        <v>Honorarios Julio</v>
      </c>
      <c r="M10" s="2"/>
      <c r="N10" s="4">
        <v>1.0439320000000001</v>
      </c>
      <c r="O10" s="5">
        <v>19000</v>
      </c>
      <c r="P10" s="5">
        <f t="shared" si="19"/>
        <v>19834.708000000002</v>
      </c>
      <c r="Q10" s="11" t="s">
        <v>38</v>
      </c>
      <c r="R10" s="11"/>
      <c r="S10" s="11"/>
      <c r="T10" s="11"/>
      <c r="U10" s="12"/>
      <c r="V10" s="2"/>
      <c r="W10" s="2"/>
      <c r="X10" s="1" t="str">
        <f t="shared" si="20"/>
        <v/>
      </c>
      <c r="Y10" s="1" t="str">
        <f t="shared" si="25"/>
        <v/>
      </c>
      <c r="Z10" s="14">
        <f>COUNTIFS($F$1:F10,F10,$K$1:K10,K10)+1</f>
        <v>2</v>
      </c>
      <c r="AA10" s="18" t="str">
        <f t="shared" si="1"/>
        <v>1.043932</v>
      </c>
      <c r="AB10" s="18" t="str">
        <f t="shared" si="21"/>
        <v>19000.00</v>
      </c>
      <c r="AC10" s="1" t="str">
        <f t="shared" si="2"/>
        <v>00000</v>
      </c>
      <c r="AD10" s="1" t="str">
        <f t="shared" si="3"/>
        <v>00000000</v>
      </c>
      <c r="AE10" s="9">
        <f t="shared" si="22"/>
        <v>0</v>
      </c>
      <c r="AF10" s="13">
        <f t="shared" si="4"/>
        <v>4165.29</v>
      </c>
      <c r="AG10" s="13">
        <f t="shared" si="23"/>
        <v>24000</v>
      </c>
      <c r="AH10" s="10" t="str">
        <f t="shared" si="5"/>
        <v>19834.71</v>
      </c>
      <c r="AI10" s="10" t="str">
        <f t="shared" si="26"/>
        <v>0.00</v>
      </c>
      <c r="AJ10" s="2"/>
      <c r="AK10" s="1">
        <f t="shared" si="6"/>
        <v>10</v>
      </c>
      <c r="AL10" s="15" t="str">
        <f>J10&amp;"-"&amp;COUNTIF($J$1:J10,J10)</f>
        <v>20374730429-1</v>
      </c>
      <c r="AM10" s="1">
        <f t="shared" si="7"/>
        <v>0</v>
      </c>
      <c r="AN10" s="1">
        <f t="shared" si="8"/>
        <v>1</v>
      </c>
      <c r="AO10" s="1" t="str">
        <f t="shared" si="9"/>
        <v>A</v>
      </c>
      <c r="AP10" s="1">
        <f t="shared" si="10"/>
        <v>1</v>
      </c>
      <c r="AQ10" s="2"/>
      <c r="AR10" s="13">
        <f t="shared" si="11"/>
        <v>24000</v>
      </c>
      <c r="AS10" s="13">
        <f t="shared" si="12"/>
        <v>19834.71</v>
      </c>
      <c r="AT10" s="20">
        <f t="shared" si="13"/>
        <v>1.0439320000000001</v>
      </c>
      <c r="AU10" s="13">
        <f t="shared" si="14"/>
        <v>24000</v>
      </c>
      <c r="AV10" s="20">
        <f t="shared" si="24"/>
        <v>1.0439320000000001</v>
      </c>
      <c r="AW10" s="2"/>
      <c r="AX10" s="2"/>
      <c r="AY10" s="2" t="s">
        <v>92</v>
      </c>
      <c r="AZ10" s="2" t="s">
        <v>91</v>
      </c>
    </row>
    <row r="11" spans="1:52" x14ac:dyDescent="0.25">
      <c r="A11" s="8">
        <f t="shared" ca="1" si="15"/>
        <v>45141</v>
      </c>
      <c r="B11" s="9">
        <f t="shared" ca="1" si="16"/>
        <v>45108</v>
      </c>
      <c r="C11" s="9">
        <f t="shared" ca="1" si="17"/>
        <v>45138</v>
      </c>
      <c r="D11" s="9">
        <f t="shared" ca="1" si="18"/>
        <v>45155</v>
      </c>
      <c r="E11" s="2">
        <v>2</v>
      </c>
      <c r="F11" s="2" t="s">
        <v>58</v>
      </c>
      <c r="G11" s="2" t="s">
        <v>39</v>
      </c>
      <c r="H11" s="2" t="s">
        <v>61</v>
      </c>
      <c r="I11" s="2" t="s">
        <v>62</v>
      </c>
      <c r="J11" s="2">
        <v>37473042</v>
      </c>
      <c r="K11" s="2" t="s">
        <v>56</v>
      </c>
      <c r="L11" s="1" t="str">
        <f t="shared" ca="1" si="27"/>
        <v>Honorarios Julio</v>
      </c>
      <c r="M11" s="2"/>
      <c r="N11" s="4">
        <v>1.3</v>
      </c>
      <c r="O11" s="5">
        <v>10000</v>
      </c>
      <c r="P11" s="5">
        <f t="shared" si="19"/>
        <v>13000</v>
      </c>
      <c r="Q11" s="11" t="s">
        <v>38</v>
      </c>
      <c r="R11" s="11"/>
      <c r="S11" s="11"/>
      <c r="T11" s="11"/>
      <c r="U11" s="12"/>
      <c r="V11" s="2"/>
      <c r="W11" s="2"/>
      <c r="X11" s="1" t="str">
        <f t="shared" si="20"/>
        <v/>
      </c>
      <c r="Y11" s="1" t="str">
        <f t="shared" si="25"/>
        <v/>
      </c>
      <c r="Z11" s="14">
        <f>COUNTIFS($F$1:F11,F11,$K$1:K11,K11)+1</f>
        <v>2</v>
      </c>
      <c r="AA11" s="18" t="str">
        <f t="shared" si="1"/>
        <v>1.3</v>
      </c>
      <c r="AB11" s="18" t="str">
        <f t="shared" si="21"/>
        <v>10000.00</v>
      </c>
      <c r="AC11" s="1" t="str">
        <f t="shared" si="2"/>
        <v>00000</v>
      </c>
      <c r="AD11" s="1" t="str">
        <f t="shared" si="3"/>
        <v>00000000</v>
      </c>
      <c r="AE11" s="9">
        <f t="shared" si="22"/>
        <v>0</v>
      </c>
      <c r="AF11" s="13">
        <f t="shared" si="4"/>
        <v>2256.1999999999998</v>
      </c>
      <c r="AG11" s="13">
        <f t="shared" si="23"/>
        <v>13000</v>
      </c>
      <c r="AH11" s="10" t="str">
        <f t="shared" si="5"/>
        <v>13000.00</v>
      </c>
      <c r="AI11" s="10" t="str">
        <f t="shared" si="26"/>
        <v>0.00</v>
      </c>
      <c r="AJ11" s="2"/>
      <c r="AK11" s="1">
        <f t="shared" si="6"/>
        <v>11</v>
      </c>
      <c r="AL11" s="15" t="str">
        <f>J11&amp;"-"&amp;COUNTIF($J$1:J11,J11)</f>
        <v>37473042-1</v>
      </c>
      <c r="AM11" s="1">
        <f t="shared" si="7"/>
        <v>1</v>
      </c>
      <c r="AN11" s="1">
        <f t="shared" si="8"/>
        <v>0</v>
      </c>
      <c r="AO11" s="1" t="str">
        <f t="shared" si="9"/>
        <v>B</v>
      </c>
      <c r="AP11" s="1">
        <f t="shared" si="10"/>
        <v>1</v>
      </c>
      <c r="AQ11" s="2"/>
      <c r="AR11" s="13">
        <f t="shared" si="11"/>
        <v>13000</v>
      </c>
      <c r="AS11" s="13">
        <f t="shared" si="12"/>
        <v>10743.8</v>
      </c>
      <c r="AT11" s="20">
        <f t="shared" si="13"/>
        <v>1.3</v>
      </c>
      <c r="AU11" s="13">
        <f t="shared" si="14"/>
        <v>13000</v>
      </c>
      <c r="AV11" s="20">
        <f t="shared" si="24"/>
        <v>1.3</v>
      </c>
      <c r="AW11" s="2"/>
      <c r="AX11" s="2"/>
      <c r="AY11" s="2" t="s">
        <v>93</v>
      </c>
      <c r="AZ11" s="2"/>
    </row>
    <row r="12" spans="1:52" x14ac:dyDescent="0.25">
      <c r="A12" s="8">
        <f t="shared" ca="1" si="15"/>
        <v>45141</v>
      </c>
      <c r="B12" s="9">
        <f t="shared" ca="1" si="16"/>
        <v>45108</v>
      </c>
      <c r="C12" s="9">
        <f t="shared" ca="1" si="17"/>
        <v>45138</v>
      </c>
      <c r="D12" s="9">
        <f t="shared" ca="1" si="18"/>
        <v>45155</v>
      </c>
      <c r="E12" s="2">
        <v>2</v>
      </c>
      <c r="F12" s="2" t="s">
        <v>58</v>
      </c>
      <c r="G12" s="2" t="s">
        <v>39</v>
      </c>
      <c r="H12" s="2" t="s">
        <v>59</v>
      </c>
      <c r="I12" s="2" t="s">
        <v>9</v>
      </c>
      <c r="J12" s="2">
        <v>30707354719</v>
      </c>
      <c r="K12" s="2" t="s">
        <v>60</v>
      </c>
      <c r="L12" s="1" t="str">
        <f t="shared" ca="1" si="27"/>
        <v>Honorarios Julio</v>
      </c>
      <c r="M12" s="2"/>
      <c r="N12" s="4">
        <v>1.2105263157894737</v>
      </c>
      <c r="O12" s="5">
        <v>19000</v>
      </c>
      <c r="P12" s="5">
        <f t="shared" si="19"/>
        <v>23000</v>
      </c>
      <c r="Q12" s="11" t="s">
        <v>38</v>
      </c>
      <c r="R12" s="11"/>
      <c r="S12" s="11"/>
      <c r="T12" s="11"/>
      <c r="U12" s="12"/>
      <c r="V12" s="2"/>
      <c r="W12" s="2"/>
      <c r="X12" s="1" t="str">
        <f t="shared" si="20"/>
        <v/>
      </c>
      <c r="Y12" s="1" t="str">
        <f t="shared" si="25"/>
        <v/>
      </c>
      <c r="Z12" s="14">
        <f>COUNTIFS($F$1:F12,F12,$K$1:K12,K12)+1</f>
        <v>2</v>
      </c>
      <c r="AA12" s="18" t="str">
        <f t="shared" si="1"/>
        <v>1.210526</v>
      </c>
      <c r="AB12" s="18" t="str">
        <f t="shared" si="21"/>
        <v>19000.00</v>
      </c>
      <c r="AC12" s="1" t="str">
        <f t="shared" si="2"/>
        <v>00000</v>
      </c>
      <c r="AD12" s="1" t="str">
        <f t="shared" si="3"/>
        <v>00000000</v>
      </c>
      <c r="AE12" s="9">
        <f t="shared" si="22"/>
        <v>0</v>
      </c>
      <c r="AF12" s="13">
        <f t="shared" si="4"/>
        <v>3991.74</v>
      </c>
      <c r="AG12" s="13">
        <f t="shared" si="23"/>
        <v>23000</v>
      </c>
      <c r="AH12" s="10" t="str">
        <f t="shared" si="5"/>
        <v>23000.00</v>
      </c>
      <c r="AI12" s="10" t="str">
        <f t="shared" si="26"/>
        <v>0.00</v>
      </c>
      <c r="AJ12" s="2"/>
      <c r="AK12" s="1">
        <f t="shared" si="6"/>
        <v>12</v>
      </c>
      <c r="AL12" s="15" t="str">
        <f>J12&amp;"-"&amp;COUNTIF($J$1:J12,J12)</f>
        <v>30707354719-1</v>
      </c>
      <c r="AM12" s="1">
        <f t="shared" si="7"/>
        <v>0</v>
      </c>
      <c r="AN12" s="1">
        <f t="shared" si="8"/>
        <v>0</v>
      </c>
      <c r="AO12" s="1" t="str">
        <f t="shared" si="9"/>
        <v>B</v>
      </c>
      <c r="AP12" s="1">
        <f t="shared" si="10"/>
        <v>1</v>
      </c>
      <c r="AQ12" s="2"/>
      <c r="AR12" s="13">
        <f t="shared" si="11"/>
        <v>23000</v>
      </c>
      <c r="AS12" s="13">
        <f t="shared" si="12"/>
        <v>19008.259999999998</v>
      </c>
      <c r="AT12" s="20">
        <f t="shared" si="13"/>
        <v>1.2105263157894737</v>
      </c>
      <c r="AU12" s="13">
        <f t="shared" si="14"/>
        <v>23000</v>
      </c>
      <c r="AV12" s="20">
        <f t="shared" si="24"/>
        <v>1.2105263157894737</v>
      </c>
      <c r="AW12" s="2"/>
      <c r="AX12" s="2"/>
      <c r="AY12" s="2" t="s">
        <v>93</v>
      </c>
      <c r="AZ12" s="2"/>
    </row>
    <row r="13" spans="1:52" x14ac:dyDescent="0.25">
      <c r="A13" s="8">
        <f t="shared" ca="1" si="15"/>
        <v>45141</v>
      </c>
      <c r="B13" s="9">
        <f t="shared" ca="1" si="16"/>
        <v>45108</v>
      </c>
      <c r="C13" s="9">
        <f t="shared" ca="1" si="17"/>
        <v>45138</v>
      </c>
      <c r="D13" s="9">
        <f t="shared" ca="1" si="18"/>
        <v>45155</v>
      </c>
      <c r="E13" s="2">
        <v>1</v>
      </c>
      <c r="F13" s="2" t="s">
        <v>69</v>
      </c>
      <c r="G13" s="2" t="s">
        <v>39</v>
      </c>
      <c r="H13" s="2" t="s">
        <v>61</v>
      </c>
      <c r="I13" s="2" t="s">
        <v>62</v>
      </c>
      <c r="J13" s="2"/>
      <c r="K13" s="2" t="s">
        <v>70</v>
      </c>
      <c r="L13" s="1" t="str">
        <f t="shared" ca="1" si="27"/>
        <v>Honorarios Julio</v>
      </c>
      <c r="M13" s="2"/>
      <c r="N13" s="4">
        <v>1.5</v>
      </c>
      <c r="O13" s="5">
        <v>19000</v>
      </c>
      <c r="P13" s="5">
        <f t="shared" si="19"/>
        <v>28500</v>
      </c>
      <c r="Q13" s="11"/>
      <c r="R13" s="11"/>
      <c r="S13" s="11"/>
      <c r="T13" s="11"/>
      <c r="U13" s="12"/>
      <c r="V13" s="2"/>
      <c r="W13" s="2"/>
      <c r="X13" s="1" t="str">
        <f t="shared" si="20"/>
        <v/>
      </c>
      <c r="Y13" s="1" t="str">
        <f t="shared" si="25"/>
        <v/>
      </c>
      <c r="Z13" s="14">
        <f>COUNTIFS($F$1:F13,F13,$K$1:K13,K13)+1</f>
        <v>2</v>
      </c>
      <c r="AA13" s="18" t="str">
        <f t="shared" si="1"/>
        <v>1.5</v>
      </c>
      <c r="AB13" s="18" t="str">
        <f t="shared" si="21"/>
        <v>19000.00</v>
      </c>
      <c r="AC13" s="1" t="str">
        <f t="shared" si="2"/>
        <v>00000</v>
      </c>
      <c r="AD13" s="1" t="str">
        <f t="shared" si="3"/>
        <v>00000000</v>
      </c>
      <c r="AE13" s="9">
        <f t="shared" si="22"/>
        <v>0</v>
      </c>
      <c r="AF13" s="13">
        <f t="shared" si="4"/>
        <v>0</v>
      </c>
      <c r="AG13" s="13">
        <f t="shared" si="23"/>
        <v>28500</v>
      </c>
      <c r="AH13" s="10" t="str">
        <f t="shared" si="5"/>
        <v>28500.00</v>
      </c>
      <c r="AI13" s="10" t="str">
        <f t="shared" si="26"/>
        <v>0.00</v>
      </c>
      <c r="AJ13" s="2"/>
      <c r="AK13" s="1">
        <f t="shared" si="6"/>
        <v>13</v>
      </c>
      <c r="AL13" s="15" t="str">
        <f>J13&amp;"-"&amp;COUNTIF($J$1:J13,J13)</f>
        <v>-0</v>
      </c>
      <c r="AM13" s="1">
        <f t="shared" si="7"/>
        <v>0</v>
      </c>
      <c r="AN13" s="1">
        <f t="shared" si="8"/>
        <v>0</v>
      </c>
      <c r="AO13" s="1" t="str">
        <f t="shared" si="9"/>
        <v>C</v>
      </c>
      <c r="AP13" s="1">
        <f t="shared" si="10"/>
        <v>1</v>
      </c>
      <c r="AQ13" s="2"/>
      <c r="AR13" s="13">
        <f t="shared" si="11"/>
        <v>28500</v>
      </c>
      <c r="AS13" s="13">
        <f t="shared" si="12"/>
        <v>28500</v>
      </c>
      <c r="AT13" s="20">
        <f t="shared" si="13"/>
        <v>1.5</v>
      </c>
      <c r="AU13" s="13">
        <f t="shared" si="14"/>
        <v>28500</v>
      </c>
      <c r="AV13" s="20">
        <f t="shared" si="24"/>
        <v>1.5</v>
      </c>
      <c r="AW13" s="2"/>
      <c r="AX13" s="2"/>
      <c r="AY13" s="2" t="s">
        <v>93</v>
      </c>
      <c r="AZ13" s="2"/>
    </row>
    <row r="14" spans="1:52" x14ac:dyDescent="0.25">
      <c r="A14" s="8">
        <f t="shared" ca="1" si="15"/>
        <v>45141</v>
      </c>
      <c r="B14" s="9">
        <f t="shared" ca="1" si="16"/>
        <v>45108</v>
      </c>
      <c r="C14" s="9">
        <f t="shared" ca="1" si="17"/>
        <v>45138</v>
      </c>
      <c r="D14" s="9">
        <f t="shared" ca="1" si="18"/>
        <v>45155</v>
      </c>
      <c r="E14" s="2">
        <v>2</v>
      </c>
      <c r="F14" s="2" t="s">
        <v>43</v>
      </c>
      <c r="G14" s="2" t="s">
        <v>39</v>
      </c>
      <c r="H14" s="2" t="s">
        <v>36</v>
      </c>
      <c r="I14" s="2" t="s">
        <v>9</v>
      </c>
      <c r="J14" s="3">
        <v>30684125792</v>
      </c>
      <c r="K14" s="2" t="s">
        <v>44</v>
      </c>
      <c r="L14" s="6" t="s">
        <v>45</v>
      </c>
      <c r="M14" s="2"/>
      <c r="N14" s="4">
        <v>7.0247929999999998</v>
      </c>
      <c r="O14" s="5">
        <v>19000</v>
      </c>
      <c r="P14" s="5">
        <f t="shared" si="19"/>
        <v>133471.06700000001</v>
      </c>
      <c r="Q14" s="11" t="s">
        <v>38</v>
      </c>
      <c r="R14" s="11" t="s">
        <v>34</v>
      </c>
      <c r="S14" s="11" t="s">
        <v>46</v>
      </c>
      <c r="T14" s="11" t="s">
        <v>47</v>
      </c>
      <c r="U14" s="12">
        <v>44816</v>
      </c>
      <c r="V14" s="2"/>
      <c r="W14" s="2"/>
      <c r="X14" s="1" t="str">
        <f t="shared" si="20"/>
        <v/>
      </c>
      <c r="Y14" s="1" t="str">
        <f t="shared" si="25"/>
        <v/>
      </c>
      <c r="Z14" s="14">
        <f>COUNTIFS($F$1:F14,F14,$K$1:K14,K14)+1</f>
        <v>2</v>
      </c>
      <c r="AA14" s="18" t="str">
        <f t="shared" si="1"/>
        <v>7.024793</v>
      </c>
      <c r="AB14" s="18" t="str">
        <f t="shared" si="21"/>
        <v>19000.00</v>
      </c>
      <c r="AC14" s="1" t="str">
        <f t="shared" si="2"/>
        <v>00002</v>
      </c>
      <c r="AD14" s="1" t="str">
        <f t="shared" si="3"/>
        <v>00000150</v>
      </c>
      <c r="AE14" s="9">
        <f t="shared" si="22"/>
        <v>44816</v>
      </c>
      <c r="AF14" s="13">
        <f t="shared" si="4"/>
        <v>28028.92</v>
      </c>
      <c r="AG14" s="13">
        <f t="shared" si="23"/>
        <v>161499.99</v>
      </c>
      <c r="AH14" s="10" t="str">
        <f t="shared" si="5"/>
        <v>133471.07</v>
      </c>
      <c r="AI14" s="10" t="str">
        <f t="shared" si="26"/>
        <v>0.01</v>
      </c>
      <c r="AJ14" s="2"/>
      <c r="AK14" s="1">
        <f t="shared" si="6"/>
        <v>14</v>
      </c>
      <c r="AL14" s="15" t="str">
        <f>J14&amp;"-"&amp;COUNTIF($J$1:J14,J14)</f>
        <v>30684125792-1</v>
      </c>
      <c r="AM14" s="1">
        <f t="shared" si="7"/>
        <v>0</v>
      </c>
      <c r="AN14" s="1">
        <f t="shared" si="8"/>
        <v>0</v>
      </c>
      <c r="AO14" s="1" t="str">
        <f t="shared" si="9"/>
        <v>A</v>
      </c>
      <c r="AP14" s="1">
        <f t="shared" si="10"/>
        <v>0</v>
      </c>
      <c r="AQ14" s="2"/>
      <c r="AR14" s="13">
        <f t="shared" si="11"/>
        <v>161499.99</v>
      </c>
      <c r="AS14" s="13">
        <f t="shared" si="12"/>
        <v>133471.07</v>
      </c>
      <c r="AT14" s="20">
        <f t="shared" si="13"/>
        <v>7.0247929999999998</v>
      </c>
      <c r="AU14" s="13">
        <f t="shared" si="14"/>
        <v>161500</v>
      </c>
      <c r="AV14" s="20">
        <f t="shared" si="24"/>
        <v>7.0247929999999998</v>
      </c>
      <c r="AW14" s="2"/>
      <c r="AX14" s="2"/>
      <c r="AY14" s="2" t="s">
        <v>93</v>
      </c>
      <c r="AZ14" s="2"/>
    </row>
    <row r="15" spans="1:52" x14ac:dyDescent="0.25">
      <c r="A15" s="8">
        <f t="shared" ca="1" si="15"/>
        <v>45141</v>
      </c>
      <c r="B15" s="9">
        <f t="shared" ca="1" si="16"/>
        <v>45108</v>
      </c>
      <c r="C15" s="9">
        <f t="shared" ca="1" si="17"/>
        <v>45138</v>
      </c>
      <c r="D15" s="9">
        <f t="shared" ca="1" si="18"/>
        <v>45155</v>
      </c>
      <c r="E15" s="2">
        <v>2</v>
      </c>
      <c r="F15" s="2" t="s">
        <v>63</v>
      </c>
      <c r="G15" s="2" t="s">
        <v>39</v>
      </c>
      <c r="H15" s="2" t="s">
        <v>59</v>
      </c>
      <c r="I15" s="2" t="s">
        <v>9</v>
      </c>
      <c r="J15" s="2">
        <v>30707354719</v>
      </c>
      <c r="K15" s="2" t="s">
        <v>60</v>
      </c>
      <c r="L15" s="6" t="s">
        <v>64</v>
      </c>
      <c r="M15" s="2"/>
      <c r="N15" s="4">
        <v>1.5</v>
      </c>
      <c r="O15" s="5">
        <v>19000</v>
      </c>
      <c r="P15" s="5">
        <f t="shared" si="19"/>
        <v>28500</v>
      </c>
      <c r="Q15" s="11" t="s">
        <v>38</v>
      </c>
      <c r="R15" s="11" t="s">
        <v>58</v>
      </c>
      <c r="S15" s="11" t="s">
        <v>46</v>
      </c>
      <c r="T15" s="11" t="s">
        <v>65</v>
      </c>
      <c r="U15" s="12">
        <v>44816</v>
      </c>
      <c r="V15" s="2"/>
      <c r="W15" s="2"/>
      <c r="X15" s="1" t="str">
        <f t="shared" si="20"/>
        <v/>
      </c>
      <c r="Y15" s="1" t="str">
        <f t="shared" si="25"/>
        <v/>
      </c>
      <c r="Z15" s="14">
        <f>COUNTIFS($F$1:F15,F15,$K$1:K15,K15)+1</f>
        <v>2</v>
      </c>
      <c r="AA15" s="18" t="str">
        <f t="shared" si="1"/>
        <v>1.5</v>
      </c>
      <c r="AB15" s="18" t="str">
        <f t="shared" si="21"/>
        <v>19000.00</v>
      </c>
      <c r="AC15" s="1" t="str">
        <f t="shared" si="2"/>
        <v>00002</v>
      </c>
      <c r="AD15" s="1" t="str">
        <f t="shared" si="3"/>
        <v>00000152</v>
      </c>
      <c r="AE15" s="9">
        <f t="shared" si="22"/>
        <v>44816</v>
      </c>
      <c r="AF15" s="13">
        <f t="shared" si="4"/>
        <v>4946.28</v>
      </c>
      <c r="AG15" s="13">
        <f t="shared" si="23"/>
        <v>28500</v>
      </c>
      <c r="AH15" s="10" t="str">
        <f t="shared" si="5"/>
        <v>28500.00</v>
      </c>
      <c r="AI15" s="10" t="str">
        <f t="shared" si="26"/>
        <v>0.00</v>
      </c>
      <c r="AJ15" s="2"/>
      <c r="AK15" s="1">
        <f t="shared" si="6"/>
        <v>15</v>
      </c>
      <c r="AL15" s="15" t="str">
        <f>J15&amp;"-"&amp;COUNTIF($J$1:J15,J15)</f>
        <v>30707354719-2</v>
      </c>
      <c r="AM15" s="1">
        <f t="shared" si="7"/>
        <v>0</v>
      </c>
      <c r="AN15" s="1">
        <f t="shared" si="8"/>
        <v>0</v>
      </c>
      <c r="AO15" s="1" t="str">
        <f t="shared" si="9"/>
        <v>B</v>
      </c>
      <c r="AP15" s="1">
        <f t="shared" si="10"/>
        <v>0</v>
      </c>
      <c r="AQ15" s="2"/>
      <c r="AR15" s="13">
        <f t="shared" si="11"/>
        <v>28500</v>
      </c>
      <c r="AS15" s="13">
        <f t="shared" si="12"/>
        <v>23553.72</v>
      </c>
      <c r="AT15" s="20">
        <f t="shared" si="13"/>
        <v>1.5</v>
      </c>
      <c r="AU15" s="13">
        <f t="shared" si="14"/>
        <v>28500</v>
      </c>
      <c r="AV15" s="20">
        <f t="shared" si="24"/>
        <v>1.5</v>
      </c>
      <c r="AW15" s="2"/>
      <c r="AX15" s="2"/>
      <c r="AY15" s="2" t="s">
        <v>93</v>
      </c>
      <c r="AZ15" s="2"/>
    </row>
    <row r="16" spans="1:52" x14ac:dyDescent="0.25">
      <c r="A16" s="8">
        <f t="shared" ca="1" si="15"/>
        <v>45141</v>
      </c>
      <c r="B16" s="9">
        <f t="shared" ca="1" si="16"/>
        <v>45108</v>
      </c>
      <c r="C16" s="9">
        <f t="shared" ca="1" si="17"/>
        <v>45138</v>
      </c>
      <c r="D16" s="9">
        <f t="shared" ca="1" si="18"/>
        <v>45155</v>
      </c>
      <c r="E16" s="2">
        <v>2</v>
      </c>
      <c r="F16" s="2" t="s">
        <v>48</v>
      </c>
      <c r="G16" s="2" t="s">
        <v>39</v>
      </c>
      <c r="H16" s="2" t="s">
        <v>36</v>
      </c>
      <c r="I16" s="2" t="s">
        <v>9</v>
      </c>
      <c r="J16" s="3">
        <v>30684125792</v>
      </c>
      <c r="K16" s="2" t="s">
        <v>44</v>
      </c>
      <c r="L16" s="6" t="s">
        <v>45</v>
      </c>
      <c r="M16" s="2"/>
      <c r="N16" s="4">
        <v>7.003044</v>
      </c>
      <c r="O16" s="5">
        <v>19000</v>
      </c>
      <c r="P16" s="5">
        <f t="shared" si="19"/>
        <v>133057.83600000001</v>
      </c>
      <c r="Q16" s="11" t="s">
        <v>38</v>
      </c>
      <c r="R16" s="11" t="s">
        <v>48</v>
      </c>
      <c r="S16" s="11" t="s">
        <v>46</v>
      </c>
      <c r="T16" s="11" t="s">
        <v>49</v>
      </c>
      <c r="U16" s="12">
        <v>44816</v>
      </c>
      <c r="V16" s="2"/>
      <c r="W16" s="2"/>
      <c r="X16" s="1" t="str">
        <f t="shared" si="20"/>
        <v/>
      </c>
      <c r="Y16" s="1" t="str">
        <f t="shared" si="25"/>
        <v/>
      </c>
      <c r="Z16" s="14">
        <f>COUNTIFS($F$1:F16,F16,$K$1:K16,K16)+1</f>
        <v>2</v>
      </c>
      <c r="AA16" s="18" t="str">
        <f t="shared" si="1"/>
        <v>7.003044</v>
      </c>
      <c r="AB16" s="18" t="str">
        <f t="shared" si="21"/>
        <v>19000.00</v>
      </c>
      <c r="AC16" s="1" t="str">
        <f t="shared" si="2"/>
        <v>00002</v>
      </c>
      <c r="AD16" s="1" t="str">
        <f t="shared" si="3"/>
        <v>00000151</v>
      </c>
      <c r="AE16" s="9">
        <f t="shared" si="22"/>
        <v>44816</v>
      </c>
      <c r="AF16" s="13">
        <f t="shared" si="4"/>
        <v>27942.15</v>
      </c>
      <c r="AG16" s="13">
        <f t="shared" si="23"/>
        <v>160999.99</v>
      </c>
      <c r="AH16" s="10" t="str">
        <f t="shared" si="5"/>
        <v>133057.84</v>
      </c>
      <c r="AI16" s="10" t="str">
        <f t="shared" si="26"/>
        <v>0.01</v>
      </c>
      <c r="AJ16" s="2"/>
      <c r="AK16" s="1">
        <f t="shared" si="6"/>
        <v>16</v>
      </c>
      <c r="AL16" s="15" t="str">
        <f>J16&amp;"-"&amp;COUNTIF($J$1:J16,J16)</f>
        <v>30684125792-2</v>
      </c>
      <c r="AM16" s="1">
        <f t="shared" si="7"/>
        <v>0</v>
      </c>
      <c r="AN16" s="1">
        <f t="shared" si="8"/>
        <v>0</v>
      </c>
      <c r="AO16" s="1" t="str">
        <f t="shared" si="9"/>
        <v>A</v>
      </c>
      <c r="AP16" s="1">
        <f t="shared" si="10"/>
        <v>0</v>
      </c>
      <c r="AQ16" s="2"/>
      <c r="AR16" s="13">
        <f t="shared" si="11"/>
        <v>160999.98000000001</v>
      </c>
      <c r="AS16" s="13">
        <f t="shared" si="12"/>
        <v>133057.82999999999</v>
      </c>
      <c r="AT16" s="20">
        <f t="shared" si="13"/>
        <v>7.003044</v>
      </c>
      <c r="AU16" s="13">
        <f t="shared" si="14"/>
        <v>161000</v>
      </c>
      <c r="AV16" s="20">
        <f t="shared" si="24"/>
        <v>7.003044</v>
      </c>
      <c r="AW16" s="2"/>
      <c r="AX16" s="2"/>
      <c r="AY16" s="2" t="s">
        <v>93</v>
      </c>
      <c r="AZ16" s="2"/>
    </row>
    <row r="17" spans="1:52" x14ac:dyDescent="0.25">
      <c r="A17" s="8">
        <f t="shared" ca="1" si="15"/>
        <v>45141</v>
      </c>
      <c r="B17" s="9">
        <f t="shared" ca="1" si="16"/>
        <v>45108</v>
      </c>
      <c r="C17" s="9">
        <f t="shared" ca="1" si="17"/>
        <v>45138</v>
      </c>
      <c r="D17" s="9">
        <f t="shared" ca="1" si="18"/>
        <v>45155</v>
      </c>
      <c r="E17" s="2">
        <v>2</v>
      </c>
      <c r="F17" s="2" t="s">
        <v>66</v>
      </c>
      <c r="G17" s="2" t="s">
        <v>39</v>
      </c>
      <c r="H17" s="2" t="s">
        <v>61</v>
      </c>
      <c r="I17" s="2" t="s">
        <v>62</v>
      </c>
      <c r="J17" s="2">
        <v>37473042</v>
      </c>
      <c r="K17" s="2" t="s">
        <v>56</v>
      </c>
      <c r="L17" s="6" t="s">
        <v>64</v>
      </c>
      <c r="M17" s="2"/>
      <c r="N17" s="4">
        <v>1.5</v>
      </c>
      <c r="O17" s="5">
        <v>19000</v>
      </c>
      <c r="P17" s="5">
        <f t="shared" si="19"/>
        <v>28500</v>
      </c>
      <c r="Q17" s="11" t="s">
        <v>38</v>
      </c>
      <c r="R17" s="11" t="s">
        <v>67</v>
      </c>
      <c r="S17" s="11" t="s">
        <v>46</v>
      </c>
      <c r="T17" s="11" t="s">
        <v>68</v>
      </c>
      <c r="U17" s="12">
        <v>44816</v>
      </c>
      <c r="V17" s="2"/>
      <c r="W17" s="2"/>
      <c r="X17" s="1" t="str">
        <f t="shared" si="20"/>
        <v/>
      </c>
      <c r="Y17" s="1" t="str">
        <f t="shared" si="25"/>
        <v/>
      </c>
      <c r="Z17" s="14">
        <f>COUNTIFS($F$1:F17,F17,$K$1:K17,K17)+1</f>
        <v>2</v>
      </c>
      <c r="AA17" s="18" t="str">
        <f t="shared" si="1"/>
        <v>1.5</v>
      </c>
      <c r="AB17" s="18" t="str">
        <f t="shared" si="21"/>
        <v>19000.00</v>
      </c>
      <c r="AC17" s="1" t="str">
        <f t="shared" si="2"/>
        <v>00002</v>
      </c>
      <c r="AD17" s="1" t="str">
        <f t="shared" si="3"/>
        <v>00000153</v>
      </c>
      <c r="AE17" s="9">
        <f t="shared" si="22"/>
        <v>44816</v>
      </c>
      <c r="AF17" s="13">
        <f t="shared" si="4"/>
        <v>4946.28</v>
      </c>
      <c r="AG17" s="13">
        <f t="shared" si="23"/>
        <v>28500</v>
      </c>
      <c r="AH17" s="10" t="str">
        <f t="shared" si="5"/>
        <v>28500.00</v>
      </c>
      <c r="AI17" s="10" t="str">
        <f t="shared" si="26"/>
        <v>0.00</v>
      </c>
      <c r="AJ17" s="2"/>
      <c r="AK17" s="1">
        <f t="shared" si="6"/>
        <v>17</v>
      </c>
      <c r="AL17" s="15" t="str">
        <f>J17&amp;"-"&amp;COUNTIF($J$1:J17,J17)</f>
        <v>37473042-2</v>
      </c>
      <c r="AM17" s="1">
        <f t="shared" si="7"/>
        <v>0</v>
      </c>
      <c r="AN17" s="1">
        <f t="shared" si="8"/>
        <v>0</v>
      </c>
      <c r="AO17" s="1" t="str">
        <f t="shared" si="9"/>
        <v>B</v>
      </c>
      <c r="AP17" s="1">
        <f t="shared" si="10"/>
        <v>0</v>
      </c>
      <c r="AQ17" s="2"/>
      <c r="AR17" s="13">
        <f t="shared" si="11"/>
        <v>28500</v>
      </c>
      <c r="AS17" s="13">
        <f t="shared" si="12"/>
        <v>23553.72</v>
      </c>
      <c r="AT17" s="20">
        <f t="shared" si="13"/>
        <v>1.5</v>
      </c>
      <c r="AU17" s="13">
        <f t="shared" si="14"/>
        <v>28500</v>
      </c>
      <c r="AV17" s="20">
        <f t="shared" si="24"/>
        <v>1.5</v>
      </c>
      <c r="AW17" s="2"/>
      <c r="AX17" s="2"/>
      <c r="AY17" s="2" t="s">
        <v>93</v>
      </c>
      <c r="AZ17" s="2"/>
    </row>
  </sheetData>
  <autoFilter ref="A1:AZ17" xr:uid="{00000000-0001-0000-0000-000000000000}"/>
  <sortState xmlns:xlrd2="http://schemas.microsoft.com/office/spreadsheetml/2017/richdata2" ref="A2:AT17">
    <sortCondition ref="F2:F17"/>
    <sortCondition ref="H2:H17"/>
    <sortCondition ref="J2:J17"/>
  </sortState>
  <dataValidations count="1">
    <dataValidation type="list" allowBlank="1" showInputMessage="1" showErrorMessage="1" sqref="AY2:AY17" xr:uid="{BFC33D16-50A8-46DB-B879-EC5A925DAA79}">
      <formula1>"SI,NO"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Factura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Agustín Bustos</cp:lastModifiedBy>
  <cp:lastPrinted>2022-01-05T14:01:13Z</cp:lastPrinted>
  <dcterms:created xsi:type="dcterms:W3CDTF">2021-06-30T14:32:34Z</dcterms:created>
  <dcterms:modified xsi:type="dcterms:W3CDTF">2023-08-03T15:23:29Z</dcterms:modified>
</cp:coreProperties>
</file>