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135" windowWidth="7995" windowHeight="5475"/>
  </bookViews>
  <sheets>
    <sheet name="Método Multiplicativo" sheetId="9" r:id="rId1"/>
    <sheet name="Método Aditivo-Ibape" sheetId="11" r:id="rId2"/>
  </sheets>
  <calcPr calcId="145621"/>
</workbook>
</file>

<file path=xl/calcChain.xml><?xml version="1.0" encoding="utf-8"?>
<calcChain xmlns="http://schemas.openxmlformats.org/spreadsheetml/2006/main">
  <c r="AH38" i="11" l="1"/>
  <c r="AH39" i="11"/>
  <c r="AH40" i="11"/>
  <c r="AH42" i="11"/>
  <c r="AH43" i="11"/>
  <c r="AH44" i="11"/>
  <c r="AH45" i="11"/>
  <c r="AH47" i="11"/>
  <c r="O38" i="11" l="1"/>
  <c r="O39" i="11"/>
  <c r="O40" i="11"/>
  <c r="O41" i="11"/>
  <c r="P41" i="11" s="1"/>
  <c r="O42" i="11"/>
  <c r="O43" i="11"/>
  <c r="O44" i="11"/>
  <c r="P44" i="11" s="1"/>
  <c r="O45" i="11"/>
  <c r="P45" i="11" s="1"/>
  <c r="O46" i="11"/>
  <c r="O47" i="11"/>
  <c r="O48" i="11"/>
  <c r="O49" i="11"/>
  <c r="O50" i="11"/>
  <c r="O51" i="11"/>
  <c r="O52" i="11"/>
  <c r="O53" i="11"/>
  <c r="O54" i="11"/>
  <c r="O55" i="11"/>
  <c r="O37" i="11"/>
  <c r="G55" i="11"/>
  <c r="G38" i="11"/>
  <c r="G39" i="11"/>
  <c r="G40" i="11"/>
  <c r="G41" i="11"/>
  <c r="H41" i="11" s="1"/>
  <c r="G42" i="11"/>
  <c r="G43" i="11"/>
  <c r="G44" i="11"/>
  <c r="G45" i="11"/>
  <c r="H45" i="11" s="1"/>
  <c r="G46" i="11"/>
  <c r="G47" i="11"/>
  <c r="G48" i="11"/>
  <c r="H48" i="11" s="1"/>
  <c r="G49" i="11"/>
  <c r="G50" i="11"/>
  <c r="G51" i="11"/>
  <c r="G52" i="11"/>
  <c r="H52" i="11" s="1"/>
  <c r="G53" i="11"/>
  <c r="G54" i="11"/>
  <c r="G37" i="11"/>
  <c r="AA83" i="11"/>
  <c r="P55" i="11"/>
  <c r="N55" i="11"/>
  <c r="L55" i="11"/>
  <c r="J55" i="11"/>
  <c r="H55" i="11"/>
  <c r="AG54" i="11"/>
  <c r="P54" i="11"/>
  <c r="N54" i="11"/>
  <c r="L54" i="11"/>
  <c r="J54" i="11"/>
  <c r="H54" i="11"/>
  <c r="D54" i="11"/>
  <c r="Z54" i="11" s="1"/>
  <c r="AG53" i="11"/>
  <c r="N53" i="11"/>
  <c r="L53" i="11"/>
  <c r="F53" i="11"/>
  <c r="D53" i="11"/>
  <c r="Z53" i="11" s="1"/>
  <c r="AG52" i="11"/>
  <c r="N52" i="11"/>
  <c r="L52" i="11"/>
  <c r="D52" i="11"/>
  <c r="F52" i="11" s="1"/>
  <c r="AG51" i="11"/>
  <c r="P51" i="11"/>
  <c r="N51" i="11"/>
  <c r="L51" i="11"/>
  <c r="D51" i="11"/>
  <c r="Z51" i="11" s="1"/>
  <c r="AG50" i="11"/>
  <c r="P50" i="11"/>
  <c r="N50" i="11"/>
  <c r="L50" i="11"/>
  <c r="J50" i="11"/>
  <c r="H50" i="11"/>
  <c r="D50" i="11"/>
  <c r="AG49" i="11"/>
  <c r="P49" i="11"/>
  <c r="N49" i="11"/>
  <c r="L49" i="11"/>
  <c r="F49" i="11"/>
  <c r="D49" i="11"/>
  <c r="Z49" i="11" s="1"/>
  <c r="AG48" i="11"/>
  <c r="N48" i="11"/>
  <c r="L48" i="11"/>
  <c r="F48" i="11"/>
  <c r="D48" i="11"/>
  <c r="Z48" i="11" s="1"/>
  <c r="AG47" i="11"/>
  <c r="P47" i="11"/>
  <c r="N47" i="11"/>
  <c r="L47" i="11"/>
  <c r="J47" i="11"/>
  <c r="H47" i="11"/>
  <c r="D47" i="11"/>
  <c r="AC46" i="11"/>
  <c r="P46" i="11"/>
  <c r="N46" i="11"/>
  <c r="L46" i="11"/>
  <c r="J46" i="11"/>
  <c r="H46" i="11"/>
  <c r="D46" i="11"/>
  <c r="Z46" i="11" s="1"/>
  <c r="AG45" i="11"/>
  <c r="N45" i="11"/>
  <c r="L45" i="11"/>
  <c r="D45" i="11"/>
  <c r="F45" i="11" s="1"/>
  <c r="AG44" i="11"/>
  <c r="N44" i="11"/>
  <c r="L44" i="11"/>
  <c r="D44" i="11"/>
  <c r="F44" i="11" s="1"/>
  <c r="AG43" i="11"/>
  <c r="P43" i="11"/>
  <c r="N43" i="11"/>
  <c r="L43" i="11"/>
  <c r="J43" i="11"/>
  <c r="H43" i="11"/>
  <c r="D43" i="11"/>
  <c r="AG42" i="11"/>
  <c r="P42" i="11"/>
  <c r="N42" i="11"/>
  <c r="L42" i="11"/>
  <c r="J42" i="11"/>
  <c r="H42" i="11"/>
  <c r="D42" i="11"/>
  <c r="Z42" i="11" s="1"/>
  <c r="AC41" i="11"/>
  <c r="N41" i="11"/>
  <c r="L41" i="11"/>
  <c r="F41" i="11"/>
  <c r="D41" i="11"/>
  <c r="Z41" i="11" s="1"/>
  <c r="AG40" i="11"/>
  <c r="Z40" i="11"/>
  <c r="N40" i="11"/>
  <c r="L40" i="11"/>
  <c r="H40" i="11"/>
  <c r="F40" i="11"/>
  <c r="D40" i="11"/>
  <c r="AG39" i="11"/>
  <c r="P39" i="11"/>
  <c r="N39" i="11"/>
  <c r="L39" i="11"/>
  <c r="J39" i="11"/>
  <c r="D39" i="11"/>
  <c r="AG38" i="11"/>
  <c r="N38" i="11"/>
  <c r="L38" i="11"/>
  <c r="J38" i="11"/>
  <c r="H38" i="11"/>
  <c r="F38" i="11"/>
  <c r="D38" i="11"/>
  <c r="Z38" i="11" s="1"/>
  <c r="AG37" i="11"/>
  <c r="Z37" i="11"/>
  <c r="P37" i="11"/>
  <c r="N37" i="11"/>
  <c r="L37" i="11"/>
  <c r="F37" i="11"/>
  <c r="D37" i="11"/>
  <c r="H27" i="11"/>
  <c r="H26" i="11"/>
  <c r="H25" i="11"/>
  <c r="H24" i="11"/>
  <c r="H23" i="11"/>
  <c r="H22" i="11"/>
  <c r="H21" i="11"/>
  <c r="I49" i="11" s="1"/>
  <c r="H20" i="11"/>
  <c r="H19" i="11"/>
  <c r="H18" i="11"/>
  <c r="H17" i="11"/>
  <c r="H16" i="11"/>
  <c r="H15" i="11"/>
  <c r="H14" i="11"/>
  <c r="H13" i="11"/>
  <c r="H12" i="11"/>
  <c r="H11" i="11"/>
  <c r="H10" i="11"/>
  <c r="H9" i="11"/>
  <c r="I37" i="11" s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37" i="9"/>
  <c r="J55" i="9"/>
  <c r="U83" i="9"/>
  <c r="G55" i="9"/>
  <c r="AA54" i="9"/>
  <c r="G54" i="9"/>
  <c r="D54" i="9"/>
  <c r="T54" i="9" s="1"/>
  <c r="AA53" i="9"/>
  <c r="G53" i="9"/>
  <c r="D53" i="9"/>
  <c r="T53" i="9" s="1"/>
  <c r="AA52" i="9"/>
  <c r="G52" i="9"/>
  <c r="D52" i="9"/>
  <c r="T52" i="9" s="1"/>
  <c r="AA51" i="9"/>
  <c r="G51" i="9"/>
  <c r="D51" i="9"/>
  <c r="T51" i="9" s="1"/>
  <c r="AA50" i="9"/>
  <c r="G50" i="9"/>
  <c r="D50" i="9"/>
  <c r="T50" i="9" s="1"/>
  <c r="AA49" i="9"/>
  <c r="G49" i="9"/>
  <c r="D49" i="9"/>
  <c r="F49" i="9" s="1"/>
  <c r="AA48" i="9"/>
  <c r="G48" i="9"/>
  <c r="D48" i="9"/>
  <c r="T48" i="9" s="1"/>
  <c r="AA47" i="9"/>
  <c r="G47" i="9"/>
  <c r="D47" i="9"/>
  <c r="T47" i="9" s="1"/>
  <c r="W46" i="9"/>
  <c r="G46" i="9"/>
  <c r="D46" i="9"/>
  <c r="T46" i="9" s="1"/>
  <c r="AA45" i="9"/>
  <c r="G45" i="9"/>
  <c r="D45" i="9"/>
  <c r="T45" i="9" s="1"/>
  <c r="AA44" i="9"/>
  <c r="G44" i="9"/>
  <c r="D44" i="9"/>
  <c r="T44" i="9" s="1"/>
  <c r="AA43" i="9"/>
  <c r="G43" i="9"/>
  <c r="D43" i="9"/>
  <c r="T43" i="9" s="1"/>
  <c r="AA42" i="9"/>
  <c r="G42" i="9"/>
  <c r="D42" i="9"/>
  <c r="T42" i="9" s="1"/>
  <c r="W41" i="9"/>
  <c r="G41" i="9"/>
  <c r="L41" i="9" s="1"/>
  <c r="O41" i="9" s="1"/>
  <c r="D41" i="9"/>
  <c r="T41" i="9" s="1"/>
  <c r="AA40" i="9"/>
  <c r="G40" i="9"/>
  <c r="L40" i="9" s="1"/>
  <c r="O40" i="9" s="1"/>
  <c r="D40" i="9"/>
  <c r="F40" i="9" s="1"/>
  <c r="AA39" i="9"/>
  <c r="G39" i="9"/>
  <c r="D39" i="9"/>
  <c r="F39" i="9" s="1"/>
  <c r="AA38" i="9"/>
  <c r="G38" i="9"/>
  <c r="D38" i="9"/>
  <c r="T38" i="9" s="1"/>
  <c r="AA37" i="9"/>
  <c r="G37" i="9"/>
  <c r="D37" i="9"/>
  <c r="F37" i="9" s="1"/>
  <c r="H27" i="9"/>
  <c r="H26" i="9"/>
  <c r="H25" i="9"/>
  <c r="H24" i="9"/>
  <c r="H23" i="9"/>
  <c r="H22" i="9"/>
  <c r="H21" i="9"/>
  <c r="H49" i="9" s="1"/>
  <c r="H20" i="9"/>
  <c r="H19" i="9"/>
  <c r="H18" i="9"/>
  <c r="H17" i="9"/>
  <c r="H16" i="9"/>
  <c r="H15" i="9"/>
  <c r="H14" i="9"/>
  <c r="H13" i="9"/>
  <c r="H12" i="9"/>
  <c r="H11" i="9"/>
  <c r="H10" i="9"/>
  <c r="H9" i="9"/>
  <c r="H37" i="9" s="1"/>
  <c r="F54" i="9" l="1"/>
  <c r="F50" i="9"/>
  <c r="F46" i="9"/>
  <c r="F42" i="9"/>
  <c r="F38" i="9"/>
  <c r="Z44" i="11"/>
  <c r="Z52" i="11"/>
  <c r="F54" i="11"/>
  <c r="F53" i="9"/>
  <c r="F45" i="9"/>
  <c r="F41" i="9"/>
  <c r="T37" i="9"/>
  <c r="T39" i="9"/>
  <c r="T40" i="9"/>
  <c r="F52" i="9"/>
  <c r="F48" i="9"/>
  <c r="F44" i="9"/>
  <c r="Z45" i="11"/>
  <c r="F51" i="11"/>
  <c r="F51" i="9"/>
  <c r="F47" i="9"/>
  <c r="F43" i="9"/>
  <c r="P53" i="11"/>
  <c r="J44" i="11"/>
  <c r="J52" i="11"/>
  <c r="J53" i="11"/>
  <c r="J45" i="11"/>
  <c r="J40" i="11"/>
  <c r="J41" i="11"/>
  <c r="Q41" i="11" s="1"/>
  <c r="R41" i="11" s="1"/>
  <c r="U41" i="11" s="1"/>
  <c r="J48" i="11"/>
  <c r="Q54" i="11"/>
  <c r="R54" i="11" s="1"/>
  <c r="Q55" i="11"/>
  <c r="R55" i="11" s="1"/>
  <c r="AA84" i="11" s="1"/>
  <c r="J51" i="11"/>
  <c r="Q42" i="11"/>
  <c r="R42" i="11" s="1"/>
  <c r="U42" i="11" s="1"/>
  <c r="V42" i="11" s="1"/>
  <c r="Q45" i="11"/>
  <c r="R45" i="11" s="1"/>
  <c r="Q46" i="11"/>
  <c r="R46" i="11" s="1"/>
  <c r="J49" i="11"/>
  <c r="Z50" i="11"/>
  <c r="F50" i="11"/>
  <c r="S50" i="11" s="1"/>
  <c r="H53" i="11"/>
  <c r="P40" i="11"/>
  <c r="Z43" i="11"/>
  <c r="F43" i="11"/>
  <c r="F46" i="11"/>
  <c r="Z47" i="11"/>
  <c r="F47" i="11"/>
  <c r="H51" i="11"/>
  <c r="H37" i="11"/>
  <c r="P38" i="11"/>
  <c r="Q38" i="11" s="1"/>
  <c r="R38" i="11" s="1"/>
  <c r="U38" i="11" s="1"/>
  <c r="H39" i="11"/>
  <c r="Q39" i="11" s="1"/>
  <c r="R39" i="11" s="1"/>
  <c r="U39" i="11" s="1"/>
  <c r="F42" i="11"/>
  <c r="S42" i="11" s="1"/>
  <c r="H44" i="11"/>
  <c r="P48" i="11"/>
  <c r="Q50" i="11"/>
  <c r="R50" i="11" s="1"/>
  <c r="U50" i="11" s="1"/>
  <c r="Z39" i="11"/>
  <c r="Z56" i="11" s="1"/>
  <c r="F39" i="11"/>
  <c r="S39" i="11" s="1"/>
  <c r="P52" i="11"/>
  <c r="Q52" i="11" s="1"/>
  <c r="R52" i="11" s="1"/>
  <c r="U52" i="11" s="1"/>
  <c r="J37" i="11"/>
  <c r="Q43" i="11"/>
  <c r="R43" i="11" s="1"/>
  <c r="U43" i="11" s="1"/>
  <c r="Q47" i="11"/>
  <c r="R47" i="11" s="1"/>
  <c r="U47" i="11" s="1"/>
  <c r="H49" i="11"/>
  <c r="L44" i="9"/>
  <c r="O44" i="9" s="1"/>
  <c r="L48" i="9"/>
  <c r="O48" i="9" s="1"/>
  <c r="L45" i="9"/>
  <c r="O45" i="9" s="1"/>
  <c r="P45" i="9" s="1"/>
  <c r="L49" i="9"/>
  <c r="O49" i="9" s="1"/>
  <c r="P49" i="9" s="1"/>
  <c r="L53" i="9"/>
  <c r="O53" i="9" s="1"/>
  <c r="P53" i="9" s="1"/>
  <c r="L52" i="9"/>
  <c r="L47" i="9"/>
  <c r="O47" i="9" s="1"/>
  <c r="P47" i="9" s="1"/>
  <c r="L55" i="9"/>
  <c r="U84" i="9" s="1"/>
  <c r="P44" i="9"/>
  <c r="L46" i="9"/>
  <c r="L51" i="9"/>
  <c r="O51" i="9" s="1"/>
  <c r="P51" i="9" s="1"/>
  <c r="L54" i="9"/>
  <c r="O54" i="9" s="1"/>
  <c r="P54" i="9" s="1"/>
  <c r="P48" i="9"/>
  <c r="L37" i="9"/>
  <c r="O37" i="9" s="1"/>
  <c r="P37" i="9" s="1"/>
  <c r="L38" i="9"/>
  <c r="O38" i="9" s="1"/>
  <c r="P38" i="9" s="1"/>
  <c r="L39" i="9"/>
  <c r="O39" i="9" s="1"/>
  <c r="P39" i="9" s="1"/>
  <c r="L42" i="9"/>
  <c r="L43" i="9"/>
  <c r="O43" i="9" s="1"/>
  <c r="L50" i="9"/>
  <c r="O50" i="9" s="1"/>
  <c r="P50" i="9" s="1"/>
  <c r="T49" i="9"/>
  <c r="P41" i="9"/>
  <c r="M49" i="9"/>
  <c r="U49" i="9" s="1"/>
  <c r="P40" i="9"/>
  <c r="T56" i="9"/>
  <c r="T55" i="9"/>
  <c r="P43" i="9"/>
  <c r="M40" i="9"/>
  <c r="U40" i="9" s="1"/>
  <c r="M41" i="9"/>
  <c r="U41" i="9" s="1"/>
  <c r="M43" i="9"/>
  <c r="U43" i="9" s="1"/>
  <c r="M44" i="9"/>
  <c r="U44" i="9" s="1"/>
  <c r="M48" i="9"/>
  <c r="U48" i="9" s="1"/>
  <c r="M54" i="9"/>
  <c r="U54" i="9" s="1"/>
  <c r="M38" i="9" l="1"/>
  <c r="U38" i="9" s="1"/>
  <c r="M53" i="9"/>
  <c r="U53" i="9" s="1"/>
  <c r="Q44" i="11"/>
  <c r="R44" i="11" s="1"/>
  <c r="Q37" i="11"/>
  <c r="S46" i="11"/>
  <c r="AA46" i="11" s="1"/>
  <c r="S54" i="11"/>
  <c r="S43" i="11"/>
  <c r="V46" i="11"/>
  <c r="U46" i="11"/>
  <c r="Q40" i="11"/>
  <c r="R40" i="11" s="1"/>
  <c r="S41" i="11"/>
  <c r="M47" i="9"/>
  <c r="U47" i="9" s="1"/>
  <c r="S47" i="11"/>
  <c r="V45" i="11"/>
  <c r="U45" i="11"/>
  <c r="AA54" i="11"/>
  <c r="AB54" i="11" s="1"/>
  <c r="AC54" i="11" s="1"/>
  <c r="U54" i="11"/>
  <c r="S52" i="11"/>
  <c r="S45" i="11"/>
  <c r="S38" i="11"/>
  <c r="AA38" i="11" s="1"/>
  <c r="Q53" i="11"/>
  <c r="R53" i="11" s="1"/>
  <c r="AA42" i="11"/>
  <c r="AB42" i="11" s="1"/>
  <c r="AC42" i="11" s="1"/>
  <c r="Q51" i="11"/>
  <c r="R51" i="11" s="1"/>
  <c r="V54" i="11"/>
  <c r="AA41" i="11"/>
  <c r="V41" i="11"/>
  <c r="Q49" i="11"/>
  <c r="R49" i="11" s="1"/>
  <c r="Q48" i="11"/>
  <c r="R48" i="11" s="1"/>
  <c r="AA45" i="11"/>
  <c r="AB45" i="11" s="1"/>
  <c r="AC45" i="11" s="1"/>
  <c r="AA47" i="11"/>
  <c r="AD47" i="11" s="1"/>
  <c r="V52" i="11"/>
  <c r="AA52" i="11"/>
  <c r="V38" i="11"/>
  <c r="Z55" i="11"/>
  <c r="Z57" i="11" s="1"/>
  <c r="AA43" i="11"/>
  <c r="V47" i="11"/>
  <c r="AA39" i="11"/>
  <c r="R37" i="11"/>
  <c r="V43" i="11"/>
  <c r="V50" i="11"/>
  <c r="AA50" i="11"/>
  <c r="AD54" i="11"/>
  <c r="V39" i="11"/>
  <c r="M51" i="9"/>
  <c r="U51" i="9" s="1"/>
  <c r="V51" i="9" s="1"/>
  <c r="W51" i="9" s="1"/>
  <c r="M45" i="9"/>
  <c r="U45" i="9" s="1"/>
  <c r="M50" i="9"/>
  <c r="U50" i="9" s="1"/>
  <c r="V50" i="9" s="1"/>
  <c r="W50" i="9" s="1"/>
  <c r="M39" i="9"/>
  <c r="U39" i="9" s="1"/>
  <c r="X39" i="9" s="1"/>
  <c r="M37" i="9"/>
  <c r="U37" i="9" s="1"/>
  <c r="U55" i="9" s="1"/>
  <c r="O46" i="9"/>
  <c r="P46" i="9" s="1"/>
  <c r="O52" i="9"/>
  <c r="P52" i="9" s="1"/>
  <c r="O42" i="9"/>
  <c r="P42" i="9" s="1"/>
  <c r="M52" i="9"/>
  <c r="U52" i="9" s="1"/>
  <c r="X52" i="9" s="1"/>
  <c r="M46" i="9"/>
  <c r="U46" i="9" s="1"/>
  <c r="M42" i="9"/>
  <c r="U42" i="9" s="1"/>
  <c r="X42" i="9" s="1"/>
  <c r="X47" i="9"/>
  <c r="V47" i="9"/>
  <c r="W47" i="9" s="1"/>
  <c r="T57" i="9"/>
  <c r="X43" i="9"/>
  <c r="V43" i="9"/>
  <c r="W43" i="9" s="1"/>
  <c r="V39" i="9"/>
  <c r="W39" i="9" s="1"/>
  <c r="X50" i="9"/>
  <c r="X45" i="9"/>
  <c r="V45" i="9"/>
  <c r="W45" i="9" s="1"/>
  <c r="V49" i="9"/>
  <c r="W49" i="9" s="1"/>
  <c r="X49" i="9"/>
  <c r="X51" i="9"/>
  <c r="V38" i="9"/>
  <c r="W38" i="9" s="1"/>
  <c r="X38" i="9"/>
  <c r="V54" i="9"/>
  <c r="W54" i="9" s="1"/>
  <c r="X54" i="9"/>
  <c r="V53" i="9"/>
  <c r="W53" i="9" s="1"/>
  <c r="X53" i="9"/>
  <c r="X48" i="9"/>
  <c r="V48" i="9"/>
  <c r="W48" i="9" s="1"/>
  <c r="X44" i="9"/>
  <c r="V44" i="9"/>
  <c r="W44" i="9" s="1"/>
  <c r="X40" i="9"/>
  <c r="V40" i="9"/>
  <c r="W40" i="9" s="1"/>
  <c r="V37" i="9"/>
  <c r="X37" i="9" l="1"/>
  <c r="U49" i="11"/>
  <c r="V49" i="11" s="1"/>
  <c r="S49" i="11"/>
  <c r="V51" i="11"/>
  <c r="U51" i="11"/>
  <c r="S51" i="11"/>
  <c r="AA51" i="11" s="1"/>
  <c r="AD51" i="11" s="1"/>
  <c r="U37" i="11"/>
  <c r="S37" i="11"/>
  <c r="AA53" i="11"/>
  <c r="U53" i="11"/>
  <c r="V53" i="11" s="1"/>
  <c r="S53" i="11"/>
  <c r="V48" i="11"/>
  <c r="U48" i="11"/>
  <c r="S48" i="11"/>
  <c r="U40" i="11"/>
  <c r="V40" i="11" s="1"/>
  <c r="S40" i="11"/>
  <c r="AA40" i="11" s="1"/>
  <c r="AD40" i="11" s="1"/>
  <c r="U44" i="11"/>
  <c r="V44" i="11" s="1"/>
  <c r="S44" i="11"/>
  <c r="AA44" i="11" s="1"/>
  <c r="AD44" i="11" s="1"/>
  <c r="AD42" i="11"/>
  <c r="AD45" i="11"/>
  <c r="AA48" i="11"/>
  <c r="AB47" i="11"/>
  <c r="AC47" i="11" s="1"/>
  <c r="AA49" i="11"/>
  <c r="AB49" i="11" s="1"/>
  <c r="AC49" i="11" s="1"/>
  <c r="AB40" i="11"/>
  <c r="AC40" i="11" s="1"/>
  <c r="AB48" i="11"/>
  <c r="AC48" i="11" s="1"/>
  <c r="AD48" i="11"/>
  <c r="AD50" i="11"/>
  <c r="AB50" i="11"/>
  <c r="AC50" i="11" s="1"/>
  <c r="V37" i="11"/>
  <c r="AA37" i="11"/>
  <c r="AD43" i="11"/>
  <c r="AB43" i="11"/>
  <c r="AC43" i="11" s="1"/>
  <c r="AD38" i="11"/>
  <c r="AB38" i="11"/>
  <c r="AC38" i="11" s="1"/>
  <c r="AB44" i="11"/>
  <c r="AC44" i="11" s="1"/>
  <c r="AD39" i="11"/>
  <c r="AB39" i="11"/>
  <c r="AC39" i="11" s="1"/>
  <c r="AB52" i="11"/>
  <c r="AC52" i="11" s="1"/>
  <c r="AD52" i="11"/>
  <c r="U68" i="9"/>
  <c r="U69" i="9" s="1"/>
  <c r="U56" i="9"/>
  <c r="V52" i="9"/>
  <c r="W52" i="9" s="1"/>
  <c r="V42" i="9"/>
  <c r="W42" i="9" s="1"/>
  <c r="X56" i="9"/>
  <c r="X55" i="9"/>
  <c r="U75" i="9"/>
  <c r="U76" i="9" s="1"/>
  <c r="V55" i="9"/>
  <c r="V60" i="9" s="1"/>
  <c r="W37" i="9"/>
  <c r="U61" i="9"/>
  <c r="U62" i="9" s="1"/>
  <c r="U67" i="9"/>
  <c r="U57" i="9"/>
  <c r="U66" i="9"/>
  <c r="U60" i="9"/>
  <c r="AD49" i="11" l="1"/>
  <c r="U70" i="9"/>
  <c r="U71" i="9" s="1"/>
  <c r="AB53" i="11"/>
  <c r="AC53" i="11" s="1"/>
  <c r="AD53" i="11"/>
  <c r="AB51" i="11"/>
  <c r="AC51" i="11" s="1"/>
  <c r="AA56" i="11"/>
  <c r="AA61" i="11" s="1"/>
  <c r="AA55" i="11"/>
  <c r="AA68" i="11"/>
  <c r="AA69" i="11" s="1"/>
  <c r="AD37" i="11"/>
  <c r="AB37" i="11"/>
  <c r="V56" i="9"/>
  <c r="V61" i="9" s="1"/>
  <c r="V62" i="9" s="1"/>
  <c r="V63" i="9" s="1"/>
  <c r="AB45" i="9"/>
  <c r="AB50" i="9"/>
  <c r="AB54" i="9"/>
  <c r="AB37" i="9"/>
  <c r="AB42" i="9"/>
  <c r="AB47" i="9"/>
  <c r="AB51" i="9"/>
  <c r="AB38" i="9"/>
  <c r="AB43" i="9"/>
  <c r="AB48" i="9"/>
  <c r="AB52" i="9"/>
  <c r="AB39" i="9"/>
  <c r="AB44" i="9"/>
  <c r="AB49" i="9"/>
  <c r="AB53" i="9"/>
  <c r="AB40" i="9"/>
  <c r="U63" i="9"/>
  <c r="U64" i="9"/>
  <c r="U72" i="9"/>
  <c r="X80" i="9"/>
  <c r="X86" i="9" s="1"/>
  <c r="W68" i="9"/>
  <c r="W69" i="9" s="1"/>
  <c r="W56" i="9"/>
  <c r="W55" i="9"/>
  <c r="W66" i="9" s="1"/>
  <c r="X57" i="9"/>
  <c r="U77" i="9"/>
  <c r="X79" i="9" s="1"/>
  <c r="X85" i="9" s="1"/>
  <c r="T99" i="9" s="1"/>
  <c r="T101" i="9" s="1"/>
  <c r="V57" i="9" l="1"/>
  <c r="AD55" i="11"/>
  <c r="AD56" i="11"/>
  <c r="AA75" i="11"/>
  <c r="AA76" i="11" s="1"/>
  <c r="AA60" i="11"/>
  <c r="AA66" i="11"/>
  <c r="AB56" i="11"/>
  <c r="AB55" i="11"/>
  <c r="AB60" i="11" s="1"/>
  <c r="AC37" i="11"/>
  <c r="AA62" i="11"/>
  <c r="AA57" i="11"/>
  <c r="AA67" i="11"/>
  <c r="AA70" i="11" s="1"/>
  <c r="X81" i="9"/>
  <c r="X87" i="9" s="1"/>
  <c r="T95" i="9"/>
  <c r="V104" i="9"/>
  <c r="T94" i="9"/>
  <c r="V64" i="9"/>
  <c r="W57" i="9"/>
  <c r="W67" i="9"/>
  <c r="W70" i="9" s="1"/>
  <c r="W72" i="9" s="1"/>
  <c r="AH49" i="11" l="1"/>
  <c r="AH53" i="11"/>
  <c r="AH50" i="11"/>
  <c r="AH54" i="11"/>
  <c r="AH51" i="11"/>
  <c r="AH37" i="11"/>
  <c r="AH48" i="11"/>
  <c r="AH52" i="11"/>
  <c r="AC68" i="11"/>
  <c r="AC69" i="11" s="1"/>
  <c r="AC56" i="11"/>
  <c r="AC55" i="11"/>
  <c r="AC66" i="11" s="1"/>
  <c r="AA64" i="11"/>
  <c r="AA63" i="11"/>
  <c r="AB57" i="11"/>
  <c r="AB61" i="11"/>
  <c r="AB62" i="11" s="1"/>
  <c r="AB64" i="11" s="1"/>
  <c r="AA77" i="11"/>
  <c r="AD79" i="11" s="1"/>
  <c r="AD57" i="11"/>
  <c r="AA72" i="11"/>
  <c r="AA71" i="11"/>
  <c r="AD81" i="11"/>
  <c r="AD87" i="11" s="1"/>
  <c r="AD80" i="11"/>
  <c r="AD86" i="11" s="1"/>
  <c r="U106" i="9"/>
  <c r="U108" i="9" s="1"/>
  <c r="T106" i="9"/>
  <c r="W71" i="9"/>
  <c r="U100" i="9"/>
  <c r="U107" i="9"/>
  <c r="T100" i="9"/>
  <c r="T107" i="9"/>
  <c r="T108" i="9" s="1"/>
  <c r="U90" i="9"/>
  <c r="U99" i="9"/>
  <c r="U101" i="9" s="1"/>
  <c r="X90" i="9"/>
  <c r="AD85" i="11" l="1"/>
  <c r="Z99" i="11" s="1"/>
  <c r="Z101" i="11" s="1"/>
  <c r="AB63" i="11"/>
  <c r="Z95" i="11"/>
  <c r="AB104" i="11"/>
  <c r="Z94" i="11"/>
  <c r="AA99" i="11"/>
  <c r="AA101" i="11" s="1"/>
  <c r="AA90" i="11"/>
  <c r="AC67" i="11"/>
  <c r="AC70" i="11" s="1"/>
  <c r="AC71" i="11" s="1"/>
  <c r="AC57" i="11"/>
  <c r="Z106" i="11" l="1"/>
  <c r="AA106" i="11"/>
  <c r="AA108" i="11" s="1"/>
  <c r="AC72" i="11"/>
  <c r="Z107" i="11"/>
  <c r="Z108" i="11" s="1"/>
  <c r="Z100" i="11"/>
  <c r="AA100" i="11"/>
  <c r="AA107" i="11"/>
</calcChain>
</file>

<file path=xl/sharedStrings.xml><?xml version="1.0" encoding="utf-8"?>
<sst xmlns="http://schemas.openxmlformats.org/spreadsheetml/2006/main" count="511" uniqueCount="142">
  <si>
    <t>Dado</t>
  </si>
  <si>
    <t>Frente</t>
  </si>
  <si>
    <t>Profundidade</t>
  </si>
  <si>
    <t>Preço</t>
  </si>
  <si>
    <t>Unitário</t>
  </si>
  <si>
    <t>Venda/</t>
  </si>
  <si>
    <t>Oferta</t>
  </si>
  <si>
    <t>projetada</t>
  </si>
  <si>
    <t>equivalente</t>
  </si>
  <si>
    <t>Topo-</t>
  </si>
  <si>
    <t>grafia</t>
  </si>
  <si>
    <t>Pedo-</t>
  </si>
  <si>
    <t>logia</t>
  </si>
  <si>
    <t>nº</t>
  </si>
  <si>
    <t>Valor</t>
  </si>
  <si>
    <t>total</t>
  </si>
  <si>
    <t>Área</t>
  </si>
  <si>
    <t>terreno</t>
  </si>
  <si>
    <t>Venda</t>
  </si>
  <si>
    <t>plano</t>
  </si>
  <si>
    <t>seco</t>
  </si>
  <si>
    <t>pantanoso</t>
  </si>
  <si>
    <t>aclive 18%</t>
  </si>
  <si>
    <t>declive 10%</t>
  </si>
  <si>
    <t>declive 2%</t>
  </si>
  <si>
    <t>aclive 7%</t>
  </si>
  <si>
    <t>declive 14%</t>
  </si>
  <si>
    <t>aclive 10%</t>
  </si>
  <si>
    <t>C frente</t>
  </si>
  <si>
    <t>C oferta</t>
  </si>
  <si>
    <t>C profund.</t>
  </si>
  <si>
    <t>?</t>
  </si>
  <si>
    <t>***</t>
  </si>
  <si>
    <t>Homogen.</t>
  </si>
  <si>
    <t>Limite Inferior =</t>
  </si>
  <si>
    <t>Limite Superior =</t>
  </si>
  <si>
    <t>Excluir</t>
  </si>
  <si>
    <t>"Chauvenet"</t>
  </si>
  <si>
    <t>d/s crítico =</t>
  </si>
  <si>
    <t>Média =</t>
  </si>
  <si>
    <t>Dados</t>
  </si>
  <si>
    <t>Saneados</t>
  </si>
  <si>
    <t xml:space="preserve">DP Amostra Saneada = </t>
  </si>
  <si>
    <t>Valor Médio =</t>
  </si>
  <si>
    <t>C pedol.</t>
  </si>
  <si>
    <t>C topog.</t>
  </si>
  <si>
    <t>Critério de Chauvenet:</t>
  </si>
  <si>
    <t>Desvio Padrão da Amostra =</t>
  </si>
  <si>
    <t xml:space="preserve">"2 DP" </t>
  </si>
  <si>
    <t>Crit. dos 2 Desvios Padrões:</t>
  </si>
  <si>
    <t>DP =</t>
  </si>
  <si>
    <t>CV =</t>
  </si>
  <si>
    <t>Observado</t>
  </si>
  <si>
    <t>Índice</t>
  </si>
  <si>
    <t>Avaliando</t>
  </si>
  <si>
    <t>Intervalo de Confiança (80%) para o Terreno Avaliando:</t>
  </si>
  <si>
    <t>VU</t>
  </si>
  <si>
    <t>n =</t>
  </si>
  <si>
    <t>Intervalo de Confiança (80%) para o VU do terreno paradigma:</t>
  </si>
  <si>
    <t>Exemplo de Avaliação por Fatores: Método Multiplicativo</t>
  </si>
  <si>
    <t>Valor Unit.</t>
  </si>
  <si>
    <t>Estimado</t>
  </si>
  <si>
    <t>(PVG)</t>
  </si>
  <si>
    <t>C transp</t>
  </si>
  <si>
    <t>atingido por inundação</t>
  </si>
  <si>
    <t>aclive 4%</t>
  </si>
  <si>
    <t>declive 13%</t>
  </si>
  <si>
    <t>aclive 20%</t>
  </si>
  <si>
    <t>declive 3%</t>
  </si>
  <si>
    <t>VU ajustado</t>
  </si>
  <si>
    <t>VU observado</t>
  </si>
  <si>
    <t>IDENT</t>
  </si>
  <si>
    <t>Terr_10</t>
  </si>
  <si>
    <t>Terr_11</t>
  </si>
  <si>
    <t>Terr_12</t>
  </si>
  <si>
    <t>Terr_13</t>
  </si>
  <si>
    <t>Terr_14</t>
  </si>
  <si>
    <t>Terr_15</t>
  </si>
  <si>
    <t>Terr_16</t>
  </si>
  <si>
    <t>Terr_17</t>
  </si>
  <si>
    <t>Terr_18</t>
  </si>
  <si>
    <t>Terr_01</t>
  </si>
  <si>
    <t>Terr_02</t>
  </si>
  <si>
    <t>Terr_03</t>
  </si>
  <si>
    <t>Terr_04</t>
  </si>
  <si>
    <t>Terr_05</t>
  </si>
  <si>
    <t>Terr_06</t>
  </si>
  <si>
    <t>Terr_07</t>
  </si>
  <si>
    <t>Terr_08</t>
  </si>
  <si>
    <t>Terr_09</t>
  </si>
  <si>
    <r>
      <t>t</t>
    </r>
    <r>
      <rPr>
        <sz val="10"/>
        <rFont val="Arial"/>
      </rPr>
      <t xml:space="preserve"> 0,1; 15g.l. =</t>
    </r>
  </si>
  <si>
    <t>Média da Amostra =</t>
  </si>
  <si>
    <t>semi IC =</t>
  </si>
  <si>
    <t>R$/m2</t>
  </si>
  <si>
    <t>R$</t>
  </si>
  <si>
    <t>Fr =</t>
  </si>
  <si>
    <t>f =</t>
  </si>
  <si>
    <t>Área =</t>
  </si>
  <si>
    <t>C hom_TOTAL =</t>
  </si>
  <si>
    <t>Amplitude IC / Valor médio =</t>
  </si>
  <si>
    <t>Campo de arbítrio (15%):</t>
  </si>
  <si>
    <t>LI CA =</t>
  </si>
  <si>
    <t>LS CA =</t>
  </si>
  <si>
    <t>Avaliação intervalar adotando o valor médio:</t>
  </si>
  <si>
    <t>LI</t>
  </si>
  <si>
    <t>LS</t>
  </si>
  <si>
    <t>Intervalo de Confiança:</t>
  </si>
  <si>
    <t>Campo de arbítrio:</t>
  </si>
  <si>
    <t>Valores Admissíveis:</t>
  </si>
  <si>
    <t>Avaliação intervalar adotando valor arbitrado =</t>
  </si>
  <si>
    <t>semi-amplitude do IC =</t>
  </si>
  <si>
    <t>novo Intervalo de Confiança:</t>
  </si>
  <si>
    <t>Grau de Precisão:</t>
  </si>
  <si>
    <t>Grau III</t>
  </si>
  <si>
    <t>Coeficientes de Homogeneização</t>
  </si>
  <si>
    <t>Coeficientes de Avaliação</t>
  </si>
  <si>
    <t>C homog_Total</t>
  </si>
  <si>
    <t>OU:</t>
  </si>
  <si>
    <t xml:space="preserve">     Saneamento</t>
  </si>
  <si>
    <t>VU. Homogen.</t>
  </si>
  <si>
    <t>VU Homogen.</t>
  </si>
  <si>
    <t>p =</t>
  </si>
  <si>
    <t>C profund</t>
  </si>
  <si>
    <t>Pmi =</t>
  </si>
  <si>
    <t>Paradigma: terreno plano e seco, com 15 m de frente e profundidade de 30 a 60 m (3a. Zona)</t>
  </si>
  <si>
    <t>Coef. Homog.</t>
  </si>
  <si>
    <t>C aval_total</t>
  </si>
  <si>
    <t>C homog_total</t>
  </si>
  <si>
    <t>C transp.</t>
  </si>
  <si>
    <t>736,12 * 600 * 0,92 =</t>
  </si>
  <si>
    <t>708,77 * 600 * 0,92 =</t>
  </si>
  <si>
    <t>763,48 * 600 * 0,92 =</t>
  </si>
  <si>
    <t>749,69 * 600 / 1,08 =</t>
  </si>
  <si>
    <t>723,62 * 600 / 1,08 =</t>
  </si>
  <si>
    <t>775,56* 600 / 1,08 =</t>
  </si>
  <si>
    <t xml:space="preserve">749,69 - 1,341 * 77,18/raiz(16) = </t>
  </si>
  <si>
    <t xml:space="preserve">749,69 + 1,341 * 77,18/raiz(16) = </t>
  </si>
  <si>
    <t xml:space="preserve">736,12 - 1,341 * 81,62/raiz(16) = </t>
  </si>
  <si>
    <t xml:space="preserve">736,12 + 1,341 * 81,62/raiz(16) = </t>
  </si>
  <si>
    <t>Exemplo de Avaliação por Fatores: Método Aditivo</t>
  </si>
  <si>
    <t>Influência</t>
  </si>
  <si>
    <t>Influência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</si>
</sst>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.000"/>
    <numFmt numFmtId="166" formatCode="0.0000"/>
    <numFmt numFmtId="167" formatCode="_(* #,##0_);_(* \(#,##0\);_(* &quot;-&quot;??_);_(@_)"/>
    <numFmt numFmtId="168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58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2" fontId="0" fillId="0" borderId="12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2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0" fillId="0" borderId="12" xfId="0" applyBorder="1"/>
    <xf numFmtId="0" fontId="2" fillId="0" borderId="0" xfId="0" applyFont="1" applyBorder="1" applyAlignment="1">
      <alignment horizontal="right"/>
    </xf>
    <xf numFmtId="2" fontId="0" fillId="0" borderId="0" xfId="0" applyNumberFormat="1" applyBorder="1"/>
    <xf numFmtId="0" fontId="0" fillId="0" borderId="16" xfId="0" applyBorder="1" applyAlignment="1">
      <alignment horizontal="right"/>
    </xf>
    <xf numFmtId="0" fontId="2" fillId="0" borderId="13" xfId="0" applyFon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/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right"/>
    </xf>
    <xf numFmtId="166" fontId="0" fillId="0" borderId="12" xfId="0" applyNumberFormat="1" applyBorder="1"/>
    <xf numFmtId="0" fontId="2" fillId="0" borderId="18" xfId="0" applyFont="1" applyBorder="1" applyAlignment="1">
      <alignment horizontal="left"/>
    </xf>
    <xf numFmtId="0" fontId="2" fillId="0" borderId="14" xfId="0" applyFont="1" applyBorder="1"/>
    <xf numFmtId="4" fontId="2" fillId="2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 applyAlignment="1">
      <alignment horizontal="center"/>
    </xf>
    <xf numFmtId="4" fontId="2" fillId="2" borderId="16" xfId="0" applyNumberFormat="1" applyFont="1" applyFill="1" applyBorder="1" applyAlignment="1">
      <alignment horizontal="center"/>
    </xf>
    <xf numFmtId="0" fontId="0" fillId="0" borderId="20" xfId="0" applyBorder="1" applyAlignment="1">
      <alignment horizontal="left"/>
    </xf>
    <xf numFmtId="2" fontId="0" fillId="0" borderId="10" xfId="0" applyNumberFormat="1" applyBorder="1"/>
    <xf numFmtId="3" fontId="3" fillId="0" borderId="10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0" fillId="0" borderId="13" xfId="0" applyNumberFormat="1" applyBorder="1"/>
    <xf numFmtId="2" fontId="0" fillId="0" borderId="4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9" fontId="0" fillId="0" borderId="16" xfId="1" applyFont="1" applyBorder="1"/>
    <xf numFmtId="9" fontId="0" fillId="0" borderId="8" xfId="1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2" xfId="2" applyNumberFormat="1" applyFont="1" applyBorder="1" applyAlignment="1"/>
    <xf numFmtId="164" fontId="0" fillId="0" borderId="8" xfId="2" applyNumberFormat="1" applyFont="1" applyBorder="1" applyAlignment="1"/>
    <xf numFmtId="0" fontId="4" fillId="0" borderId="0" xfId="0" applyFont="1"/>
    <xf numFmtId="2" fontId="0" fillId="2" borderId="28" xfId="0" applyNumberFormat="1" applyFill="1" applyBorder="1" applyAlignment="1">
      <alignment horizontal="center"/>
    </xf>
    <xf numFmtId="2" fontId="0" fillId="2" borderId="29" xfId="0" applyNumberFormat="1" applyFill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164" fontId="0" fillId="0" borderId="4" xfId="2" applyNumberFormat="1" applyFont="1" applyBorder="1" applyAlignment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3" fontId="2" fillId="0" borderId="31" xfId="0" applyNumberFormat="1" applyFont="1" applyBorder="1" applyAlignment="1">
      <alignment horizontal="center"/>
    </xf>
    <xf numFmtId="2" fontId="0" fillId="0" borderId="0" xfId="0" applyNumberFormat="1"/>
    <xf numFmtId="167" fontId="0" fillId="0" borderId="0" xfId="2" applyNumberFormat="1" applyFont="1"/>
    <xf numFmtId="0" fontId="0" fillId="4" borderId="23" xfId="0" applyFill="1" applyBorder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/>
    <xf numFmtId="0" fontId="0" fillId="4" borderId="32" xfId="0" applyFill="1" applyBorder="1"/>
    <xf numFmtId="2" fontId="0" fillId="6" borderId="29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5" fontId="3" fillId="0" borderId="0" xfId="0" applyNumberFormat="1" applyFont="1" applyBorder="1" applyAlignment="1">
      <alignment horizontal="right"/>
    </xf>
    <xf numFmtId="0" fontId="3" fillId="0" borderId="0" xfId="0" applyFont="1" applyBorder="1"/>
    <xf numFmtId="0" fontId="3" fillId="0" borderId="16" xfId="0" applyFont="1" applyBorder="1"/>
    <xf numFmtId="2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right"/>
    </xf>
    <xf numFmtId="2" fontId="0" fillId="0" borderId="16" xfId="0" applyNumberFormat="1" applyBorder="1" applyAlignment="1">
      <alignment horizontal="right"/>
    </xf>
    <xf numFmtId="9" fontId="0" fillId="0" borderId="0" xfId="1" applyFont="1" applyBorder="1" applyAlignment="1">
      <alignment horizontal="center"/>
    </xf>
    <xf numFmtId="9" fontId="0" fillId="0" borderId="0" xfId="1" applyFont="1" applyBorder="1"/>
    <xf numFmtId="2" fontId="0" fillId="0" borderId="18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3" fillId="0" borderId="12" xfId="0" applyNumberFormat="1" applyFon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1" fontId="0" fillId="0" borderId="12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0" xfId="0" applyAlignment="1">
      <alignment horizontal="right"/>
    </xf>
    <xf numFmtId="2" fontId="0" fillId="0" borderId="10" xfId="0" applyNumberFormat="1" applyBorder="1" applyAlignment="1">
      <alignment horizontal="right"/>
    </xf>
    <xf numFmtId="3" fontId="0" fillId="0" borderId="0" xfId="0" applyNumberFormat="1" applyBorder="1"/>
    <xf numFmtId="0" fontId="0" fillId="0" borderId="0" xfId="0" applyFill="1" applyBorder="1" applyAlignment="1">
      <alignment horizontal="right"/>
    </xf>
    <xf numFmtId="168" fontId="0" fillId="0" borderId="0" xfId="1" applyNumberFormat="1" applyFont="1" applyAlignment="1">
      <alignment horizontal="center"/>
    </xf>
    <xf numFmtId="2" fontId="0" fillId="10" borderId="0" xfId="0" applyNumberFormat="1" applyFill="1" applyBorder="1" applyAlignment="1">
      <alignment horizontal="center"/>
    </xf>
    <xf numFmtId="2" fontId="0" fillId="6" borderId="0" xfId="0" applyNumberFormat="1" applyFill="1" applyBorder="1" applyAlignment="1">
      <alignment horizontal="center"/>
    </xf>
    <xf numFmtId="2" fontId="0" fillId="6" borderId="16" xfId="0" applyNumberForma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4" fontId="0" fillId="0" borderId="0" xfId="0" applyNumberFormat="1"/>
    <xf numFmtId="0" fontId="3" fillId="11" borderId="0" xfId="0" applyFont="1" applyFill="1"/>
    <xf numFmtId="0" fontId="0" fillId="11" borderId="0" xfId="0" applyFill="1"/>
    <xf numFmtId="4" fontId="0" fillId="11" borderId="0" xfId="0" applyNumberFormat="1" applyFill="1"/>
    <xf numFmtId="4" fontId="3" fillId="0" borderId="0" xfId="0" applyNumberFormat="1" applyFont="1" applyAlignment="1">
      <alignment horizontal="right"/>
    </xf>
    <xf numFmtId="0" fontId="3" fillId="11" borderId="0" xfId="0" applyFont="1" applyFill="1" applyAlignment="1">
      <alignment horizontal="right"/>
    </xf>
    <xf numFmtId="0" fontId="3" fillId="12" borderId="0" xfId="0" applyFont="1" applyFill="1"/>
    <xf numFmtId="0" fontId="0" fillId="12" borderId="0" xfId="0" applyFill="1"/>
    <xf numFmtId="4" fontId="0" fillId="12" borderId="0" xfId="0" applyNumberForma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4" fontId="0" fillId="0" borderId="0" xfId="0" applyNumberFormat="1" applyFill="1"/>
    <xf numFmtId="4" fontId="0" fillId="7" borderId="0" xfId="0" applyNumberFormat="1" applyFill="1"/>
    <xf numFmtId="0" fontId="3" fillId="12" borderId="0" xfId="0" applyFont="1" applyFill="1" applyAlignment="1">
      <alignment horizontal="right"/>
    </xf>
    <xf numFmtId="0" fontId="0" fillId="8" borderId="0" xfId="0" applyFill="1"/>
    <xf numFmtId="0" fontId="0" fillId="8" borderId="0" xfId="0" applyFill="1" applyBorder="1" applyAlignment="1">
      <alignment horizontal="right"/>
    </xf>
    <xf numFmtId="0" fontId="0" fillId="8" borderId="0" xfId="0" applyFill="1" applyAlignment="1">
      <alignment horizontal="center"/>
    </xf>
    <xf numFmtId="0" fontId="3" fillId="13" borderId="0" xfId="0" applyFont="1" applyFill="1"/>
    <xf numFmtId="0" fontId="0" fillId="13" borderId="0" xfId="0" applyFill="1"/>
    <xf numFmtId="0" fontId="3" fillId="4" borderId="6" xfId="0" applyFont="1" applyFill="1" applyBorder="1" applyAlignment="1">
      <alignment horizontal="center"/>
    </xf>
    <xf numFmtId="2" fontId="0" fillId="8" borderId="22" xfId="0" applyNumberFormat="1" applyFill="1" applyBorder="1" applyAlignment="1">
      <alignment horizontal="center"/>
    </xf>
    <xf numFmtId="2" fontId="0" fillId="8" borderId="21" xfId="0" applyNumberFormat="1" applyFill="1" applyBorder="1" applyAlignment="1">
      <alignment horizontal="center"/>
    </xf>
    <xf numFmtId="0" fontId="0" fillId="4" borderId="4" xfId="0" applyFill="1" applyBorder="1"/>
    <xf numFmtId="0" fontId="3" fillId="4" borderId="33" xfId="0" applyFont="1" applyFill="1" applyBorder="1"/>
    <xf numFmtId="2" fontId="0" fillId="0" borderId="25" xfId="0" applyNumberFormat="1" applyBorder="1" applyAlignment="1">
      <alignment horizontal="center"/>
    </xf>
    <xf numFmtId="0" fontId="0" fillId="8" borderId="26" xfId="0" applyFill="1" applyBorder="1"/>
    <xf numFmtId="2" fontId="0" fillId="8" borderId="23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2" fontId="0" fillId="14" borderId="12" xfId="0" applyNumberFormat="1" applyFill="1" applyBorder="1" applyAlignment="1">
      <alignment horizontal="center"/>
    </xf>
    <xf numFmtId="2" fontId="0" fillId="14" borderId="8" xfId="0" applyNumberFormat="1" applyFill="1" applyBorder="1" applyAlignment="1">
      <alignment horizontal="center"/>
    </xf>
    <xf numFmtId="2" fontId="0" fillId="14" borderId="4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2" fontId="0" fillId="5" borderId="29" xfId="0" applyNumberFormat="1" applyFill="1" applyBorder="1" applyAlignment="1">
      <alignment horizontal="center"/>
    </xf>
    <xf numFmtId="2" fontId="0" fillId="5" borderId="28" xfId="0" applyNumberFormat="1" applyFill="1" applyBorder="1" applyAlignment="1">
      <alignment horizontal="center"/>
    </xf>
    <xf numFmtId="2" fontId="0" fillId="5" borderId="17" xfId="0" applyNumberFormat="1" applyFill="1" applyBorder="1" applyAlignment="1">
      <alignment horizontal="center"/>
    </xf>
    <xf numFmtId="164" fontId="0" fillId="0" borderId="24" xfId="2" applyNumberFormat="1" applyFont="1" applyBorder="1" applyAlignment="1"/>
    <xf numFmtId="164" fontId="0" fillId="0" borderId="25" xfId="2" applyNumberFormat="1" applyFont="1" applyBorder="1" applyAlignment="1"/>
    <xf numFmtId="164" fontId="0" fillId="0" borderId="27" xfId="2" applyNumberFormat="1" applyFont="1" applyBorder="1" applyAlignment="1"/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5" borderId="30" xfId="0" applyFont="1" applyFill="1" applyBorder="1" applyAlignment="1"/>
    <xf numFmtId="0" fontId="0" fillId="5" borderId="29" xfId="0" applyFill="1" applyBorder="1"/>
    <xf numFmtId="0" fontId="0" fillId="5" borderId="1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Fill="1" applyBorder="1" applyAlignment="1">
      <alignment horizontal="center"/>
    </xf>
    <xf numFmtId="164" fontId="0" fillId="0" borderId="29" xfId="2" applyNumberFormat="1" applyFont="1" applyBorder="1" applyAlignment="1"/>
    <xf numFmtId="164" fontId="0" fillId="0" borderId="17" xfId="2" applyNumberFormat="1" applyFont="1" applyBorder="1" applyAlignment="1"/>
    <xf numFmtId="164" fontId="0" fillId="0" borderId="28" xfId="2" applyNumberFormat="1" applyFont="1" applyBorder="1" applyAlignment="1"/>
    <xf numFmtId="0" fontId="3" fillId="0" borderId="0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5" borderId="0" xfId="0" applyFill="1"/>
    <xf numFmtId="0" fontId="0" fillId="9" borderId="0" xfId="0" applyFill="1"/>
    <xf numFmtId="164" fontId="0" fillId="0" borderId="0" xfId="2" applyNumberFormat="1" applyFont="1" applyFill="1" applyBorder="1" applyAlignment="1"/>
    <xf numFmtId="0" fontId="2" fillId="5" borderId="33" xfId="0" applyFont="1" applyFill="1" applyBorder="1"/>
    <xf numFmtId="0" fontId="2" fillId="5" borderId="32" xfId="0" applyFont="1" applyFill="1" applyBorder="1"/>
    <xf numFmtId="0" fontId="2" fillId="5" borderId="4" xfId="0" applyFont="1" applyFill="1" applyBorder="1"/>
    <xf numFmtId="0" fontId="2" fillId="5" borderId="36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2" fontId="2" fillId="6" borderId="29" xfId="0" applyNumberFormat="1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2" borderId="28" xfId="0" applyNumberFormat="1" applyFont="1" applyFill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2" fontId="2" fillId="2" borderId="29" xfId="0" applyNumberFormat="1" applyFont="1" applyFill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2" fontId="2" fillId="8" borderId="21" xfId="0" applyNumberFormat="1" applyFont="1" applyFill="1" applyBorder="1" applyAlignment="1">
      <alignment horizontal="center"/>
    </xf>
    <xf numFmtId="2" fontId="2" fillId="8" borderId="22" xfId="0" applyNumberFormat="1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2" fillId="8" borderId="31" xfId="0" applyFont="1" applyFill="1" applyBorder="1" applyAlignment="1">
      <alignment horizontal="center"/>
    </xf>
    <xf numFmtId="2" fontId="2" fillId="8" borderId="31" xfId="0" applyNumberFormat="1" applyFont="1" applyFill="1" applyBorder="1" applyAlignment="1">
      <alignment horizontal="center"/>
    </xf>
    <xf numFmtId="2" fontId="2" fillId="8" borderId="23" xfId="0" applyNumberFormat="1" applyFont="1" applyFill="1" applyBorder="1" applyAlignment="1">
      <alignment horizontal="center"/>
    </xf>
    <xf numFmtId="2" fontId="2" fillId="8" borderId="30" xfId="0" applyNumberFormat="1" applyFont="1" applyFill="1" applyBorder="1" applyAlignment="1">
      <alignment horizontal="center"/>
    </xf>
    <xf numFmtId="0" fontId="2" fillId="8" borderId="8" xfId="0" applyFont="1" applyFill="1" applyBorder="1"/>
    <xf numFmtId="0" fontId="2" fillId="5" borderId="30" xfId="0" applyFont="1" applyFill="1" applyBorder="1"/>
    <xf numFmtId="0" fontId="2" fillId="5" borderId="40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25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21" xfId="0" applyFont="1" applyFill="1" applyBorder="1" applyAlignment="1">
      <alignment horizontal="center"/>
    </xf>
    <xf numFmtId="0" fontId="2" fillId="8" borderId="26" xfId="0" applyFont="1" applyFill="1" applyBorder="1"/>
    <xf numFmtId="0" fontId="2" fillId="8" borderId="33" xfId="0" applyFont="1" applyFill="1" applyBorder="1" applyAlignment="1">
      <alignment horizontal="center"/>
    </xf>
    <xf numFmtId="0" fontId="2" fillId="14" borderId="37" xfId="0" applyFont="1" applyFill="1" applyBorder="1" applyAlignment="1">
      <alignment horizontal="center" vertical="center" wrapText="1"/>
    </xf>
    <xf numFmtId="0" fontId="2" fillId="14" borderId="38" xfId="0" applyFont="1" applyFill="1" applyBorder="1" applyAlignment="1">
      <alignment horizontal="center" vertical="center" wrapText="1"/>
    </xf>
    <xf numFmtId="0" fontId="2" fillId="14" borderId="39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3" fillId="6" borderId="28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wrapText="1"/>
    </xf>
    <xf numFmtId="0" fontId="2" fillId="5" borderId="16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Poder de predição do modelo</a:t>
            </a:r>
          </a:p>
        </c:rich>
      </c:tx>
      <c:layout>
        <c:manualLayout>
          <c:xMode val="edge"/>
          <c:yMode val="edge"/>
          <c:x val="0.27969400984421738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16125284597412"/>
          <c:y val="0.20489357826111626"/>
          <c:w val="0.75095925930776186"/>
          <c:h val="0.547402246399101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xVal>
            <c:numRef>
              <c:f>'Método Multiplicativo'!$AA$37:$AA$54</c:f>
              <c:numCache>
                <c:formatCode>_(* #,##0.00_);_(* \(#,##0.00\);_(* "-"??_);_(@_)</c:formatCode>
                <c:ptCount val="18"/>
                <c:pt idx="0">
                  <c:v>420000</c:v>
                </c:pt>
                <c:pt idx="1">
                  <c:v>590000</c:v>
                </c:pt>
                <c:pt idx="2">
                  <c:v>220000</c:v>
                </c:pt>
                <c:pt idx="3">
                  <c:v>415000</c:v>
                </c:pt>
                <c:pt idx="5">
                  <c:v>250000</c:v>
                </c:pt>
                <c:pt idx="6">
                  <c:v>650000</c:v>
                </c:pt>
                <c:pt idx="7">
                  <c:v>250000</c:v>
                </c:pt>
                <c:pt idx="8">
                  <c:v>330000</c:v>
                </c:pt>
                <c:pt idx="10">
                  <c:v>420000</c:v>
                </c:pt>
                <c:pt idx="11">
                  <c:v>310000</c:v>
                </c:pt>
                <c:pt idx="12">
                  <c:v>350000</c:v>
                </c:pt>
                <c:pt idx="13">
                  <c:v>500000</c:v>
                </c:pt>
                <c:pt idx="14">
                  <c:v>530000</c:v>
                </c:pt>
                <c:pt idx="15">
                  <c:v>490000</c:v>
                </c:pt>
                <c:pt idx="16">
                  <c:v>370000</c:v>
                </c:pt>
                <c:pt idx="17">
                  <c:v>780000</c:v>
                </c:pt>
              </c:numCache>
            </c:numRef>
          </c:xVal>
          <c:yVal>
            <c:numRef>
              <c:f>'Método Multiplicativo'!$AB$37:$AB$54</c:f>
              <c:numCache>
                <c:formatCode>_(* #,##0.00_);_(* \(#,##0.00\);_(* "-"??_);_(@_)</c:formatCode>
                <c:ptCount val="18"/>
                <c:pt idx="0">
                  <c:v>426682.38716420461</c:v>
                </c:pt>
                <c:pt idx="1">
                  <c:v>519147.7931788211</c:v>
                </c:pt>
                <c:pt idx="2">
                  <c:v>184631.52425040765</c:v>
                </c:pt>
                <c:pt idx="3">
                  <c:v>368405.83766753285</c:v>
                </c:pt>
                <c:pt idx="5">
                  <c:v>227805.38630814926</c:v>
                </c:pt>
                <c:pt idx="6">
                  <c:v>683433.71997020242</c:v>
                </c:pt>
                <c:pt idx="7">
                  <c:v>223380.63023430703</c:v>
                </c:pt>
                <c:pt idx="8">
                  <c:v>382895.55475388677</c:v>
                </c:pt>
                <c:pt idx="10">
                  <c:v>466211.36722341739</c:v>
                </c:pt>
                <c:pt idx="11">
                  <c:v>302848.96453484171</c:v>
                </c:pt>
                <c:pt idx="12">
                  <c:v>418068.28922234388</c:v>
                </c:pt>
                <c:pt idx="13">
                  <c:v>480264.99952703295</c:v>
                </c:pt>
                <c:pt idx="14">
                  <c:v>626103.52325388126</c:v>
                </c:pt>
                <c:pt idx="15">
                  <c:v>523146.57721616997</c:v>
                </c:pt>
                <c:pt idx="16">
                  <c:v>378131.70077518816</c:v>
                </c:pt>
                <c:pt idx="17">
                  <c:v>806442.75992365577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B5-47F9-9C48-28247EEC2AFC}"/>
            </c:ext>
          </c:extLst>
        </c:ser>
        <c:ser>
          <c:idx val="1"/>
          <c:order val="1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900000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900000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B5-47F9-9C48-28247EEC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495488"/>
        <c:axId val="224506240"/>
      </c:scatterChart>
      <c:valAx>
        <c:axId val="224495488"/>
        <c:scaling>
          <c:orientation val="minMax"/>
          <c:max val="850000"/>
          <c:min val="1500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preços observados</a:t>
                </a:r>
              </a:p>
            </c:rich>
          </c:tx>
          <c:layout>
            <c:manualLayout>
              <c:xMode val="edge"/>
              <c:yMode val="edge"/>
              <c:x val="0.4195410147663261"/>
              <c:y val="0.880736575211962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24506240"/>
        <c:crosses val="autoZero"/>
        <c:crossBetween val="midCat"/>
      </c:valAx>
      <c:valAx>
        <c:axId val="224506240"/>
        <c:scaling>
          <c:orientation val="minMax"/>
          <c:max val="850000"/>
          <c:min val="1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valores estimados</a:t>
                </a:r>
              </a:p>
            </c:rich>
          </c:tx>
          <c:layout>
            <c:manualLayout>
              <c:xMode val="edge"/>
              <c:yMode val="edge"/>
              <c:x val="3.065139833909232E-2"/>
              <c:y val="0.27217206664536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24495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Poder de predição do modelo</a:t>
            </a:r>
          </a:p>
        </c:rich>
      </c:tx>
      <c:layout>
        <c:manualLayout>
          <c:xMode val="edge"/>
          <c:yMode val="edge"/>
          <c:x val="0.27969400984421738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16125284597412"/>
          <c:y val="0.20489357826111626"/>
          <c:w val="0.75095925930776186"/>
          <c:h val="0.54740224639910173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xVal>
            <c:numRef>
              <c:f>'Método Aditivo-Ibape'!$AG$37:$AG$54</c:f>
              <c:numCache>
                <c:formatCode>_(* #,##0.00_);_(* \(#,##0.00\);_(* "-"??_);_(@_)</c:formatCode>
                <c:ptCount val="18"/>
                <c:pt idx="0">
                  <c:v>420000</c:v>
                </c:pt>
                <c:pt idx="1">
                  <c:v>590000</c:v>
                </c:pt>
                <c:pt idx="2">
                  <c:v>220000</c:v>
                </c:pt>
                <c:pt idx="3">
                  <c:v>415000</c:v>
                </c:pt>
                <c:pt idx="5">
                  <c:v>250000</c:v>
                </c:pt>
                <c:pt idx="6">
                  <c:v>650000</c:v>
                </c:pt>
                <c:pt idx="7">
                  <c:v>250000</c:v>
                </c:pt>
                <c:pt idx="8">
                  <c:v>330000</c:v>
                </c:pt>
                <c:pt idx="10">
                  <c:v>420000</c:v>
                </c:pt>
                <c:pt idx="11">
                  <c:v>310000</c:v>
                </c:pt>
                <c:pt idx="12">
                  <c:v>350000</c:v>
                </c:pt>
                <c:pt idx="13">
                  <c:v>500000</c:v>
                </c:pt>
                <c:pt idx="14">
                  <c:v>530000</c:v>
                </c:pt>
                <c:pt idx="15">
                  <c:v>490000</c:v>
                </c:pt>
                <c:pt idx="16">
                  <c:v>370000</c:v>
                </c:pt>
                <c:pt idx="17">
                  <c:v>780000</c:v>
                </c:pt>
              </c:numCache>
            </c:numRef>
          </c:xVal>
          <c:yVal>
            <c:numRef>
              <c:f>'Método Aditivo-Ibape'!$AH$37:$AH$54</c:f>
              <c:numCache>
                <c:formatCode>_(* #,##0.00_);_(* \(#,##0.00\);_(* "-"??_);_(@_)</c:formatCode>
                <c:ptCount val="18"/>
                <c:pt idx="0">
                  <c:v>429126.48439448373</c:v>
                </c:pt>
                <c:pt idx="1">
                  <c:v>505364.04905643081</c:v>
                </c:pt>
                <c:pt idx="2">
                  <c:v>193588.62352269</c:v>
                </c:pt>
                <c:pt idx="3">
                  <c:v>377878.4447915479</c:v>
                </c:pt>
                <c:pt idx="5">
                  <c:v>233540.67847627393</c:v>
                </c:pt>
                <c:pt idx="6">
                  <c:v>701558.1515296977</c:v>
                </c:pt>
                <c:pt idx="7">
                  <c:v>236417.30874053537</c:v>
                </c:pt>
                <c:pt idx="8">
                  <c:v>391731.66772668972</c:v>
                </c:pt>
                <c:pt idx="10">
                  <c:v>475992.23389219283</c:v>
                </c:pt>
                <c:pt idx="11">
                  <c:v>308985.26209528907</c:v>
                </c:pt>
                <c:pt idx="12">
                  <c:v>381851.25390653964</c:v>
                </c:pt>
                <c:pt idx="13">
                  <c:v>483398.0818641503</c:v>
                </c:pt>
                <c:pt idx="14">
                  <c:v>634878.4537835801</c:v>
                </c:pt>
                <c:pt idx="15">
                  <c:v>531506.08917316527</c:v>
                </c:pt>
                <c:pt idx="16">
                  <c:v>346410.72144388471</c:v>
                </c:pt>
                <c:pt idx="17">
                  <c:v>735238.63688392635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45-4B3B-8EED-8C45CAFBC928}"/>
            </c:ext>
          </c:extLst>
        </c:ser>
        <c:ser>
          <c:idx val="1"/>
          <c:order val="1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900000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900000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45-4B3B-8EED-8C45CAFBC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7872"/>
        <c:axId val="37090048"/>
      </c:scatterChart>
      <c:valAx>
        <c:axId val="37087872"/>
        <c:scaling>
          <c:orientation val="minMax"/>
          <c:max val="850000"/>
          <c:min val="150000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preços observados</a:t>
                </a:r>
              </a:p>
            </c:rich>
          </c:tx>
          <c:layout>
            <c:manualLayout>
              <c:xMode val="edge"/>
              <c:yMode val="edge"/>
              <c:x val="0.4195410147663261"/>
              <c:y val="0.880736575211962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7090048"/>
        <c:crosses val="autoZero"/>
        <c:crossBetween val="midCat"/>
      </c:valAx>
      <c:valAx>
        <c:axId val="37090048"/>
        <c:scaling>
          <c:orientation val="minMax"/>
          <c:max val="850000"/>
          <c:min val="1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valores estimados</a:t>
                </a:r>
              </a:p>
            </c:rich>
          </c:tx>
          <c:layout>
            <c:manualLayout>
              <c:xMode val="edge"/>
              <c:yMode val="edge"/>
              <c:x val="3.065139833909232E-2"/>
              <c:y val="0.27217206664536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70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7" Type="http://schemas.openxmlformats.org/officeDocument/2006/relationships/image" Target="../media/image11.emf"/><Relationship Id="rId2" Type="http://schemas.openxmlformats.org/officeDocument/2006/relationships/image" Target="../media/image6.emf"/><Relationship Id="rId1" Type="http://schemas.openxmlformats.org/officeDocument/2006/relationships/image" Target="../media/image1.emf"/><Relationship Id="rId6" Type="http://schemas.openxmlformats.org/officeDocument/2006/relationships/image" Target="../media/image10.wmf"/><Relationship Id="rId5" Type="http://schemas.openxmlformats.org/officeDocument/2006/relationships/image" Target="../media/image9.w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381000</xdr:colOff>
      <xdr:row>34</xdr:row>
      <xdr:rowOff>66675</xdr:rowOff>
    </xdr:from>
    <xdr:to>
      <xdr:col>36</xdr:col>
      <xdr:colOff>476250</xdr:colOff>
      <xdr:row>53</xdr:row>
      <xdr:rowOff>104775</xdr:rowOff>
    </xdr:to>
    <xdr:graphicFrame macro="">
      <xdr:nvGraphicFramePr>
        <xdr:cNvPr id="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19050</xdr:colOff>
          <xdr:row>74</xdr:row>
          <xdr:rowOff>57150</xdr:rowOff>
        </xdr:from>
        <xdr:to>
          <xdr:col>24</xdr:col>
          <xdr:colOff>352425</xdr:colOff>
          <xdr:row>77</xdr:row>
          <xdr:rowOff>28575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428625</xdr:colOff>
          <xdr:row>81</xdr:row>
          <xdr:rowOff>95250</xdr:rowOff>
        </xdr:from>
        <xdr:to>
          <xdr:col>24</xdr:col>
          <xdr:colOff>390525</xdr:colOff>
          <xdr:row>83</xdr:row>
          <xdr:rowOff>123825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561976</xdr:colOff>
      <xdr:row>28</xdr:row>
      <xdr:rowOff>47625</xdr:rowOff>
    </xdr:from>
    <xdr:to>
      <xdr:col>3</xdr:col>
      <xdr:colOff>219076</xdr:colOff>
      <xdr:row>31</xdr:row>
      <xdr:rowOff>108254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14451" y="4619625"/>
          <a:ext cx="971550" cy="5464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23</xdr:col>
          <xdr:colOff>552450</xdr:colOff>
          <xdr:row>27</xdr:row>
          <xdr:rowOff>9525</xdr:rowOff>
        </xdr:from>
        <xdr:to>
          <xdr:col>28</xdr:col>
          <xdr:colOff>133350</xdr:colOff>
          <xdr:row>30</xdr:row>
          <xdr:rowOff>66675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542925</xdr:colOff>
          <xdr:row>28</xdr:row>
          <xdr:rowOff>66675</xdr:rowOff>
        </xdr:from>
        <xdr:to>
          <xdr:col>8</xdr:col>
          <xdr:colOff>523875</xdr:colOff>
          <xdr:row>31</xdr:row>
          <xdr:rowOff>85725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381000</xdr:colOff>
      <xdr:row>34</xdr:row>
      <xdr:rowOff>66675</xdr:rowOff>
    </xdr:from>
    <xdr:to>
      <xdr:col>42</xdr:col>
      <xdr:colOff>476250</xdr:colOff>
      <xdr:row>53</xdr:row>
      <xdr:rowOff>104775</xdr:rowOff>
    </xdr:to>
    <xdr:graphicFrame macro="">
      <xdr:nvGraphicFramePr>
        <xdr:cNvPr id="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19050</xdr:colOff>
          <xdr:row>74</xdr:row>
          <xdr:rowOff>57150</xdr:rowOff>
        </xdr:from>
        <xdr:to>
          <xdr:col>30</xdr:col>
          <xdr:colOff>352425</xdr:colOff>
          <xdr:row>77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514350</xdr:colOff>
          <xdr:row>28</xdr:row>
          <xdr:rowOff>57150</xdr:rowOff>
        </xdr:from>
        <xdr:to>
          <xdr:col>9</xdr:col>
          <xdr:colOff>257175</xdr:colOff>
          <xdr:row>32</xdr:row>
          <xdr:rowOff>76200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247650</xdr:colOff>
          <xdr:row>28</xdr:row>
          <xdr:rowOff>19050</xdr:rowOff>
        </xdr:from>
        <xdr:to>
          <xdr:col>3</xdr:col>
          <xdr:colOff>390525</xdr:colOff>
          <xdr:row>32</xdr:row>
          <xdr:rowOff>76200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800100</xdr:colOff>
          <xdr:row>25</xdr:row>
          <xdr:rowOff>9525</xdr:rowOff>
        </xdr:from>
        <xdr:to>
          <xdr:col>17</xdr:col>
          <xdr:colOff>1257300</xdr:colOff>
          <xdr:row>27</xdr:row>
          <xdr:rowOff>66675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152400</xdr:colOff>
          <xdr:row>28</xdr:row>
          <xdr:rowOff>95250</xdr:rowOff>
        </xdr:from>
        <xdr:to>
          <xdr:col>16</xdr:col>
          <xdr:colOff>828675</xdr:colOff>
          <xdr:row>30</xdr:row>
          <xdr:rowOff>114300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19050</xdr:colOff>
          <xdr:row>30</xdr:row>
          <xdr:rowOff>85725</xdr:rowOff>
        </xdr:from>
        <xdr:to>
          <xdr:col>17</xdr:col>
          <xdr:colOff>1247775</xdr:colOff>
          <xdr:row>32</xdr:row>
          <xdr:rowOff>104775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31</xdr:col>
          <xdr:colOff>38100</xdr:colOff>
          <xdr:row>29</xdr:row>
          <xdr:rowOff>44450</xdr:rowOff>
        </xdr:from>
        <xdr:to>
          <xdr:col>35</xdr:col>
          <xdr:colOff>771525</xdr:colOff>
          <xdr:row>31</xdr:row>
          <xdr:rowOff>34925</xdr:rowOff>
        </xdr:to>
        <xdr:sp macro="" textlink="">
          <xdr:nvSpPr>
            <xdr:cNvPr id="6160" name="Objeto 4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9.w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12" Type="http://schemas.openxmlformats.org/officeDocument/2006/relationships/oleObject" Target="../embeddings/oleObject9.bin"/><Relationship Id="rId17" Type="http://schemas.openxmlformats.org/officeDocument/2006/relationships/image" Target="../media/image11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11.bin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8.emf"/><Relationship Id="rId5" Type="http://schemas.openxmlformats.org/officeDocument/2006/relationships/image" Target="../media/image1.emf"/><Relationship Id="rId15" Type="http://schemas.openxmlformats.org/officeDocument/2006/relationships/image" Target="../media/image10.w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7.emf"/><Relationship Id="rId14" Type="http://schemas.openxmlformats.org/officeDocument/2006/relationships/oleObject" Target="../embeddings/oleObject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B115"/>
  <sheetViews>
    <sheetView tabSelected="1" zoomScale="150" zoomScaleNormal="150" workbookViewId="0">
      <selection activeCell="D85" sqref="D85"/>
    </sheetView>
  </sheetViews>
  <sheetFormatPr defaultRowHeight="12.75" x14ac:dyDescent="0.2"/>
  <cols>
    <col min="1" max="1" width="11.28515625" bestFit="1" customWidth="1"/>
    <col min="3" max="3" width="10.5703125" customWidth="1"/>
    <col min="4" max="4" width="9.85546875" customWidth="1"/>
    <col min="5" max="5" width="12.7109375" customWidth="1"/>
    <col min="6" max="6" width="11.7109375" bestFit="1" customWidth="1"/>
    <col min="7" max="7" width="14" customWidth="1"/>
    <col min="8" max="8" width="12.28515625" customWidth="1"/>
    <col min="9" max="9" width="13.7109375" customWidth="1"/>
    <col min="10" max="10" width="14.28515625" customWidth="1"/>
    <col min="11" max="12" width="11.5703125" customWidth="1"/>
    <col min="13" max="13" width="12.5703125" customWidth="1"/>
    <col min="14" max="14" width="8.5703125" customWidth="1"/>
    <col min="15" max="15" width="16.140625" customWidth="1"/>
    <col min="17" max="17" width="16.140625" customWidth="1"/>
    <col min="18" max="18" width="11" customWidth="1"/>
    <col min="19" max="19" width="17.7109375" customWidth="1"/>
    <col min="20" max="20" width="11.85546875" customWidth="1"/>
    <col min="21" max="21" width="11" bestFit="1" customWidth="1"/>
    <col min="22" max="22" width="11" customWidth="1"/>
    <col min="23" max="23" width="11.85546875" customWidth="1"/>
    <col min="24" max="24" width="14.140625" customWidth="1"/>
    <col min="25" max="25" width="10.42578125" customWidth="1"/>
    <col min="26" max="27" width="14.5703125" customWidth="1"/>
    <col min="28" max="28" width="13.42578125" customWidth="1"/>
    <col min="29" max="29" width="15.28515625" customWidth="1"/>
    <col min="30" max="30" width="14.42578125" customWidth="1"/>
  </cols>
  <sheetData>
    <row r="4" spans="1:12" x14ac:dyDescent="0.2">
      <c r="C4" s="62" t="s">
        <v>59</v>
      </c>
    </row>
    <row r="6" spans="1:12" ht="13.5" thickBot="1" x14ac:dyDescent="0.25"/>
    <row r="7" spans="1:12" x14ac:dyDescent="0.2">
      <c r="C7" s="82" t="s">
        <v>71</v>
      </c>
      <c r="D7" s="4" t="s">
        <v>14</v>
      </c>
      <c r="E7" s="4" t="s">
        <v>16</v>
      </c>
      <c r="F7" s="3" t="s">
        <v>5</v>
      </c>
      <c r="G7" s="3" t="s">
        <v>1</v>
      </c>
      <c r="H7" s="3" t="s">
        <v>2</v>
      </c>
      <c r="I7" s="3" t="s">
        <v>9</v>
      </c>
      <c r="J7" s="3" t="s">
        <v>11</v>
      </c>
      <c r="K7" s="5" t="s">
        <v>56</v>
      </c>
      <c r="L7" s="38"/>
    </row>
    <row r="8" spans="1:12" ht="13.5" thickBot="1" x14ac:dyDescent="0.25">
      <c r="C8" s="6"/>
      <c r="D8" s="8" t="s">
        <v>15</v>
      </c>
      <c r="E8" s="8" t="s">
        <v>17</v>
      </c>
      <c r="F8" s="7" t="s">
        <v>6</v>
      </c>
      <c r="G8" s="7" t="s">
        <v>7</v>
      </c>
      <c r="H8" s="7" t="s">
        <v>8</v>
      </c>
      <c r="I8" s="7" t="s">
        <v>10</v>
      </c>
      <c r="J8" s="7" t="s">
        <v>12</v>
      </c>
      <c r="K8" s="9" t="s">
        <v>62</v>
      </c>
      <c r="L8" s="38"/>
    </row>
    <row r="9" spans="1:12" x14ac:dyDescent="0.2">
      <c r="A9" s="72"/>
      <c r="B9" s="71"/>
      <c r="C9" s="82" t="s">
        <v>81</v>
      </c>
      <c r="D9" s="84">
        <v>420000</v>
      </c>
      <c r="E9" s="85">
        <v>440</v>
      </c>
      <c r="F9" s="3" t="s">
        <v>18</v>
      </c>
      <c r="G9" s="86">
        <v>16</v>
      </c>
      <c r="H9" s="87">
        <f>E9/G9</f>
        <v>27.5</v>
      </c>
      <c r="I9" s="3" t="s">
        <v>19</v>
      </c>
      <c r="J9" s="3" t="s">
        <v>20</v>
      </c>
      <c r="K9" s="53">
        <v>285.33</v>
      </c>
      <c r="L9" s="29"/>
    </row>
    <row r="10" spans="1:12" x14ac:dyDescent="0.2">
      <c r="A10" s="72"/>
      <c r="B10" s="71"/>
      <c r="C10" s="83" t="s">
        <v>82</v>
      </c>
      <c r="D10" s="48">
        <v>590000</v>
      </c>
      <c r="E10" s="11">
        <v>550</v>
      </c>
      <c r="F10" s="13" t="s">
        <v>6</v>
      </c>
      <c r="G10" s="14">
        <v>10</v>
      </c>
      <c r="H10" s="50">
        <f t="shared" ref="H10:H27" si="0">E10/G10</f>
        <v>55</v>
      </c>
      <c r="I10" s="13" t="s">
        <v>23</v>
      </c>
      <c r="J10" s="13" t="s">
        <v>20</v>
      </c>
      <c r="K10" s="22">
        <v>285.33</v>
      </c>
      <c r="L10" s="29"/>
    </row>
    <row r="11" spans="1:12" x14ac:dyDescent="0.2">
      <c r="A11" s="72"/>
      <c r="B11" s="71"/>
      <c r="C11" s="83" t="s">
        <v>83</v>
      </c>
      <c r="D11" s="48">
        <v>220000</v>
      </c>
      <c r="E11" s="11">
        <v>450</v>
      </c>
      <c r="F11" s="13" t="s">
        <v>18</v>
      </c>
      <c r="G11" s="14">
        <v>15</v>
      </c>
      <c r="H11" s="50">
        <f t="shared" si="0"/>
        <v>30</v>
      </c>
      <c r="I11" s="13" t="s">
        <v>24</v>
      </c>
      <c r="J11" s="13" t="s">
        <v>21</v>
      </c>
      <c r="K11" s="22">
        <v>204.75</v>
      </c>
      <c r="L11" s="29"/>
    </row>
    <row r="12" spans="1:12" x14ac:dyDescent="0.2">
      <c r="A12" s="72"/>
      <c r="B12" s="71"/>
      <c r="C12" s="83" t="s">
        <v>84</v>
      </c>
      <c r="D12" s="48">
        <v>415000</v>
      </c>
      <c r="E12" s="11">
        <v>525</v>
      </c>
      <c r="F12" s="13" t="s">
        <v>6</v>
      </c>
      <c r="G12" s="14">
        <v>15</v>
      </c>
      <c r="H12" s="50">
        <f t="shared" si="0"/>
        <v>35</v>
      </c>
      <c r="I12" s="16" t="s">
        <v>65</v>
      </c>
      <c r="J12" s="13" t="s">
        <v>20</v>
      </c>
      <c r="K12" s="22">
        <v>189.1</v>
      </c>
      <c r="L12" s="29"/>
    </row>
    <row r="13" spans="1:12" x14ac:dyDescent="0.2">
      <c r="A13" s="72"/>
      <c r="B13" s="71"/>
      <c r="C13" s="83" t="s">
        <v>85</v>
      </c>
      <c r="D13" s="48">
        <v>260000</v>
      </c>
      <c r="E13" s="11">
        <v>1050</v>
      </c>
      <c r="F13" s="13" t="s">
        <v>6</v>
      </c>
      <c r="G13" s="14">
        <v>20</v>
      </c>
      <c r="H13" s="50">
        <f t="shared" si="0"/>
        <v>52.5</v>
      </c>
      <c r="I13" s="13" t="s">
        <v>19</v>
      </c>
      <c r="J13" s="13" t="s">
        <v>21</v>
      </c>
      <c r="K13" s="22">
        <v>197.95</v>
      </c>
      <c r="L13" s="29"/>
    </row>
    <row r="14" spans="1:12" x14ac:dyDescent="0.2">
      <c r="A14" s="72"/>
      <c r="B14" s="71"/>
      <c r="C14" s="83" t="s">
        <v>86</v>
      </c>
      <c r="D14" s="48">
        <v>250000</v>
      </c>
      <c r="E14" s="11">
        <v>360</v>
      </c>
      <c r="F14" s="13" t="s">
        <v>6</v>
      </c>
      <c r="G14" s="14">
        <v>12</v>
      </c>
      <c r="H14" s="50">
        <f t="shared" si="0"/>
        <v>30</v>
      </c>
      <c r="I14" s="13" t="s">
        <v>66</v>
      </c>
      <c r="J14" s="13" t="s">
        <v>20</v>
      </c>
      <c r="K14" s="22">
        <v>209.39</v>
      </c>
      <c r="L14" s="29"/>
    </row>
    <row r="15" spans="1:12" x14ac:dyDescent="0.2">
      <c r="A15" s="72"/>
      <c r="B15" s="71"/>
      <c r="C15" s="83" t="s">
        <v>87</v>
      </c>
      <c r="D15" s="48">
        <v>650000</v>
      </c>
      <c r="E15" s="11">
        <v>1200</v>
      </c>
      <c r="F15" s="13" t="s">
        <v>18</v>
      </c>
      <c r="G15" s="14">
        <v>20</v>
      </c>
      <c r="H15" s="50">
        <f t="shared" si="0"/>
        <v>60</v>
      </c>
      <c r="I15" s="13" t="s">
        <v>67</v>
      </c>
      <c r="J15" s="13" t="s">
        <v>20</v>
      </c>
      <c r="K15" s="22">
        <v>172.4</v>
      </c>
      <c r="L15" s="29"/>
    </row>
    <row r="16" spans="1:12" x14ac:dyDescent="0.2">
      <c r="A16" s="72"/>
      <c r="B16" s="71"/>
      <c r="C16" s="83" t="s">
        <v>88</v>
      </c>
      <c r="D16" s="48">
        <v>250000</v>
      </c>
      <c r="E16" s="11">
        <v>440</v>
      </c>
      <c r="F16" s="13" t="s">
        <v>6</v>
      </c>
      <c r="G16" s="14">
        <v>11</v>
      </c>
      <c r="H16" s="50">
        <f t="shared" si="0"/>
        <v>40</v>
      </c>
      <c r="I16" s="13" t="s">
        <v>68</v>
      </c>
      <c r="J16" s="13" t="s">
        <v>64</v>
      </c>
      <c r="K16" s="22">
        <v>204.75</v>
      </c>
      <c r="L16" s="29"/>
    </row>
    <row r="17" spans="1:12" x14ac:dyDescent="0.2">
      <c r="A17" s="72"/>
      <c r="B17" s="71"/>
      <c r="C17" s="83" t="s">
        <v>89</v>
      </c>
      <c r="D17" s="48">
        <v>330000</v>
      </c>
      <c r="E17" s="11">
        <v>595</v>
      </c>
      <c r="F17" s="13" t="s">
        <v>18</v>
      </c>
      <c r="G17" s="14">
        <v>17</v>
      </c>
      <c r="H17" s="50">
        <f t="shared" si="0"/>
        <v>35</v>
      </c>
      <c r="I17" s="13" t="s">
        <v>27</v>
      </c>
      <c r="J17" s="13" t="s">
        <v>20</v>
      </c>
      <c r="K17" s="22">
        <v>189.1</v>
      </c>
      <c r="L17" s="29"/>
    </row>
    <row r="18" spans="1:12" x14ac:dyDescent="0.2">
      <c r="A18" s="72"/>
      <c r="B18" s="71"/>
      <c r="C18" s="83" t="s">
        <v>72</v>
      </c>
      <c r="D18" s="48">
        <v>400000</v>
      </c>
      <c r="E18" s="11">
        <v>450</v>
      </c>
      <c r="F18" s="13" t="s">
        <v>18</v>
      </c>
      <c r="G18" s="14">
        <v>15</v>
      </c>
      <c r="H18" s="50">
        <f t="shared" si="0"/>
        <v>30</v>
      </c>
      <c r="I18" s="13" t="s">
        <v>22</v>
      </c>
      <c r="J18" s="13" t="s">
        <v>20</v>
      </c>
      <c r="K18" s="22">
        <v>172.4</v>
      </c>
      <c r="L18" s="29"/>
    </row>
    <row r="19" spans="1:12" x14ac:dyDescent="0.2">
      <c r="A19" s="72"/>
      <c r="B19" s="71"/>
      <c r="C19" s="83" t="s">
        <v>73</v>
      </c>
      <c r="D19" s="48">
        <v>420000</v>
      </c>
      <c r="E19" s="11">
        <v>600</v>
      </c>
      <c r="F19" s="13" t="s">
        <v>6</v>
      </c>
      <c r="G19" s="14">
        <v>15</v>
      </c>
      <c r="H19" s="50">
        <f t="shared" si="0"/>
        <v>40</v>
      </c>
      <c r="I19" s="13" t="s">
        <v>25</v>
      </c>
      <c r="J19" s="13" t="s">
        <v>20</v>
      </c>
      <c r="K19" s="22">
        <v>209.39</v>
      </c>
      <c r="L19" s="29"/>
    </row>
    <row r="20" spans="1:12" x14ac:dyDescent="0.2">
      <c r="A20" s="72"/>
      <c r="B20" s="71"/>
      <c r="C20" s="83" t="s">
        <v>74</v>
      </c>
      <c r="D20" s="48">
        <v>310000</v>
      </c>
      <c r="E20" s="11">
        <v>450</v>
      </c>
      <c r="F20" s="13" t="s">
        <v>18</v>
      </c>
      <c r="G20" s="14">
        <v>12</v>
      </c>
      <c r="H20" s="50">
        <f t="shared" si="0"/>
        <v>37.5</v>
      </c>
      <c r="I20" s="13" t="s">
        <v>19</v>
      </c>
      <c r="J20" s="13" t="s">
        <v>20</v>
      </c>
      <c r="K20" s="22">
        <v>197.95</v>
      </c>
      <c r="L20" s="29"/>
    </row>
    <row r="21" spans="1:12" x14ac:dyDescent="0.2">
      <c r="A21" s="72"/>
      <c r="B21" s="71"/>
      <c r="C21" s="83" t="s">
        <v>75</v>
      </c>
      <c r="D21" s="48">
        <v>350000</v>
      </c>
      <c r="E21" s="11">
        <v>580</v>
      </c>
      <c r="F21" s="13" t="s">
        <v>18</v>
      </c>
      <c r="G21" s="14">
        <v>20</v>
      </c>
      <c r="H21" s="50">
        <f t="shared" si="0"/>
        <v>29</v>
      </c>
      <c r="I21" s="13" t="s">
        <v>19</v>
      </c>
      <c r="J21" s="13" t="s">
        <v>64</v>
      </c>
      <c r="K21" s="22">
        <v>285.33</v>
      </c>
      <c r="L21" s="29"/>
    </row>
    <row r="22" spans="1:12" x14ac:dyDescent="0.2">
      <c r="A22" s="72"/>
      <c r="B22" s="71"/>
      <c r="C22" s="83" t="s">
        <v>76</v>
      </c>
      <c r="D22" s="48">
        <v>500000</v>
      </c>
      <c r="E22" s="11">
        <v>770</v>
      </c>
      <c r="F22" s="13" t="s">
        <v>18</v>
      </c>
      <c r="G22" s="14">
        <v>22</v>
      </c>
      <c r="H22" s="50">
        <f t="shared" si="0"/>
        <v>35</v>
      </c>
      <c r="I22" s="13" t="s">
        <v>26</v>
      </c>
      <c r="J22" s="13" t="s">
        <v>20</v>
      </c>
      <c r="K22" s="22">
        <v>209.39</v>
      </c>
      <c r="L22" s="29"/>
    </row>
    <row r="23" spans="1:12" x14ac:dyDescent="0.2">
      <c r="A23" s="72"/>
      <c r="B23" s="71"/>
      <c r="C23" s="83" t="s">
        <v>77</v>
      </c>
      <c r="D23" s="48">
        <v>530000</v>
      </c>
      <c r="E23" s="11">
        <v>750</v>
      </c>
      <c r="F23" s="13" t="s">
        <v>6</v>
      </c>
      <c r="G23" s="14">
        <v>25</v>
      </c>
      <c r="H23" s="50">
        <f t="shared" si="0"/>
        <v>30</v>
      </c>
      <c r="I23" s="13" t="s">
        <v>19</v>
      </c>
      <c r="J23" s="13" t="s">
        <v>20</v>
      </c>
      <c r="K23" s="22">
        <v>197.95</v>
      </c>
      <c r="L23" s="29"/>
    </row>
    <row r="24" spans="1:12" x14ac:dyDescent="0.2">
      <c r="A24" s="72"/>
      <c r="B24" s="71"/>
      <c r="C24" s="83" t="s">
        <v>78</v>
      </c>
      <c r="D24" s="48">
        <v>490000</v>
      </c>
      <c r="E24" s="11">
        <v>720</v>
      </c>
      <c r="F24" s="13" t="s">
        <v>18</v>
      </c>
      <c r="G24" s="14">
        <v>20</v>
      </c>
      <c r="H24" s="50">
        <f t="shared" si="0"/>
        <v>36</v>
      </c>
      <c r="I24" s="13" t="s">
        <v>19</v>
      </c>
      <c r="J24" s="13" t="s">
        <v>20</v>
      </c>
      <c r="K24" s="22">
        <v>197.95</v>
      </c>
      <c r="L24" s="29"/>
    </row>
    <row r="25" spans="1:12" x14ac:dyDescent="0.2">
      <c r="A25" s="72"/>
      <c r="B25" s="71"/>
      <c r="C25" s="83" t="s">
        <v>79</v>
      </c>
      <c r="D25" s="48">
        <v>370000</v>
      </c>
      <c r="E25" s="11">
        <v>480</v>
      </c>
      <c r="F25" s="13" t="s">
        <v>6</v>
      </c>
      <c r="G25" s="14">
        <v>16</v>
      </c>
      <c r="H25" s="50">
        <f t="shared" si="0"/>
        <v>30</v>
      </c>
      <c r="I25" s="13" t="s">
        <v>19</v>
      </c>
      <c r="J25" s="13" t="s">
        <v>64</v>
      </c>
      <c r="K25" s="22">
        <v>285.33</v>
      </c>
      <c r="L25" s="29"/>
    </row>
    <row r="26" spans="1:12" ht="13.5" thickBot="1" x14ac:dyDescent="0.25">
      <c r="A26" s="72"/>
      <c r="B26" s="71"/>
      <c r="C26" s="66" t="s">
        <v>80</v>
      </c>
      <c r="D26" s="49">
        <v>780000</v>
      </c>
      <c r="E26" s="17">
        <v>1100</v>
      </c>
      <c r="F26" s="7" t="s">
        <v>18</v>
      </c>
      <c r="G26" s="18">
        <v>20</v>
      </c>
      <c r="H26" s="51">
        <f t="shared" si="0"/>
        <v>55</v>
      </c>
      <c r="I26" s="7" t="s">
        <v>19</v>
      </c>
      <c r="J26" s="7" t="s">
        <v>64</v>
      </c>
      <c r="K26" s="25">
        <v>285.33</v>
      </c>
      <c r="L26" s="29"/>
    </row>
    <row r="27" spans="1:12" ht="13.5" thickBot="1" x14ac:dyDescent="0.25">
      <c r="C27" s="68" t="s">
        <v>54</v>
      </c>
      <c r="D27" s="110" t="s">
        <v>31</v>
      </c>
      <c r="E27" s="70">
        <v>600</v>
      </c>
      <c r="F27" s="69"/>
      <c r="G27" s="69">
        <v>12</v>
      </c>
      <c r="H27" s="88">
        <f t="shared" si="0"/>
        <v>50</v>
      </c>
      <c r="I27" s="69" t="s">
        <v>27</v>
      </c>
      <c r="J27" s="69" t="s">
        <v>20</v>
      </c>
      <c r="K27" s="89">
        <v>209.39</v>
      </c>
      <c r="L27" s="29"/>
    </row>
    <row r="28" spans="1:12" x14ac:dyDescent="0.2">
      <c r="C28" s="1" t="s">
        <v>124</v>
      </c>
      <c r="D28" s="1"/>
    </row>
    <row r="30" spans="1:12" x14ac:dyDescent="0.2">
      <c r="D30" s="111" t="s">
        <v>95</v>
      </c>
      <c r="E30" s="156">
        <v>15</v>
      </c>
      <c r="G30" s="120" t="s">
        <v>123</v>
      </c>
      <c r="H30" s="156">
        <v>30</v>
      </c>
    </row>
    <row r="31" spans="1:12" x14ac:dyDescent="0.2">
      <c r="D31" s="111" t="s">
        <v>96</v>
      </c>
      <c r="E31" s="156">
        <v>0.15</v>
      </c>
      <c r="G31" s="111" t="s">
        <v>121</v>
      </c>
      <c r="H31" s="156">
        <v>0.5</v>
      </c>
    </row>
    <row r="33" spans="3:28" ht="13.5" thickBot="1" x14ac:dyDescent="0.25">
      <c r="O33" s="119" t="s">
        <v>117</v>
      </c>
      <c r="Q33" s="119"/>
    </row>
    <row r="34" spans="3:28" ht="13.5" customHeight="1" thickBot="1" x14ac:dyDescent="0.25">
      <c r="C34" s="233" t="s">
        <v>71</v>
      </c>
      <c r="D34" s="236" t="s">
        <v>70</v>
      </c>
      <c r="E34" s="166" t="s">
        <v>125</v>
      </c>
      <c r="F34" s="230" t="s">
        <v>69</v>
      </c>
      <c r="G34" s="144" t="s">
        <v>115</v>
      </c>
      <c r="H34" s="80"/>
      <c r="I34" s="80"/>
      <c r="J34" s="80"/>
      <c r="K34" s="80"/>
      <c r="L34" s="73"/>
      <c r="M34" s="227" t="s">
        <v>120</v>
      </c>
      <c r="N34" s="148"/>
      <c r="O34" s="224" t="s">
        <v>127</v>
      </c>
      <c r="P34" s="221" t="s">
        <v>120</v>
      </c>
    </row>
    <row r="35" spans="3:28" x14ac:dyDescent="0.2">
      <c r="C35" s="234"/>
      <c r="D35" s="237"/>
      <c r="E35" s="167"/>
      <c r="F35" s="231"/>
      <c r="G35" s="164"/>
      <c r="H35" s="74"/>
      <c r="I35" s="74"/>
      <c r="J35" s="74"/>
      <c r="K35" s="74"/>
      <c r="L35" s="143"/>
      <c r="M35" s="228"/>
      <c r="N35" s="149"/>
      <c r="O35" s="225"/>
      <c r="P35" s="222"/>
      <c r="S35" s="2" t="s">
        <v>71</v>
      </c>
      <c r="T35" s="3" t="s">
        <v>14</v>
      </c>
      <c r="U35" s="4" t="s">
        <v>60</v>
      </c>
      <c r="V35" s="46" t="s">
        <v>118</v>
      </c>
      <c r="W35" s="109"/>
      <c r="X35" s="5" t="s">
        <v>40</v>
      </c>
      <c r="Y35" s="38"/>
      <c r="Z35" s="2" t="s">
        <v>0</v>
      </c>
      <c r="AA35" s="3" t="s">
        <v>3</v>
      </c>
      <c r="AB35" s="5" t="s">
        <v>14</v>
      </c>
    </row>
    <row r="36" spans="3:28" ht="13.5" thickBot="1" x14ac:dyDescent="0.25">
      <c r="C36" s="235"/>
      <c r="D36" s="238"/>
      <c r="E36" s="168" t="s">
        <v>29</v>
      </c>
      <c r="F36" s="232"/>
      <c r="G36" s="165" t="s">
        <v>28</v>
      </c>
      <c r="H36" s="75" t="s">
        <v>30</v>
      </c>
      <c r="I36" s="75" t="s">
        <v>45</v>
      </c>
      <c r="J36" s="75" t="s">
        <v>44</v>
      </c>
      <c r="K36" s="140" t="s">
        <v>128</v>
      </c>
      <c r="L36" s="171" t="s">
        <v>126</v>
      </c>
      <c r="M36" s="229"/>
      <c r="N36" s="149"/>
      <c r="O36" s="226"/>
      <c r="P36" s="223"/>
      <c r="S36" s="6"/>
      <c r="T36" s="7" t="s">
        <v>4</v>
      </c>
      <c r="U36" s="8" t="s">
        <v>33</v>
      </c>
      <c r="V36" s="8" t="s">
        <v>48</v>
      </c>
      <c r="W36" s="8" t="s">
        <v>37</v>
      </c>
      <c r="X36" s="9" t="s">
        <v>41</v>
      </c>
      <c r="Z36" s="6" t="s">
        <v>13</v>
      </c>
      <c r="AA36" s="7" t="s">
        <v>52</v>
      </c>
      <c r="AB36" s="59" t="s">
        <v>61</v>
      </c>
    </row>
    <row r="37" spans="3:28" x14ac:dyDescent="0.2">
      <c r="C37" s="83" t="s">
        <v>81</v>
      </c>
      <c r="D37" s="145">
        <f>D9/E9</f>
        <v>954.5454545454545</v>
      </c>
      <c r="E37" s="169">
        <v>1</v>
      </c>
      <c r="F37" s="81">
        <f>D37*E37</f>
        <v>954.5454545454545</v>
      </c>
      <c r="G37" s="54">
        <f t="shared" ref="G37:G55" si="1">(G9/$E$30)^$E$31</f>
        <v>1.0097277884799631</v>
      </c>
      <c r="H37" s="12">
        <f>(H9/H30)^0.5</f>
        <v>0.9574271077563381</v>
      </c>
      <c r="I37" s="12">
        <v>1</v>
      </c>
      <c r="J37" s="12">
        <v>1</v>
      </c>
      <c r="K37" s="12">
        <f>K9/$K$27</f>
        <v>1.3626725249534362</v>
      </c>
      <c r="L37" s="22">
        <f>(G37*H37*I37*J37*K37)</f>
        <v>1.3173510671522843</v>
      </c>
      <c r="M37" s="63">
        <f t="shared" ref="M37:M54" si="2">F37/L37</f>
        <v>724.59458860035988</v>
      </c>
      <c r="N37" s="150"/>
      <c r="O37" s="159">
        <f>E37/L37</f>
        <v>0.75909909281942467</v>
      </c>
      <c r="P37" s="153">
        <f t="shared" ref="P37:P54" si="3">D37*O37</f>
        <v>724.59458860035988</v>
      </c>
      <c r="Q37" s="27"/>
      <c r="R37" s="26"/>
      <c r="S37" s="82" t="s">
        <v>81</v>
      </c>
      <c r="T37" s="54">
        <f t="shared" ref="T37:T54" si="4">D37</f>
        <v>954.5454545454545</v>
      </c>
      <c r="U37" s="47">
        <f t="shared" ref="U37:U54" si="5">M37</f>
        <v>724.59458860035988</v>
      </c>
      <c r="V37" s="47">
        <f>U37</f>
        <v>724.59458860035988</v>
      </c>
      <c r="W37" s="112">
        <f>V37</f>
        <v>724.59458860035988</v>
      </c>
      <c r="X37" s="22">
        <f>U37</f>
        <v>724.59458860035988</v>
      </c>
      <c r="Z37" s="82" t="s">
        <v>81</v>
      </c>
      <c r="AA37" s="161">
        <f>D9</f>
        <v>420000</v>
      </c>
      <c r="AB37" s="67">
        <f>$X$55*E9*L37/E37</f>
        <v>426682.38716420461</v>
      </c>
    </row>
    <row r="38" spans="3:28" x14ac:dyDescent="0.2">
      <c r="C38" s="83" t="s">
        <v>82</v>
      </c>
      <c r="D38" s="145">
        <f t="shared" ref="D38:D54" si="6">D10/E10</f>
        <v>1072.7272727272727</v>
      </c>
      <c r="E38" s="170">
        <v>0.9</v>
      </c>
      <c r="F38" s="81">
        <f t="shared" ref="F38:F54" si="7">D38*E38</f>
        <v>965.4545454545455</v>
      </c>
      <c r="G38" s="54">
        <f t="shared" si="1"/>
        <v>0.94099282319024946</v>
      </c>
      <c r="H38" s="12">
        <v>1</v>
      </c>
      <c r="I38" s="12">
        <v>0.9</v>
      </c>
      <c r="J38" s="12">
        <v>1</v>
      </c>
      <c r="K38" s="12">
        <f t="shared" ref="K38:K55" si="8">K10/$K$27</f>
        <v>1.3626725249534362</v>
      </c>
      <c r="L38" s="22">
        <f t="shared" ref="L38:L55" si="9">(G38*H38*I38*J38*K38)</f>
        <v>1.1540385597057476</v>
      </c>
      <c r="M38" s="64">
        <f t="shared" si="2"/>
        <v>836.58777025675249</v>
      </c>
      <c r="N38" s="150"/>
      <c r="O38" s="158">
        <f t="shared" ref="O38:O54" si="10">E38/L38</f>
        <v>0.7798699553240912</v>
      </c>
      <c r="P38" s="153">
        <f t="shared" si="3"/>
        <v>836.58777025675238</v>
      </c>
      <c r="Q38" s="27"/>
      <c r="R38" s="26"/>
      <c r="S38" s="83" t="s">
        <v>82</v>
      </c>
      <c r="T38" s="54">
        <f t="shared" si="4"/>
        <v>1072.7272727272727</v>
      </c>
      <c r="U38" s="47">
        <f t="shared" si="5"/>
        <v>836.58777025675249</v>
      </c>
      <c r="V38" s="47">
        <f t="shared" ref="V38:W54" si="11">U38</f>
        <v>836.58777025675249</v>
      </c>
      <c r="W38" s="112">
        <f t="shared" si="11"/>
        <v>836.58777025675249</v>
      </c>
      <c r="X38" s="22">
        <f t="shared" ref="X38:X54" si="12">U38</f>
        <v>836.58777025675249</v>
      </c>
      <c r="Z38" s="83" t="s">
        <v>82</v>
      </c>
      <c r="AA38" s="162">
        <f>D10</f>
        <v>590000</v>
      </c>
      <c r="AB38" s="60">
        <f t="shared" ref="AB38:AB54" si="13">$X$55*E10*L38/E38</f>
        <v>519147.7931788211</v>
      </c>
    </row>
    <row r="39" spans="3:28" x14ac:dyDescent="0.2">
      <c r="C39" s="83" t="s">
        <v>83</v>
      </c>
      <c r="D39" s="145">
        <f t="shared" si="6"/>
        <v>488.88888888888891</v>
      </c>
      <c r="E39" s="170">
        <v>1</v>
      </c>
      <c r="F39" s="81">
        <f t="shared" si="7"/>
        <v>488.88888888888891</v>
      </c>
      <c r="G39" s="54">
        <f t="shared" si="1"/>
        <v>1</v>
      </c>
      <c r="H39" s="12">
        <v>1</v>
      </c>
      <c r="I39" s="12">
        <v>0.95</v>
      </c>
      <c r="J39" s="12">
        <v>0.6</v>
      </c>
      <c r="K39" s="12">
        <f t="shared" si="8"/>
        <v>0.97784039352404606</v>
      </c>
      <c r="L39" s="22">
        <f t="shared" si="9"/>
        <v>0.55736902430870616</v>
      </c>
      <c r="M39" s="64">
        <f t="shared" si="2"/>
        <v>877.13681163973581</v>
      </c>
      <c r="N39" s="150"/>
      <c r="O39" s="158">
        <f t="shared" si="10"/>
        <v>1.7941434783540049</v>
      </c>
      <c r="P39" s="153">
        <f t="shared" si="3"/>
        <v>877.13681163973581</v>
      </c>
      <c r="Q39" s="27"/>
      <c r="R39" s="27"/>
      <c r="S39" s="83" t="s">
        <v>83</v>
      </c>
      <c r="T39" s="54">
        <f t="shared" si="4"/>
        <v>488.88888888888891</v>
      </c>
      <c r="U39" s="47">
        <f t="shared" si="5"/>
        <v>877.13681163973581</v>
      </c>
      <c r="V39" s="47">
        <f t="shared" si="11"/>
        <v>877.13681163973581</v>
      </c>
      <c r="W39" s="112">
        <f t="shared" si="11"/>
        <v>877.13681163973581</v>
      </c>
      <c r="X39" s="22">
        <f t="shared" si="12"/>
        <v>877.13681163973581</v>
      </c>
      <c r="Z39" s="83" t="s">
        <v>83</v>
      </c>
      <c r="AA39" s="162">
        <f>D11</f>
        <v>220000</v>
      </c>
      <c r="AB39" s="60">
        <f t="shared" si="13"/>
        <v>184631.52425040765</v>
      </c>
    </row>
    <row r="40" spans="3:28" x14ac:dyDescent="0.2">
      <c r="C40" s="83" t="s">
        <v>84</v>
      </c>
      <c r="D40" s="145">
        <f t="shared" si="6"/>
        <v>790.47619047619048</v>
      </c>
      <c r="E40" s="170">
        <v>0.9</v>
      </c>
      <c r="F40" s="81">
        <f t="shared" si="7"/>
        <v>711.42857142857144</v>
      </c>
      <c r="G40" s="54">
        <f t="shared" si="1"/>
        <v>1</v>
      </c>
      <c r="H40" s="12">
        <v>1</v>
      </c>
      <c r="I40" s="12">
        <v>0.95</v>
      </c>
      <c r="J40" s="12">
        <v>1</v>
      </c>
      <c r="K40" s="12">
        <f t="shared" si="8"/>
        <v>0.90309947944027891</v>
      </c>
      <c r="L40" s="22">
        <f t="shared" si="9"/>
        <v>0.85794450546826495</v>
      </c>
      <c r="M40" s="64">
        <f t="shared" si="2"/>
        <v>829.22446253126213</v>
      </c>
      <c r="N40" s="150"/>
      <c r="O40" s="158">
        <f t="shared" si="10"/>
        <v>1.0490188983829218</v>
      </c>
      <c r="P40" s="153">
        <f t="shared" si="3"/>
        <v>829.22446253126202</v>
      </c>
      <c r="Q40" s="27"/>
      <c r="R40" s="27"/>
      <c r="S40" s="83" t="s">
        <v>84</v>
      </c>
      <c r="T40" s="54">
        <f t="shared" si="4"/>
        <v>790.47619047619048</v>
      </c>
      <c r="U40" s="47">
        <f t="shared" si="5"/>
        <v>829.22446253126213</v>
      </c>
      <c r="V40" s="47">
        <f t="shared" si="11"/>
        <v>829.22446253126213</v>
      </c>
      <c r="W40" s="112">
        <f t="shared" si="11"/>
        <v>829.22446253126213</v>
      </c>
      <c r="X40" s="22">
        <f t="shared" si="12"/>
        <v>829.22446253126213</v>
      </c>
      <c r="Z40" s="83" t="s">
        <v>84</v>
      </c>
      <c r="AA40" s="162">
        <f>D12</f>
        <v>415000</v>
      </c>
      <c r="AB40" s="60">
        <f t="shared" si="13"/>
        <v>368405.83766753285</v>
      </c>
    </row>
    <row r="41" spans="3:28" x14ac:dyDescent="0.2">
      <c r="C41" s="83" t="s">
        <v>85</v>
      </c>
      <c r="D41" s="145">
        <f t="shared" si="6"/>
        <v>247.61904761904762</v>
      </c>
      <c r="E41" s="170">
        <v>0.9</v>
      </c>
      <c r="F41" s="81">
        <f t="shared" si="7"/>
        <v>222.85714285714286</v>
      </c>
      <c r="G41" s="54">
        <f t="shared" si="1"/>
        <v>1.044096910046836</v>
      </c>
      <c r="H41" s="12">
        <v>1</v>
      </c>
      <c r="I41" s="12">
        <v>1</v>
      </c>
      <c r="J41" s="12">
        <v>0.6</v>
      </c>
      <c r="K41" s="12">
        <f t="shared" si="8"/>
        <v>0.94536510817135488</v>
      </c>
      <c r="L41" s="22">
        <f t="shared" si="9"/>
        <v>0.59223167298468271</v>
      </c>
      <c r="M41" s="64">
        <f t="shared" si="2"/>
        <v>376.30061515285888</v>
      </c>
      <c r="N41" s="150"/>
      <c r="O41" s="158">
        <f t="shared" si="10"/>
        <v>1.5196755611942379</v>
      </c>
      <c r="P41" s="153">
        <f t="shared" si="3"/>
        <v>376.30061515285888</v>
      </c>
      <c r="Q41" s="27"/>
      <c r="R41" s="27"/>
      <c r="S41" s="83" t="s">
        <v>85</v>
      </c>
      <c r="T41" s="54">
        <f t="shared" si="4"/>
        <v>247.61904761904762</v>
      </c>
      <c r="U41" s="47">
        <f t="shared" si="5"/>
        <v>376.30061515285888</v>
      </c>
      <c r="V41" s="54" t="s">
        <v>36</v>
      </c>
      <c r="W41" s="54" t="str">
        <f t="shared" si="11"/>
        <v>Excluir</v>
      </c>
      <c r="X41" s="22" t="s">
        <v>32</v>
      </c>
      <c r="Z41" s="83" t="s">
        <v>85</v>
      </c>
      <c r="AA41" s="162"/>
      <c r="AB41" s="60"/>
    </row>
    <row r="42" spans="3:28" x14ac:dyDescent="0.2">
      <c r="C42" s="83" t="s">
        <v>86</v>
      </c>
      <c r="D42" s="145">
        <f t="shared" si="6"/>
        <v>694.44444444444446</v>
      </c>
      <c r="E42" s="170">
        <v>0.9</v>
      </c>
      <c r="F42" s="81">
        <f t="shared" si="7"/>
        <v>625</v>
      </c>
      <c r="G42" s="54">
        <f t="shared" si="1"/>
        <v>0.96708244106829966</v>
      </c>
      <c r="H42" s="12">
        <v>1</v>
      </c>
      <c r="I42" s="12">
        <v>0.8</v>
      </c>
      <c r="J42" s="12">
        <v>1</v>
      </c>
      <c r="K42" s="12">
        <f t="shared" si="8"/>
        <v>1</v>
      </c>
      <c r="L42" s="22">
        <f t="shared" si="9"/>
        <v>0.77366595285463979</v>
      </c>
      <c r="M42" s="64">
        <f t="shared" si="2"/>
        <v>807.84219299544145</v>
      </c>
      <c r="N42" s="150"/>
      <c r="O42" s="158">
        <f t="shared" si="10"/>
        <v>1.1632927579134356</v>
      </c>
      <c r="P42" s="153">
        <f t="shared" si="3"/>
        <v>807.84219299544134</v>
      </c>
      <c r="Q42" s="27"/>
      <c r="R42" s="27"/>
      <c r="S42" s="83" t="s">
        <v>86</v>
      </c>
      <c r="T42" s="54">
        <f t="shared" si="4"/>
        <v>694.44444444444446</v>
      </c>
      <c r="U42" s="47">
        <f t="shared" si="5"/>
        <v>807.84219299544145</v>
      </c>
      <c r="V42" s="112">
        <f t="shared" si="11"/>
        <v>807.84219299544145</v>
      </c>
      <c r="W42" s="112">
        <f t="shared" si="11"/>
        <v>807.84219299544145</v>
      </c>
      <c r="X42" s="22">
        <f t="shared" si="12"/>
        <v>807.84219299544145</v>
      </c>
      <c r="Z42" s="83" t="s">
        <v>86</v>
      </c>
      <c r="AA42" s="162">
        <f>D14</f>
        <v>250000</v>
      </c>
      <c r="AB42" s="60">
        <f t="shared" si="13"/>
        <v>227805.38630814926</v>
      </c>
    </row>
    <row r="43" spans="3:28" x14ac:dyDescent="0.2">
      <c r="C43" s="83" t="s">
        <v>87</v>
      </c>
      <c r="D43" s="145">
        <f t="shared" si="6"/>
        <v>541.66666666666663</v>
      </c>
      <c r="E43" s="170">
        <v>1</v>
      </c>
      <c r="F43" s="81">
        <f t="shared" si="7"/>
        <v>541.66666666666663</v>
      </c>
      <c r="G43" s="54">
        <f t="shared" si="1"/>
        <v>1.044096910046836</v>
      </c>
      <c r="H43" s="12">
        <v>1</v>
      </c>
      <c r="I43" s="12">
        <v>0.9</v>
      </c>
      <c r="J43" s="12">
        <v>1</v>
      </c>
      <c r="K43" s="12">
        <f t="shared" si="8"/>
        <v>0.82334399923587576</v>
      </c>
      <c r="L43" s="22">
        <f t="shared" si="9"/>
        <v>0.77368583295700422</v>
      </c>
      <c r="M43" s="64">
        <f t="shared" si="2"/>
        <v>700.11191053664868</v>
      </c>
      <c r="N43" s="150"/>
      <c r="O43" s="158">
        <f t="shared" si="10"/>
        <v>1.2925142963753515</v>
      </c>
      <c r="P43" s="153">
        <f t="shared" si="3"/>
        <v>700.11191053664868</v>
      </c>
      <c r="Q43" s="27"/>
      <c r="R43" s="27"/>
      <c r="S43" s="83" t="s">
        <v>87</v>
      </c>
      <c r="T43" s="54">
        <f t="shared" si="4"/>
        <v>541.66666666666663</v>
      </c>
      <c r="U43" s="47">
        <f t="shared" si="5"/>
        <v>700.11191053664868</v>
      </c>
      <c r="V43" s="112">
        <f t="shared" si="11"/>
        <v>700.11191053664868</v>
      </c>
      <c r="W43" s="112">
        <f t="shared" si="11"/>
        <v>700.11191053664868</v>
      </c>
      <c r="X43" s="22">
        <f t="shared" si="12"/>
        <v>700.11191053664868</v>
      </c>
      <c r="Z43" s="83" t="s">
        <v>87</v>
      </c>
      <c r="AA43" s="162">
        <f>D15</f>
        <v>650000</v>
      </c>
      <c r="AB43" s="60">
        <f t="shared" si="13"/>
        <v>683433.71997020242</v>
      </c>
    </row>
    <row r="44" spans="3:28" x14ac:dyDescent="0.2">
      <c r="C44" s="83" t="s">
        <v>88</v>
      </c>
      <c r="D44" s="145">
        <f t="shared" si="6"/>
        <v>568.18181818181813</v>
      </c>
      <c r="E44" s="170">
        <v>0.9</v>
      </c>
      <c r="F44" s="81">
        <f t="shared" si="7"/>
        <v>511.36363636363632</v>
      </c>
      <c r="G44" s="54">
        <f t="shared" si="1"/>
        <v>0.95454237746748949</v>
      </c>
      <c r="H44" s="12">
        <v>1</v>
      </c>
      <c r="I44" s="12">
        <v>0.95</v>
      </c>
      <c r="J44" s="12">
        <v>0.7</v>
      </c>
      <c r="K44" s="12">
        <f t="shared" si="8"/>
        <v>0.97784039352404606</v>
      </c>
      <c r="L44" s="22">
        <f t="shared" si="9"/>
        <v>0.62070441252209518</v>
      </c>
      <c r="M44" s="64">
        <f t="shared" si="2"/>
        <v>823.84404886993343</v>
      </c>
      <c r="N44" s="150"/>
      <c r="O44" s="158">
        <f t="shared" si="10"/>
        <v>1.4499655260110831</v>
      </c>
      <c r="P44" s="153">
        <f t="shared" si="3"/>
        <v>823.84404886993354</v>
      </c>
      <c r="Q44" s="27"/>
      <c r="R44" s="27"/>
      <c r="S44" s="83" t="s">
        <v>88</v>
      </c>
      <c r="T44" s="54">
        <f t="shared" si="4"/>
        <v>568.18181818181813</v>
      </c>
      <c r="U44" s="47">
        <f t="shared" si="5"/>
        <v>823.84404886993343</v>
      </c>
      <c r="V44" s="112">
        <f t="shared" si="11"/>
        <v>823.84404886993343</v>
      </c>
      <c r="W44" s="112">
        <f t="shared" si="11"/>
        <v>823.84404886993343</v>
      </c>
      <c r="X44" s="22">
        <f t="shared" si="12"/>
        <v>823.84404886993343</v>
      </c>
      <c r="Z44" s="83" t="s">
        <v>88</v>
      </c>
      <c r="AA44" s="162">
        <f>D16</f>
        <v>250000</v>
      </c>
      <c r="AB44" s="60">
        <f t="shared" si="13"/>
        <v>223380.63023430703</v>
      </c>
    </row>
    <row r="45" spans="3:28" x14ac:dyDescent="0.2">
      <c r="C45" s="83" t="s">
        <v>89</v>
      </c>
      <c r="D45" s="145">
        <f t="shared" si="6"/>
        <v>554.62184873949582</v>
      </c>
      <c r="E45" s="170">
        <v>1</v>
      </c>
      <c r="F45" s="81">
        <f t="shared" si="7"/>
        <v>554.62184873949582</v>
      </c>
      <c r="G45" s="54">
        <f t="shared" si="1"/>
        <v>1.0189518199684131</v>
      </c>
      <c r="H45" s="12">
        <v>1</v>
      </c>
      <c r="I45" s="12">
        <v>0.95</v>
      </c>
      <c r="J45" s="12">
        <v>1</v>
      </c>
      <c r="K45" s="12">
        <f t="shared" si="8"/>
        <v>0.90309947944027891</v>
      </c>
      <c r="L45" s="22">
        <f t="shared" si="9"/>
        <v>0.87420411527878872</v>
      </c>
      <c r="M45" s="64">
        <f t="shared" si="2"/>
        <v>634.43060841989256</v>
      </c>
      <c r="N45" s="150"/>
      <c r="O45" s="158">
        <f t="shared" si="10"/>
        <v>1.1438976121510183</v>
      </c>
      <c r="P45" s="153">
        <f t="shared" si="3"/>
        <v>634.43060841989245</v>
      </c>
      <c r="Q45" s="27"/>
      <c r="R45" s="27"/>
      <c r="S45" s="83" t="s">
        <v>89</v>
      </c>
      <c r="T45" s="54">
        <f t="shared" si="4"/>
        <v>554.62184873949582</v>
      </c>
      <c r="U45" s="47">
        <f t="shared" si="5"/>
        <v>634.43060841989256</v>
      </c>
      <c r="V45" s="112">
        <f t="shared" si="11"/>
        <v>634.43060841989256</v>
      </c>
      <c r="W45" s="112">
        <f t="shared" si="11"/>
        <v>634.43060841989256</v>
      </c>
      <c r="X45" s="22">
        <f t="shared" si="12"/>
        <v>634.43060841989256</v>
      </c>
      <c r="Z45" s="83" t="s">
        <v>89</v>
      </c>
      <c r="AA45" s="162">
        <f>D17</f>
        <v>330000</v>
      </c>
      <c r="AB45" s="60">
        <f t="shared" si="13"/>
        <v>382895.55475388677</v>
      </c>
    </row>
    <row r="46" spans="3:28" x14ac:dyDescent="0.2">
      <c r="C46" s="83" t="s">
        <v>72</v>
      </c>
      <c r="D46" s="145">
        <f t="shared" si="6"/>
        <v>888.88888888888891</v>
      </c>
      <c r="E46" s="170">
        <v>1</v>
      </c>
      <c r="F46" s="81">
        <f t="shared" si="7"/>
        <v>888.88888888888891</v>
      </c>
      <c r="G46" s="54">
        <f t="shared" si="1"/>
        <v>1</v>
      </c>
      <c r="H46" s="12">
        <v>1</v>
      </c>
      <c r="I46" s="12">
        <v>0.9</v>
      </c>
      <c r="J46" s="12">
        <v>1</v>
      </c>
      <c r="K46" s="12">
        <f t="shared" si="8"/>
        <v>0.82334399923587576</v>
      </c>
      <c r="L46" s="22">
        <f t="shared" si="9"/>
        <v>0.74100959931228816</v>
      </c>
      <c r="M46" s="64">
        <f t="shared" si="2"/>
        <v>1199.56460714388</v>
      </c>
      <c r="N46" s="150"/>
      <c r="O46" s="158">
        <f t="shared" si="10"/>
        <v>1.349510183036865</v>
      </c>
      <c r="P46" s="153">
        <f t="shared" si="3"/>
        <v>1199.56460714388</v>
      </c>
      <c r="Q46" s="27"/>
      <c r="R46" s="27"/>
      <c r="S46" s="83" t="s">
        <v>72</v>
      </c>
      <c r="T46" s="54">
        <f t="shared" si="4"/>
        <v>888.88888888888891</v>
      </c>
      <c r="U46" s="47">
        <f t="shared" si="5"/>
        <v>1199.56460714388</v>
      </c>
      <c r="V46" s="54" t="s">
        <v>36</v>
      </c>
      <c r="W46" s="54" t="str">
        <f t="shared" si="11"/>
        <v>Excluir</v>
      </c>
      <c r="X46" s="22" t="s">
        <v>32</v>
      </c>
      <c r="Z46" s="83" t="s">
        <v>72</v>
      </c>
      <c r="AA46" s="162"/>
      <c r="AB46" s="60"/>
    </row>
    <row r="47" spans="3:28" x14ac:dyDescent="0.2">
      <c r="C47" s="83" t="s">
        <v>73</v>
      </c>
      <c r="D47" s="145">
        <f t="shared" si="6"/>
        <v>700</v>
      </c>
      <c r="E47" s="170">
        <v>0.9</v>
      </c>
      <c r="F47" s="81">
        <f t="shared" si="7"/>
        <v>630</v>
      </c>
      <c r="G47" s="54">
        <f t="shared" si="1"/>
        <v>1</v>
      </c>
      <c r="H47" s="12">
        <v>1</v>
      </c>
      <c r="I47" s="12">
        <v>0.95</v>
      </c>
      <c r="J47" s="12">
        <v>1</v>
      </c>
      <c r="K47" s="12">
        <f t="shared" si="8"/>
        <v>1</v>
      </c>
      <c r="L47" s="22">
        <f t="shared" si="9"/>
        <v>0.95</v>
      </c>
      <c r="M47" s="64">
        <f t="shared" si="2"/>
        <v>663.15789473684208</v>
      </c>
      <c r="N47" s="150"/>
      <c r="O47" s="158">
        <f t="shared" si="10"/>
        <v>0.94736842105263164</v>
      </c>
      <c r="P47" s="153">
        <f t="shared" si="3"/>
        <v>663.1578947368422</v>
      </c>
      <c r="Q47" s="27"/>
      <c r="R47" s="27"/>
      <c r="S47" s="83" t="s">
        <v>73</v>
      </c>
      <c r="T47" s="54">
        <f t="shared" si="4"/>
        <v>700</v>
      </c>
      <c r="U47" s="47">
        <f t="shared" si="5"/>
        <v>663.15789473684208</v>
      </c>
      <c r="V47" s="47">
        <f t="shared" si="11"/>
        <v>663.15789473684208</v>
      </c>
      <c r="W47" s="112">
        <f t="shared" si="11"/>
        <v>663.15789473684208</v>
      </c>
      <c r="X47" s="22">
        <f t="shared" si="12"/>
        <v>663.15789473684208</v>
      </c>
      <c r="Z47" s="83" t="s">
        <v>73</v>
      </c>
      <c r="AA47" s="162">
        <f t="shared" ref="AA47:AA54" si="14">D19</f>
        <v>420000</v>
      </c>
      <c r="AB47" s="60">
        <f t="shared" si="13"/>
        <v>466211.36722341739</v>
      </c>
    </row>
    <row r="48" spans="3:28" x14ac:dyDescent="0.2">
      <c r="C48" s="83" t="s">
        <v>74</v>
      </c>
      <c r="D48" s="145">
        <f t="shared" si="6"/>
        <v>688.88888888888891</v>
      </c>
      <c r="E48" s="170">
        <v>1</v>
      </c>
      <c r="F48" s="81">
        <f t="shared" si="7"/>
        <v>688.88888888888891</v>
      </c>
      <c r="G48" s="54">
        <f t="shared" si="1"/>
        <v>0.96708244106829966</v>
      </c>
      <c r="H48" s="12">
        <v>1</v>
      </c>
      <c r="I48" s="12">
        <v>1</v>
      </c>
      <c r="J48" s="12">
        <v>1</v>
      </c>
      <c r="K48" s="12">
        <f t="shared" si="8"/>
        <v>0.94536510817135488</v>
      </c>
      <c r="L48" s="22">
        <f t="shared" si="9"/>
        <v>0.91424599651115102</v>
      </c>
      <c r="M48" s="64">
        <f t="shared" si="2"/>
        <v>753.50495546904654</v>
      </c>
      <c r="N48" s="150"/>
      <c r="O48" s="158">
        <f t="shared" si="10"/>
        <v>1.0937975160034545</v>
      </c>
      <c r="P48" s="153">
        <f t="shared" si="3"/>
        <v>753.50495546904654</v>
      </c>
      <c r="Q48" s="27"/>
      <c r="R48" s="27"/>
      <c r="S48" s="83" t="s">
        <v>74</v>
      </c>
      <c r="T48" s="54">
        <f t="shared" si="4"/>
        <v>688.88888888888891</v>
      </c>
      <c r="U48" s="47">
        <f t="shared" si="5"/>
        <v>753.50495546904654</v>
      </c>
      <c r="V48" s="47">
        <f t="shared" si="11"/>
        <v>753.50495546904654</v>
      </c>
      <c r="W48" s="112">
        <f t="shared" si="11"/>
        <v>753.50495546904654</v>
      </c>
      <c r="X48" s="22">
        <f t="shared" si="12"/>
        <v>753.50495546904654</v>
      </c>
      <c r="Z48" s="83" t="s">
        <v>74</v>
      </c>
      <c r="AA48" s="162">
        <f t="shared" si="14"/>
        <v>310000</v>
      </c>
      <c r="AB48" s="60">
        <f t="shared" si="13"/>
        <v>302848.96453484171</v>
      </c>
    </row>
    <row r="49" spans="3:28" x14ac:dyDescent="0.2">
      <c r="C49" s="83" t="s">
        <v>75</v>
      </c>
      <c r="D49" s="145">
        <f t="shared" si="6"/>
        <v>603.44827586206895</v>
      </c>
      <c r="E49" s="170">
        <v>1</v>
      </c>
      <c r="F49" s="81">
        <f t="shared" si="7"/>
        <v>603.44827586206895</v>
      </c>
      <c r="G49" s="54">
        <f t="shared" si="1"/>
        <v>1.044096910046836</v>
      </c>
      <c r="H49" s="12">
        <f>(H21/H30)^H31</f>
        <v>0.98319208025017502</v>
      </c>
      <c r="I49" s="12">
        <v>1</v>
      </c>
      <c r="J49" s="12">
        <v>0.7</v>
      </c>
      <c r="K49" s="12">
        <f t="shared" si="8"/>
        <v>1.3626725249534362</v>
      </c>
      <c r="L49" s="22">
        <f t="shared" si="9"/>
        <v>0.97919395020132904</v>
      </c>
      <c r="M49" s="64">
        <f t="shared" si="2"/>
        <v>616.27042909935858</v>
      </c>
      <c r="N49" s="150"/>
      <c r="O49" s="158">
        <f t="shared" si="10"/>
        <v>1.0212481396503656</v>
      </c>
      <c r="P49" s="153">
        <f t="shared" si="3"/>
        <v>616.27042909935858</v>
      </c>
      <c r="Q49" s="27"/>
      <c r="R49" s="27"/>
      <c r="S49" s="83" t="s">
        <v>75</v>
      </c>
      <c r="T49" s="54">
        <f t="shared" si="4"/>
        <v>603.44827586206895</v>
      </c>
      <c r="U49" s="47">
        <f t="shared" si="5"/>
        <v>616.27042909935858</v>
      </c>
      <c r="V49" s="47">
        <f t="shared" si="11"/>
        <v>616.27042909935858</v>
      </c>
      <c r="W49" s="112">
        <f t="shared" si="11"/>
        <v>616.27042909935858</v>
      </c>
      <c r="X49" s="22">
        <f t="shared" si="12"/>
        <v>616.27042909935858</v>
      </c>
      <c r="Z49" s="83" t="s">
        <v>75</v>
      </c>
      <c r="AA49" s="162">
        <f t="shared" si="14"/>
        <v>350000</v>
      </c>
      <c r="AB49" s="60">
        <f t="shared" si="13"/>
        <v>418068.28922234388</v>
      </c>
    </row>
    <row r="50" spans="3:28" x14ac:dyDescent="0.2">
      <c r="C50" s="83" t="s">
        <v>76</v>
      </c>
      <c r="D50" s="145">
        <f t="shared" si="6"/>
        <v>649.35064935064941</v>
      </c>
      <c r="E50" s="170">
        <v>1</v>
      </c>
      <c r="F50" s="81">
        <f t="shared" si="7"/>
        <v>649.35064935064941</v>
      </c>
      <c r="G50" s="54">
        <f t="shared" si="1"/>
        <v>1.059131081832988</v>
      </c>
      <c r="H50" s="12">
        <v>1</v>
      </c>
      <c r="I50" s="12">
        <v>0.8</v>
      </c>
      <c r="J50" s="12">
        <v>1</v>
      </c>
      <c r="K50" s="12">
        <f t="shared" si="8"/>
        <v>1</v>
      </c>
      <c r="L50" s="22">
        <f t="shared" si="9"/>
        <v>0.84730486546639039</v>
      </c>
      <c r="M50" s="64">
        <f t="shared" si="2"/>
        <v>766.37191147630301</v>
      </c>
      <c r="N50" s="150"/>
      <c r="O50" s="158">
        <f t="shared" si="10"/>
        <v>1.1802127436735066</v>
      </c>
      <c r="P50" s="153">
        <f t="shared" si="3"/>
        <v>766.37191147630301</v>
      </c>
      <c r="Q50" s="27"/>
      <c r="R50" s="27"/>
      <c r="S50" s="83" t="s">
        <v>76</v>
      </c>
      <c r="T50" s="54">
        <f t="shared" si="4"/>
        <v>649.35064935064941</v>
      </c>
      <c r="U50" s="47">
        <f t="shared" si="5"/>
        <v>766.37191147630301</v>
      </c>
      <c r="V50" s="47">
        <f t="shared" si="11"/>
        <v>766.37191147630301</v>
      </c>
      <c r="W50" s="112">
        <f t="shared" si="11"/>
        <v>766.37191147630301</v>
      </c>
      <c r="X50" s="22">
        <f t="shared" si="12"/>
        <v>766.37191147630301</v>
      </c>
      <c r="Z50" s="83" t="s">
        <v>76</v>
      </c>
      <c r="AA50" s="162">
        <f t="shared" si="14"/>
        <v>500000</v>
      </c>
      <c r="AB50" s="60">
        <f t="shared" si="13"/>
        <v>480264.99952703295</v>
      </c>
    </row>
    <row r="51" spans="3:28" x14ac:dyDescent="0.2">
      <c r="C51" s="83" t="s">
        <v>77</v>
      </c>
      <c r="D51" s="145">
        <f t="shared" si="6"/>
        <v>706.66666666666663</v>
      </c>
      <c r="E51" s="170">
        <v>0.9</v>
      </c>
      <c r="F51" s="81">
        <f t="shared" si="7"/>
        <v>636</v>
      </c>
      <c r="G51" s="54">
        <f t="shared" si="1"/>
        <v>1.0796358880153605</v>
      </c>
      <c r="H51" s="12">
        <v>1</v>
      </c>
      <c r="I51" s="12">
        <v>1</v>
      </c>
      <c r="J51" s="12">
        <v>1</v>
      </c>
      <c r="K51" s="12">
        <f t="shared" si="8"/>
        <v>0.94536510817135488</v>
      </c>
      <c r="L51" s="22">
        <f t="shared" si="9"/>
        <v>1.0206500980593181</v>
      </c>
      <c r="M51" s="64">
        <f t="shared" si="2"/>
        <v>623.13225777306207</v>
      </c>
      <c r="N51" s="150"/>
      <c r="O51" s="158">
        <f t="shared" si="10"/>
        <v>0.88179093081093685</v>
      </c>
      <c r="P51" s="153">
        <f t="shared" si="3"/>
        <v>623.13225777306195</v>
      </c>
      <c r="Q51" s="27"/>
      <c r="R51" s="27"/>
      <c r="S51" s="83" t="s">
        <v>77</v>
      </c>
      <c r="T51" s="54">
        <f t="shared" si="4"/>
        <v>706.66666666666663</v>
      </c>
      <c r="U51" s="47">
        <f t="shared" si="5"/>
        <v>623.13225777306207</v>
      </c>
      <c r="V51" s="47">
        <f t="shared" si="11"/>
        <v>623.13225777306207</v>
      </c>
      <c r="W51" s="112">
        <f t="shared" si="11"/>
        <v>623.13225777306207</v>
      </c>
      <c r="X51" s="22">
        <f t="shared" si="12"/>
        <v>623.13225777306207</v>
      </c>
      <c r="Z51" s="83" t="s">
        <v>77</v>
      </c>
      <c r="AA51" s="162">
        <f t="shared" si="14"/>
        <v>530000</v>
      </c>
      <c r="AB51" s="60">
        <f t="shared" si="13"/>
        <v>626103.52325388126</v>
      </c>
    </row>
    <row r="52" spans="3:28" x14ac:dyDescent="0.2">
      <c r="C52" s="83" t="s">
        <v>78</v>
      </c>
      <c r="D52" s="145">
        <f t="shared" si="6"/>
        <v>680.55555555555554</v>
      </c>
      <c r="E52" s="170">
        <v>1</v>
      </c>
      <c r="F52" s="81">
        <f t="shared" si="7"/>
        <v>680.55555555555554</v>
      </c>
      <c r="G52" s="54">
        <f t="shared" si="1"/>
        <v>1.044096910046836</v>
      </c>
      <c r="H52" s="12">
        <v>1</v>
      </c>
      <c r="I52" s="12">
        <v>1</v>
      </c>
      <c r="J52" s="12">
        <v>1</v>
      </c>
      <c r="K52" s="12">
        <f t="shared" si="8"/>
        <v>0.94536510817135488</v>
      </c>
      <c r="L52" s="22">
        <f t="shared" si="9"/>
        <v>0.98705278830780452</v>
      </c>
      <c r="M52" s="64">
        <f t="shared" si="2"/>
        <v>689.48243054183013</v>
      </c>
      <c r="N52" s="150"/>
      <c r="O52" s="158">
        <f t="shared" si="10"/>
        <v>1.0131170407961585</v>
      </c>
      <c r="P52" s="153">
        <f t="shared" si="3"/>
        <v>689.48243054183013</v>
      </c>
      <c r="Q52" s="27"/>
      <c r="R52" s="27"/>
      <c r="S52" s="83" t="s">
        <v>78</v>
      </c>
      <c r="T52" s="54">
        <f t="shared" si="4"/>
        <v>680.55555555555554</v>
      </c>
      <c r="U52" s="47">
        <f t="shared" si="5"/>
        <v>689.48243054183013</v>
      </c>
      <c r="V52" s="47">
        <f t="shared" si="11"/>
        <v>689.48243054183013</v>
      </c>
      <c r="W52" s="112">
        <f t="shared" si="11"/>
        <v>689.48243054183013</v>
      </c>
      <c r="X52" s="22">
        <f t="shared" si="12"/>
        <v>689.48243054183013</v>
      </c>
      <c r="Z52" s="83" t="s">
        <v>78</v>
      </c>
      <c r="AA52" s="162">
        <f t="shared" si="14"/>
        <v>490000</v>
      </c>
      <c r="AB52" s="60">
        <f t="shared" si="13"/>
        <v>523146.57721616997</v>
      </c>
    </row>
    <row r="53" spans="3:28" x14ac:dyDescent="0.2">
      <c r="C53" s="83" t="s">
        <v>79</v>
      </c>
      <c r="D53" s="145">
        <f t="shared" si="6"/>
        <v>770.83333333333337</v>
      </c>
      <c r="E53" s="170">
        <v>0.9</v>
      </c>
      <c r="F53" s="81">
        <f t="shared" si="7"/>
        <v>693.75</v>
      </c>
      <c r="G53" s="54">
        <f t="shared" si="1"/>
        <v>1.0097277884799631</v>
      </c>
      <c r="H53" s="12">
        <v>1</v>
      </c>
      <c r="I53" s="12">
        <v>1</v>
      </c>
      <c r="J53" s="12">
        <v>0.7</v>
      </c>
      <c r="K53" s="12">
        <f t="shared" si="8"/>
        <v>1.3626725249534362</v>
      </c>
      <c r="L53" s="22">
        <f t="shared" si="9"/>
        <v>0.96314982053054821</v>
      </c>
      <c r="M53" s="64">
        <f t="shared" si="2"/>
        <v>720.2929235016104</v>
      </c>
      <c r="N53" s="150"/>
      <c r="O53" s="158">
        <f t="shared" si="10"/>
        <v>0.93443406292100817</v>
      </c>
      <c r="P53" s="153">
        <f t="shared" si="3"/>
        <v>720.29292350161052</v>
      </c>
      <c r="Q53" s="27"/>
      <c r="R53" s="27"/>
      <c r="S53" s="83" t="s">
        <v>79</v>
      </c>
      <c r="T53" s="54">
        <f t="shared" si="4"/>
        <v>770.83333333333337</v>
      </c>
      <c r="U53" s="47">
        <f t="shared" si="5"/>
        <v>720.2929235016104</v>
      </c>
      <c r="V53" s="47">
        <f t="shared" si="11"/>
        <v>720.2929235016104</v>
      </c>
      <c r="W53" s="112">
        <f t="shared" si="11"/>
        <v>720.2929235016104</v>
      </c>
      <c r="X53" s="22">
        <f t="shared" si="12"/>
        <v>720.2929235016104</v>
      </c>
      <c r="Z53" s="83" t="s">
        <v>79</v>
      </c>
      <c r="AA53" s="162">
        <f t="shared" si="14"/>
        <v>370000</v>
      </c>
      <c r="AB53" s="60">
        <f t="shared" si="13"/>
        <v>378131.70077518816</v>
      </c>
    </row>
    <row r="54" spans="3:28" ht="13.5" thickBot="1" x14ac:dyDescent="0.25">
      <c r="C54" s="83" t="s">
        <v>80</v>
      </c>
      <c r="D54" s="145">
        <f t="shared" si="6"/>
        <v>709.09090909090912</v>
      </c>
      <c r="E54" s="170">
        <v>1</v>
      </c>
      <c r="F54" s="81">
        <f t="shared" si="7"/>
        <v>709.09090909090912</v>
      </c>
      <c r="G54" s="54">
        <f t="shared" si="1"/>
        <v>1.044096910046836</v>
      </c>
      <c r="H54" s="12">
        <v>1</v>
      </c>
      <c r="I54" s="12">
        <v>1</v>
      </c>
      <c r="J54" s="12">
        <v>0.7</v>
      </c>
      <c r="K54" s="12">
        <f t="shared" si="8"/>
        <v>1.3626725249534362</v>
      </c>
      <c r="L54" s="22">
        <f t="shared" si="9"/>
        <v>0.99593352089672182</v>
      </c>
      <c r="M54" s="64">
        <f t="shared" si="2"/>
        <v>711.98618603825639</v>
      </c>
      <c r="N54" s="150"/>
      <c r="O54" s="160">
        <f t="shared" si="10"/>
        <v>1.0040830828744642</v>
      </c>
      <c r="P54" s="154">
        <f t="shared" si="3"/>
        <v>711.98618603825651</v>
      </c>
      <c r="Q54" s="27"/>
      <c r="R54" s="27"/>
      <c r="S54" s="66" t="s">
        <v>80</v>
      </c>
      <c r="T54" s="54">
        <f t="shared" si="4"/>
        <v>709.09090909090912</v>
      </c>
      <c r="U54" s="47">
        <f t="shared" si="5"/>
        <v>711.98618603825639</v>
      </c>
      <c r="V54" s="47">
        <f t="shared" si="11"/>
        <v>711.98618603825639</v>
      </c>
      <c r="W54" s="112">
        <f t="shared" si="11"/>
        <v>711.98618603825639</v>
      </c>
      <c r="X54" s="22">
        <f t="shared" si="12"/>
        <v>711.98618603825639</v>
      </c>
      <c r="Z54" s="66" t="s">
        <v>80</v>
      </c>
      <c r="AA54" s="163">
        <f t="shared" si="14"/>
        <v>780000</v>
      </c>
      <c r="AB54" s="61">
        <f t="shared" si="13"/>
        <v>806442.75992365577</v>
      </c>
    </row>
    <row r="55" spans="3:28" ht="13.5" thickBot="1" x14ac:dyDescent="0.25">
      <c r="C55" s="76" t="s">
        <v>54</v>
      </c>
      <c r="D55" s="146"/>
      <c r="E55" s="77"/>
      <c r="F55" s="77"/>
      <c r="G55" s="142">
        <f t="shared" si="1"/>
        <v>0.96708244106829966</v>
      </c>
      <c r="H55" s="141">
        <v>1</v>
      </c>
      <c r="I55" s="78">
        <v>0.95</v>
      </c>
      <c r="J55" s="141">
        <f t="shared" ref="J55" si="15">K27/$K$27</f>
        <v>1</v>
      </c>
      <c r="K55" s="141">
        <f t="shared" si="8"/>
        <v>1</v>
      </c>
      <c r="L55" s="147">
        <f t="shared" si="9"/>
        <v>0.91872831901488461</v>
      </c>
      <c r="M55" s="79"/>
      <c r="N55" s="151"/>
      <c r="O55" s="151"/>
      <c r="P55" s="29"/>
      <c r="Q55" s="27"/>
      <c r="R55" s="27"/>
      <c r="S55" s="2" t="s">
        <v>39</v>
      </c>
      <c r="T55" s="55">
        <f>AVERAGE(T37:T54)</f>
        <v>683.93859999590222</v>
      </c>
      <c r="U55" s="52">
        <f>AVERAGE(U37:U54)</f>
        <v>741.87981137683755</v>
      </c>
      <c r="V55" s="52">
        <f>AVERAGE(V37:V54)</f>
        <v>736.12321140539598</v>
      </c>
      <c r="W55" s="52">
        <f>AVERAGE(W37:W54)</f>
        <v>736.12321140539598</v>
      </c>
      <c r="X55" s="53">
        <f>AVERAGE(X37:X54)</f>
        <v>736.12321140539598</v>
      </c>
    </row>
    <row r="56" spans="3:28" x14ac:dyDescent="0.2">
      <c r="N56" s="152"/>
      <c r="O56" s="152"/>
      <c r="P56" s="29"/>
      <c r="Q56" s="27"/>
      <c r="R56" s="29"/>
      <c r="S56" s="10" t="s">
        <v>50</v>
      </c>
      <c r="T56" s="29">
        <f>STDEV(T37:T54)</f>
        <v>183.63994324184065</v>
      </c>
      <c r="U56" s="32">
        <f>STDEV(U37:U54)</f>
        <v>161.53500002380676</v>
      </c>
      <c r="V56" s="32">
        <f>STDEV(V37:V54)</f>
        <v>81.623820002073501</v>
      </c>
      <c r="W56" s="32">
        <f>STDEV(W37:W54)</f>
        <v>81.623820002073501</v>
      </c>
      <c r="X56" s="22">
        <f>STDEV(X37:X54)</f>
        <v>81.623820002073501</v>
      </c>
    </row>
    <row r="57" spans="3:28" ht="13.5" thickBot="1" x14ac:dyDescent="0.25">
      <c r="N57" s="152"/>
      <c r="O57" s="152"/>
      <c r="R57" s="29"/>
      <c r="S57" s="6" t="s">
        <v>51</v>
      </c>
      <c r="T57" s="56">
        <f>T56/T55</f>
        <v>0.26850355169739054</v>
      </c>
      <c r="U57" s="57">
        <f>U56/U55</f>
        <v>0.21773742531693605</v>
      </c>
      <c r="V57" s="57">
        <f>V56/V55</f>
        <v>0.11088336672095757</v>
      </c>
      <c r="W57" s="57">
        <f>W56/W55</f>
        <v>0.11088336672095757</v>
      </c>
      <c r="X57" s="58">
        <f>X56/X55</f>
        <v>0.11088336672095757</v>
      </c>
    </row>
    <row r="58" spans="3:28" ht="13.5" thickBot="1" x14ac:dyDescent="0.25">
      <c r="N58" s="152"/>
      <c r="O58" s="152"/>
      <c r="R58" s="29"/>
      <c r="S58" s="38"/>
      <c r="T58" s="98"/>
      <c r="U58" s="99"/>
      <c r="V58" s="99"/>
      <c r="W58" s="99"/>
      <c r="X58" s="98"/>
    </row>
    <row r="59" spans="3:28" x14ac:dyDescent="0.2">
      <c r="N59" s="152"/>
      <c r="O59" s="152"/>
      <c r="R59" s="100"/>
      <c r="S59" s="19"/>
      <c r="T59" s="34" t="s">
        <v>49</v>
      </c>
      <c r="U59" s="34"/>
      <c r="V59" s="34"/>
      <c r="W59" s="36"/>
      <c r="X59" s="21"/>
    </row>
    <row r="60" spans="3:28" x14ac:dyDescent="0.2">
      <c r="N60" s="152"/>
      <c r="O60" s="152"/>
      <c r="R60" s="101"/>
      <c r="S60" s="21"/>
      <c r="T60" s="37" t="s">
        <v>91</v>
      </c>
      <c r="U60" s="93">
        <f>U55</f>
        <v>741.87981137683755</v>
      </c>
      <c r="V60" s="93">
        <f>V55</f>
        <v>736.12321140539598</v>
      </c>
      <c r="W60" s="102"/>
      <c r="X60" s="21"/>
    </row>
    <row r="61" spans="3:28" x14ac:dyDescent="0.2">
      <c r="N61" s="152"/>
      <c r="O61" s="152"/>
      <c r="R61" s="20"/>
      <c r="S61" s="28"/>
      <c r="T61" s="28" t="s">
        <v>47</v>
      </c>
      <c r="U61" s="39">
        <f>U56</f>
        <v>161.53500002380676</v>
      </c>
      <c r="V61" s="39">
        <f>V56</f>
        <v>81.623820002073501</v>
      </c>
      <c r="W61" s="103"/>
      <c r="X61" s="29"/>
    </row>
    <row r="62" spans="3:28" x14ac:dyDescent="0.2">
      <c r="N62" s="152"/>
      <c r="O62" s="152"/>
      <c r="R62" s="20"/>
      <c r="S62" s="28"/>
      <c r="T62" s="37" t="s">
        <v>92</v>
      </c>
      <c r="U62" s="39">
        <f>2*U61</f>
        <v>323.07000004761352</v>
      </c>
      <c r="V62" s="39">
        <f>2*V61</f>
        <v>163.247640004147</v>
      </c>
      <c r="W62" s="103"/>
      <c r="X62" s="29"/>
    </row>
    <row r="63" spans="3:28" x14ac:dyDescent="0.2">
      <c r="N63" s="152"/>
      <c r="O63" s="152"/>
      <c r="R63" s="65"/>
      <c r="S63" s="21"/>
      <c r="T63" s="28" t="s">
        <v>34</v>
      </c>
      <c r="U63" s="39">
        <f>U60-U62</f>
        <v>418.80981132922403</v>
      </c>
      <c r="V63" s="39">
        <f>V60-V62</f>
        <v>572.87557140124898</v>
      </c>
      <c r="W63" s="103"/>
      <c r="X63" s="29"/>
    </row>
    <row r="64" spans="3:28" ht="13.5" thickBot="1" x14ac:dyDescent="0.25">
      <c r="N64" s="152"/>
      <c r="O64" s="152"/>
      <c r="R64" s="23"/>
      <c r="S64" s="24"/>
      <c r="T64" s="33" t="s">
        <v>35</v>
      </c>
      <c r="U64" s="97">
        <f>U60+U62</f>
        <v>1064.9498114244511</v>
      </c>
      <c r="V64" s="97">
        <f>V60+V62</f>
        <v>899.37085140954298</v>
      </c>
      <c r="W64" s="106"/>
      <c r="X64" s="29"/>
    </row>
    <row r="65" spans="14:25" x14ac:dyDescent="0.2">
      <c r="N65" s="152"/>
      <c r="O65" s="152"/>
      <c r="R65" s="20"/>
      <c r="S65" s="21"/>
      <c r="T65" s="31" t="s">
        <v>46</v>
      </c>
      <c r="U65" s="31"/>
      <c r="V65" s="31"/>
      <c r="W65" s="104"/>
      <c r="X65" s="21"/>
    </row>
    <row r="66" spans="14:25" x14ac:dyDescent="0.2">
      <c r="N66" s="152"/>
      <c r="O66" s="152"/>
      <c r="R66" s="20"/>
      <c r="S66" s="21"/>
      <c r="T66" s="37" t="s">
        <v>91</v>
      </c>
      <c r="U66" s="93">
        <f>U55</f>
        <v>741.87981137683755</v>
      </c>
      <c r="V66" s="93"/>
      <c r="W66" s="102">
        <f>W55</f>
        <v>736.12321140539598</v>
      </c>
      <c r="X66" s="94"/>
    </row>
    <row r="67" spans="14:25" x14ac:dyDescent="0.2">
      <c r="N67" s="152"/>
      <c r="O67" s="152"/>
      <c r="R67" s="20"/>
      <c r="S67" s="28"/>
      <c r="T67" s="28" t="s">
        <v>47</v>
      </c>
      <c r="U67" s="39">
        <f>U56</f>
        <v>161.53500002380676</v>
      </c>
      <c r="V67" s="39"/>
      <c r="W67" s="103">
        <f>W56</f>
        <v>81.623820002073501</v>
      </c>
      <c r="X67" s="29"/>
    </row>
    <row r="68" spans="14:25" x14ac:dyDescent="0.2">
      <c r="N68" s="152"/>
      <c r="O68" s="152"/>
      <c r="R68" s="20"/>
      <c r="S68" s="28"/>
      <c r="T68" s="37" t="s">
        <v>57</v>
      </c>
      <c r="U68" s="96">
        <f>COUNT(U37:U54)</f>
        <v>18</v>
      </c>
      <c r="V68" s="96"/>
      <c r="W68" s="105">
        <f>COUNT(W37:W54)</f>
        <v>16</v>
      </c>
      <c r="X68" s="95"/>
    </row>
    <row r="69" spans="14:25" x14ac:dyDescent="0.2">
      <c r="N69" s="152"/>
      <c r="O69" s="152"/>
      <c r="R69" s="65"/>
      <c r="S69" s="28"/>
      <c r="T69" s="28" t="s">
        <v>38</v>
      </c>
      <c r="U69" s="39">
        <f>_xlfn.NORM.S.INV(1-1/(4*U68))</f>
        <v>2.2004105812100336</v>
      </c>
      <c r="V69" s="39"/>
      <c r="W69" s="103">
        <f t="shared" ref="W69" si="16">_xlfn.NORM.S.INV(1-1/(4*W68))</f>
        <v>2.1538746940614555</v>
      </c>
      <c r="X69" s="29"/>
    </row>
    <row r="70" spans="14:25" x14ac:dyDescent="0.2">
      <c r="N70" s="152"/>
      <c r="O70" s="152"/>
      <c r="R70" s="20"/>
      <c r="S70" s="28"/>
      <c r="T70" s="37" t="s">
        <v>92</v>
      </c>
      <c r="U70" s="39">
        <f>U67*U69</f>
        <v>355.44332328814744</v>
      </c>
      <c r="V70" s="39"/>
      <c r="W70" s="103">
        <f t="shared" ref="W70" si="17">W67*W69</f>
        <v>175.80748033509337</v>
      </c>
      <c r="X70" s="29"/>
    </row>
    <row r="71" spans="14:25" x14ac:dyDescent="0.2">
      <c r="N71" s="152"/>
      <c r="O71" s="152"/>
      <c r="R71" s="20"/>
      <c r="S71" s="31"/>
      <c r="T71" s="28" t="s">
        <v>34</v>
      </c>
      <c r="U71" s="39">
        <f>U66-U70</f>
        <v>386.43648808869011</v>
      </c>
      <c r="V71" s="39"/>
      <c r="W71" s="103">
        <f t="shared" ref="W71" si="18">W66-W70</f>
        <v>560.3157310703026</v>
      </c>
      <c r="X71" s="29"/>
    </row>
    <row r="72" spans="14:25" ht="13.5" thickBot="1" x14ac:dyDescent="0.25">
      <c r="N72" s="152"/>
      <c r="O72" s="152"/>
      <c r="R72" s="23"/>
      <c r="S72" s="24"/>
      <c r="T72" s="33" t="s">
        <v>35</v>
      </c>
      <c r="U72" s="97">
        <f>U66+U70</f>
        <v>1097.323134664985</v>
      </c>
      <c r="V72" s="97"/>
      <c r="W72" s="106">
        <f t="shared" ref="W72" si="19">W66+W70</f>
        <v>911.93069174048935</v>
      </c>
      <c r="X72" s="29"/>
    </row>
    <row r="73" spans="14:25" ht="13.5" thickBot="1" x14ac:dyDescent="0.25">
      <c r="N73" s="152"/>
      <c r="O73" s="152"/>
      <c r="R73" s="21"/>
    </row>
    <row r="74" spans="14:25" x14ac:dyDescent="0.2">
      <c r="N74" s="152"/>
      <c r="O74" s="152"/>
      <c r="R74" s="41" t="s">
        <v>58</v>
      </c>
      <c r="S74" s="34"/>
      <c r="T74" s="34"/>
      <c r="U74" s="35"/>
      <c r="V74" s="35"/>
      <c r="W74" s="19"/>
      <c r="X74" s="19"/>
      <c r="Y74" s="36"/>
    </row>
    <row r="75" spans="14:25" x14ac:dyDescent="0.2">
      <c r="N75" s="152"/>
      <c r="O75" s="152"/>
      <c r="R75" s="65"/>
      <c r="S75" s="31"/>
      <c r="T75" s="37" t="s">
        <v>57</v>
      </c>
      <c r="U75" s="28">
        <f>COUNT(X37:X54)</f>
        <v>16</v>
      </c>
      <c r="V75" s="28"/>
      <c r="W75" s="21"/>
      <c r="X75" s="21"/>
      <c r="Y75" s="30"/>
    </row>
    <row r="76" spans="14:25" x14ac:dyDescent="0.2">
      <c r="N76" s="152"/>
      <c r="O76" s="152"/>
      <c r="R76" s="20"/>
      <c r="S76" s="21"/>
      <c r="T76" s="31" t="s">
        <v>90</v>
      </c>
      <c r="U76" s="90">
        <f>_xlfn.T.INV.2T(20%,U75-1)</f>
        <v>1.3406056078504547</v>
      </c>
      <c r="V76" s="37"/>
      <c r="W76" s="38"/>
      <c r="X76" s="21"/>
      <c r="Y76" s="30"/>
    </row>
    <row r="77" spans="14:25" x14ac:dyDescent="0.2">
      <c r="N77" s="152"/>
      <c r="O77" s="152"/>
      <c r="R77" s="20"/>
      <c r="S77" s="21"/>
      <c r="T77" s="28" t="s">
        <v>42</v>
      </c>
      <c r="U77" s="39">
        <f>X56</f>
        <v>81.623820002073501</v>
      </c>
      <c r="V77" s="39"/>
      <c r="W77" s="29"/>
      <c r="X77" s="21"/>
      <c r="Y77" s="30"/>
    </row>
    <row r="78" spans="14:25" x14ac:dyDescent="0.2">
      <c r="N78" s="152"/>
      <c r="O78" s="152"/>
      <c r="R78" s="20"/>
      <c r="S78" s="21"/>
      <c r="T78" s="28"/>
      <c r="U78" s="21"/>
      <c r="V78" s="21"/>
      <c r="W78" s="21"/>
      <c r="X78" s="28"/>
      <c r="Y78" s="40"/>
    </row>
    <row r="79" spans="14:25" x14ac:dyDescent="0.2">
      <c r="N79" s="152"/>
      <c r="O79" s="152"/>
      <c r="R79" s="20"/>
      <c r="S79" s="21"/>
      <c r="T79" s="28" t="s">
        <v>34</v>
      </c>
      <c r="U79" s="91" t="s">
        <v>137</v>
      </c>
      <c r="V79" s="21"/>
      <c r="W79" s="21"/>
      <c r="X79" s="117">
        <f>X55-(U76*U77/SQRT(U75))</f>
        <v>708.76687369815704</v>
      </c>
      <c r="Y79" s="107" t="s">
        <v>93</v>
      </c>
    </row>
    <row r="80" spans="14:25" x14ac:dyDescent="0.2">
      <c r="N80" s="152"/>
      <c r="O80" s="152"/>
      <c r="R80" s="20"/>
      <c r="S80" s="21"/>
      <c r="T80" s="28" t="s">
        <v>43</v>
      </c>
      <c r="U80" s="21"/>
      <c r="V80" s="21"/>
      <c r="W80" s="21"/>
      <c r="X80" s="116">
        <f>X55</f>
        <v>736.12321140539598</v>
      </c>
      <c r="Y80" s="107" t="s">
        <v>93</v>
      </c>
    </row>
    <row r="81" spans="14:27" ht="13.5" thickBot="1" x14ac:dyDescent="0.25">
      <c r="N81" s="152"/>
      <c r="O81" s="152"/>
      <c r="R81" s="23"/>
      <c r="S81" s="24"/>
      <c r="T81" s="33" t="s">
        <v>35</v>
      </c>
      <c r="U81" s="92" t="s">
        <v>138</v>
      </c>
      <c r="V81" s="24"/>
      <c r="W81" s="24"/>
      <c r="X81" s="118">
        <f>X55+(U76*U77/SQRT(U75))</f>
        <v>763.47954911263491</v>
      </c>
      <c r="Y81" s="108" t="s">
        <v>93</v>
      </c>
    </row>
    <row r="82" spans="14:27" x14ac:dyDescent="0.2">
      <c r="N82" s="152"/>
      <c r="O82" s="152"/>
      <c r="R82" s="42" t="s">
        <v>55</v>
      </c>
      <c r="S82" s="21"/>
      <c r="T82" s="28"/>
      <c r="U82" s="21"/>
      <c r="V82" s="21"/>
      <c r="W82" s="21"/>
      <c r="X82" s="29"/>
      <c r="Y82" s="15"/>
    </row>
    <row r="83" spans="14:27" x14ac:dyDescent="0.2">
      <c r="N83" s="152"/>
      <c r="O83" s="152"/>
      <c r="R83" s="42"/>
      <c r="S83" s="21"/>
      <c r="T83" s="28" t="s">
        <v>97</v>
      </c>
      <c r="U83" s="113">
        <f>E27</f>
        <v>600</v>
      </c>
      <c r="V83" s="21"/>
      <c r="W83" s="21"/>
      <c r="X83" s="29"/>
      <c r="Y83" s="15"/>
    </row>
    <row r="84" spans="14:27" x14ac:dyDescent="0.2">
      <c r="N84" s="152"/>
      <c r="O84" s="152"/>
      <c r="R84" s="42"/>
      <c r="S84" s="21"/>
      <c r="T84" s="114" t="s">
        <v>98</v>
      </c>
      <c r="U84" s="32">
        <f>L55</f>
        <v>0.91872831901488461</v>
      </c>
      <c r="V84" s="21"/>
      <c r="W84" s="21"/>
      <c r="X84" s="29"/>
      <c r="Y84" s="15"/>
    </row>
    <row r="85" spans="14:27" x14ac:dyDescent="0.2">
      <c r="N85" s="152"/>
      <c r="O85" s="152"/>
      <c r="R85" s="20"/>
      <c r="S85" s="21"/>
      <c r="T85" s="28" t="s">
        <v>34</v>
      </c>
      <c r="U85" s="91" t="s">
        <v>130</v>
      </c>
      <c r="V85" s="21"/>
      <c r="W85" s="21"/>
      <c r="X85" s="43">
        <f>X79*U83*U84</f>
        <v>390698.5190676857</v>
      </c>
      <c r="Y85" s="107" t="s">
        <v>94</v>
      </c>
      <c r="AA85" s="121"/>
    </row>
    <row r="86" spans="14:27" x14ac:dyDescent="0.2">
      <c r="N86" s="152"/>
      <c r="O86" s="152"/>
      <c r="R86" s="20"/>
      <c r="S86" s="21"/>
      <c r="T86" s="28" t="s">
        <v>43</v>
      </c>
      <c r="U86" s="91" t="s">
        <v>129</v>
      </c>
      <c r="V86" s="21"/>
      <c r="W86" s="21"/>
      <c r="X86" s="44">
        <f>X80*U83*U84</f>
        <v>405778.3443613908</v>
      </c>
      <c r="Y86" s="107" t="s">
        <v>94</v>
      </c>
    </row>
    <row r="87" spans="14:27" ht="13.5" thickBot="1" x14ac:dyDescent="0.25">
      <c r="N87" s="152"/>
      <c r="O87" s="152"/>
      <c r="R87" s="23"/>
      <c r="S87" s="24"/>
      <c r="T87" s="33" t="s">
        <v>35</v>
      </c>
      <c r="U87" s="92" t="s">
        <v>131</v>
      </c>
      <c r="V87" s="24"/>
      <c r="W87" s="24"/>
      <c r="X87" s="45">
        <f>X81*U83*U84</f>
        <v>420858.1696550959</v>
      </c>
      <c r="Y87" s="108" t="s">
        <v>94</v>
      </c>
      <c r="AA87" s="121"/>
    </row>
    <row r="88" spans="14:27" x14ac:dyDescent="0.2">
      <c r="N88" s="152"/>
      <c r="O88" s="152"/>
    </row>
    <row r="89" spans="14:27" x14ac:dyDescent="0.2">
      <c r="N89" s="152"/>
      <c r="O89" s="152"/>
      <c r="R89" s="135"/>
      <c r="S89" s="135" t="s">
        <v>112</v>
      </c>
      <c r="T89" s="136"/>
      <c r="U89" s="115"/>
    </row>
    <row r="90" spans="14:27" x14ac:dyDescent="0.2">
      <c r="N90" s="152"/>
      <c r="O90" s="152"/>
      <c r="T90" s="114" t="s">
        <v>99</v>
      </c>
      <c r="U90" s="115">
        <f>(X87-X85)/X86</f>
        <v>7.4325431621727139E-2</v>
      </c>
      <c r="V90" s="137" t="s">
        <v>113</v>
      </c>
      <c r="X90" s="121">
        <f>X87-X85</f>
        <v>30159.6505874102</v>
      </c>
    </row>
    <row r="91" spans="14:27" x14ac:dyDescent="0.2">
      <c r="N91" s="152"/>
      <c r="O91" s="152"/>
    </row>
    <row r="92" spans="14:27" x14ac:dyDescent="0.2">
      <c r="N92" s="152"/>
      <c r="O92" s="152"/>
    </row>
    <row r="93" spans="14:27" x14ac:dyDescent="0.2">
      <c r="N93" s="152"/>
      <c r="O93" s="152"/>
      <c r="R93" s="138" t="s">
        <v>100</v>
      </c>
      <c r="S93" s="139"/>
      <c r="T93" s="139"/>
    </row>
    <row r="94" spans="14:27" x14ac:dyDescent="0.2">
      <c r="N94" s="152"/>
      <c r="O94" s="152"/>
      <c r="S94" s="120" t="s">
        <v>101</v>
      </c>
      <c r="T94" s="121">
        <f>X86*0.85</f>
        <v>344911.59270718216</v>
      </c>
    </row>
    <row r="95" spans="14:27" x14ac:dyDescent="0.2">
      <c r="N95" s="152"/>
      <c r="O95" s="152"/>
      <c r="S95" s="120" t="s">
        <v>102</v>
      </c>
      <c r="T95" s="121">
        <f>X86*1.15</f>
        <v>466645.09601559938</v>
      </c>
    </row>
    <row r="96" spans="14:27" x14ac:dyDescent="0.2">
      <c r="N96" s="152"/>
      <c r="O96" s="152"/>
      <c r="T96" s="121"/>
    </row>
    <row r="97" spans="14:22" x14ac:dyDescent="0.2">
      <c r="N97" s="152"/>
      <c r="O97" s="152"/>
      <c r="R97" s="122" t="s">
        <v>103</v>
      </c>
      <c r="S97" s="123"/>
      <c r="T97" s="124"/>
      <c r="U97" s="123"/>
    </row>
    <row r="98" spans="14:22" x14ac:dyDescent="0.2">
      <c r="N98" s="152"/>
      <c r="O98" s="152"/>
      <c r="S98" s="120"/>
      <c r="T98" s="125" t="s">
        <v>104</v>
      </c>
      <c r="U98" s="120" t="s">
        <v>105</v>
      </c>
    </row>
    <row r="99" spans="14:22" x14ac:dyDescent="0.2">
      <c r="N99" s="152"/>
      <c r="O99" s="152"/>
      <c r="S99" s="120" t="s">
        <v>106</v>
      </c>
      <c r="T99" s="121">
        <f>X85</f>
        <v>390698.5190676857</v>
      </c>
      <c r="U99" s="121">
        <f>X87</f>
        <v>420858.1696550959</v>
      </c>
    </row>
    <row r="100" spans="14:22" x14ac:dyDescent="0.2">
      <c r="N100" s="152"/>
      <c r="O100" s="152"/>
      <c r="S100" s="120" t="s">
        <v>107</v>
      </c>
      <c r="T100" s="121">
        <f>T94</f>
        <v>344911.59270718216</v>
      </c>
      <c r="U100" s="121">
        <f>T95</f>
        <v>466645.09601559938</v>
      </c>
    </row>
    <row r="101" spans="14:22" x14ac:dyDescent="0.2">
      <c r="N101" s="152"/>
      <c r="O101" s="152"/>
      <c r="R101" s="123"/>
      <c r="S101" s="126" t="s">
        <v>108</v>
      </c>
      <c r="T101" s="124">
        <f>T99</f>
        <v>390698.5190676857</v>
      </c>
      <c r="U101" s="124">
        <f>U99</f>
        <v>420858.1696550959</v>
      </c>
    </row>
    <row r="102" spans="14:22" x14ac:dyDescent="0.2">
      <c r="N102" s="152"/>
      <c r="O102" s="152"/>
      <c r="T102" s="121"/>
    </row>
    <row r="103" spans="14:22" x14ac:dyDescent="0.2">
      <c r="N103" s="152"/>
      <c r="O103" s="152"/>
      <c r="R103" s="127" t="s">
        <v>109</v>
      </c>
      <c r="S103" s="128"/>
      <c r="T103" s="129"/>
      <c r="U103" s="128"/>
      <c r="V103" s="129">
        <v>355000</v>
      </c>
    </row>
    <row r="104" spans="14:22" x14ac:dyDescent="0.2">
      <c r="N104" s="152"/>
      <c r="O104" s="152"/>
      <c r="R104" s="130"/>
      <c r="S104" s="131"/>
      <c r="T104" s="132"/>
      <c r="U104" s="131" t="s">
        <v>110</v>
      </c>
      <c r="V104" s="132">
        <f>X86-X85</f>
        <v>15079.8252937051</v>
      </c>
    </row>
    <row r="105" spans="14:22" x14ac:dyDescent="0.2">
      <c r="N105" s="152"/>
      <c r="O105" s="152"/>
      <c r="S105" s="120"/>
      <c r="T105" s="125" t="s">
        <v>104</v>
      </c>
      <c r="U105" s="120" t="s">
        <v>105</v>
      </c>
    </row>
    <row r="106" spans="14:22" x14ac:dyDescent="0.2">
      <c r="N106" s="152"/>
      <c r="O106" s="152"/>
      <c r="S106" s="120" t="s">
        <v>111</v>
      </c>
      <c r="T106" s="121">
        <f>V103-V104</f>
        <v>339920.1747062949</v>
      </c>
      <c r="U106" s="133">
        <f>V103+V104</f>
        <v>370079.8252937051</v>
      </c>
    </row>
    <row r="107" spans="14:22" x14ac:dyDescent="0.2">
      <c r="N107" s="152"/>
      <c r="O107" s="152"/>
      <c r="S107" s="120" t="s">
        <v>107</v>
      </c>
      <c r="T107" s="133">
        <f>T94</f>
        <v>344911.59270718216</v>
      </c>
      <c r="U107" s="121">
        <f>T95</f>
        <v>466645.09601559938</v>
      </c>
    </row>
    <row r="108" spans="14:22" x14ac:dyDescent="0.2">
      <c r="N108" s="152"/>
      <c r="O108" s="152"/>
      <c r="R108" s="128"/>
      <c r="S108" s="134" t="s">
        <v>108</v>
      </c>
      <c r="T108" s="129">
        <f>T107</f>
        <v>344911.59270718216</v>
      </c>
      <c r="U108" s="129">
        <f>U106</f>
        <v>370079.8252937051</v>
      </c>
    </row>
    <row r="109" spans="14:22" x14ac:dyDescent="0.2">
      <c r="N109" s="152"/>
      <c r="O109" s="152"/>
    </row>
    <row r="110" spans="14:22" x14ac:dyDescent="0.2">
      <c r="N110" s="152"/>
      <c r="O110" s="152"/>
    </row>
    <row r="111" spans="14:22" x14ac:dyDescent="0.2">
      <c r="N111" s="152"/>
      <c r="O111" s="152"/>
    </row>
    <row r="112" spans="14:22" x14ac:dyDescent="0.2">
      <c r="N112" s="152"/>
      <c r="O112" s="152"/>
    </row>
    <row r="113" spans="14:15" x14ac:dyDescent="0.2">
      <c r="N113" s="152"/>
      <c r="O113" s="152"/>
    </row>
    <row r="114" spans="14:15" x14ac:dyDescent="0.2">
      <c r="N114" s="152"/>
      <c r="O114" s="152"/>
    </row>
    <row r="115" spans="14:15" x14ac:dyDescent="0.2">
      <c r="N115" s="152"/>
      <c r="O115" s="152"/>
    </row>
  </sheetData>
  <mergeCells count="6">
    <mergeCell ref="P34:P36"/>
    <mergeCell ref="O34:O36"/>
    <mergeCell ref="M34:M36"/>
    <mergeCell ref="F34:F36"/>
    <mergeCell ref="C34:C36"/>
    <mergeCell ref="D34:D36"/>
  </mergeCells>
  <pageMargins left="0.78740157499999996" right="0.78740157499999996" top="0.984251969" bottom="0.984251969" header="0.49212598499999999" footer="0.49212598499999999"/>
  <pageSetup paperSize="9" orientation="portrait" horizontalDpi="4294967294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22</xdr:col>
                <xdr:colOff>19050</xdr:colOff>
                <xdr:row>74</xdr:row>
                <xdr:rowOff>57150</xdr:rowOff>
              </from>
              <to>
                <xdr:col>24</xdr:col>
                <xdr:colOff>352425</xdr:colOff>
                <xdr:row>77</xdr:row>
                <xdr:rowOff>28575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22</xdr:col>
                <xdr:colOff>428625</xdr:colOff>
                <xdr:row>81</xdr:row>
                <xdr:rowOff>95250</xdr:rowOff>
              </from>
              <to>
                <xdr:col>24</xdr:col>
                <xdr:colOff>390525</xdr:colOff>
                <xdr:row>83</xdr:row>
                <xdr:rowOff>123825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8">
          <objectPr defaultSize="0" autoPict="0" r:id="rId9">
            <anchor moveWithCells="1" sizeWithCells="1">
              <from>
                <xdr:col>23</xdr:col>
                <xdr:colOff>552450</xdr:colOff>
                <xdr:row>27</xdr:row>
                <xdr:rowOff>9525</xdr:rowOff>
              </from>
              <to>
                <xdr:col>28</xdr:col>
                <xdr:colOff>133350</xdr:colOff>
                <xdr:row>30</xdr:row>
                <xdr:rowOff>66675</xdr:rowOff>
              </to>
            </anchor>
          </objectPr>
        </oleObject>
      </mc:Choice>
      <mc:Fallback>
        <oleObject progId="Equation.3" shapeId="4099" r:id="rId8"/>
      </mc:Fallback>
    </mc:AlternateContent>
    <mc:AlternateContent xmlns:mc="http://schemas.openxmlformats.org/markup-compatibility/2006">
      <mc:Choice Requires="x14">
        <oleObject progId="Equation.3" shapeId="4100" r:id="rId10">
          <objectPr defaultSize="0" autoPict="0" r:id="rId11">
            <anchor moveWithCells="1" sizeWithCells="1">
              <from>
                <xdr:col>7</xdr:col>
                <xdr:colOff>542925</xdr:colOff>
                <xdr:row>28</xdr:row>
                <xdr:rowOff>66675</xdr:rowOff>
              </from>
              <to>
                <xdr:col>8</xdr:col>
                <xdr:colOff>523875</xdr:colOff>
                <xdr:row>31</xdr:row>
                <xdr:rowOff>85725</xdr:rowOff>
              </to>
            </anchor>
          </objectPr>
        </oleObject>
      </mc:Choice>
      <mc:Fallback>
        <oleObject progId="Equation.3" shapeId="4100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H120"/>
  <sheetViews>
    <sheetView topLeftCell="A19" zoomScale="150" zoomScaleNormal="150" workbookViewId="0">
      <selection activeCell="AH37" sqref="AH37"/>
    </sheetView>
  </sheetViews>
  <sheetFormatPr defaultRowHeight="12.75" x14ac:dyDescent="0.2"/>
  <cols>
    <col min="1" max="1" width="11.28515625" bestFit="1" customWidth="1"/>
    <col min="3" max="3" width="10.5703125" customWidth="1"/>
    <col min="4" max="4" width="12.42578125" customWidth="1"/>
    <col min="5" max="5" width="13.7109375" customWidth="1"/>
    <col min="6" max="6" width="12.7109375" customWidth="1"/>
    <col min="7" max="7" width="10.5703125" customWidth="1"/>
    <col min="8" max="8" width="12.28515625" customWidth="1"/>
    <col min="9" max="9" width="13.7109375" customWidth="1"/>
    <col min="10" max="10" width="12.42578125" customWidth="1"/>
    <col min="11" max="11" width="11.5703125" customWidth="1"/>
    <col min="12" max="12" width="12.85546875" customWidth="1"/>
    <col min="13" max="15" width="13" customWidth="1"/>
    <col min="16" max="16" width="12.140625" customWidth="1"/>
    <col min="17" max="17" width="15.7109375" customWidth="1"/>
    <col min="18" max="18" width="19.42578125" customWidth="1"/>
    <col min="19" max="19" width="12.28515625" customWidth="1"/>
    <col min="20" max="20" width="13.140625" customWidth="1"/>
    <col min="21" max="21" width="15.7109375" customWidth="1"/>
    <col min="22" max="22" width="11.7109375" customWidth="1"/>
    <col min="23" max="23" width="11" customWidth="1"/>
    <col min="24" max="24" width="16.28515625" customWidth="1"/>
    <col min="25" max="25" width="12.85546875" customWidth="1"/>
    <col min="26" max="26" width="14.28515625" customWidth="1"/>
    <col min="27" max="27" width="15" customWidth="1"/>
    <col min="28" max="28" width="14.5703125" customWidth="1"/>
    <col min="29" max="29" width="13.28515625" customWidth="1"/>
    <col min="30" max="30" width="13.140625" customWidth="1"/>
    <col min="31" max="31" width="12.140625" customWidth="1"/>
    <col min="32" max="32" width="12.42578125" customWidth="1"/>
    <col min="33" max="33" width="15.28515625" customWidth="1"/>
    <col min="34" max="34" width="15.5703125" customWidth="1"/>
    <col min="35" max="35" width="12" customWidth="1"/>
    <col min="36" max="36" width="15.42578125" customWidth="1"/>
    <col min="37" max="37" width="13.85546875" customWidth="1"/>
  </cols>
  <sheetData>
    <row r="4" spans="1:11" x14ac:dyDescent="0.2">
      <c r="C4" s="62" t="s">
        <v>139</v>
      </c>
    </row>
    <row r="6" spans="1:11" ht="13.5" thickBot="1" x14ac:dyDescent="0.25"/>
    <row r="7" spans="1:11" x14ac:dyDescent="0.2">
      <c r="C7" s="82" t="s">
        <v>71</v>
      </c>
      <c r="D7" s="4" t="s">
        <v>14</v>
      </c>
      <c r="E7" s="4" t="s">
        <v>16</v>
      </c>
      <c r="F7" s="3" t="s">
        <v>5</v>
      </c>
      <c r="G7" s="3" t="s">
        <v>1</v>
      </c>
      <c r="H7" s="3" t="s">
        <v>2</v>
      </c>
      <c r="I7" s="3" t="s">
        <v>9</v>
      </c>
      <c r="J7" s="3" t="s">
        <v>11</v>
      </c>
      <c r="K7" s="5" t="s">
        <v>56</v>
      </c>
    </row>
    <row r="8" spans="1:11" ht="13.5" thickBot="1" x14ac:dyDescent="0.25">
      <c r="C8" s="6"/>
      <c r="D8" s="8" t="s">
        <v>15</v>
      </c>
      <c r="E8" s="8" t="s">
        <v>17</v>
      </c>
      <c r="F8" s="7" t="s">
        <v>6</v>
      </c>
      <c r="G8" s="7" t="s">
        <v>7</v>
      </c>
      <c r="H8" s="7" t="s">
        <v>8</v>
      </c>
      <c r="I8" s="7" t="s">
        <v>10</v>
      </c>
      <c r="J8" s="7" t="s">
        <v>12</v>
      </c>
      <c r="K8" s="9" t="s">
        <v>62</v>
      </c>
    </row>
    <row r="9" spans="1:11" x14ac:dyDescent="0.2">
      <c r="A9" s="72"/>
      <c r="B9" s="71"/>
      <c r="C9" s="82" t="s">
        <v>81</v>
      </c>
      <c r="D9" s="84">
        <v>420000</v>
      </c>
      <c r="E9" s="85">
        <v>440</v>
      </c>
      <c r="F9" s="3" t="s">
        <v>18</v>
      </c>
      <c r="G9" s="86">
        <v>16</v>
      </c>
      <c r="H9" s="87">
        <f>E9/G9</f>
        <v>27.5</v>
      </c>
      <c r="I9" s="3" t="s">
        <v>19</v>
      </c>
      <c r="J9" s="3" t="s">
        <v>20</v>
      </c>
      <c r="K9" s="53">
        <v>285.33</v>
      </c>
    </row>
    <row r="10" spans="1:11" x14ac:dyDescent="0.2">
      <c r="A10" s="72"/>
      <c r="B10" s="71"/>
      <c r="C10" s="83" t="s">
        <v>82</v>
      </c>
      <c r="D10" s="48">
        <v>590000</v>
      </c>
      <c r="E10" s="11">
        <v>550</v>
      </c>
      <c r="F10" s="13" t="s">
        <v>6</v>
      </c>
      <c r="G10" s="14">
        <v>10</v>
      </c>
      <c r="H10" s="50">
        <f t="shared" ref="H10:H27" si="0">E10/G10</f>
        <v>55</v>
      </c>
      <c r="I10" s="13" t="s">
        <v>23</v>
      </c>
      <c r="J10" s="13" t="s">
        <v>20</v>
      </c>
      <c r="K10" s="22">
        <v>285.33</v>
      </c>
    </row>
    <row r="11" spans="1:11" x14ac:dyDescent="0.2">
      <c r="A11" s="72"/>
      <c r="B11" s="71"/>
      <c r="C11" s="83" t="s">
        <v>83</v>
      </c>
      <c r="D11" s="48">
        <v>220000</v>
      </c>
      <c r="E11" s="11">
        <v>450</v>
      </c>
      <c r="F11" s="13" t="s">
        <v>18</v>
      </c>
      <c r="G11" s="14">
        <v>15</v>
      </c>
      <c r="H11" s="50">
        <f t="shared" si="0"/>
        <v>30</v>
      </c>
      <c r="I11" s="13" t="s">
        <v>24</v>
      </c>
      <c r="J11" s="13" t="s">
        <v>21</v>
      </c>
      <c r="K11" s="22">
        <v>204.75</v>
      </c>
    </row>
    <row r="12" spans="1:11" x14ac:dyDescent="0.2">
      <c r="A12" s="72"/>
      <c r="B12" s="71"/>
      <c r="C12" s="83" t="s">
        <v>84</v>
      </c>
      <c r="D12" s="48">
        <v>415000</v>
      </c>
      <c r="E12" s="11">
        <v>525</v>
      </c>
      <c r="F12" s="13" t="s">
        <v>6</v>
      </c>
      <c r="G12" s="14">
        <v>15</v>
      </c>
      <c r="H12" s="50">
        <f t="shared" si="0"/>
        <v>35</v>
      </c>
      <c r="I12" s="16" t="s">
        <v>65</v>
      </c>
      <c r="J12" s="13" t="s">
        <v>20</v>
      </c>
      <c r="K12" s="22">
        <v>189.1</v>
      </c>
    </row>
    <row r="13" spans="1:11" x14ac:dyDescent="0.2">
      <c r="A13" s="72"/>
      <c r="B13" s="71"/>
      <c r="C13" s="83" t="s">
        <v>85</v>
      </c>
      <c r="D13" s="48">
        <v>260000</v>
      </c>
      <c r="E13" s="11">
        <v>1050</v>
      </c>
      <c r="F13" s="13" t="s">
        <v>6</v>
      </c>
      <c r="G13" s="14">
        <v>20</v>
      </c>
      <c r="H13" s="50">
        <f t="shared" si="0"/>
        <v>52.5</v>
      </c>
      <c r="I13" s="13" t="s">
        <v>19</v>
      </c>
      <c r="J13" s="13" t="s">
        <v>21</v>
      </c>
      <c r="K13" s="22">
        <v>197.95</v>
      </c>
    </row>
    <row r="14" spans="1:11" x14ac:dyDescent="0.2">
      <c r="A14" s="72"/>
      <c r="B14" s="71"/>
      <c r="C14" s="83" t="s">
        <v>86</v>
      </c>
      <c r="D14" s="48">
        <v>250000</v>
      </c>
      <c r="E14" s="11">
        <v>360</v>
      </c>
      <c r="F14" s="13" t="s">
        <v>6</v>
      </c>
      <c r="G14" s="14">
        <v>12</v>
      </c>
      <c r="H14" s="50">
        <f t="shared" si="0"/>
        <v>30</v>
      </c>
      <c r="I14" s="13" t="s">
        <v>66</v>
      </c>
      <c r="J14" s="13" t="s">
        <v>20</v>
      </c>
      <c r="K14" s="22">
        <v>209.39</v>
      </c>
    </row>
    <row r="15" spans="1:11" x14ac:dyDescent="0.2">
      <c r="A15" s="72"/>
      <c r="B15" s="71"/>
      <c r="C15" s="83" t="s">
        <v>87</v>
      </c>
      <c r="D15" s="48">
        <v>650000</v>
      </c>
      <c r="E15" s="11">
        <v>1200</v>
      </c>
      <c r="F15" s="13" t="s">
        <v>18</v>
      </c>
      <c r="G15" s="14">
        <v>20</v>
      </c>
      <c r="H15" s="50">
        <f t="shared" si="0"/>
        <v>60</v>
      </c>
      <c r="I15" s="13" t="s">
        <v>67</v>
      </c>
      <c r="J15" s="13" t="s">
        <v>20</v>
      </c>
      <c r="K15" s="22">
        <v>172.4</v>
      </c>
    </row>
    <row r="16" spans="1:11" x14ac:dyDescent="0.2">
      <c r="A16" s="72"/>
      <c r="B16" s="71"/>
      <c r="C16" s="83" t="s">
        <v>88</v>
      </c>
      <c r="D16" s="48">
        <v>250000</v>
      </c>
      <c r="E16" s="11">
        <v>440</v>
      </c>
      <c r="F16" s="13" t="s">
        <v>6</v>
      </c>
      <c r="G16" s="14">
        <v>11</v>
      </c>
      <c r="H16" s="50">
        <f t="shared" si="0"/>
        <v>40</v>
      </c>
      <c r="I16" s="13" t="s">
        <v>68</v>
      </c>
      <c r="J16" s="13" t="s">
        <v>64</v>
      </c>
      <c r="K16" s="22">
        <v>204.75</v>
      </c>
    </row>
    <row r="17" spans="1:24" x14ac:dyDescent="0.2">
      <c r="A17" s="72"/>
      <c r="B17" s="71"/>
      <c r="C17" s="83" t="s">
        <v>89</v>
      </c>
      <c r="D17" s="48">
        <v>330000</v>
      </c>
      <c r="E17" s="11">
        <v>595</v>
      </c>
      <c r="F17" s="13" t="s">
        <v>18</v>
      </c>
      <c r="G17" s="14">
        <v>17</v>
      </c>
      <c r="H17" s="50">
        <f t="shared" si="0"/>
        <v>35</v>
      </c>
      <c r="I17" s="13" t="s">
        <v>27</v>
      </c>
      <c r="J17" s="13" t="s">
        <v>20</v>
      </c>
      <c r="K17" s="22">
        <v>189.1</v>
      </c>
    </row>
    <row r="18" spans="1:24" x14ac:dyDescent="0.2">
      <c r="A18" s="72"/>
      <c r="B18" s="71"/>
      <c r="C18" s="83" t="s">
        <v>72</v>
      </c>
      <c r="D18" s="48">
        <v>400000</v>
      </c>
      <c r="E18" s="11">
        <v>450</v>
      </c>
      <c r="F18" s="13" t="s">
        <v>18</v>
      </c>
      <c r="G18" s="14">
        <v>15</v>
      </c>
      <c r="H18" s="50">
        <f t="shared" si="0"/>
        <v>30</v>
      </c>
      <c r="I18" s="13" t="s">
        <v>22</v>
      </c>
      <c r="J18" s="13" t="s">
        <v>20</v>
      </c>
      <c r="K18" s="22">
        <v>172.4</v>
      </c>
    </row>
    <row r="19" spans="1:24" x14ac:dyDescent="0.2">
      <c r="A19" s="72"/>
      <c r="B19" s="71"/>
      <c r="C19" s="83" t="s">
        <v>73</v>
      </c>
      <c r="D19" s="48">
        <v>420000</v>
      </c>
      <c r="E19" s="11">
        <v>600</v>
      </c>
      <c r="F19" s="13" t="s">
        <v>6</v>
      </c>
      <c r="G19" s="14">
        <v>15</v>
      </c>
      <c r="H19" s="50">
        <f t="shared" si="0"/>
        <v>40</v>
      </c>
      <c r="I19" s="13" t="s">
        <v>25</v>
      </c>
      <c r="J19" s="13" t="s">
        <v>20</v>
      </c>
      <c r="K19" s="22">
        <v>209.39</v>
      </c>
    </row>
    <row r="20" spans="1:24" x14ac:dyDescent="0.2">
      <c r="A20" s="72"/>
      <c r="B20" s="71"/>
      <c r="C20" s="83" t="s">
        <v>74</v>
      </c>
      <c r="D20" s="48">
        <v>310000</v>
      </c>
      <c r="E20" s="11">
        <v>450</v>
      </c>
      <c r="F20" s="13" t="s">
        <v>18</v>
      </c>
      <c r="G20" s="14">
        <v>12</v>
      </c>
      <c r="H20" s="50">
        <f t="shared" si="0"/>
        <v>37.5</v>
      </c>
      <c r="I20" s="13" t="s">
        <v>19</v>
      </c>
      <c r="J20" s="13" t="s">
        <v>20</v>
      </c>
      <c r="K20" s="22">
        <v>197.95</v>
      </c>
    </row>
    <row r="21" spans="1:24" x14ac:dyDescent="0.2">
      <c r="A21" s="72"/>
      <c r="B21" s="71"/>
      <c r="C21" s="83" t="s">
        <v>75</v>
      </c>
      <c r="D21" s="48">
        <v>350000</v>
      </c>
      <c r="E21" s="11">
        <v>580</v>
      </c>
      <c r="F21" s="13" t="s">
        <v>18</v>
      </c>
      <c r="G21" s="14">
        <v>20</v>
      </c>
      <c r="H21" s="50">
        <f t="shared" si="0"/>
        <v>29</v>
      </c>
      <c r="I21" s="13" t="s">
        <v>19</v>
      </c>
      <c r="J21" s="13" t="s">
        <v>64</v>
      </c>
      <c r="K21" s="22">
        <v>285.33</v>
      </c>
    </row>
    <row r="22" spans="1:24" x14ac:dyDescent="0.2">
      <c r="A22" s="72"/>
      <c r="B22" s="71"/>
      <c r="C22" s="83" t="s">
        <v>76</v>
      </c>
      <c r="D22" s="48">
        <v>500000</v>
      </c>
      <c r="E22" s="11">
        <v>770</v>
      </c>
      <c r="F22" s="13" t="s">
        <v>18</v>
      </c>
      <c r="G22" s="14">
        <v>22</v>
      </c>
      <c r="H22" s="50">
        <f t="shared" si="0"/>
        <v>35</v>
      </c>
      <c r="I22" s="13" t="s">
        <v>26</v>
      </c>
      <c r="J22" s="13" t="s">
        <v>20</v>
      </c>
      <c r="K22" s="22">
        <v>209.39</v>
      </c>
    </row>
    <row r="23" spans="1:24" x14ac:dyDescent="0.2">
      <c r="A23" s="72"/>
      <c r="B23" s="71"/>
      <c r="C23" s="83" t="s">
        <v>77</v>
      </c>
      <c r="D23" s="48">
        <v>530000</v>
      </c>
      <c r="E23" s="11">
        <v>750</v>
      </c>
      <c r="F23" s="13" t="s">
        <v>6</v>
      </c>
      <c r="G23" s="14">
        <v>25</v>
      </c>
      <c r="H23" s="50">
        <f t="shared" si="0"/>
        <v>30</v>
      </c>
      <c r="I23" s="13" t="s">
        <v>19</v>
      </c>
      <c r="J23" s="13" t="s">
        <v>20</v>
      </c>
      <c r="K23" s="22">
        <v>197.95</v>
      </c>
    </row>
    <row r="24" spans="1:24" x14ac:dyDescent="0.2">
      <c r="A24" s="72"/>
      <c r="B24" s="71"/>
      <c r="C24" s="83" t="s">
        <v>78</v>
      </c>
      <c r="D24" s="48">
        <v>490000</v>
      </c>
      <c r="E24" s="11">
        <v>720</v>
      </c>
      <c r="F24" s="13" t="s">
        <v>18</v>
      </c>
      <c r="G24" s="14">
        <v>20</v>
      </c>
      <c r="H24" s="50">
        <f t="shared" si="0"/>
        <v>36</v>
      </c>
      <c r="I24" s="13" t="s">
        <v>19</v>
      </c>
      <c r="J24" s="13" t="s">
        <v>20</v>
      </c>
      <c r="K24" s="22">
        <v>197.95</v>
      </c>
    </row>
    <row r="25" spans="1:24" x14ac:dyDescent="0.2">
      <c r="A25" s="72"/>
      <c r="B25" s="71"/>
      <c r="C25" s="83" t="s">
        <v>79</v>
      </c>
      <c r="D25" s="48">
        <v>370000</v>
      </c>
      <c r="E25" s="11">
        <v>480</v>
      </c>
      <c r="F25" s="13" t="s">
        <v>6</v>
      </c>
      <c r="G25" s="14">
        <v>16</v>
      </c>
      <c r="H25" s="50">
        <f t="shared" si="0"/>
        <v>30</v>
      </c>
      <c r="I25" s="13" t="s">
        <v>19</v>
      </c>
      <c r="J25" s="13" t="s">
        <v>64</v>
      </c>
      <c r="K25" s="22">
        <v>285.33</v>
      </c>
      <c r="Q25" s="128"/>
      <c r="R25" s="128"/>
    </row>
    <row r="26" spans="1:24" ht="13.5" thickBot="1" x14ac:dyDescent="0.25">
      <c r="A26" s="72"/>
      <c r="B26" s="71"/>
      <c r="C26" s="66" t="s">
        <v>80</v>
      </c>
      <c r="D26" s="49">
        <v>780000</v>
      </c>
      <c r="E26" s="17">
        <v>1100</v>
      </c>
      <c r="F26" s="7" t="s">
        <v>18</v>
      </c>
      <c r="G26" s="18">
        <v>20</v>
      </c>
      <c r="H26" s="51">
        <f t="shared" si="0"/>
        <v>55</v>
      </c>
      <c r="I26" s="7" t="s">
        <v>19</v>
      </c>
      <c r="J26" s="7" t="s">
        <v>64</v>
      </c>
      <c r="K26" s="25">
        <v>285.33</v>
      </c>
      <c r="Q26" s="128"/>
      <c r="R26" s="128"/>
    </row>
    <row r="27" spans="1:24" ht="13.5" thickBot="1" x14ac:dyDescent="0.25">
      <c r="C27" s="68" t="s">
        <v>54</v>
      </c>
      <c r="D27" s="110" t="s">
        <v>31</v>
      </c>
      <c r="E27" s="70">
        <v>600</v>
      </c>
      <c r="F27" s="69"/>
      <c r="G27" s="69">
        <v>12</v>
      </c>
      <c r="H27" s="88">
        <f t="shared" si="0"/>
        <v>50</v>
      </c>
      <c r="I27" s="69" t="s">
        <v>27</v>
      </c>
      <c r="J27" s="69" t="s">
        <v>20</v>
      </c>
      <c r="K27" s="89">
        <v>209.39</v>
      </c>
      <c r="Q27" s="128"/>
      <c r="R27" s="128"/>
    </row>
    <row r="28" spans="1:24" x14ac:dyDescent="0.2">
      <c r="C28" s="1" t="s">
        <v>124</v>
      </c>
      <c r="D28" s="1"/>
    </row>
    <row r="29" spans="1:24" x14ac:dyDescent="0.2">
      <c r="Q29" s="179"/>
    </row>
    <row r="30" spans="1:24" x14ac:dyDescent="0.2">
      <c r="D30" s="111" t="s">
        <v>95</v>
      </c>
      <c r="E30">
        <v>15</v>
      </c>
      <c r="G30" s="120" t="s">
        <v>123</v>
      </c>
      <c r="H30" s="156">
        <v>30</v>
      </c>
      <c r="Q30" s="179"/>
    </row>
    <row r="31" spans="1:24" x14ac:dyDescent="0.2">
      <c r="D31" s="111" t="s">
        <v>96</v>
      </c>
      <c r="E31">
        <v>0.15</v>
      </c>
      <c r="G31" s="111" t="s">
        <v>121</v>
      </c>
      <c r="H31" s="156">
        <v>0.5</v>
      </c>
      <c r="Q31" s="179"/>
      <c r="R31" s="180"/>
      <c r="W31" s="152"/>
      <c r="X31" s="152"/>
    </row>
    <row r="32" spans="1:24" x14ac:dyDescent="0.2">
      <c r="R32" s="180"/>
      <c r="W32" s="152"/>
      <c r="X32" s="152"/>
    </row>
    <row r="33" spans="3:34" ht="13.5" thickBot="1" x14ac:dyDescent="0.25">
      <c r="R33" s="180"/>
      <c r="U33" s="119" t="s">
        <v>117</v>
      </c>
      <c r="W33" s="152"/>
      <c r="X33" s="119"/>
    </row>
    <row r="34" spans="3:34" ht="13.5" thickBot="1" x14ac:dyDescent="0.25">
      <c r="C34" s="246" t="s">
        <v>71</v>
      </c>
      <c r="D34" s="249" t="s">
        <v>70</v>
      </c>
      <c r="E34" s="212" t="s">
        <v>125</v>
      </c>
      <c r="F34" s="252" t="s">
        <v>69</v>
      </c>
      <c r="G34" s="182" t="s">
        <v>114</v>
      </c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4"/>
      <c r="S34" s="227" t="s">
        <v>119</v>
      </c>
      <c r="T34" s="148"/>
      <c r="U34" s="257" t="s">
        <v>116</v>
      </c>
      <c r="V34" s="239" t="s">
        <v>120</v>
      </c>
    </row>
    <row r="35" spans="3:34" ht="12.75" customHeight="1" x14ac:dyDescent="0.2">
      <c r="C35" s="247"/>
      <c r="D35" s="250"/>
      <c r="E35" s="213" t="s">
        <v>29</v>
      </c>
      <c r="F35" s="253"/>
      <c r="G35" s="185" t="s">
        <v>28</v>
      </c>
      <c r="H35" s="186"/>
      <c r="I35" s="187" t="s">
        <v>122</v>
      </c>
      <c r="J35" s="187"/>
      <c r="K35" s="187" t="s">
        <v>45</v>
      </c>
      <c r="L35" s="186"/>
      <c r="M35" s="187" t="s">
        <v>44</v>
      </c>
      <c r="N35" s="186"/>
      <c r="O35" s="188" t="s">
        <v>63</v>
      </c>
      <c r="P35" s="186"/>
      <c r="Q35" s="242" t="s">
        <v>141</v>
      </c>
      <c r="R35" s="244" t="s">
        <v>127</v>
      </c>
      <c r="S35" s="255"/>
      <c r="T35" s="149"/>
      <c r="U35" s="255"/>
      <c r="V35" s="240"/>
      <c r="Y35" s="2" t="s">
        <v>71</v>
      </c>
      <c r="Z35" s="3" t="s">
        <v>14</v>
      </c>
      <c r="AA35" s="4" t="s">
        <v>60</v>
      </c>
      <c r="AB35" s="46" t="s">
        <v>118</v>
      </c>
      <c r="AC35" s="109"/>
      <c r="AD35" s="5" t="s">
        <v>40</v>
      </c>
      <c r="AE35" s="38"/>
      <c r="AF35" s="2" t="s">
        <v>71</v>
      </c>
      <c r="AG35" s="157" t="s">
        <v>3</v>
      </c>
      <c r="AH35" s="169" t="s">
        <v>14</v>
      </c>
    </row>
    <row r="36" spans="3:34" ht="13.5" thickBot="1" x14ac:dyDescent="0.25">
      <c r="C36" s="248"/>
      <c r="D36" s="251"/>
      <c r="E36" s="214" t="s">
        <v>53</v>
      </c>
      <c r="F36" s="254"/>
      <c r="G36" s="189" t="s">
        <v>53</v>
      </c>
      <c r="H36" s="190" t="s">
        <v>140</v>
      </c>
      <c r="I36" s="191" t="s">
        <v>53</v>
      </c>
      <c r="J36" s="190" t="s">
        <v>140</v>
      </c>
      <c r="K36" s="191" t="s">
        <v>53</v>
      </c>
      <c r="L36" s="190" t="s">
        <v>140</v>
      </c>
      <c r="M36" s="191" t="s">
        <v>53</v>
      </c>
      <c r="N36" s="190" t="s">
        <v>140</v>
      </c>
      <c r="O36" s="191" t="s">
        <v>53</v>
      </c>
      <c r="P36" s="190" t="s">
        <v>140</v>
      </c>
      <c r="Q36" s="243"/>
      <c r="R36" s="245"/>
      <c r="S36" s="256"/>
      <c r="T36" s="149"/>
      <c r="U36" s="256"/>
      <c r="V36" s="241"/>
      <c r="Y36" s="6"/>
      <c r="Z36" s="7" t="s">
        <v>4</v>
      </c>
      <c r="AA36" s="8" t="s">
        <v>33</v>
      </c>
      <c r="AB36" s="8" t="s">
        <v>48</v>
      </c>
      <c r="AC36" s="8" t="s">
        <v>37</v>
      </c>
      <c r="AD36" s="9" t="s">
        <v>41</v>
      </c>
      <c r="AF36" s="6"/>
      <c r="AG36" s="172" t="s">
        <v>52</v>
      </c>
      <c r="AH36" s="173" t="s">
        <v>61</v>
      </c>
    </row>
    <row r="37" spans="3:34" x14ac:dyDescent="0.2">
      <c r="C37" s="215" t="s">
        <v>81</v>
      </c>
      <c r="D37" s="216">
        <f t="shared" ref="D37:D54" si="1">D9/E9</f>
        <v>954.5454545454545</v>
      </c>
      <c r="E37" s="217">
        <v>1</v>
      </c>
      <c r="F37" s="192">
        <f t="shared" ref="F37:F54" si="2">D37*E37</f>
        <v>954.5454545454545</v>
      </c>
      <c r="G37" s="193">
        <f>1/(G9/$E$30)^$E$31</f>
        <v>0.9903659297179418</v>
      </c>
      <c r="H37" s="194">
        <f>G37-1</f>
        <v>-9.6340702820582047E-3</v>
      </c>
      <c r="I37" s="194">
        <f>1/((H9/H30)^0.5)</f>
        <v>1.044465935734187</v>
      </c>
      <c r="J37" s="194">
        <f>I37-1</f>
        <v>4.4465935734187001E-2</v>
      </c>
      <c r="K37" s="195">
        <v>1</v>
      </c>
      <c r="L37" s="196">
        <f>K37-1</f>
        <v>0</v>
      </c>
      <c r="M37" s="195">
        <v>1</v>
      </c>
      <c r="N37" s="196">
        <f>M37-1</f>
        <v>0</v>
      </c>
      <c r="O37" s="194">
        <f>$K$27/K9</f>
        <v>0.73385203098167029</v>
      </c>
      <c r="P37" s="193">
        <f>O37-1</f>
        <v>-0.26614796901832971</v>
      </c>
      <c r="Q37" s="197">
        <f>H37+J37+L37+N37+P37</f>
        <v>-0.23131610356620091</v>
      </c>
      <c r="R37" s="198">
        <f>1+Q37</f>
        <v>0.76868389643379909</v>
      </c>
      <c r="S37" s="199">
        <f>F37*R37</f>
        <v>733.74371932317183</v>
      </c>
      <c r="T37" s="150">
        <v>0.75909909281942467</v>
      </c>
      <c r="U37" s="159">
        <f>E37*R37</f>
        <v>0.76868389643379909</v>
      </c>
      <c r="V37" s="155">
        <f t="shared" ref="V37:V54" si="3">D37*U37</f>
        <v>733.74371932317183</v>
      </c>
      <c r="W37" s="27">
        <v>724.59458860035988</v>
      </c>
      <c r="X37" s="26"/>
      <c r="Y37" s="83" t="s">
        <v>81</v>
      </c>
      <c r="Z37" s="54">
        <f t="shared" ref="Z37:Z54" si="4">D37</f>
        <v>954.5454545454545</v>
      </c>
      <c r="AA37" s="47">
        <f t="shared" ref="AA37:AA54" si="5">S37</f>
        <v>733.74371932317183</v>
      </c>
      <c r="AB37" s="47">
        <f>AA37</f>
        <v>733.74371932317183</v>
      </c>
      <c r="AC37" s="112">
        <f>AB37</f>
        <v>733.74371932317183</v>
      </c>
      <c r="AD37" s="22">
        <f>AA37</f>
        <v>733.74371932317183</v>
      </c>
      <c r="AF37" s="82" t="s">
        <v>81</v>
      </c>
      <c r="AG37" s="161">
        <f>D9</f>
        <v>420000</v>
      </c>
      <c r="AH37" s="176">
        <f>$AD$55*E9/(R37*E37)</f>
        <v>429126.48439448373</v>
      </c>
    </row>
    <row r="38" spans="3:34" x14ac:dyDescent="0.2">
      <c r="C38" s="215" t="s">
        <v>82</v>
      </c>
      <c r="D38" s="216">
        <f t="shared" si="1"/>
        <v>1072.7272727272727</v>
      </c>
      <c r="E38" s="215">
        <v>0.9</v>
      </c>
      <c r="F38" s="192">
        <f t="shared" si="2"/>
        <v>965.4545454545455</v>
      </c>
      <c r="G38" s="193">
        <f t="shared" ref="G38:G54" si="6">1/(G10/$E$30)^$E$31</f>
        <v>1.062707361156803</v>
      </c>
      <c r="H38" s="194">
        <f t="shared" ref="H38:H55" si="7">G38-1</f>
        <v>6.2707361156802977E-2</v>
      </c>
      <c r="I38" s="200">
        <v>1</v>
      </c>
      <c r="J38" s="194">
        <f t="shared" ref="J38:J55" si="8">I38-1</f>
        <v>0</v>
      </c>
      <c r="K38" s="195">
        <v>1.1100000000000001</v>
      </c>
      <c r="L38" s="196">
        <f t="shared" ref="L38:L55" si="9">K38-1</f>
        <v>0.1100000000000001</v>
      </c>
      <c r="M38" s="195">
        <v>1</v>
      </c>
      <c r="N38" s="196">
        <f t="shared" ref="N38:N55" si="10">M38-1</f>
        <v>0</v>
      </c>
      <c r="O38" s="194">
        <f t="shared" ref="O38:O55" si="11">$K$27/K10</f>
        <v>0.73385203098167029</v>
      </c>
      <c r="P38" s="193">
        <f t="shared" ref="P38:P55" si="12">O38-1</f>
        <v>-0.26614796901832971</v>
      </c>
      <c r="Q38" s="197">
        <f t="shared" ref="Q38:Q55" si="13">H38+J38+L38+N38+P38</f>
        <v>-9.3440607861526637E-2</v>
      </c>
      <c r="R38" s="198">
        <f t="shared" ref="R38:R55" si="14">1+Q38</f>
        <v>0.90655939213847336</v>
      </c>
      <c r="S38" s="201">
        <f t="shared" ref="S38:S54" si="15">F38*R38</f>
        <v>875.24188586459888</v>
      </c>
      <c r="T38" s="150">
        <v>0.7798699553240912</v>
      </c>
      <c r="U38" s="158">
        <f t="shared" ref="U38:U54" si="16">E38*R38</f>
        <v>0.81590345292462607</v>
      </c>
      <c r="V38" s="153">
        <f t="shared" si="3"/>
        <v>875.24188586459888</v>
      </c>
      <c r="W38" s="27">
        <v>836.58777025675249</v>
      </c>
      <c r="X38" s="26"/>
      <c r="Y38" s="83" t="s">
        <v>82</v>
      </c>
      <c r="Z38" s="54">
        <f t="shared" si="4"/>
        <v>1072.7272727272727</v>
      </c>
      <c r="AA38" s="47">
        <f t="shared" si="5"/>
        <v>875.24188586459888</v>
      </c>
      <c r="AB38" s="47">
        <f t="shared" ref="AB38:AC54" si="17">AA38</f>
        <v>875.24188586459888</v>
      </c>
      <c r="AC38" s="112">
        <f t="shared" si="17"/>
        <v>875.24188586459888</v>
      </c>
      <c r="AD38" s="22">
        <f t="shared" ref="AD38:AD54" si="18">AA38</f>
        <v>875.24188586459888</v>
      </c>
      <c r="AF38" s="83" t="s">
        <v>82</v>
      </c>
      <c r="AG38" s="162">
        <f>D10</f>
        <v>590000</v>
      </c>
      <c r="AH38" s="174">
        <f t="shared" ref="AH38:AH54" si="19">$AD$55*E10/(R38*E38)</f>
        <v>505364.04905643081</v>
      </c>
    </row>
    <row r="39" spans="3:34" x14ac:dyDescent="0.2">
      <c r="C39" s="215" t="s">
        <v>83</v>
      </c>
      <c r="D39" s="216">
        <f t="shared" si="1"/>
        <v>488.88888888888891</v>
      </c>
      <c r="E39" s="215">
        <v>1</v>
      </c>
      <c r="F39" s="192">
        <f t="shared" si="2"/>
        <v>488.88888888888891</v>
      </c>
      <c r="G39" s="193">
        <f t="shared" si="6"/>
        <v>1</v>
      </c>
      <c r="H39" s="194">
        <f t="shared" si="7"/>
        <v>0</v>
      </c>
      <c r="I39" s="200">
        <v>1</v>
      </c>
      <c r="J39" s="194">
        <f t="shared" si="8"/>
        <v>0</v>
      </c>
      <c r="K39" s="195">
        <v>1.05</v>
      </c>
      <c r="L39" s="196">
        <f t="shared" si="9"/>
        <v>5.0000000000000044E-2</v>
      </c>
      <c r="M39" s="195">
        <v>1.67</v>
      </c>
      <c r="N39" s="196">
        <f t="shared" si="10"/>
        <v>0.66999999999999993</v>
      </c>
      <c r="O39" s="194">
        <f t="shared" si="11"/>
        <v>1.0226617826617825</v>
      </c>
      <c r="P39" s="193">
        <f t="shared" si="12"/>
        <v>2.2661782661782537E-2</v>
      </c>
      <c r="Q39" s="197">
        <f t="shared" si="13"/>
        <v>0.74266178266178251</v>
      </c>
      <c r="R39" s="198">
        <f t="shared" si="14"/>
        <v>1.7426617826617825</v>
      </c>
      <c r="S39" s="201">
        <f t="shared" si="15"/>
        <v>851.96798263464927</v>
      </c>
      <c r="T39" s="150">
        <v>1.7941434783540049</v>
      </c>
      <c r="U39" s="158">
        <f t="shared" si="16"/>
        <v>1.7426617826617825</v>
      </c>
      <c r="V39" s="153">
        <f t="shared" si="3"/>
        <v>851.96798263464927</v>
      </c>
      <c r="W39" s="27">
        <v>877.13681163973581</v>
      </c>
      <c r="X39" s="27"/>
      <c r="Y39" s="83" t="s">
        <v>83</v>
      </c>
      <c r="Z39" s="54">
        <f t="shared" si="4"/>
        <v>488.88888888888891</v>
      </c>
      <c r="AA39" s="47">
        <f t="shared" si="5"/>
        <v>851.96798263464927</v>
      </c>
      <c r="AB39" s="47">
        <f t="shared" si="17"/>
        <v>851.96798263464927</v>
      </c>
      <c r="AC39" s="112">
        <f t="shared" si="17"/>
        <v>851.96798263464927</v>
      </c>
      <c r="AD39" s="22">
        <f t="shared" si="18"/>
        <v>851.96798263464927</v>
      </c>
      <c r="AF39" s="83" t="s">
        <v>83</v>
      </c>
      <c r="AG39" s="162">
        <f>D11</f>
        <v>220000</v>
      </c>
      <c r="AH39" s="174">
        <f t="shared" si="19"/>
        <v>193588.62352269</v>
      </c>
    </row>
    <row r="40" spans="3:34" x14ac:dyDescent="0.2">
      <c r="C40" s="215" t="s">
        <v>84</v>
      </c>
      <c r="D40" s="216">
        <f t="shared" si="1"/>
        <v>790.47619047619048</v>
      </c>
      <c r="E40" s="215">
        <v>0.9</v>
      </c>
      <c r="F40" s="192">
        <f t="shared" si="2"/>
        <v>711.42857142857144</v>
      </c>
      <c r="G40" s="193">
        <f t="shared" si="6"/>
        <v>1</v>
      </c>
      <c r="H40" s="194">
        <f t="shared" si="7"/>
        <v>0</v>
      </c>
      <c r="I40" s="200">
        <v>1</v>
      </c>
      <c r="J40" s="194">
        <f t="shared" si="8"/>
        <v>0</v>
      </c>
      <c r="K40" s="195">
        <v>1.05</v>
      </c>
      <c r="L40" s="196">
        <f t="shared" si="9"/>
        <v>5.0000000000000044E-2</v>
      </c>
      <c r="M40" s="195">
        <v>1</v>
      </c>
      <c r="N40" s="196">
        <f t="shared" si="10"/>
        <v>0</v>
      </c>
      <c r="O40" s="194">
        <f t="shared" si="11"/>
        <v>1.1072977260708619</v>
      </c>
      <c r="P40" s="193">
        <f t="shared" si="12"/>
        <v>0.10729772607086185</v>
      </c>
      <c r="Q40" s="197">
        <f t="shared" si="13"/>
        <v>0.1572977260708619</v>
      </c>
      <c r="R40" s="198">
        <f t="shared" si="14"/>
        <v>1.1572977260708619</v>
      </c>
      <c r="S40" s="201">
        <f t="shared" si="15"/>
        <v>823.33466797612743</v>
      </c>
      <c r="T40" s="150">
        <v>1.0490188983829218</v>
      </c>
      <c r="U40" s="158">
        <f t="shared" si="16"/>
        <v>1.0415679534637758</v>
      </c>
      <c r="V40" s="153">
        <f t="shared" si="3"/>
        <v>823.33466797612755</v>
      </c>
      <c r="W40" s="27">
        <v>829.22446253126213</v>
      </c>
      <c r="X40" s="27"/>
      <c r="Y40" s="83" t="s">
        <v>84</v>
      </c>
      <c r="Z40" s="54">
        <f t="shared" si="4"/>
        <v>790.47619047619048</v>
      </c>
      <c r="AA40" s="47">
        <f t="shared" si="5"/>
        <v>823.33466797612743</v>
      </c>
      <c r="AB40" s="47">
        <f t="shared" si="17"/>
        <v>823.33466797612743</v>
      </c>
      <c r="AC40" s="112">
        <f t="shared" si="17"/>
        <v>823.33466797612743</v>
      </c>
      <c r="AD40" s="22">
        <f t="shared" si="18"/>
        <v>823.33466797612743</v>
      </c>
      <c r="AF40" s="83" t="s">
        <v>84</v>
      </c>
      <c r="AG40" s="162">
        <f>D12</f>
        <v>415000</v>
      </c>
      <c r="AH40" s="174">
        <f t="shared" si="19"/>
        <v>377878.4447915479</v>
      </c>
    </row>
    <row r="41" spans="3:34" x14ac:dyDescent="0.2">
      <c r="C41" s="215" t="s">
        <v>85</v>
      </c>
      <c r="D41" s="216">
        <f t="shared" si="1"/>
        <v>247.61904761904762</v>
      </c>
      <c r="E41" s="215">
        <v>0.9</v>
      </c>
      <c r="F41" s="192">
        <f t="shared" si="2"/>
        <v>222.85714285714286</v>
      </c>
      <c r="G41" s="193">
        <f t="shared" si="6"/>
        <v>0.95776550086250334</v>
      </c>
      <c r="H41" s="194">
        <f t="shared" si="7"/>
        <v>-4.2234499137496662E-2</v>
      </c>
      <c r="I41" s="200">
        <v>1</v>
      </c>
      <c r="J41" s="194">
        <f t="shared" si="8"/>
        <v>0</v>
      </c>
      <c r="K41" s="195">
        <v>1</v>
      </c>
      <c r="L41" s="196">
        <f t="shared" si="9"/>
        <v>0</v>
      </c>
      <c r="M41" s="195">
        <v>1.67</v>
      </c>
      <c r="N41" s="196">
        <f t="shared" si="10"/>
        <v>0.66999999999999993</v>
      </c>
      <c r="O41" s="194">
        <f t="shared" si="11"/>
        <v>1.0577923718110633</v>
      </c>
      <c r="P41" s="193">
        <f t="shared" si="12"/>
        <v>5.7792371811063337E-2</v>
      </c>
      <c r="Q41" s="197">
        <f t="shared" si="13"/>
        <v>0.6855578726735666</v>
      </c>
      <c r="R41" s="198">
        <f t="shared" si="14"/>
        <v>1.6855578726735665</v>
      </c>
      <c r="S41" s="201">
        <f t="shared" si="15"/>
        <v>375.6386116243948</v>
      </c>
      <c r="T41" s="150">
        <v>1.5196755611942379</v>
      </c>
      <c r="U41" s="158">
        <f t="shared" si="16"/>
        <v>1.5170020854062098</v>
      </c>
      <c r="V41" s="153">
        <f t="shared" si="3"/>
        <v>375.6386116243948</v>
      </c>
      <c r="W41" s="27">
        <v>376.30061515285888</v>
      </c>
      <c r="X41" s="27"/>
      <c r="Y41" s="83" t="s">
        <v>85</v>
      </c>
      <c r="Z41" s="54">
        <f t="shared" si="4"/>
        <v>247.61904761904762</v>
      </c>
      <c r="AA41" s="47">
        <f t="shared" si="5"/>
        <v>375.6386116243948</v>
      </c>
      <c r="AB41" s="54" t="s">
        <v>36</v>
      </c>
      <c r="AC41" s="54" t="str">
        <f t="shared" si="17"/>
        <v>Excluir</v>
      </c>
      <c r="AD41" s="22" t="s">
        <v>32</v>
      </c>
      <c r="AF41" s="83" t="s">
        <v>85</v>
      </c>
      <c r="AG41" s="162"/>
      <c r="AH41" s="174"/>
    </row>
    <row r="42" spans="3:34" x14ac:dyDescent="0.2">
      <c r="C42" s="215" t="s">
        <v>86</v>
      </c>
      <c r="D42" s="216">
        <f t="shared" si="1"/>
        <v>694.44444444444446</v>
      </c>
      <c r="E42" s="215">
        <v>0.9</v>
      </c>
      <c r="F42" s="192">
        <f t="shared" si="2"/>
        <v>625</v>
      </c>
      <c r="G42" s="193">
        <f t="shared" si="6"/>
        <v>1.034038007034165</v>
      </c>
      <c r="H42" s="194">
        <f t="shared" si="7"/>
        <v>3.4038007034165041E-2</v>
      </c>
      <c r="I42" s="200">
        <v>1</v>
      </c>
      <c r="J42" s="194">
        <f t="shared" si="8"/>
        <v>0</v>
      </c>
      <c r="K42" s="195">
        <v>1.25</v>
      </c>
      <c r="L42" s="196">
        <f t="shared" si="9"/>
        <v>0.25</v>
      </c>
      <c r="M42" s="195">
        <v>1</v>
      </c>
      <c r="N42" s="196">
        <f t="shared" si="10"/>
        <v>0</v>
      </c>
      <c r="O42" s="194">
        <f t="shared" si="11"/>
        <v>1</v>
      </c>
      <c r="P42" s="193">
        <f t="shared" si="12"/>
        <v>0</v>
      </c>
      <c r="Q42" s="197">
        <f>H42+J42+L42+N42+P42</f>
        <v>0.28403800703416504</v>
      </c>
      <c r="R42" s="198">
        <f t="shared" si="14"/>
        <v>1.284038007034165</v>
      </c>
      <c r="S42" s="201">
        <f t="shared" si="15"/>
        <v>802.52375439635318</v>
      </c>
      <c r="T42" s="150">
        <v>1.1632927579134356</v>
      </c>
      <c r="U42" s="158">
        <f t="shared" si="16"/>
        <v>1.1556342063307485</v>
      </c>
      <c r="V42" s="153">
        <f t="shared" si="3"/>
        <v>802.52375439635318</v>
      </c>
      <c r="W42" s="27">
        <v>807.84219299544145</v>
      </c>
      <c r="X42" s="27"/>
      <c r="Y42" s="83" t="s">
        <v>86</v>
      </c>
      <c r="Z42" s="54">
        <f t="shared" si="4"/>
        <v>694.44444444444446</v>
      </c>
      <c r="AA42" s="47">
        <f t="shared" si="5"/>
        <v>802.52375439635318</v>
      </c>
      <c r="AB42" s="112">
        <f t="shared" si="17"/>
        <v>802.52375439635318</v>
      </c>
      <c r="AC42" s="112">
        <f t="shared" si="17"/>
        <v>802.52375439635318</v>
      </c>
      <c r="AD42" s="22">
        <f t="shared" si="18"/>
        <v>802.52375439635318</v>
      </c>
      <c r="AF42" s="83" t="s">
        <v>86</v>
      </c>
      <c r="AG42" s="162">
        <f>D14</f>
        <v>250000</v>
      </c>
      <c r="AH42" s="174">
        <f t="shared" si="19"/>
        <v>233540.67847627393</v>
      </c>
    </row>
    <row r="43" spans="3:34" x14ac:dyDescent="0.2">
      <c r="C43" s="215" t="s">
        <v>87</v>
      </c>
      <c r="D43" s="216">
        <f t="shared" si="1"/>
        <v>541.66666666666663</v>
      </c>
      <c r="E43" s="215">
        <v>1</v>
      </c>
      <c r="F43" s="192">
        <f t="shared" si="2"/>
        <v>541.66666666666663</v>
      </c>
      <c r="G43" s="193">
        <f t="shared" si="6"/>
        <v>0.95776550086250334</v>
      </c>
      <c r="H43" s="194">
        <f t="shared" si="7"/>
        <v>-4.2234499137496662E-2</v>
      </c>
      <c r="I43" s="200">
        <v>1</v>
      </c>
      <c r="J43" s="194">
        <f t="shared" si="8"/>
        <v>0</v>
      </c>
      <c r="K43" s="195">
        <v>1.1100000000000001</v>
      </c>
      <c r="L43" s="196">
        <f t="shared" si="9"/>
        <v>0.1100000000000001</v>
      </c>
      <c r="M43" s="195">
        <v>1</v>
      </c>
      <c r="N43" s="196">
        <f t="shared" si="10"/>
        <v>0</v>
      </c>
      <c r="O43" s="194">
        <f t="shared" si="11"/>
        <v>1.2145591647331786</v>
      </c>
      <c r="P43" s="193">
        <f t="shared" si="12"/>
        <v>0.2145591647331786</v>
      </c>
      <c r="Q43" s="197">
        <f t="shared" si="13"/>
        <v>0.28232466559568203</v>
      </c>
      <c r="R43" s="198">
        <f t="shared" si="14"/>
        <v>1.2823246655956821</v>
      </c>
      <c r="S43" s="201">
        <f t="shared" si="15"/>
        <v>694.59252719766107</v>
      </c>
      <c r="T43" s="150">
        <v>1.2925142963753515</v>
      </c>
      <c r="U43" s="158">
        <f t="shared" si="16"/>
        <v>1.2823246655956821</v>
      </c>
      <c r="V43" s="153">
        <f t="shared" si="3"/>
        <v>694.59252719766107</v>
      </c>
      <c r="W43" s="27">
        <v>700.11191053664868</v>
      </c>
      <c r="X43" s="27"/>
      <c r="Y43" s="83" t="s">
        <v>87</v>
      </c>
      <c r="Z43" s="54">
        <f t="shared" si="4"/>
        <v>541.66666666666663</v>
      </c>
      <c r="AA43" s="47">
        <f t="shared" si="5"/>
        <v>694.59252719766107</v>
      </c>
      <c r="AB43" s="112">
        <f t="shared" si="17"/>
        <v>694.59252719766107</v>
      </c>
      <c r="AC43" s="112">
        <f t="shared" si="17"/>
        <v>694.59252719766107</v>
      </c>
      <c r="AD43" s="22">
        <f t="shared" si="18"/>
        <v>694.59252719766107</v>
      </c>
      <c r="AF43" s="83" t="s">
        <v>87</v>
      </c>
      <c r="AG43" s="162">
        <f>D15</f>
        <v>650000</v>
      </c>
      <c r="AH43" s="174">
        <f t="shared" si="19"/>
        <v>701558.1515296977</v>
      </c>
    </row>
    <row r="44" spans="3:34" x14ac:dyDescent="0.2">
      <c r="C44" s="215" t="s">
        <v>88</v>
      </c>
      <c r="D44" s="216">
        <f t="shared" si="1"/>
        <v>568.18181818181813</v>
      </c>
      <c r="E44" s="215">
        <v>0.9</v>
      </c>
      <c r="F44" s="192">
        <f t="shared" si="2"/>
        <v>511.36363636363632</v>
      </c>
      <c r="G44" s="193">
        <f t="shared" si="6"/>
        <v>1.0476224247404444</v>
      </c>
      <c r="H44" s="194">
        <f t="shared" si="7"/>
        <v>4.7622424740444425E-2</v>
      </c>
      <c r="I44" s="200">
        <v>1</v>
      </c>
      <c r="J44" s="194">
        <f t="shared" si="8"/>
        <v>0</v>
      </c>
      <c r="K44" s="195">
        <v>1.05</v>
      </c>
      <c r="L44" s="196">
        <f t="shared" si="9"/>
        <v>5.0000000000000044E-2</v>
      </c>
      <c r="M44" s="195">
        <v>1.43</v>
      </c>
      <c r="N44" s="196">
        <f t="shared" si="10"/>
        <v>0.42999999999999994</v>
      </c>
      <c r="O44" s="194">
        <f t="shared" si="11"/>
        <v>1.0226617826617825</v>
      </c>
      <c r="P44" s="193">
        <f t="shared" si="12"/>
        <v>2.2661782661782537E-2</v>
      </c>
      <c r="Q44" s="197">
        <f t="shared" si="13"/>
        <v>0.55028420740222694</v>
      </c>
      <c r="R44" s="198">
        <f t="shared" si="14"/>
        <v>1.5502842074022269</v>
      </c>
      <c r="S44" s="201">
        <f t="shared" si="15"/>
        <v>792.75896969432051</v>
      </c>
      <c r="T44" s="150">
        <v>1.4499655260110831</v>
      </c>
      <c r="U44" s="158">
        <f t="shared" si="16"/>
        <v>1.3952557866620043</v>
      </c>
      <c r="V44" s="153">
        <f t="shared" si="3"/>
        <v>792.75896969432063</v>
      </c>
      <c r="W44" s="27">
        <v>823.84404886993343</v>
      </c>
      <c r="X44" s="27"/>
      <c r="Y44" s="83" t="s">
        <v>88</v>
      </c>
      <c r="Z44" s="54">
        <f t="shared" si="4"/>
        <v>568.18181818181813</v>
      </c>
      <c r="AA44" s="47">
        <f t="shared" si="5"/>
        <v>792.75896969432051</v>
      </c>
      <c r="AB44" s="112">
        <f t="shared" si="17"/>
        <v>792.75896969432051</v>
      </c>
      <c r="AC44" s="112">
        <f t="shared" si="17"/>
        <v>792.75896969432051</v>
      </c>
      <c r="AD44" s="22">
        <f t="shared" si="18"/>
        <v>792.75896969432051</v>
      </c>
      <c r="AF44" s="83" t="s">
        <v>88</v>
      </c>
      <c r="AG44" s="162">
        <f>D16</f>
        <v>250000</v>
      </c>
      <c r="AH44" s="174">
        <f t="shared" si="19"/>
        <v>236417.30874053537</v>
      </c>
    </row>
    <row r="45" spans="3:34" x14ac:dyDescent="0.2">
      <c r="C45" s="215" t="s">
        <v>89</v>
      </c>
      <c r="D45" s="216">
        <f t="shared" si="1"/>
        <v>554.62184873949582</v>
      </c>
      <c r="E45" s="215">
        <v>1</v>
      </c>
      <c r="F45" s="192">
        <f t="shared" si="2"/>
        <v>554.62184873949582</v>
      </c>
      <c r="G45" s="193">
        <f t="shared" si="6"/>
        <v>0.98140067116323459</v>
      </c>
      <c r="H45" s="194">
        <f t="shared" si="7"/>
        <v>-1.8599328836765405E-2</v>
      </c>
      <c r="I45" s="200">
        <v>1</v>
      </c>
      <c r="J45" s="194">
        <f t="shared" si="8"/>
        <v>0</v>
      </c>
      <c r="K45" s="195">
        <v>1.05</v>
      </c>
      <c r="L45" s="196">
        <f t="shared" si="9"/>
        <v>5.0000000000000044E-2</v>
      </c>
      <c r="M45" s="195">
        <v>1</v>
      </c>
      <c r="N45" s="196">
        <f t="shared" si="10"/>
        <v>0</v>
      </c>
      <c r="O45" s="194">
        <f t="shared" si="11"/>
        <v>1.1072977260708619</v>
      </c>
      <c r="P45" s="193">
        <f t="shared" si="12"/>
        <v>0.10729772607086185</v>
      </c>
      <c r="Q45" s="197">
        <f t="shared" si="13"/>
        <v>0.13869839723409649</v>
      </c>
      <c r="R45" s="198">
        <f t="shared" si="14"/>
        <v>1.1386983972340965</v>
      </c>
      <c r="S45" s="201">
        <f t="shared" si="15"/>
        <v>631.54701023067537</v>
      </c>
      <c r="T45" s="150">
        <v>1.1438976121510183</v>
      </c>
      <c r="U45" s="158">
        <f t="shared" si="16"/>
        <v>1.1386983972340965</v>
      </c>
      <c r="V45" s="153">
        <f t="shared" si="3"/>
        <v>631.54701023067537</v>
      </c>
      <c r="W45" s="27">
        <v>634.43060841989256</v>
      </c>
      <c r="X45" s="27"/>
      <c r="Y45" s="83" t="s">
        <v>89</v>
      </c>
      <c r="Z45" s="54">
        <f t="shared" si="4"/>
        <v>554.62184873949582</v>
      </c>
      <c r="AA45" s="47">
        <f t="shared" si="5"/>
        <v>631.54701023067537</v>
      </c>
      <c r="AB45" s="112">
        <f t="shared" si="17"/>
        <v>631.54701023067537</v>
      </c>
      <c r="AC45" s="112">
        <f t="shared" si="17"/>
        <v>631.54701023067537</v>
      </c>
      <c r="AD45" s="22">
        <f t="shared" si="18"/>
        <v>631.54701023067537</v>
      </c>
      <c r="AF45" s="83" t="s">
        <v>89</v>
      </c>
      <c r="AG45" s="162">
        <f>D17</f>
        <v>330000</v>
      </c>
      <c r="AH45" s="174">
        <f t="shared" si="19"/>
        <v>391731.66772668972</v>
      </c>
    </row>
    <row r="46" spans="3:34" x14ac:dyDescent="0.2">
      <c r="C46" s="215" t="s">
        <v>72</v>
      </c>
      <c r="D46" s="216">
        <f t="shared" si="1"/>
        <v>888.88888888888891</v>
      </c>
      <c r="E46" s="215">
        <v>1</v>
      </c>
      <c r="F46" s="192">
        <f t="shared" si="2"/>
        <v>888.88888888888891</v>
      </c>
      <c r="G46" s="193">
        <f t="shared" si="6"/>
        <v>1</v>
      </c>
      <c r="H46" s="194">
        <f t="shared" si="7"/>
        <v>0</v>
      </c>
      <c r="I46" s="200">
        <v>1</v>
      </c>
      <c r="J46" s="194">
        <f t="shared" si="8"/>
        <v>0</v>
      </c>
      <c r="K46" s="195">
        <v>1.1100000000000001</v>
      </c>
      <c r="L46" s="196">
        <f t="shared" si="9"/>
        <v>0.1100000000000001</v>
      </c>
      <c r="M46" s="195">
        <v>1</v>
      </c>
      <c r="N46" s="196">
        <f t="shared" si="10"/>
        <v>0</v>
      </c>
      <c r="O46" s="194">
        <f t="shared" si="11"/>
        <v>1.2145591647331786</v>
      </c>
      <c r="P46" s="193">
        <f t="shared" si="12"/>
        <v>0.2145591647331786</v>
      </c>
      <c r="Q46" s="197">
        <f t="shared" si="13"/>
        <v>0.3245591647331787</v>
      </c>
      <c r="R46" s="198">
        <f t="shared" si="14"/>
        <v>1.3245591647331787</v>
      </c>
      <c r="S46" s="201">
        <f t="shared" si="15"/>
        <v>1177.3859242072699</v>
      </c>
      <c r="T46" s="150">
        <v>1.349510183036865</v>
      </c>
      <c r="U46" s="158">
        <f t="shared" si="16"/>
        <v>1.3245591647331787</v>
      </c>
      <c r="V46" s="153">
        <f t="shared" si="3"/>
        <v>1177.3859242072699</v>
      </c>
      <c r="W46" s="27">
        <v>1199.56460714388</v>
      </c>
      <c r="X46" s="27"/>
      <c r="Y46" s="83" t="s">
        <v>72</v>
      </c>
      <c r="Z46" s="54">
        <f t="shared" si="4"/>
        <v>888.88888888888891</v>
      </c>
      <c r="AA46" s="47">
        <f t="shared" si="5"/>
        <v>1177.3859242072699</v>
      </c>
      <c r="AB46" s="54" t="s">
        <v>36</v>
      </c>
      <c r="AC46" s="54" t="str">
        <f t="shared" si="17"/>
        <v>Excluir</v>
      </c>
      <c r="AD46" s="22" t="s">
        <v>32</v>
      </c>
      <c r="AF46" s="83" t="s">
        <v>72</v>
      </c>
      <c r="AG46" s="162"/>
      <c r="AH46" s="174"/>
    </row>
    <row r="47" spans="3:34" x14ac:dyDescent="0.2">
      <c r="C47" s="215" t="s">
        <v>73</v>
      </c>
      <c r="D47" s="216">
        <f t="shared" si="1"/>
        <v>700</v>
      </c>
      <c r="E47" s="215">
        <v>0.9</v>
      </c>
      <c r="F47" s="192">
        <f t="shared" si="2"/>
        <v>630</v>
      </c>
      <c r="G47" s="193">
        <f t="shared" si="6"/>
        <v>1</v>
      </c>
      <c r="H47" s="194">
        <f t="shared" si="7"/>
        <v>0</v>
      </c>
      <c r="I47" s="200">
        <v>1</v>
      </c>
      <c r="J47" s="194">
        <f t="shared" si="8"/>
        <v>0</v>
      </c>
      <c r="K47" s="195">
        <v>1.05</v>
      </c>
      <c r="L47" s="196">
        <f t="shared" si="9"/>
        <v>5.0000000000000044E-2</v>
      </c>
      <c r="M47" s="195">
        <v>1</v>
      </c>
      <c r="N47" s="196">
        <f t="shared" si="10"/>
        <v>0</v>
      </c>
      <c r="O47" s="194">
        <f t="shared" si="11"/>
        <v>1</v>
      </c>
      <c r="P47" s="193">
        <f t="shared" si="12"/>
        <v>0</v>
      </c>
      <c r="Q47" s="197">
        <f t="shared" si="13"/>
        <v>5.0000000000000044E-2</v>
      </c>
      <c r="R47" s="198">
        <f t="shared" si="14"/>
        <v>1.05</v>
      </c>
      <c r="S47" s="201">
        <f t="shared" si="15"/>
        <v>661.5</v>
      </c>
      <c r="T47" s="150">
        <v>0.94736842105263164</v>
      </c>
      <c r="U47" s="158">
        <f t="shared" si="16"/>
        <v>0.94500000000000006</v>
      </c>
      <c r="V47" s="153">
        <f t="shared" si="3"/>
        <v>661.5</v>
      </c>
      <c r="W47" s="27">
        <v>663.15789473684208</v>
      </c>
      <c r="X47" s="27"/>
      <c r="Y47" s="83" t="s">
        <v>73</v>
      </c>
      <c r="Z47" s="54">
        <f t="shared" si="4"/>
        <v>700</v>
      </c>
      <c r="AA47" s="47">
        <f t="shared" si="5"/>
        <v>661.5</v>
      </c>
      <c r="AB47" s="47">
        <f t="shared" si="17"/>
        <v>661.5</v>
      </c>
      <c r="AC47" s="112">
        <f t="shared" si="17"/>
        <v>661.5</v>
      </c>
      <c r="AD47" s="22">
        <f t="shared" si="18"/>
        <v>661.5</v>
      </c>
      <c r="AF47" s="83" t="s">
        <v>73</v>
      </c>
      <c r="AG47" s="162">
        <f t="shared" ref="AG47:AG54" si="20">D19</f>
        <v>420000</v>
      </c>
      <c r="AH47" s="174">
        <f t="shared" si="19"/>
        <v>475992.23389219283</v>
      </c>
    </row>
    <row r="48" spans="3:34" x14ac:dyDescent="0.2">
      <c r="C48" s="215" t="s">
        <v>74</v>
      </c>
      <c r="D48" s="216">
        <f t="shared" si="1"/>
        <v>688.88888888888891</v>
      </c>
      <c r="E48" s="215">
        <v>1</v>
      </c>
      <c r="F48" s="192">
        <f t="shared" si="2"/>
        <v>688.88888888888891</v>
      </c>
      <c r="G48" s="193">
        <f t="shared" si="6"/>
        <v>1.034038007034165</v>
      </c>
      <c r="H48" s="194">
        <f t="shared" si="7"/>
        <v>3.4038007034165041E-2</v>
      </c>
      <c r="I48" s="200">
        <v>1</v>
      </c>
      <c r="J48" s="194">
        <f t="shared" si="8"/>
        <v>0</v>
      </c>
      <c r="K48" s="195">
        <v>1</v>
      </c>
      <c r="L48" s="196">
        <f t="shared" si="9"/>
        <v>0</v>
      </c>
      <c r="M48" s="195">
        <v>1</v>
      </c>
      <c r="N48" s="196">
        <f t="shared" si="10"/>
        <v>0</v>
      </c>
      <c r="O48" s="194">
        <f t="shared" si="11"/>
        <v>1.0577923718110633</v>
      </c>
      <c r="P48" s="193">
        <f t="shared" si="12"/>
        <v>5.7792371811063337E-2</v>
      </c>
      <c r="Q48" s="197">
        <f t="shared" si="13"/>
        <v>9.1830378845228378E-2</v>
      </c>
      <c r="R48" s="198">
        <f t="shared" si="14"/>
        <v>1.0918303788452284</v>
      </c>
      <c r="S48" s="201">
        <f t="shared" si="15"/>
        <v>752.14981653782399</v>
      </c>
      <c r="T48" s="150">
        <v>1.0937975160034545</v>
      </c>
      <c r="U48" s="158">
        <f t="shared" si="16"/>
        <v>1.0918303788452284</v>
      </c>
      <c r="V48" s="153">
        <f t="shared" si="3"/>
        <v>752.14981653782399</v>
      </c>
      <c r="W48" s="27">
        <v>753.50495546904654</v>
      </c>
      <c r="X48" s="27"/>
      <c r="Y48" s="83" t="s">
        <v>74</v>
      </c>
      <c r="Z48" s="54">
        <f t="shared" si="4"/>
        <v>688.88888888888891</v>
      </c>
      <c r="AA48" s="47">
        <f t="shared" si="5"/>
        <v>752.14981653782399</v>
      </c>
      <c r="AB48" s="47">
        <f t="shared" si="17"/>
        <v>752.14981653782399</v>
      </c>
      <c r="AC48" s="112">
        <f t="shared" si="17"/>
        <v>752.14981653782399</v>
      </c>
      <c r="AD48" s="22">
        <f t="shared" si="18"/>
        <v>752.14981653782399</v>
      </c>
      <c r="AF48" s="83" t="s">
        <v>74</v>
      </c>
      <c r="AG48" s="162">
        <f t="shared" si="20"/>
        <v>310000</v>
      </c>
      <c r="AH48" s="174">
        <f t="shared" si="19"/>
        <v>308985.26209528907</v>
      </c>
    </row>
    <row r="49" spans="2:34" x14ac:dyDescent="0.2">
      <c r="C49" s="215" t="s">
        <v>75</v>
      </c>
      <c r="D49" s="216">
        <f t="shared" si="1"/>
        <v>603.44827586206895</v>
      </c>
      <c r="E49" s="215">
        <v>1</v>
      </c>
      <c r="F49" s="192">
        <f t="shared" si="2"/>
        <v>603.44827586206895</v>
      </c>
      <c r="G49" s="193">
        <f t="shared" si="6"/>
        <v>0.95776550086250334</v>
      </c>
      <c r="H49" s="194">
        <f t="shared" si="7"/>
        <v>-4.2234499137496662E-2</v>
      </c>
      <c r="I49" s="194">
        <f>1/(H21/H30)^0.5</f>
        <v>1.0170952554312156</v>
      </c>
      <c r="J49" s="194">
        <f t="shared" si="8"/>
        <v>1.7095255431215595E-2</v>
      </c>
      <c r="K49" s="195">
        <v>1</v>
      </c>
      <c r="L49" s="196">
        <f t="shared" si="9"/>
        <v>0</v>
      </c>
      <c r="M49" s="195">
        <v>1.43</v>
      </c>
      <c r="N49" s="196">
        <f t="shared" si="10"/>
        <v>0.42999999999999994</v>
      </c>
      <c r="O49" s="194">
        <f t="shared" si="11"/>
        <v>0.73385203098167029</v>
      </c>
      <c r="P49" s="193">
        <f t="shared" si="12"/>
        <v>-0.26614796901832971</v>
      </c>
      <c r="Q49" s="197">
        <f t="shared" si="13"/>
        <v>0.13871278727538916</v>
      </c>
      <c r="R49" s="198">
        <f t="shared" si="14"/>
        <v>1.1387127872753893</v>
      </c>
      <c r="S49" s="201">
        <f t="shared" si="15"/>
        <v>687.15426818342451</v>
      </c>
      <c r="T49" s="150">
        <v>1.0212481396503656</v>
      </c>
      <c r="U49" s="158">
        <f t="shared" si="16"/>
        <v>1.1387127872753893</v>
      </c>
      <c r="V49" s="153">
        <f t="shared" si="3"/>
        <v>687.15426818342451</v>
      </c>
      <c r="W49" s="27">
        <v>616.27042909935858</v>
      </c>
      <c r="X49" s="27"/>
      <c r="Y49" s="83" t="s">
        <v>75</v>
      </c>
      <c r="Z49" s="54">
        <f t="shared" si="4"/>
        <v>603.44827586206895</v>
      </c>
      <c r="AA49" s="47">
        <f t="shared" si="5"/>
        <v>687.15426818342451</v>
      </c>
      <c r="AB49" s="47">
        <f t="shared" si="17"/>
        <v>687.15426818342451</v>
      </c>
      <c r="AC49" s="112">
        <f t="shared" si="17"/>
        <v>687.15426818342451</v>
      </c>
      <c r="AD49" s="22">
        <f t="shared" si="18"/>
        <v>687.15426818342451</v>
      </c>
      <c r="AF49" s="83" t="s">
        <v>75</v>
      </c>
      <c r="AG49" s="162">
        <f t="shared" si="20"/>
        <v>350000</v>
      </c>
      <c r="AH49" s="174">
        <f t="shared" si="19"/>
        <v>381851.25390653964</v>
      </c>
    </row>
    <row r="50" spans="2:34" x14ac:dyDescent="0.2">
      <c r="C50" s="215" t="s">
        <v>76</v>
      </c>
      <c r="D50" s="216">
        <f t="shared" si="1"/>
        <v>649.35064935064941</v>
      </c>
      <c r="E50" s="215">
        <v>1</v>
      </c>
      <c r="F50" s="192">
        <f t="shared" si="2"/>
        <v>649.35064935064941</v>
      </c>
      <c r="G50" s="193">
        <f t="shared" si="6"/>
        <v>0.94417019493880527</v>
      </c>
      <c r="H50" s="194">
        <f t="shared" si="7"/>
        <v>-5.5829805061194726E-2</v>
      </c>
      <c r="I50" s="200">
        <v>1</v>
      </c>
      <c r="J50" s="194">
        <f t="shared" si="8"/>
        <v>0</v>
      </c>
      <c r="K50" s="195">
        <v>1.25</v>
      </c>
      <c r="L50" s="196">
        <f t="shared" si="9"/>
        <v>0.25</v>
      </c>
      <c r="M50" s="195">
        <v>1</v>
      </c>
      <c r="N50" s="196">
        <f t="shared" si="10"/>
        <v>0</v>
      </c>
      <c r="O50" s="194">
        <f t="shared" si="11"/>
        <v>1</v>
      </c>
      <c r="P50" s="193">
        <f t="shared" si="12"/>
        <v>0</v>
      </c>
      <c r="Q50" s="197">
        <f t="shared" si="13"/>
        <v>0.19417019493880527</v>
      </c>
      <c r="R50" s="198">
        <f t="shared" si="14"/>
        <v>1.1941701949388053</v>
      </c>
      <c r="S50" s="201">
        <f t="shared" si="15"/>
        <v>775.43519151870476</v>
      </c>
      <c r="T50" s="150">
        <v>1.1802127436735066</v>
      </c>
      <c r="U50" s="158">
        <f t="shared" si="16"/>
        <v>1.1941701949388053</v>
      </c>
      <c r="V50" s="153">
        <f t="shared" si="3"/>
        <v>775.43519151870476</v>
      </c>
      <c r="W50" s="27">
        <v>766.37191147630301</v>
      </c>
      <c r="X50" s="27"/>
      <c r="Y50" s="83" t="s">
        <v>76</v>
      </c>
      <c r="Z50" s="54">
        <f t="shared" si="4"/>
        <v>649.35064935064941</v>
      </c>
      <c r="AA50" s="47">
        <f t="shared" si="5"/>
        <v>775.43519151870476</v>
      </c>
      <c r="AB50" s="47">
        <f t="shared" si="17"/>
        <v>775.43519151870476</v>
      </c>
      <c r="AC50" s="112">
        <f t="shared" si="17"/>
        <v>775.43519151870476</v>
      </c>
      <c r="AD50" s="22">
        <f t="shared" si="18"/>
        <v>775.43519151870476</v>
      </c>
      <c r="AF50" s="83" t="s">
        <v>76</v>
      </c>
      <c r="AG50" s="162">
        <f t="shared" si="20"/>
        <v>500000</v>
      </c>
      <c r="AH50" s="174">
        <f t="shared" si="19"/>
        <v>483398.0818641503</v>
      </c>
    </row>
    <row r="51" spans="2:34" x14ac:dyDescent="0.2">
      <c r="C51" s="215" t="s">
        <v>77</v>
      </c>
      <c r="D51" s="216">
        <f t="shared" si="1"/>
        <v>706.66666666666663</v>
      </c>
      <c r="E51" s="215">
        <v>0.9</v>
      </c>
      <c r="F51" s="192">
        <f t="shared" si="2"/>
        <v>636</v>
      </c>
      <c r="G51" s="193">
        <f t="shared" si="6"/>
        <v>0.92623819854511225</v>
      </c>
      <c r="H51" s="194">
        <f t="shared" si="7"/>
        <v>-7.3761801454887754E-2</v>
      </c>
      <c r="I51" s="200">
        <v>1</v>
      </c>
      <c r="J51" s="194">
        <f t="shared" si="8"/>
        <v>0</v>
      </c>
      <c r="K51" s="195">
        <v>1</v>
      </c>
      <c r="L51" s="196">
        <f t="shared" si="9"/>
        <v>0</v>
      </c>
      <c r="M51" s="195">
        <v>1</v>
      </c>
      <c r="N51" s="196">
        <f t="shared" si="10"/>
        <v>0</v>
      </c>
      <c r="O51" s="194">
        <f t="shared" si="11"/>
        <v>1.0577923718110633</v>
      </c>
      <c r="P51" s="193">
        <f t="shared" si="12"/>
        <v>5.7792371811063337E-2</v>
      </c>
      <c r="Q51" s="197">
        <f t="shared" si="13"/>
        <v>-1.5969429643824418E-2</v>
      </c>
      <c r="R51" s="198">
        <f t="shared" si="14"/>
        <v>0.98403057035617558</v>
      </c>
      <c r="S51" s="201">
        <f t="shared" si="15"/>
        <v>625.84344274652767</v>
      </c>
      <c r="T51" s="150">
        <v>0.88179093081093685</v>
      </c>
      <c r="U51" s="158">
        <f t="shared" si="16"/>
        <v>0.885627513320558</v>
      </c>
      <c r="V51" s="153">
        <f t="shared" si="3"/>
        <v>625.84344274652767</v>
      </c>
      <c r="W51" s="27">
        <v>623.13225777306207</v>
      </c>
      <c r="X51" s="27"/>
      <c r="Y51" s="83" t="s">
        <v>77</v>
      </c>
      <c r="Z51" s="54">
        <f t="shared" si="4"/>
        <v>706.66666666666663</v>
      </c>
      <c r="AA51" s="47">
        <f t="shared" si="5"/>
        <v>625.84344274652767</v>
      </c>
      <c r="AB51" s="47">
        <f t="shared" si="17"/>
        <v>625.84344274652767</v>
      </c>
      <c r="AC51" s="112">
        <f t="shared" si="17"/>
        <v>625.84344274652767</v>
      </c>
      <c r="AD51" s="22">
        <f t="shared" si="18"/>
        <v>625.84344274652767</v>
      </c>
      <c r="AF51" s="83" t="s">
        <v>77</v>
      </c>
      <c r="AG51" s="162">
        <f t="shared" si="20"/>
        <v>530000</v>
      </c>
      <c r="AH51" s="174">
        <f t="shared" si="19"/>
        <v>634878.4537835801</v>
      </c>
    </row>
    <row r="52" spans="2:34" x14ac:dyDescent="0.2">
      <c r="C52" s="215" t="s">
        <v>78</v>
      </c>
      <c r="D52" s="216">
        <f t="shared" si="1"/>
        <v>680.55555555555554</v>
      </c>
      <c r="E52" s="215">
        <v>1</v>
      </c>
      <c r="F52" s="192">
        <f t="shared" si="2"/>
        <v>680.55555555555554</v>
      </c>
      <c r="G52" s="193">
        <f t="shared" si="6"/>
        <v>0.95776550086250334</v>
      </c>
      <c r="H52" s="194">
        <f t="shared" si="7"/>
        <v>-4.2234499137496662E-2</v>
      </c>
      <c r="I52" s="200">
        <v>1</v>
      </c>
      <c r="J52" s="194">
        <f t="shared" si="8"/>
        <v>0</v>
      </c>
      <c r="K52" s="195">
        <v>1</v>
      </c>
      <c r="L52" s="196">
        <f t="shared" si="9"/>
        <v>0</v>
      </c>
      <c r="M52" s="195">
        <v>1</v>
      </c>
      <c r="N52" s="196">
        <f t="shared" si="10"/>
        <v>0</v>
      </c>
      <c r="O52" s="194">
        <f t="shared" si="11"/>
        <v>1.0577923718110633</v>
      </c>
      <c r="P52" s="193">
        <f t="shared" si="12"/>
        <v>5.7792371811063337E-2</v>
      </c>
      <c r="Q52" s="197">
        <f t="shared" si="13"/>
        <v>1.5557872673566675E-2</v>
      </c>
      <c r="R52" s="198">
        <f t="shared" si="14"/>
        <v>1.0155578726735666</v>
      </c>
      <c r="S52" s="201">
        <f t="shared" si="15"/>
        <v>691.14355223617724</v>
      </c>
      <c r="T52" s="150">
        <v>1.0131170407961585</v>
      </c>
      <c r="U52" s="158">
        <f t="shared" si="16"/>
        <v>1.0155578726735666</v>
      </c>
      <c r="V52" s="153">
        <f t="shared" si="3"/>
        <v>691.14355223617724</v>
      </c>
      <c r="W52" s="27">
        <v>689.48243054183013</v>
      </c>
      <c r="X52" s="27"/>
      <c r="Y52" s="83" t="s">
        <v>78</v>
      </c>
      <c r="Z52" s="54">
        <f t="shared" si="4"/>
        <v>680.55555555555554</v>
      </c>
      <c r="AA52" s="47">
        <f t="shared" si="5"/>
        <v>691.14355223617724</v>
      </c>
      <c r="AB52" s="47">
        <f t="shared" si="17"/>
        <v>691.14355223617724</v>
      </c>
      <c r="AC52" s="112">
        <f t="shared" si="17"/>
        <v>691.14355223617724</v>
      </c>
      <c r="AD52" s="22">
        <f t="shared" si="18"/>
        <v>691.14355223617724</v>
      </c>
      <c r="AF52" s="83" t="s">
        <v>78</v>
      </c>
      <c r="AG52" s="162">
        <f t="shared" si="20"/>
        <v>490000</v>
      </c>
      <c r="AH52" s="174">
        <f t="shared" si="19"/>
        <v>531506.08917316527</v>
      </c>
    </row>
    <row r="53" spans="2:34" x14ac:dyDescent="0.2">
      <c r="C53" s="215" t="s">
        <v>79</v>
      </c>
      <c r="D53" s="216">
        <f t="shared" si="1"/>
        <v>770.83333333333337</v>
      </c>
      <c r="E53" s="215">
        <v>0.9</v>
      </c>
      <c r="F53" s="192">
        <f t="shared" si="2"/>
        <v>693.75</v>
      </c>
      <c r="G53" s="193">
        <f t="shared" si="6"/>
        <v>0.9903659297179418</v>
      </c>
      <c r="H53" s="194">
        <f t="shared" si="7"/>
        <v>-9.6340702820582047E-3</v>
      </c>
      <c r="I53" s="200">
        <v>1</v>
      </c>
      <c r="J53" s="194">
        <f t="shared" si="8"/>
        <v>0</v>
      </c>
      <c r="K53" s="195">
        <v>1</v>
      </c>
      <c r="L53" s="196">
        <f t="shared" si="9"/>
        <v>0</v>
      </c>
      <c r="M53" s="195">
        <v>1.43</v>
      </c>
      <c r="N53" s="196">
        <f t="shared" si="10"/>
        <v>0.42999999999999994</v>
      </c>
      <c r="O53" s="194">
        <f t="shared" si="11"/>
        <v>0.73385203098167029</v>
      </c>
      <c r="P53" s="193">
        <f t="shared" si="12"/>
        <v>-0.26614796901832971</v>
      </c>
      <c r="Q53" s="197">
        <f t="shared" si="13"/>
        <v>0.15421796069961202</v>
      </c>
      <c r="R53" s="198">
        <f t="shared" si="14"/>
        <v>1.1542179606996119</v>
      </c>
      <c r="S53" s="201">
        <f t="shared" si="15"/>
        <v>800.73871023535571</v>
      </c>
      <c r="T53" s="150">
        <v>0.93443406292100817</v>
      </c>
      <c r="U53" s="158">
        <f t="shared" si="16"/>
        <v>1.0387961646296509</v>
      </c>
      <c r="V53" s="153">
        <f t="shared" si="3"/>
        <v>800.73871023535594</v>
      </c>
      <c r="W53" s="27">
        <v>720.2929235016104</v>
      </c>
      <c r="X53" s="27"/>
      <c r="Y53" s="83" t="s">
        <v>79</v>
      </c>
      <c r="Z53" s="54">
        <f t="shared" si="4"/>
        <v>770.83333333333337</v>
      </c>
      <c r="AA53" s="47">
        <f t="shared" si="5"/>
        <v>800.73871023535571</v>
      </c>
      <c r="AB53" s="47">
        <f t="shared" si="17"/>
        <v>800.73871023535571</v>
      </c>
      <c r="AC53" s="112">
        <f t="shared" si="17"/>
        <v>800.73871023535571</v>
      </c>
      <c r="AD53" s="22">
        <f t="shared" si="18"/>
        <v>800.73871023535571</v>
      </c>
      <c r="AF53" s="83" t="s">
        <v>79</v>
      </c>
      <c r="AG53" s="162">
        <f t="shared" si="20"/>
        <v>370000</v>
      </c>
      <c r="AH53" s="174">
        <f t="shared" si="19"/>
        <v>346410.72144388471</v>
      </c>
    </row>
    <row r="54" spans="2:34" ht="13.5" thickBot="1" x14ac:dyDescent="0.25">
      <c r="C54" s="215" t="s">
        <v>80</v>
      </c>
      <c r="D54" s="216">
        <f t="shared" si="1"/>
        <v>709.09090909090912</v>
      </c>
      <c r="E54" s="215">
        <v>1</v>
      </c>
      <c r="F54" s="192">
        <f t="shared" si="2"/>
        <v>709.09090909090912</v>
      </c>
      <c r="G54" s="193">
        <f t="shared" si="6"/>
        <v>0.95776550086250334</v>
      </c>
      <c r="H54" s="194">
        <f t="shared" si="7"/>
        <v>-4.2234499137496662E-2</v>
      </c>
      <c r="I54" s="200">
        <v>1</v>
      </c>
      <c r="J54" s="194">
        <f t="shared" si="8"/>
        <v>0</v>
      </c>
      <c r="K54" s="195">
        <v>1</v>
      </c>
      <c r="L54" s="196">
        <f t="shared" si="9"/>
        <v>0</v>
      </c>
      <c r="M54" s="195">
        <v>1.43</v>
      </c>
      <c r="N54" s="196">
        <f t="shared" si="10"/>
        <v>0.42999999999999994</v>
      </c>
      <c r="O54" s="194">
        <f t="shared" si="11"/>
        <v>0.73385203098167029</v>
      </c>
      <c r="P54" s="193">
        <f t="shared" si="12"/>
        <v>-0.26614796901832971</v>
      </c>
      <c r="Q54" s="197">
        <f t="shared" si="13"/>
        <v>0.12161753184417357</v>
      </c>
      <c r="R54" s="198">
        <f t="shared" si="14"/>
        <v>1.1216175318441737</v>
      </c>
      <c r="S54" s="202">
        <f t="shared" si="15"/>
        <v>795.32879530768685</v>
      </c>
      <c r="T54" s="150">
        <v>1.0040830828744642</v>
      </c>
      <c r="U54" s="160">
        <f t="shared" si="16"/>
        <v>1.1216175318441737</v>
      </c>
      <c r="V54" s="154">
        <f t="shared" si="3"/>
        <v>795.32879530768685</v>
      </c>
      <c r="W54" s="27">
        <v>711.98618603825639</v>
      </c>
      <c r="X54" s="27"/>
      <c r="Y54" s="83" t="s">
        <v>80</v>
      </c>
      <c r="Z54" s="54">
        <f t="shared" si="4"/>
        <v>709.09090909090912</v>
      </c>
      <c r="AA54" s="47">
        <f t="shared" si="5"/>
        <v>795.32879530768685</v>
      </c>
      <c r="AB54" s="47">
        <f t="shared" si="17"/>
        <v>795.32879530768685</v>
      </c>
      <c r="AC54" s="112">
        <f t="shared" si="17"/>
        <v>795.32879530768685</v>
      </c>
      <c r="AD54" s="22">
        <f t="shared" si="18"/>
        <v>795.32879530768685</v>
      </c>
      <c r="AF54" s="66" t="s">
        <v>80</v>
      </c>
      <c r="AG54" s="163">
        <f t="shared" si="20"/>
        <v>780000</v>
      </c>
      <c r="AH54" s="175">
        <f t="shared" si="19"/>
        <v>735238.63688392635</v>
      </c>
    </row>
    <row r="55" spans="2:34" ht="13.5" thickBot="1" x14ac:dyDescent="0.25">
      <c r="C55" s="218" t="s">
        <v>54</v>
      </c>
      <c r="D55" s="219"/>
      <c r="E55" s="220"/>
      <c r="F55" s="203"/>
      <c r="G55" s="204">
        <f>1/(G27/$E$30)^$E$31</f>
        <v>1.034038007034165</v>
      </c>
      <c r="H55" s="205">
        <f t="shared" si="7"/>
        <v>3.4038007034165041E-2</v>
      </c>
      <c r="I55" s="205">
        <v>1</v>
      </c>
      <c r="J55" s="205">
        <f t="shared" si="8"/>
        <v>0</v>
      </c>
      <c r="K55" s="206">
        <v>1.05</v>
      </c>
      <c r="L55" s="207">
        <f t="shared" si="9"/>
        <v>5.0000000000000044E-2</v>
      </c>
      <c r="M55" s="205">
        <v>1</v>
      </c>
      <c r="N55" s="207">
        <f t="shared" si="10"/>
        <v>0</v>
      </c>
      <c r="O55" s="205">
        <f t="shared" si="11"/>
        <v>1</v>
      </c>
      <c r="P55" s="208">
        <f t="shared" si="12"/>
        <v>0</v>
      </c>
      <c r="Q55" s="209">
        <f t="shared" si="13"/>
        <v>8.4038007034165085E-2</v>
      </c>
      <c r="R55" s="210">
        <f t="shared" si="14"/>
        <v>1.0840380070341651</v>
      </c>
      <c r="S55" s="211"/>
      <c r="T55" s="151"/>
      <c r="U55" s="151"/>
      <c r="V55" s="29"/>
      <c r="W55" s="27"/>
      <c r="X55" s="27"/>
      <c r="Y55" s="2" t="s">
        <v>39</v>
      </c>
      <c r="Z55" s="55">
        <f>AVERAGE(Z37:Z54)</f>
        <v>683.93859999590222</v>
      </c>
      <c r="AA55" s="52">
        <f>AVERAGE(AA37:AA54)</f>
        <v>752.66826832860681</v>
      </c>
      <c r="AB55" s="52">
        <f>AVERAGE(AB37:AB54)</f>
        <v>749.68776838020369</v>
      </c>
      <c r="AC55" s="52">
        <f>AVERAGE(AC37:AC54)</f>
        <v>749.68776838020369</v>
      </c>
      <c r="AD55" s="53">
        <f>AVERAGE(AD37:AD54)</f>
        <v>749.68776838020369</v>
      </c>
    </row>
    <row r="56" spans="2:34" x14ac:dyDescent="0.2">
      <c r="T56" s="152"/>
      <c r="U56" s="152"/>
      <c r="V56" s="29"/>
      <c r="W56" s="27"/>
      <c r="X56" s="29"/>
      <c r="Y56" s="10" t="s">
        <v>50</v>
      </c>
      <c r="Z56" s="29">
        <f>STDEV(Z37:Z54)</f>
        <v>183.63994324184065</v>
      </c>
      <c r="AA56" s="32">
        <f>STDEV(AA37:AA54)</f>
        <v>155.68291520783129</v>
      </c>
      <c r="AB56" s="32">
        <f>STDEV(AB37:AB54)</f>
        <v>77.180873347701819</v>
      </c>
      <c r="AC56" s="32">
        <f>STDEV(AC37:AC54)</f>
        <v>77.180873347701819</v>
      </c>
      <c r="AD56" s="22">
        <f>STDEV(AD37:AD54)</f>
        <v>77.180873347701819</v>
      </c>
      <c r="AH56" s="181"/>
    </row>
    <row r="57" spans="2:34" ht="13.5" thickBot="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151"/>
      <c r="U57" s="151"/>
      <c r="X57" s="29"/>
      <c r="Y57" s="6" t="s">
        <v>51</v>
      </c>
      <c r="Z57" s="56">
        <f>Z56/Z55</f>
        <v>0.26850355169739054</v>
      </c>
      <c r="AA57" s="57">
        <f>AA56/AA55</f>
        <v>0.2068413426721768</v>
      </c>
      <c r="AB57" s="57">
        <f>AB56/AB55</f>
        <v>0.10295069041137081</v>
      </c>
      <c r="AC57" s="57">
        <f>AC56/AC55</f>
        <v>0.10295069041137081</v>
      </c>
      <c r="AD57" s="58">
        <f>AD56/AD55</f>
        <v>0.10295069041137081</v>
      </c>
      <c r="AH57" s="181"/>
    </row>
    <row r="58" spans="2:34" ht="13.5" thickBot="1" x14ac:dyDescent="0.25">
      <c r="B58" s="21"/>
      <c r="C58" s="177"/>
      <c r="D58" s="29"/>
      <c r="E58" s="21"/>
      <c r="F58" s="178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151"/>
      <c r="U58" s="150"/>
      <c r="V58" s="71"/>
      <c r="X58" s="29"/>
      <c r="Y58" s="38"/>
      <c r="Z58" s="98"/>
      <c r="AA58" s="99"/>
      <c r="AB58" s="99"/>
      <c r="AC58" s="99"/>
      <c r="AD58" s="98"/>
      <c r="AH58" s="181"/>
    </row>
    <row r="59" spans="2:34" x14ac:dyDescent="0.2">
      <c r="B59" s="21"/>
      <c r="C59" s="177"/>
      <c r="D59" s="29"/>
      <c r="E59" s="21"/>
      <c r="F59" s="178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151"/>
      <c r="U59" s="150"/>
      <c r="V59" s="71"/>
      <c r="X59" s="100"/>
      <c r="Y59" s="19"/>
      <c r="Z59" s="34" t="s">
        <v>49</v>
      </c>
      <c r="AA59" s="34"/>
      <c r="AB59" s="34"/>
      <c r="AC59" s="36"/>
      <c r="AD59" s="21"/>
      <c r="AH59" s="181"/>
    </row>
    <row r="60" spans="2:34" x14ac:dyDescent="0.2">
      <c r="B60" s="21"/>
      <c r="C60" s="177"/>
      <c r="D60" s="29"/>
      <c r="E60" s="21"/>
      <c r="F60" s="178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151"/>
      <c r="U60" s="150"/>
      <c r="V60" s="71"/>
      <c r="X60" s="101"/>
      <c r="Y60" s="21"/>
      <c r="Z60" s="37" t="s">
        <v>91</v>
      </c>
      <c r="AA60" s="93">
        <f>AA55</f>
        <v>752.66826832860681</v>
      </c>
      <c r="AB60" s="93">
        <f>AB55</f>
        <v>749.68776838020369</v>
      </c>
      <c r="AC60" s="102"/>
      <c r="AD60" s="21"/>
      <c r="AH60" s="181"/>
    </row>
    <row r="61" spans="2:34" x14ac:dyDescent="0.2">
      <c r="B61" s="21"/>
      <c r="C61" s="177"/>
      <c r="D61" s="29"/>
      <c r="E61" s="21"/>
      <c r="F61" s="178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151"/>
      <c r="U61" s="150"/>
      <c r="V61" s="71"/>
      <c r="X61" s="20"/>
      <c r="Y61" s="28"/>
      <c r="Z61" s="28" t="s">
        <v>47</v>
      </c>
      <c r="AA61" s="39">
        <f>AA56</f>
        <v>155.68291520783129</v>
      </c>
      <c r="AB61" s="39">
        <f>AB56</f>
        <v>77.180873347701819</v>
      </c>
      <c r="AC61" s="103"/>
      <c r="AD61" s="29"/>
      <c r="AH61" s="181"/>
    </row>
    <row r="62" spans="2:34" x14ac:dyDescent="0.2">
      <c r="B62" s="21"/>
      <c r="C62" s="177"/>
      <c r="D62" s="29"/>
      <c r="E62" s="21"/>
      <c r="F62" s="17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151"/>
      <c r="U62" s="150"/>
      <c r="V62" s="71"/>
      <c r="X62" s="20"/>
      <c r="Y62" s="28"/>
      <c r="Z62" s="37" t="s">
        <v>92</v>
      </c>
      <c r="AA62" s="39">
        <f>2*AA61</f>
        <v>311.36583041566257</v>
      </c>
      <c r="AB62" s="39">
        <f>2*AB61</f>
        <v>154.36174669540364</v>
      </c>
      <c r="AC62" s="103"/>
      <c r="AD62" s="29"/>
      <c r="AH62" s="181"/>
    </row>
    <row r="63" spans="2:34" x14ac:dyDescent="0.2">
      <c r="B63" s="21"/>
      <c r="C63" s="177"/>
      <c r="D63" s="29"/>
      <c r="E63" s="21"/>
      <c r="F63" s="178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151"/>
      <c r="U63" s="150"/>
      <c r="V63" s="71"/>
      <c r="X63" s="65"/>
      <c r="Y63" s="21"/>
      <c r="Z63" s="28" t="s">
        <v>34</v>
      </c>
      <c r="AA63" s="39">
        <f>AA60-AA62</f>
        <v>441.30243791294424</v>
      </c>
      <c r="AB63" s="39">
        <f>AB60-AB62</f>
        <v>595.32602168480003</v>
      </c>
      <c r="AC63" s="103"/>
      <c r="AD63" s="29"/>
      <c r="AH63" s="181"/>
    </row>
    <row r="64" spans="2:34" ht="13.5" thickBot="1" x14ac:dyDescent="0.25">
      <c r="B64" s="21"/>
      <c r="C64" s="177"/>
      <c r="D64" s="29"/>
      <c r="E64" s="21"/>
      <c r="F64" s="178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151"/>
      <c r="U64" s="150"/>
      <c r="V64" s="71"/>
      <c r="X64" s="23"/>
      <c r="Y64" s="24"/>
      <c r="Z64" s="33" t="s">
        <v>35</v>
      </c>
      <c r="AA64" s="97">
        <f>AA60+AA62</f>
        <v>1064.0340987442694</v>
      </c>
      <c r="AB64" s="97">
        <f>AB60+AB62</f>
        <v>904.04951507560736</v>
      </c>
      <c r="AC64" s="106"/>
      <c r="AD64" s="29"/>
      <c r="AH64" s="181"/>
    </row>
    <row r="65" spans="2:34" x14ac:dyDescent="0.2">
      <c r="B65" s="21"/>
      <c r="C65" s="177"/>
      <c r="D65" s="29"/>
      <c r="E65" s="21"/>
      <c r="F65" s="178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151"/>
      <c r="U65" s="150"/>
      <c r="V65" s="71"/>
      <c r="X65" s="20"/>
      <c r="Y65" s="21"/>
      <c r="Z65" s="31" t="s">
        <v>46</v>
      </c>
      <c r="AA65" s="31"/>
      <c r="AB65" s="31"/>
      <c r="AC65" s="104"/>
      <c r="AD65" s="21"/>
      <c r="AH65" s="181"/>
    </row>
    <row r="66" spans="2:34" x14ac:dyDescent="0.2">
      <c r="B66" s="21"/>
      <c r="C66" s="177"/>
      <c r="D66" s="29"/>
      <c r="E66" s="21"/>
      <c r="F66" s="178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151"/>
      <c r="U66" s="150"/>
      <c r="V66" s="71"/>
      <c r="X66" s="20"/>
      <c r="Y66" s="21"/>
      <c r="Z66" s="37" t="s">
        <v>91</v>
      </c>
      <c r="AA66" s="93">
        <f>AA55</f>
        <v>752.66826832860681</v>
      </c>
      <c r="AB66" s="93"/>
      <c r="AC66" s="102">
        <f>AC55</f>
        <v>749.68776838020369</v>
      </c>
      <c r="AD66" s="94"/>
      <c r="AH66" s="181"/>
    </row>
    <row r="67" spans="2:34" x14ac:dyDescent="0.2">
      <c r="B67" s="21"/>
      <c r="C67" s="177"/>
      <c r="D67" s="29"/>
      <c r="E67" s="21"/>
      <c r="F67" s="178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151"/>
      <c r="U67" s="150"/>
      <c r="V67" s="71"/>
      <c r="X67" s="20"/>
      <c r="Y67" s="28"/>
      <c r="Z67" s="28" t="s">
        <v>47</v>
      </c>
      <c r="AA67" s="39">
        <f>AA56</f>
        <v>155.68291520783129</v>
      </c>
      <c r="AB67" s="39"/>
      <c r="AC67" s="103">
        <f>AC56</f>
        <v>77.180873347701819</v>
      </c>
      <c r="AD67" s="29"/>
      <c r="AH67" s="181"/>
    </row>
    <row r="68" spans="2:34" x14ac:dyDescent="0.2">
      <c r="B68" s="21"/>
      <c r="C68" s="177"/>
      <c r="D68" s="29"/>
      <c r="E68" s="21"/>
      <c r="F68" s="178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151"/>
      <c r="U68" s="150"/>
      <c r="V68" s="71"/>
      <c r="X68" s="20"/>
      <c r="Y68" s="28"/>
      <c r="Z68" s="37" t="s">
        <v>57</v>
      </c>
      <c r="AA68" s="96">
        <f>COUNT(AA37:AA54)</f>
        <v>18</v>
      </c>
      <c r="AB68" s="96"/>
      <c r="AC68" s="105">
        <f>COUNT(AC37:AC54)</f>
        <v>16</v>
      </c>
      <c r="AD68" s="95"/>
      <c r="AH68" s="181"/>
    </row>
    <row r="69" spans="2:34" x14ac:dyDescent="0.2">
      <c r="B69" s="21"/>
      <c r="C69" s="177"/>
      <c r="D69" s="29"/>
      <c r="E69" s="21"/>
      <c r="F69" s="178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151"/>
      <c r="U69" s="150"/>
      <c r="V69" s="71"/>
      <c r="X69" s="65"/>
      <c r="Y69" s="28"/>
      <c r="Z69" s="28" t="s">
        <v>38</v>
      </c>
      <c r="AA69" s="39">
        <f>_xlfn.NORM.S.INV(1-1/(4*AA68))</f>
        <v>2.2004105812100336</v>
      </c>
      <c r="AB69" s="39"/>
      <c r="AC69" s="103">
        <f t="shared" ref="AC69" si="21">_xlfn.NORM.S.INV(1-1/(4*AC68))</f>
        <v>2.1538746940614555</v>
      </c>
      <c r="AD69" s="29"/>
      <c r="AH69" s="181"/>
    </row>
    <row r="70" spans="2:34" x14ac:dyDescent="0.2">
      <c r="B70" s="21"/>
      <c r="C70" s="177"/>
      <c r="D70" s="29"/>
      <c r="E70" s="21"/>
      <c r="F70" s="178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151"/>
      <c r="U70" s="150"/>
      <c r="V70" s="71"/>
      <c r="X70" s="20"/>
      <c r="Y70" s="28"/>
      <c r="Z70" s="37" t="s">
        <v>92</v>
      </c>
      <c r="AA70" s="39">
        <f>AA67*AA69</f>
        <v>342.56633393693642</v>
      </c>
      <c r="AB70" s="39"/>
      <c r="AC70" s="103">
        <f t="shared" ref="AC70" si="22">AC67*AC69</f>
        <v>166.2379299691772</v>
      </c>
      <c r="AD70" s="29"/>
      <c r="AH70" s="181"/>
    </row>
    <row r="71" spans="2:34" x14ac:dyDescent="0.2">
      <c r="B71" s="21"/>
      <c r="C71" s="177"/>
      <c r="D71" s="29"/>
      <c r="E71" s="21"/>
      <c r="F71" s="178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151"/>
      <c r="U71" s="150"/>
      <c r="V71" s="71"/>
      <c r="X71" s="20"/>
      <c r="Y71" s="31"/>
      <c r="Z71" s="28" t="s">
        <v>34</v>
      </c>
      <c r="AA71" s="39">
        <f>AA66-AA70</f>
        <v>410.1019343916704</v>
      </c>
      <c r="AB71" s="39"/>
      <c r="AC71" s="103">
        <f t="shared" ref="AC71" si="23">AC66-AC70</f>
        <v>583.44983841102646</v>
      </c>
      <c r="AD71" s="29"/>
      <c r="AH71" s="181"/>
    </row>
    <row r="72" spans="2:34" ht="13.5" thickBot="1" x14ac:dyDescent="0.25">
      <c r="B72" s="21"/>
      <c r="C72" s="177"/>
      <c r="D72" s="29"/>
      <c r="E72" s="21"/>
      <c r="F72" s="178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151"/>
      <c r="U72" s="150"/>
      <c r="V72" s="71"/>
      <c r="X72" s="23"/>
      <c r="Y72" s="24"/>
      <c r="Z72" s="33" t="s">
        <v>35</v>
      </c>
      <c r="AA72" s="97">
        <f>AA66+AA70</f>
        <v>1095.2346022655433</v>
      </c>
      <c r="AB72" s="97"/>
      <c r="AC72" s="106">
        <f t="shared" ref="AC72" si="24">AC66+AC70</f>
        <v>915.92569834938092</v>
      </c>
      <c r="AD72" s="29"/>
      <c r="AH72" s="181"/>
    </row>
    <row r="73" spans="2:34" ht="13.5" thickBot="1" x14ac:dyDescent="0.25">
      <c r="B73" s="21"/>
      <c r="C73" s="177"/>
      <c r="D73" s="29"/>
      <c r="E73" s="21"/>
      <c r="F73" s="178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151"/>
      <c r="U73" s="150"/>
      <c r="V73" s="71"/>
      <c r="X73" s="21"/>
      <c r="AH73" s="181"/>
    </row>
    <row r="74" spans="2:34" x14ac:dyDescent="0.2">
      <c r="B74" s="21"/>
      <c r="C74" s="177"/>
      <c r="D74" s="29"/>
      <c r="E74" s="21"/>
      <c r="F74" s="178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151"/>
      <c r="U74" s="150"/>
      <c r="V74" s="71"/>
      <c r="X74" s="41" t="s">
        <v>58</v>
      </c>
      <c r="Y74" s="34"/>
      <c r="Z74" s="34"/>
      <c r="AA74" s="35"/>
      <c r="AB74" s="35"/>
      <c r="AC74" s="19"/>
      <c r="AD74" s="19"/>
      <c r="AE74" s="36"/>
      <c r="AH74" s="181"/>
    </row>
    <row r="75" spans="2:34" x14ac:dyDescent="0.2">
      <c r="B75" s="21"/>
      <c r="C75" s="177"/>
      <c r="D75" s="29"/>
      <c r="E75" s="21"/>
      <c r="F75" s="178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151"/>
      <c r="U75" s="150"/>
      <c r="V75" s="71"/>
      <c r="X75" s="65"/>
      <c r="Y75" s="31"/>
      <c r="Z75" s="37" t="s">
        <v>57</v>
      </c>
      <c r="AA75" s="28">
        <f>COUNT(AD37:AD54)</f>
        <v>16</v>
      </c>
      <c r="AB75" s="28"/>
      <c r="AC75" s="21"/>
      <c r="AD75" s="21"/>
      <c r="AE75" s="30"/>
    </row>
    <row r="76" spans="2:34" x14ac:dyDescent="0.2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151"/>
      <c r="U76" s="151"/>
      <c r="X76" s="20"/>
      <c r="Y76" s="21"/>
      <c r="Z76" s="31" t="s">
        <v>90</v>
      </c>
      <c r="AA76" s="90">
        <f>_xlfn.T.INV.2T(20%,AA75-1)</f>
        <v>1.3406056078504547</v>
      </c>
      <c r="AB76" s="37"/>
      <c r="AC76" s="38"/>
      <c r="AD76" s="21"/>
      <c r="AE76" s="30"/>
    </row>
    <row r="77" spans="2:34" x14ac:dyDescent="0.2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151"/>
      <c r="U77" s="151"/>
      <c r="X77" s="20"/>
      <c r="Y77" s="21"/>
      <c r="Z77" s="28" t="s">
        <v>42</v>
      </c>
      <c r="AA77" s="39">
        <f>AD56</f>
        <v>77.180873347701819</v>
      </c>
      <c r="AB77" s="39"/>
      <c r="AC77" s="29"/>
      <c r="AD77" s="21"/>
      <c r="AE77" s="30"/>
    </row>
    <row r="78" spans="2:34" x14ac:dyDescent="0.2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151"/>
      <c r="U78" s="151"/>
      <c r="X78" s="20"/>
      <c r="Y78" s="21"/>
      <c r="Z78" s="28"/>
      <c r="AA78" s="21"/>
      <c r="AB78" s="21"/>
      <c r="AC78" s="21"/>
      <c r="AD78" s="28"/>
      <c r="AE78" s="40"/>
    </row>
    <row r="79" spans="2:34" x14ac:dyDescent="0.2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151"/>
      <c r="U79" s="151"/>
      <c r="X79" s="20"/>
      <c r="Y79" s="21"/>
      <c r="Z79" s="28" t="s">
        <v>34</v>
      </c>
      <c r="AA79" s="91" t="s">
        <v>135</v>
      </c>
      <c r="AB79" s="21"/>
      <c r="AC79" s="21"/>
      <c r="AD79" s="117">
        <f>AD55-(AA76*AA77/SQRT(AA75))</f>
        <v>723.82049047302246</v>
      </c>
      <c r="AE79" s="107" t="s">
        <v>93</v>
      </c>
    </row>
    <row r="80" spans="2:34" x14ac:dyDescent="0.2">
      <c r="T80" s="152"/>
      <c r="U80" s="152"/>
      <c r="X80" s="20"/>
      <c r="Y80" s="21"/>
      <c r="Z80" s="28" t="s">
        <v>43</v>
      </c>
      <c r="AA80" s="21"/>
      <c r="AB80" s="21"/>
      <c r="AC80" s="21"/>
      <c r="AD80" s="116">
        <f>AD55</f>
        <v>749.68776838020369</v>
      </c>
      <c r="AE80" s="107" t="s">
        <v>93</v>
      </c>
    </row>
    <row r="81" spans="20:31" ht="13.5" thickBot="1" x14ac:dyDescent="0.25">
      <c r="T81" s="152"/>
      <c r="U81" s="152"/>
      <c r="X81" s="23"/>
      <c r="Y81" s="24"/>
      <c r="Z81" s="33" t="s">
        <v>35</v>
      </c>
      <c r="AA81" s="92" t="s">
        <v>136</v>
      </c>
      <c r="AB81" s="24"/>
      <c r="AC81" s="24"/>
      <c r="AD81" s="118">
        <f>AD55+(AA76*AA77/SQRT(AA75))</f>
        <v>775.55504628738493</v>
      </c>
      <c r="AE81" s="108" t="s">
        <v>93</v>
      </c>
    </row>
    <row r="82" spans="20:31" x14ac:dyDescent="0.2">
      <c r="T82" s="152"/>
      <c r="U82" s="152"/>
      <c r="X82" s="42" t="s">
        <v>55</v>
      </c>
      <c r="Y82" s="21"/>
      <c r="Z82" s="28"/>
      <c r="AA82" s="21"/>
      <c r="AB82" s="21"/>
      <c r="AC82" s="21"/>
      <c r="AD82" s="29"/>
      <c r="AE82" s="15"/>
    </row>
    <row r="83" spans="20:31" x14ac:dyDescent="0.2">
      <c r="T83" s="152"/>
      <c r="U83" s="152"/>
      <c r="X83" s="42"/>
      <c r="Y83" s="21"/>
      <c r="Z83" s="28" t="s">
        <v>97</v>
      </c>
      <c r="AA83" s="113">
        <f>E27</f>
        <v>600</v>
      </c>
      <c r="AB83" s="21"/>
      <c r="AC83" s="21"/>
      <c r="AD83" s="29"/>
      <c r="AE83" s="15"/>
    </row>
    <row r="84" spans="20:31" x14ac:dyDescent="0.2">
      <c r="T84" s="152"/>
      <c r="U84" s="152"/>
      <c r="X84" s="42"/>
      <c r="Y84" s="21"/>
      <c r="Z84" s="114" t="s">
        <v>98</v>
      </c>
      <c r="AA84" s="32">
        <f>R55</f>
        <v>1.0840380070341651</v>
      </c>
      <c r="AB84" s="21"/>
      <c r="AC84" s="21"/>
      <c r="AD84" s="29"/>
      <c r="AE84" s="15"/>
    </row>
    <row r="85" spans="20:31" x14ac:dyDescent="0.2">
      <c r="T85" s="152"/>
      <c r="U85" s="152"/>
      <c r="X85" s="20"/>
      <c r="Y85" s="21"/>
      <c r="Z85" s="28" t="s">
        <v>34</v>
      </c>
      <c r="AA85" s="91" t="s">
        <v>133</v>
      </c>
      <c r="AB85" s="21"/>
      <c r="AC85" s="21"/>
      <c r="AD85" s="43">
        <f>AD79*AA83/AA84</f>
        <v>400624.60122777417</v>
      </c>
      <c r="AE85" s="107" t="s">
        <v>94</v>
      </c>
    </row>
    <row r="86" spans="20:31" x14ac:dyDescent="0.2">
      <c r="T86" s="152"/>
      <c r="U86" s="152"/>
      <c r="X86" s="20"/>
      <c r="Y86" s="21"/>
      <c r="Z86" s="28" t="s">
        <v>43</v>
      </c>
      <c r="AA86" s="91" t="s">
        <v>132</v>
      </c>
      <c r="AB86" s="21"/>
      <c r="AC86" s="21"/>
      <c r="AD86" s="44">
        <f>AD80*AA83/AA84</f>
        <v>414941.78073956195</v>
      </c>
      <c r="AE86" s="107" t="s">
        <v>94</v>
      </c>
    </row>
    <row r="87" spans="20:31" ht="13.5" thickBot="1" x14ac:dyDescent="0.25">
      <c r="T87" s="152"/>
      <c r="U87" s="152"/>
      <c r="X87" s="23"/>
      <c r="Y87" s="24"/>
      <c r="Z87" s="33" t="s">
        <v>35</v>
      </c>
      <c r="AA87" s="92" t="s">
        <v>134</v>
      </c>
      <c r="AB87" s="24"/>
      <c r="AC87" s="24"/>
      <c r="AD87" s="45">
        <f>AD81*AA83/AA84</f>
        <v>429258.96025134966</v>
      </c>
      <c r="AE87" s="108" t="s">
        <v>94</v>
      </c>
    </row>
    <row r="88" spans="20:31" x14ac:dyDescent="0.2">
      <c r="T88" s="152"/>
      <c r="U88" s="152"/>
    </row>
    <row r="89" spans="20:31" x14ac:dyDescent="0.2">
      <c r="T89" s="152"/>
      <c r="U89" s="152"/>
      <c r="X89" s="135"/>
      <c r="Y89" s="135" t="s">
        <v>112</v>
      </c>
      <c r="Z89" s="136"/>
      <c r="AA89" s="115"/>
      <c r="AD89" s="121"/>
    </row>
    <row r="90" spans="20:31" x14ac:dyDescent="0.2">
      <c r="T90" s="152"/>
      <c r="U90" s="152"/>
      <c r="Z90" s="114" t="s">
        <v>99</v>
      </c>
      <c r="AA90" s="115">
        <f>(AD87-AD85)/AD86</f>
        <v>6.9008136448780122E-2</v>
      </c>
      <c r="AB90" s="137" t="s">
        <v>113</v>
      </c>
    </row>
    <row r="91" spans="20:31" x14ac:dyDescent="0.2">
      <c r="T91" s="152"/>
      <c r="U91" s="152"/>
    </row>
    <row r="92" spans="20:31" x14ac:dyDescent="0.2">
      <c r="T92" s="152"/>
      <c r="U92" s="152"/>
    </row>
    <row r="93" spans="20:31" x14ac:dyDescent="0.2">
      <c r="T93" s="152"/>
      <c r="U93" s="152"/>
      <c r="X93" s="138" t="s">
        <v>100</v>
      </c>
      <c r="Y93" s="139"/>
      <c r="Z93" s="139"/>
    </row>
    <row r="94" spans="20:31" x14ac:dyDescent="0.2">
      <c r="T94" s="152"/>
      <c r="U94" s="152"/>
      <c r="Y94" s="120" t="s">
        <v>101</v>
      </c>
      <c r="Z94" s="121">
        <f>AD86*0.85</f>
        <v>352700.51362862764</v>
      </c>
    </row>
    <row r="95" spans="20:31" x14ac:dyDescent="0.2">
      <c r="T95" s="152"/>
      <c r="U95" s="152"/>
      <c r="Y95" s="120" t="s">
        <v>102</v>
      </c>
      <c r="Z95" s="121">
        <f>AD86*1.15</f>
        <v>477183.04785049619</v>
      </c>
    </row>
    <row r="96" spans="20:31" x14ac:dyDescent="0.2">
      <c r="T96" s="152"/>
      <c r="U96" s="152"/>
      <c r="Z96" s="121"/>
    </row>
    <row r="97" spans="20:28" x14ac:dyDescent="0.2">
      <c r="T97" s="152"/>
      <c r="U97" s="152"/>
      <c r="X97" s="122" t="s">
        <v>103</v>
      </c>
      <c r="Y97" s="123"/>
      <c r="Z97" s="124"/>
      <c r="AA97" s="123"/>
    </row>
    <row r="98" spans="20:28" x14ac:dyDescent="0.2">
      <c r="T98" s="152"/>
      <c r="U98" s="152"/>
      <c r="Y98" s="120"/>
      <c r="Z98" s="125" t="s">
        <v>104</v>
      </c>
      <c r="AA98" s="120" t="s">
        <v>105</v>
      </c>
    </row>
    <row r="99" spans="20:28" x14ac:dyDescent="0.2">
      <c r="T99" s="152"/>
      <c r="U99" s="152"/>
      <c r="Y99" s="120" t="s">
        <v>106</v>
      </c>
      <c r="Z99" s="121">
        <f>AD85</f>
        <v>400624.60122777417</v>
      </c>
      <c r="AA99" s="121">
        <f>AD87</f>
        <v>429258.96025134966</v>
      </c>
    </row>
    <row r="100" spans="20:28" x14ac:dyDescent="0.2">
      <c r="T100" s="152"/>
      <c r="U100" s="152"/>
      <c r="Y100" s="120" t="s">
        <v>107</v>
      </c>
      <c r="Z100" s="121">
        <f>Z94</f>
        <v>352700.51362862764</v>
      </c>
      <c r="AA100" s="121">
        <f>Z95</f>
        <v>477183.04785049619</v>
      </c>
    </row>
    <row r="101" spans="20:28" x14ac:dyDescent="0.2">
      <c r="T101" s="152"/>
      <c r="U101" s="152"/>
      <c r="X101" s="123"/>
      <c r="Y101" s="126" t="s">
        <v>108</v>
      </c>
      <c r="Z101" s="124">
        <f>Z99</f>
        <v>400624.60122777417</v>
      </c>
      <c r="AA101" s="124">
        <f>AA99</f>
        <v>429258.96025134966</v>
      </c>
    </row>
    <row r="102" spans="20:28" x14ac:dyDescent="0.2">
      <c r="T102" s="152"/>
      <c r="U102" s="152"/>
      <c r="Z102" s="121"/>
    </row>
    <row r="103" spans="20:28" x14ac:dyDescent="0.2">
      <c r="T103" s="152"/>
      <c r="U103" s="152"/>
      <c r="X103" s="127" t="s">
        <v>109</v>
      </c>
      <c r="Y103" s="128"/>
      <c r="Z103" s="129"/>
      <c r="AA103" s="128"/>
      <c r="AB103" s="129">
        <v>355000</v>
      </c>
    </row>
    <row r="104" spans="20:28" x14ac:dyDescent="0.2">
      <c r="T104" s="152"/>
      <c r="U104" s="152"/>
      <c r="X104" s="130"/>
      <c r="Y104" s="131"/>
      <c r="Z104" s="132"/>
      <c r="AA104" s="131" t="s">
        <v>110</v>
      </c>
      <c r="AB104" s="132">
        <f>AD86-AD85</f>
        <v>14317.179511787777</v>
      </c>
    </row>
    <row r="105" spans="20:28" x14ac:dyDescent="0.2">
      <c r="T105" s="152"/>
      <c r="U105" s="152"/>
      <c r="Y105" s="120"/>
      <c r="Z105" s="125" t="s">
        <v>104</v>
      </c>
      <c r="AA105" s="120" t="s">
        <v>105</v>
      </c>
    </row>
    <row r="106" spans="20:28" x14ac:dyDescent="0.2">
      <c r="T106" s="152"/>
      <c r="U106" s="152"/>
      <c r="Y106" s="120" t="s">
        <v>111</v>
      </c>
      <c r="Z106" s="121">
        <f>AB103-AB104</f>
        <v>340682.82048821222</v>
      </c>
      <c r="AA106" s="133">
        <f>AB103+AB104</f>
        <v>369317.17951178778</v>
      </c>
    </row>
    <row r="107" spans="20:28" x14ac:dyDescent="0.2">
      <c r="T107" s="152"/>
      <c r="U107" s="152"/>
      <c r="Y107" s="120" t="s">
        <v>107</v>
      </c>
      <c r="Z107" s="133">
        <f>Z94</f>
        <v>352700.51362862764</v>
      </c>
      <c r="AA107" s="121">
        <f>Z95</f>
        <v>477183.04785049619</v>
      </c>
    </row>
    <row r="108" spans="20:28" x14ac:dyDescent="0.2">
      <c r="T108" s="152"/>
      <c r="U108" s="152"/>
      <c r="X108" s="128"/>
      <c r="Y108" s="134" t="s">
        <v>108</v>
      </c>
      <c r="Z108" s="129">
        <f>Z107</f>
        <v>352700.51362862764</v>
      </c>
      <c r="AA108" s="129">
        <f>AA106</f>
        <v>369317.17951178778</v>
      </c>
    </row>
    <row r="109" spans="20:28" x14ac:dyDescent="0.2">
      <c r="T109" s="152"/>
      <c r="U109" s="152"/>
    </row>
    <row r="110" spans="20:28" x14ac:dyDescent="0.2">
      <c r="T110" s="152"/>
      <c r="U110" s="152"/>
    </row>
    <row r="111" spans="20:28" x14ac:dyDescent="0.2">
      <c r="T111" s="152"/>
      <c r="U111" s="152"/>
    </row>
    <row r="112" spans="20:28" x14ac:dyDescent="0.2">
      <c r="T112" s="152"/>
      <c r="U112" s="152"/>
    </row>
    <row r="113" spans="20:21" x14ac:dyDescent="0.2">
      <c r="T113" s="152"/>
      <c r="U113" s="152"/>
    </row>
    <row r="114" spans="20:21" x14ac:dyDescent="0.2">
      <c r="T114" s="152"/>
      <c r="U114" s="152"/>
    </row>
    <row r="115" spans="20:21" x14ac:dyDescent="0.2">
      <c r="T115" s="152"/>
      <c r="U115" s="152"/>
    </row>
    <row r="116" spans="20:21" x14ac:dyDescent="0.2">
      <c r="T116" s="152"/>
      <c r="U116" s="152"/>
    </row>
    <row r="117" spans="20:21" x14ac:dyDescent="0.2">
      <c r="T117" s="152"/>
      <c r="U117" s="152"/>
    </row>
    <row r="118" spans="20:21" x14ac:dyDescent="0.2">
      <c r="T118" s="152"/>
      <c r="U118" s="152"/>
    </row>
    <row r="119" spans="20:21" x14ac:dyDescent="0.2">
      <c r="T119" s="152"/>
      <c r="U119" s="152"/>
    </row>
    <row r="120" spans="20:21" x14ac:dyDescent="0.2">
      <c r="T120" s="152"/>
      <c r="U120" s="152"/>
    </row>
  </sheetData>
  <mergeCells count="8">
    <mergeCell ref="V34:V36"/>
    <mergeCell ref="Q35:Q36"/>
    <mergeCell ref="R35:R36"/>
    <mergeCell ref="C34:C36"/>
    <mergeCell ref="D34:D36"/>
    <mergeCell ref="F34:F36"/>
    <mergeCell ref="S34:S36"/>
    <mergeCell ref="U34:U36"/>
  </mergeCells>
  <pageMargins left="0.78740157499999996" right="0.78740157499999996" top="0.984251969" bottom="0.984251969" header="0.49212598499999999" footer="0.49212598499999999"/>
  <pageSetup paperSize="9" orientation="portrait" horizontalDpi="4294967294" verticalDpi="300" r:id="rId1"/>
  <headerFooter alignWithMargins="0"/>
  <ignoredErrors>
    <ignoredError sqref="O37:O55 I37 I49" formula="1"/>
  </ignoredErrors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28</xdr:col>
                <xdr:colOff>19050</xdr:colOff>
                <xdr:row>74</xdr:row>
                <xdr:rowOff>57150</xdr:rowOff>
              </from>
              <to>
                <xdr:col>30</xdr:col>
                <xdr:colOff>352425</xdr:colOff>
                <xdr:row>77</xdr:row>
                <xdr:rowOff>28575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r:id="rId7">
            <anchor moveWithCells="1" sizeWithCells="1">
              <from>
                <xdr:col>7</xdr:col>
                <xdr:colOff>514350</xdr:colOff>
                <xdr:row>28</xdr:row>
                <xdr:rowOff>57150</xdr:rowOff>
              </from>
              <to>
                <xdr:col>9</xdr:col>
                <xdr:colOff>257175</xdr:colOff>
                <xdr:row>32</xdr:row>
                <xdr:rowOff>76200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8">
          <objectPr defaultSize="0" r:id="rId9">
            <anchor moveWithCells="1" sizeWithCells="1">
              <from>
                <xdr:col>1</xdr:col>
                <xdr:colOff>247650</xdr:colOff>
                <xdr:row>28</xdr:row>
                <xdr:rowOff>19050</xdr:rowOff>
              </from>
              <to>
                <xdr:col>3</xdr:col>
                <xdr:colOff>390525</xdr:colOff>
                <xdr:row>32</xdr:row>
                <xdr:rowOff>76200</xdr:rowOff>
              </to>
            </anchor>
          </objectPr>
        </oleObject>
      </mc:Choice>
      <mc:Fallback>
        <oleObject progId="Equation.3" shapeId="6147" r:id="rId8"/>
      </mc:Fallback>
    </mc:AlternateContent>
    <mc:AlternateContent xmlns:mc="http://schemas.openxmlformats.org/markup-compatibility/2006">
      <mc:Choice Requires="x14">
        <oleObject progId="Equation.3" shapeId="6151" r:id="rId10">
          <objectPr defaultSize="0" autoPict="0" r:id="rId11">
            <anchor moveWithCells="1" sizeWithCells="1">
              <from>
                <xdr:col>15</xdr:col>
                <xdr:colOff>800100</xdr:colOff>
                <xdr:row>25</xdr:row>
                <xdr:rowOff>9525</xdr:rowOff>
              </from>
              <to>
                <xdr:col>17</xdr:col>
                <xdr:colOff>1257300</xdr:colOff>
                <xdr:row>27</xdr:row>
                <xdr:rowOff>66675</xdr:rowOff>
              </to>
            </anchor>
          </objectPr>
        </oleObject>
      </mc:Choice>
      <mc:Fallback>
        <oleObject progId="Equation.3" shapeId="6151" r:id="rId10"/>
      </mc:Fallback>
    </mc:AlternateContent>
    <mc:AlternateContent xmlns:mc="http://schemas.openxmlformats.org/markup-compatibility/2006">
      <mc:Choice Requires="x14">
        <oleObject progId="Equation.3" shapeId="6158" r:id="rId12">
          <objectPr defaultSize="0" autoPict="0" r:id="rId13">
            <anchor moveWithCells="1" sizeWithCells="1">
              <from>
                <xdr:col>16</xdr:col>
                <xdr:colOff>152400</xdr:colOff>
                <xdr:row>28</xdr:row>
                <xdr:rowOff>95250</xdr:rowOff>
              </from>
              <to>
                <xdr:col>16</xdr:col>
                <xdr:colOff>828675</xdr:colOff>
                <xdr:row>30</xdr:row>
                <xdr:rowOff>114300</xdr:rowOff>
              </to>
            </anchor>
          </objectPr>
        </oleObject>
      </mc:Choice>
      <mc:Fallback>
        <oleObject progId="Equation.3" shapeId="6158" r:id="rId12"/>
      </mc:Fallback>
    </mc:AlternateContent>
    <mc:AlternateContent xmlns:mc="http://schemas.openxmlformats.org/markup-compatibility/2006">
      <mc:Choice Requires="x14">
        <oleObject progId="Equation.3" shapeId="6159" r:id="rId14">
          <objectPr defaultSize="0" autoPict="0" r:id="rId15">
            <anchor moveWithCells="1" sizeWithCells="1">
              <from>
                <xdr:col>17</xdr:col>
                <xdr:colOff>19050</xdr:colOff>
                <xdr:row>30</xdr:row>
                <xdr:rowOff>85725</xdr:rowOff>
              </from>
              <to>
                <xdr:col>17</xdr:col>
                <xdr:colOff>1247775</xdr:colOff>
                <xdr:row>32</xdr:row>
                <xdr:rowOff>104775</xdr:rowOff>
              </to>
            </anchor>
          </objectPr>
        </oleObject>
      </mc:Choice>
      <mc:Fallback>
        <oleObject progId="Equation.3" shapeId="6159" r:id="rId14"/>
      </mc:Fallback>
    </mc:AlternateContent>
    <mc:AlternateContent xmlns:mc="http://schemas.openxmlformats.org/markup-compatibility/2006">
      <mc:Choice Requires="x14">
        <oleObject shapeId="6160" r:id="rId16">
          <objectPr defaultSize="0" autoPict="0" r:id="rId17">
            <anchor moveWithCells="1" sizeWithCells="1">
              <from>
                <xdr:col>31</xdr:col>
                <xdr:colOff>38100</xdr:colOff>
                <xdr:row>29</xdr:row>
                <xdr:rowOff>47625</xdr:rowOff>
              </from>
              <to>
                <xdr:col>35</xdr:col>
                <xdr:colOff>771525</xdr:colOff>
                <xdr:row>31</xdr:row>
                <xdr:rowOff>38100</xdr:rowOff>
              </to>
            </anchor>
          </objectPr>
        </oleObject>
      </mc:Choice>
      <mc:Fallback>
        <oleObject shapeId="6160" r:id="rId1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Método Multiplicativo</vt:lpstr>
      <vt:lpstr>Método Aditivo-Ibape</vt:lpstr>
    </vt:vector>
  </TitlesOfParts>
  <Company>UFSC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Depto de Eng. Civil</dc:creator>
  <cp:lastModifiedBy>NH</cp:lastModifiedBy>
  <dcterms:created xsi:type="dcterms:W3CDTF">2001-04-19T00:22:34Z</dcterms:created>
  <dcterms:modified xsi:type="dcterms:W3CDTF">2018-10-18T02:01:23Z</dcterms:modified>
</cp:coreProperties>
</file>