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x5\Desktop\2. EP Comp\BI\TCC\"/>
    </mc:Choice>
  </mc:AlternateContent>
  <xr:revisionPtr revIDLastSave="0" documentId="13_ncr:1_{213CC448-9914-43D2-83F2-67CBD8F61BE0}" xr6:coauthVersionLast="45" xr6:coauthVersionMax="45" xr10:uidLastSave="{00000000-0000-0000-0000-000000000000}"/>
  <bookViews>
    <workbookView xWindow="-120" yWindow="-120" windowWidth="29040" windowHeight="15840" xr2:uid="{943D00DB-FBD3-4050-B9DB-CE669DC0F261}"/>
  </bookViews>
  <sheets>
    <sheet name="UEP-1" sheetId="26" r:id="rId1"/>
    <sheet name="UEP-2" sheetId="33" r:id="rId2"/>
  </sheets>
  <definedNames>
    <definedName name="_xlnm._FilterDatabase" localSheetId="0" hidden="1">'UEP-1'!$L$50:$S$80</definedName>
    <definedName name="_xlnm._FilterDatabase" localSheetId="1" hidden="1">'UEP-2'!$M$48:$S$85</definedName>
    <definedName name="solver_adj" localSheetId="0" hidden="1">'UEP-1'!$N$11:$N$14,'UEP-1'!$N$16:$N$20,'UEP-1'!$N$22:$N$33</definedName>
    <definedName name="solver_adj" localSheetId="1" hidden="1">'UEP-2'!$R$12:$R$22,'UEP-2'!$R$24:$R$37,'UEP-2'!$R$39:$R$51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'UEP-1'!$N$11:$N$14</definedName>
    <definedName name="solver_lhs1" localSheetId="1" hidden="1">'UEP-2'!$R$12:$R$22</definedName>
    <definedName name="solver_lhs10" localSheetId="0" hidden="1">'UEP-1'!$N$11:$N$33</definedName>
    <definedName name="solver_lhs10" localSheetId="1" hidden="1">'UEP-2'!$R$39:$R$51</definedName>
    <definedName name="solver_lhs11" localSheetId="0" hidden="1">'UEP-1'!$N$11:$N$27</definedName>
    <definedName name="solver_lhs11" localSheetId="1" hidden="1">'UEP-2'!$R$47</definedName>
    <definedName name="solver_lhs12" localSheetId="0" hidden="1">'UEP-1'!$N$11:$N$33</definedName>
    <definedName name="solver_lhs12" localSheetId="1" hidden="1">'UEP-2'!$P$12:$P$51</definedName>
    <definedName name="solver_lhs13" localSheetId="0" hidden="1">'UEP-1'!$N$11:$N$12</definedName>
    <definedName name="solver_lhs13" localSheetId="1" hidden="1">'UEP-2'!$P$12:$P$13</definedName>
    <definedName name="solver_lhs2" localSheetId="0" hidden="1">'UEP-1'!$N$11:$N$14</definedName>
    <definedName name="solver_lhs2" localSheetId="1" hidden="1">'UEP-2'!$R$12:$R$22</definedName>
    <definedName name="solver_lhs3" localSheetId="0" hidden="1">'UEP-1'!$N$11:$N$14</definedName>
    <definedName name="solver_lhs3" localSheetId="1" hidden="1">'UEP-2'!$R$12:$R$22</definedName>
    <definedName name="solver_lhs4" localSheetId="0" hidden="1">'UEP-1'!$N$16:$N$20</definedName>
    <definedName name="solver_lhs4" localSheetId="1" hidden="1">'UEP-2'!$R$24:$R$37</definedName>
    <definedName name="solver_lhs5" localSheetId="0" hidden="1">'UEP-1'!$N$16:$N$20</definedName>
    <definedName name="solver_lhs5" localSheetId="1" hidden="1">'UEP-2'!$R$24:$R$37</definedName>
    <definedName name="solver_lhs6" localSheetId="0" hidden="1">'UEP-1'!$N$16:$N$20</definedName>
    <definedName name="solver_lhs6" localSheetId="1" hidden="1">'UEP-2'!$R$24:$R$37</definedName>
    <definedName name="solver_lhs7" localSheetId="0" hidden="1">'UEP-1'!$N$22:$N$33</definedName>
    <definedName name="solver_lhs7" localSheetId="1" hidden="1">'UEP-2'!$R$25</definedName>
    <definedName name="solver_lhs8" localSheetId="0" hidden="1">'UEP-1'!$N$22:$N$33</definedName>
    <definedName name="solver_lhs8" localSheetId="1" hidden="1">'UEP-2'!$R$39:$R$51</definedName>
    <definedName name="solver_lhs9" localSheetId="0" hidden="1">'UEP-1'!$N$22:$N$33</definedName>
    <definedName name="solver_lhs9" localSheetId="1" hidden="1">'UEP-2'!$R$39:$R$51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9</definedName>
    <definedName name="solver_num" localSheetId="1" hidden="1">11</definedName>
    <definedName name="solver_nwt" localSheetId="0" hidden="1">1</definedName>
    <definedName name="solver_nwt" localSheetId="1" hidden="1">1</definedName>
    <definedName name="solver_opt" localSheetId="0" hidden="1">'UEP-1'!$O$8</definedName>
    <definedName name="solver_opt" localSheetId="1" hidden="1">'UEP-2'!$V$9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10" localSheetId="0" hidden="1">3</definedName>
    <definedName name="solver_rel10" localSheetId="1" hidden="1">3</definedName>
    <definedName name="solver_rel11" localSheetId="0" hidden="1">3</definedName>
    <definedName name="solver_rel11" localSheetId="1" hidden="1">1</definedName>
    <definedName name="solver_rel12" localSheetId="0" hidden="1">4</definedName>
    <definedName name="solver_rel12" localSheetId="1" hidden="1">4</definedName>
    <definedName name="solver_rel13" localSheetId="0" hidden="1">3</definedName>
    <definedName name="solver_rel13" localSheetId="1" hidden="1">3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4</definedName>
    <definedName name="solver_rel5" localSheetId="1" hidden="1">4</definedName>
    <definedName name="solver_rel6" localSheetId="0" hidden="1">3</definedName>
    <definedName name="solver_rel6" localSheetId="1" hidden="1">3</definedName>
    <definedName name="solver_rel7" localSheetId="0" hidden="1">1</definedName>
    <definedName name="solver_rel7" localSheetId="1" hidden="1">1</definedName>
    <definedName name="solver_rel8" localSheetId="0" hidden="1">4</definedName>
    <definedName name="solver_rel8" localSheetId="1" hidden="1">1</definedName>
    <definedName name="solver_rel9" localSheetId="0" hidden="1">3</definedName>
    <definedName name="solver_rel9" localSheetId="1" hidden="1">4</definedName>
    <definedName name="solver_rhs1" localSheetId="0" hidden="1">2</definedName>
    <definedName name="solver_rhs1" localSheetId="1" hidden="1">3</definedName>
    <definedName name="solver_rhs10" localSheetId="0" hidden="1">1</definedName>
    <definedName name="solver_rhs10" localSheetId="1" hidden="1">1</definedName>
    <definedName name="solver_rhs11" localSheetId="0" hidden="1">1</definedName>
    <definedName name="solver_rhs11" localSheetId="1" hidden="1">2</definedName>
    <definedName name="solver_rhs12" localSheetId="0" hidden="1">número inteiro</definedName>
    <definedName name="solver_rhs12" localSheetId="1" hidden="1">número inteiro</definedName>
    <definedName name="solver_rhs13" localSheetId="0" hidden="1">3</definedName>
    <definedName name="solver_rhs13" localSheetId="1" hidden="1">3</definedName>
    <definedName name="solver_rhs2" localSheetId="0" hidden="1">número inteiro</definedName>
    <definedName name="solver_rhs2" localSheetId="1" hidden="1">número inteiro</definedName>
    <definedName name="solver_rhs3" localSheetId="0" hidden="1">1</definedName>
    <definedName name="solver_rhs3" localSheetId="1" hidden="1">1</definedName>
    <definedName name="solver_rhs4" localSheetId="0" hidden="1">2</definedName>
    <definedName name="solver_rhs4" localSheetId="1" hidden="1">3</definedName>
    <definedName name="solver_rhs5" localSheetId="0" hidden="1">número inteiro</definedName>
    <definedName name="solver_rhs5" localSheetId="1" hidden="1">número inteiro</definedName>
    <definedName name="solver_rhs6" localSheetId="0" hidden="1">1</definedName>
    <definedName name="solver_rhs6" localSheetId="1" hidden="1">1</definedName>
    <definedName name="solver_rhs7" localSheetId="0" hidden="1">2</definedName>
    <definedName name="solver_rhs7" localSheetId="1" hidden="1">2</definedName>
    <definedName name="solver_rhs8" localSheetId="0" hidden="1">número inteiro</definedName>
    <definedName name="solver_rhs8" localSheetId="1" hidden="1">3</definedName>
    <definedName name="solver_rhs9" localSheetId="0" hidden="1">1</definedName>
    <definedName name="solver_rhs9" localSheetId="1" hidden="1">número inteiro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60</definedName>
    <definedName name="solver_tim" localSheetId="1" hidden="1">60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6" i="33" l="1"/>
  <c r="AD57" i="33"/>
  <c r="AD58" i="33"/>
  <c r="AD59" i="33"/>
  <c r="AD53" i="33"/>
  <c r="AD54" i="33"/>
  <c r="AD55" i="33"/>
  <c r="AD52" i="33"/>
  <c r="AC59" i="33"/>
  <c r="AC58" i="33"/>
  <c r="AC57" i="33"/>
  <c r="AC56" i="33"/>
  <c r="AC55" i="33"/>
  <c r="AC54" i="33"/>
  <c r="AC53" i="33"/>
  <c r="AC52" i="33"/>
  <c r="X65" i="33" l="1"/>
  <c r="X66" i="33"/>
  <c r="X67" i="33"/>
  <c r="X68" i="33"/>
  <c r="V72" i="33"/>
  <c r="V73" i="33"/>
  <c r="U73" i="33"/>
  <c r="U72" i="33"/>
  <c r="V65" i="33"/>
  <c r="W65" i="33"/>
  <c r="V66" i="33"/>
  <c r="W66" i="33"/>
  <c r="V67" i="33"/>
  <c r="W67" i="33"/>
  <c r="V68" i="33"/>
  <c r="W68" i="33"/>
  <c r="U68" i="33"/>
  <c r="U67" i="33"/>
  <c r="U66" i="33"/>
  <c r="U65" i="33"/>
  <c r="AA66" i="33"/>
  <c r="AA67" i="33"/>
  <c r="AA68" i="33"/>
  <c r="AA65" i="33"/>
  <c r="Z68" i="33"/>
  <c r="Z67" i="33"/>
  <c r="Z66" i="33"/>
  <c r="Z65" i="33"/>
  <c r="V33" i="26"/>
  <c r="V34" i="26"/>
  <c r="V32" i="26"/>
  <c r="U34" i="26"/>
  <c r="U33" i="26"/>
  <c r="U32" i="26"/>
  <c r="U56" i="33" l="1"/>
  <c r="U70" i="33" s="1"/>
  <c r="V56" i="33"/>
  <c r="V70" i="33" s="1"/>
  <c r="W56" i="33"/>
  <c r="X56" i="33"/>
  <c r="Y56" i="33"/>
  <c r="Y60" i="33" s="1"/>
  <c r="Z70" i="33" s="1"/>
  <c r="Z56" i="33"/>
  <c r="Z60" i="33" s="1"/>
  <c r="AA56" i="33"/>
  <c r="AB56" i="33"/>
  <c r="U57" i="33"/>
  <c r="U71" i="33" s="1"/>
  <c r="V57" i="33"/>
  <c r="V71" i="33" s="1"/>
  <c r="W57" i="33"/>
  <c r="X57" i="33"/>
  <c r="Y57" i="33"/>
  <c r="Z57" i="33"/>
  <c r="AA57" i="33"/>
  <c r="AA61" i="33" s="1"/>
  <c r="AB57" i="33"/>
  <c r="U58" i="33"/>
  <c r="V58" i="33"/>
  <c r="W58" i="33"/>
  <c r="X58" i="33"/>
  <c r="Y58" i="33"/>
  <c r="Z58" i="33"/>
  <c r="AA58" i="33"/>
  <c r="AA62" i="33" s="1"/>
  <c r="AB58" i="33"/>
  <c r="U59" i="33"/>
  <c r="V59" i="33"/>
  <c r="W59" i="33"/>
  <c r="X59" i="33"/>
  <c r="Y59" i="33"/>
  <c r="Z59" i="33"/>
  <c r="Z63" i="33" s="1"/>
  <c r="AA59" i="33"/>
  <c r="AB59" i="33"/>
  <c r="N5" i="33"/>
  <c r="H22" i="33" s="1"/>
  <c r="N4" i="33"/>
  <c r="H15" i="33" s="1"/>
  <c r="N3" i="33"/>
  <c r="H8" i="33" s="1"/>
  <c r="Y61" i="33"/>
  <c r="Z71" i="33" s="1"/>
  <c r="Y63" i="33"/>
  <c r="Z73" i="33" s="1"/>
  <c r="E39" i="33"/>
  <c r="E38" i="33"/>
  <c r="G19" i="33" s="1"/>
  <c r="H19" i="33" s="1"/>
  <c r="E37" i="33"/>
  <c r="E36" i="33"/>
  <c r="G13" i="33" s="1"/>
  <c r="H13" i="33" s="1"/>
  <c r="E35" i="33"/>
  <c r="J32" i="33"/>
  <c r="J31" i="33"/>
  <c r="I31" i="33"/>
  <c r="H31" i="33"/>
  <c r="G31" i="33"/>
  <c r="G26" i="33"/>
  <c r="H26" i="33" s="1"/>
  <c r="E26" i="33"/>
  <c r="C26" i="33"/>
  <c r="G25" i="33"/>
  <c r="H25" i="33" s="1"/>
  <c r="E25" i="33"/>
  <c r="C25" i="33"/>
  <c r="G24" i="33"/>
  <c r="H24" i="33" s="1"/>
  <c r="K24" i="33" s="1"/>
  <c r="R6" i="33" s="1"/>
  <c r="E24" i="33"/>
  <c r="C24" i="33"/>
  <c r="E22" i="33"/>
  <c r="C22" i="33"/>
  <c r="G21" i="33"/>
  <c r="H21" i="33" s="1"/>
  <c r="E21" i="33"/>
  <c r="C21" i="33"/>
  <c r="G20" i="33"/>
  <c r="E20" i="33"/>
  <c r="C20" i="33"/>
  <c r="E19" i="33"/>
  <c r="C19" i="33"/>
  <c r="E18" i="33"/>
  <c r="C18" i="33"/>
  <c r="G17" i="33"/>
  <c r="H17" i="33" s="1"/>
  <c r="E17" i="33"/>
  <c r="C17" i="33"/>
  <c r="E15" i="33"/>
  <c r="C15" i="33"/>
  <c r="G14" i="33"/>
  <c r="H14" i="33" s="1"/>
  <c r="E14" i="33"/>
  <c r="C14" i="33"/>
  <c r="E13" i="33"/>
  <c r="C13" i="33"/>
  <c r="G12" i="33"/>
  <c r="H12" i="33" s="1"/>
  <c r="K12" i="33" s="1"/>
  <c r="E12" i="33"/>
  <c r="C12" i="33"/>
  <c r="G11" i="33"/>
  <c r="H11" i="33" s="1"/>
  <c r="E11" i="33"/>
  <c r="C11" i="33"/>
  <c r="G10" i="33"/>
  <c r="H10" i="33" s="1"/>
  <c r="E10" i="33"/>
  <c r="C10" i="33"/>
  <c r="E8" i="33"/>
  <c r="C8" i="33"/>
  <c r="Y7" i="33"/>
  <c r="Y8" i="33" s="1"/>
  <c r="G7" i="33"/>
  <c r="H7" i="33" s="1"/>
  <c r="E7" i="33"/>
  <c r="C7" i="33"/>
  <c r="G6" i="33"/>
  <c r="H6" i="33" s="1"/>
  <c r="E6" i="33"/>
  <c r="C6" i="33"/>
  <c r="E5" i="33"/>
  <c r="C5" i="33"/>
  <c r="G4" i="33"/>
  <c r="H4" i="33" s="1"/>
  <c r="K4" i="33" s="1"/>
  <c r="E4" i="33"/>
  <c r="C4" i="33"/>
  <c r="G5" i="33" l="1"/>
  <c r="H5" i="33" s="1"/>
  <c r="G18" i="33"/>
  <c r="H18" i="33" s="1"/>
  <c r="Y62" i="33"/>
  <c r="Z72" i="33" s="1"/>
  <c r="AB63" i="33"/>
  <c r="AB62" i="33"/>
  <c r="AA60" i="33"/>
  <c r="S6" i="33"/>
  <c r="AA73" i="33"/>
  <c r="AA72" i="33"/>
  <c r="AA71" i="33"/>
  <c r="AA70" i="33"/>
  <c r="AB61" i="33"/>
  <c r="AA63" i="33"/>
  <c r="AB60" i="33"/>
  <c r="Z61" i="33"/>
  <c r="Z62" i="33"/>
  <c r="H20" i="33"/>
  <c r="K20" i="33" s="1"/>
  <c r="K25" i="33"/>
  <c r="R7" i="33" s="1"/>
  <c r="I25" i="33"/>
  <c r="J25" i="33" s="1"/>
  <c r="I17" i="33"/>
  <c r="J17" i="33" s="1"/>
  <c r="K17" i="33"/>
  <c r="K5" i="33"/>
  <c r="I5" i="33"/>
  <c r="J5" i="33" s="1"/>
  <c r="K11" i="33"/>
  <c r="I11" i="33"/>
  <c r="J11" i="33" s="1"/>
  <c r="I21" i="33"/>
  <c r="J21" i="33" s="1"/>
  <c r="K21" i="33"/>
  <c r="I26" i="33"/>
  <c r="J26" i="33" s="1"/>
  <c r="K26" i="33"/>
  <c r="R8" i="33" s="1"/>
  <c r="I6" i="33"/>
  <c r="J6" i="33" s="1"/>
  <c r="K6" i="33"/>
  <c r="K22" i="33"/>
  <c r="I22" i="33"/>
  <c r="J22" i="33" s="1"/>
  <c r="I10" i="33"/>
  <c r="J10" i="33" s="1"/>
  <c r="O4" i="33"/>
  <c r="K10" i="33"/>
  <c r="K19" i="33"/>
  <c r="I19" i="33"/>
  <c r="J19" i="33" s="1"/>
  <c r="I13" i="33"/>
  <c r="J13" i="33" s="1"/>
  <c r="K13" i="33"/>
  <c r="O3" i="33"/>
  <c r="I4" i="33"/>
  <c r="J4" i="33" s="1"/>
  <c r="I7" i="33"/>
  <c r="J7" i="33" s="1"/>
  <c r="K7" i="33"/>
  <c r="K8" i="33"/>
  <c r="I8" i="33"/>
  <c r="J8" i="33" s="1"/>
  <c r="K15" i="33"/>
  <c r="I15" i="33"/>
  <c r="J15" i="33" s="1"/>
  <c r="I14" i="33"/>
  <c r="J14" i="33" s="1"/>
  <c r="K14" i="33"/>
  <c r="I18" i="33"/>
  <c r="J18" i="33" s="1"/>
  <c r="K18" i="33"/>
  <c r="I24" i="33"/>
  <c r="J24" i="33" s="1"/>
  <c r="I12" i="33"/>
  <c r="J12" i="33" s="1"/>
  <c r="T8" i="33" l="1"/>
  <c r="U8" i="33" s="1"/>
  <c r="T7" i="33"/>
  <c r="U7" i="33" s="1"/>
  <c r="R4" i="33"/>
  <c r="R3" i="33"/>
  <c r="T6" i="33"/>
  <c r="U6" i="33" s="1"/>
  <c r="V6" i="33" s="1"/>
  <c r="R5" i="33"/>
  <c r="T3" i="33"/>
  <c r="U3" i="33" s="1"/>
  <c r="T4" i="33"/>
  <c r="U4" i="33" s="1"/>
  <c r="S7" i="33"/>
  <c r="S8" i="33"/>
  <c r="I20" i="33"/>
  <c r="J20" i="33" s="1"/>
  <c r="O5" i="33"/>
  <c r="P5" i="33" s="1"/>
  <c r="P3" i="33"/>
  <c r="Q3" i="33"/>
  <c r="P4" i="33"/>
  <c r="Q4" i="33"/>
  <c r="V7" i="33" l="1"/>
  <c r="V8" i="33"/>
  <c r="T5" i="33"/>
  <c r="U5" i="33" s="1"/>
  <c r="O9" i="33"/>
  <c r="Q5" i="33"/>
  <c r="Q9" i="33" s="1"/>
  <c r="R9" i="33"/>
  <c r="S4" i="33"/>
  <c r="V4" i="33" s="1"/>
  <c r="S3" i="33"/>
  <c r="P9" i="33"/>
  <c r="V30" i="26"/>
  <c r="V36" i="26" s="1"/>
  <c r="V31" i="26"/>
  <c r="V37" i="26" s="1"/>
  <c r="V29" i="26"/>
  <c r="V35" i="26" s="1"/>
  <c r="D29" i="26"/>
  <c r="F14" i="26" s="1"/>
  <c r="D32" i="26"/>
  <c r="F16" i="26" s="1"/>
  <c r="D30" i="26"/>
  <c r="F15" i="26" s="1"/>
  <c r="D31" i="26"/>
  <c r="F10" i="26" s="1"/>
  <c r="U9" i="33" l="1"/>
  <c r="T9" i="33"/>
  <c r="F9" i="26"/>
  <c r="F4" i="26"/>
  <c r="S5" i="33"/>
  <c r="V5" i="33" s="1"/>
  <c r="V3" i="33"/>
  <c r="F5" i="26"/>
  <c r="V9" i="33" l="1"/>
  <c r="S9" i="33"/>
  <c r="D21" i="26"/>
  <c r="D20" i="26"/>
  <c r="D18" i="26"/>
  <c r="D17" i="26"/>
  <c r="D16" i="26"/>
  <c r="D15" i="26"/>
  <c r="D14" i="26"/>
  <c r="D12" i="26"/>
  <c r="D11" i="26"/>
  <c r="D10" i="26"/>
  <c r="D9" i="26"/>
  <c r="D5" i="26"/>
  <c r="D6" i="26"/>
  <c r="D7" i="26"/>
  <c r="D4" i="26"/>
  <c r="G4" i="26" l="1"/>
  <c r="J4" i="26" s="1"/>
  <c r="G5" i="26"/>
  <c r="H5" i="26" s="1"/>
  <c r="I5" i="26" s="1"/>
  <c r="G6" i="26"/>
  <c r="H6" i="26" s="1"/>
  <c r="I6" i="26" s="1"/>
  <c r="G9" i="26"/>
  <c r="H9" i="26" s="1"/>
  <c r="I9" i="26" s="1"/>
  <c r="G10" i="26"/>
  <c r="H10" i="26" s="1"/>
  <c r="I10" i="26" s="1"/>
  <c r="G11" i="26"/>
  <c r="H11" i="26" s="1"/>
  <c r="I11" i="26" s="1"/>
  <c r="G14" i="26"/>
  <c r="H14" i="26" s="1"/>
  <c r="I14" i="26" s="1"/>
  <c r="G15" i="26"/>
  <c r="H15" i="26" s="1"/>
  <c r="I15" i="26" s="1"/>
  <c r="G16" i="26"/>
  <c r="H16" i="26" s="1"/>
  <c r="I16" i="26" s="1"/>
  <c r="G17" i="26"/>
  <c r="H17" i="26" s="1"/>
  <c r="I17" i="26" s="1"/>
  <c r="H20" i="26"/>
  <c r="I20" i="26" s="1"/>
  <c r="N6" i="26" s="1"/>
  <c r="P6" i="26" s="1"/>
  <c r="G21" i="26"/>
  <c r="H21" i="26" s="1"/>
  <c r="I21" i="26" s="1"/>
  <c r="N7" i="26" s="1"/>
  <c r="P7" i="26" s="1"/>
  <c r="H4" i="26" l="1"/>
  <c r="I4" i="26" s="1"/>
  <c r="J21" i="26"/>
  <c r="O7" i="26" s="1"/>
  <c r="J17" i="26"/>
  <c r="J16" i="26"/>
  <c r="J15" i="26"/>
  <c r="J14" i="26"/>
  <c r="J11" i="26"/>
  <c r="J10" i="26"/>
  <c r="J9" i="26"/>
  <c r="J6" i="26"/>
  <c r="J5" i="26"/>
  <c r="M5" i="26" l="1"/>
  <c r="M4" i="26"/>
  <c r="G12" i="26" l="1"/>
  <c r="J12" i="26" s="1"/>
  <c r="O4" i="26" s="1"/>
  <c r="H12" i="26"/>
  <c r="I12" i="26" s="1"/>
  <c r="N4" i="26" s="1"/>
  <c r="P4" i="26" s="1"/>
  <c r="G18" i="26"/>
  <c r="J18" i="26" s="1"/>
  <c r="O5" i="26" s="1"/>
  <c r="H18" i="26"/>
  <c r="I18" i="26" s="1"/>
  <c r="N5" i="26" s="1"/>
  <c r="P5" i="26" s="1"/>
  <c r="F20" i="26"/>
  <c r="G20" i="26" l="1"/>
  <c r="J20" i="26" s="1"/>
  <c r="O6" i="26" s="1"/>
  <c r="U29" i="26"/>
  <c r="U35" i="26" s="1"/>
  <c r="U30" i="26"/>
  <c r="U36" i="26" s="1"/>
  <c r="U31" i="26"/>
  <c r="U37" i="26" s="1"/>
  <c r="H25" i="26" l="1"/>
  <c r="G25" i="26"/>
  <c r="F25" i="26"/>
  <c r="M3" i="26" l="1"/>
  <c r="H7" i="26" l="1"/>
  <c r="I7" i="26" s="1"/>
  <c r="N3" i="26" s="1"/>
  <c r="P3" i="26" s="1"/>
  <c r="G7" i="26"/>
  <c r="J7" i="26" s="1"/>
  <c r="O3" i="26" s="1"/>
  <c r="Q6" i="26"/>
  <c r="O8" i="26" l="1"/>
  <c r="Q7" i="26"/>
  <c r="Q4" i="26" l="1"/>
  <c r="Q5" i="26"/>
  <c r="Q3" i="26"/>
  <c r="N8" i="26"/>
  <c r="P8" i="26" l="1"/>
  <c r="Q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Milene França</author>
  </authors>
  <commentList>
    <comment ref="J30" authorId="0" shapeId="0" xr:uid="{C3848E6B-2BFC-4C76-B07A-42C7CD1A8ABE}">
      <text>
        <r>
          <rPr>
            <b/>
            <sz val="9"/>
            <color indexed="81"/>
            <rFont val="Segoe UI"/>
            <family val="2"/>
          </rPr>
          <t>Milene França:</t>
        </r>
        <r>
          <rPr>
            <sz val="9"/>
            <color indexed="81"/>
            <rFont val="Segoe UI"/>
            <family val="2"/>
          </rPr>
          <t xml:space="preserve">
Densidade Óleo Diesel Marítmo = 0,8065
SIGEA
Emissão CO2 IOP: 3200 kg/ton fuel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F5D4BC-021D-4E8D-9814-4C495CCBCF5E}" keepAlive="1" name="Consulta - VW_SOLTEC" description="Conexão com a consulta 'VW_SOLTEC' na pasta de trabalho." type="5" refreshedVersion="6" background="1">
    <dbPr connection="Provider=Microsoft.Mashup.OleDb.1;Data Source=$Workbook$;Location=VW_SOLTEC;Extended Properties=&quot;&quot;" command="SELECT * FROM [VW_SOLTEC]"/>
  </connection>
</connections>
</file>

<file path=xl/sharedStrings.xml><?xml version="1.0" encoding="utf-8"?>
<sst xmlns="http://schemas.openxmlformats.org/spreadsheetml/2006/main" count="722" uniqueCount="104">
  <si>
    <t>Embarcação</t>
  </si>
  <si>
    <t>Alternativas</t>
  </si>
  <si>
    <t>Instalação de peso morto</t>
  </si>
  <si>
    <t>Quebra de conexão</t>
  </si>
  <si>
    <t>Instalação de cabeça de tração</t>
  </si>
  <si>
    <t xml:space="preserve">Inexistência de rota de abandono </t>
  </si>
  <si>
    <t>Ausência de integridade de riser</t>
  </si>
  <si>
    <t>PLSV</t>
  </si>
  <si>
    <t>RSV</t>
  </si>
  <si>
    <t>Ref. Status Work</t>
  </si>
  <si>
    <t>Riser KM</t>
  </si>
  <si>
    <t>Linha de óleo</t>
  </si>
  <si>
    <t>Total por Riser</t>
  </si>
  <si>
    <t>N</t>
  </si>
  <si>
    <t>S</t>
  </si>
  <si>
    <t>Totais Adicionais</t>
  </si>
  <si>
    <t>Deposição no fundo marinho</t>
  </si>
  <si>
    <t>TNP associado a campanha de desmobilização</t>
  </si>
  <si>
    <t>Recuperação da extremidade</t>
  </si>
  <si>
    <t>Tamponamento da linha de óleo</t>
  </si>
  <si>
    <t>Tempo por riser (d)</t>
  </si>
  <si>
    <t>Padrão</t>
  </si>
  <si>
    <t>Descarregamento</t>
  </si>
  <si>
    <t>Atividade</t>
  </si>
  <si>
    <t>(RSV) Multi support vessel</t>
  </si>
  <si>
    <t>In port No work</t>
  </si>
  <si>
    <t>(PLSV) WDP: Pipeline vessel Fenica</t>
  </si>
  <si>
    <t>In port Working</t>
  </si>
  <si>
    <t>In transit</t>
  </si>
  <si>
    <t>Working</t>
  </si>
  <si>
    <t>WOW</t>
  </si>
  <si>
    <t xml:space="preserve">Alternativa A: Desconexão na CRF, pull out de 1ª extremidade e recolhimento </t>
  </si>
  <si>
    <t>Alternativa D: Desconexão na CRF, pull out de 2ª extremidade e recolhimento</t>
  </si>
  <si>
    <t xml:space="preserve">Alternativa B: Corte no corpo da linha, pull out de 1ª extremidade e recolhimento </t>
  </si>
  <si>
    <t>Tipo</t>
  </si>
  <si>
    <t>Consumo de Óleo de Diesel (m³/h)</t>
  </si>
  <si>
    <t>Recolhimento (0,3km/h)</t>
  </si>
  <si>
    <t>Transporte</t>
  </si>
  <si>
    <t>Corte do tramo riser no leito marinho</t>
  </si>
  <si>
    <t>Tempo total (d)</t>
  </si>
  <si>
    <t>Ref. Embarc.</t>
  </si>
  <si>
    <t>Tipo Embarc.</t>
  </si>
  <si>
    <t>Combust. (m³)</t>
  </si>
  <si>
    <t>Descarregamento (5un)</t>
  </si>
  <si>
    <t>Index</t>
  </si>
  <si>
    <t>Comp. (m)</t>
  </si>
  <si>
    <t>Custo Riser (USD MM)</t>
  </si>
  <si>
    <t>CO2 (kg/m³fuel)</t>
  </si>
  <si>
    <t>CO2 
(ton)</t>
  </si>
  <si>
    <t>Alt. A</t>
  </si>
  <si>
    <t>Alt. B</t>
  </si>
  <si>
    <t>Alt. D</t>
  </si>
  <si>
    <t>Total 
(USD MM)</t>
  </si>
  <si>
    <t>Pullout de 1ª extremidade</t>
  </si>
  <si>
    <t>Pullout de 2ª extremidade</t>
  </si>
  <si>
    <t>Transporte (86km e 30h)</t>
  </si>
  <si>
    <t>Custo Riser (USD MM):</t>
  </si>
  <si>
    <t>Custo Riser e CO2 (USD MM):</t>
  </si>
  <si>
    <t>Otimização Custo Riser (%):</t>
  </si>
  <si>
    <t>Otimização Emissão CO2 (%):</t>
  </si>
  <si>
    <t>Otimização Custo Riser e CO2 (%):</t>
  </si>
  <si>
    <t>A</t>
  </si>
  <si>
    <t>D</t>
  </si>
  <si>
    <t>B</t>
  </si>
  <si>
    <t>Alternativa C: Pull out de 1ª extremidade, deposição temporária no leito e recolhimento posterior</t>
  </si>
  <si>
    <t>MRL</t>
  </si>
  <si>
    <t>RSV e PLSV</t>
  </si>
  <si>
    <t>Tempo atividades (d)</t>
  </si>
  <si>
    <t>Transporte (125km e 43h)</t>
  </si>
  <si>
    <t>NA</t>
  </si>
  <si>
    <t>5un ou 1un óleo</t>
  </si>
  <si>
    <t>Riser e UEP (USD MM)</t>
  </si>
  <si>
    <t>Alienação P-33 (USD MM)</t>
  </si>
  <si>
    <t>Riser (KM)</t>
  </si>
  <si>
    <t>TOTAL:</t>
  </si>
  <si>
    <t>OPEX P-33 (USD 3MM/mês)</t>
  </si>
  <si>
    <t>TMA</t>
  </si>
  <si>
    <t>Peso UEP (ton)</t>
  </si>
  <si>
    <t>Cotação USD</t>
  </si>
  <si>
    <t>Estimativa UEP (USD)</t>
  </si>
  <si>
    <t>Retorno diário (USD)</t>
  </si>
  <si>
    <t>Custo CO2  (USD/ton)</t>
  </si>
  <si>
    <t>Ferro (R$/ton)</t>
  </si>
  <si>
    <t>Otimização Riser e UEP (%):</t>
  </si>
  <si>
    <t>Otimização TOTAL (%):</t>
  </si>
  <si>
    <t>Tempo UEP locação (d)</t>
  </si>
  <si>
    <t>1 e 2</t>
  </si>
  <si>
    <t>Riser (USDMM):</t>
  </si>
  <si>
    <t>Riser e UEP (USDMM):</t>
  </si>
  <si>
    <t>TOTAL (USDMM):</t>
  </si>
  <si>
    <t>Otimização Riser (%):</t>
  </si>
  <si>
    <t>Otimização Riser em relação ao RSV (%):</t>
  </si>
  <si>
    <t>Otimização Riser e UEP em relação ao RSV (%):</t>
  </si>
  <si>
    <t>Otimização Emissão CO2 em relação ao RSV (%):</t>
  </si>
  <si>
    <t>Otimização TOTAL em relação ao RSV (%):</t>
  </si>
  <si>
    <t>Custo 
(USD MM/d)</t>
  </si>
  <si>
    <t>Custo 
(USD MM)</t>
  </si>
  <si>
    <r>
      <t>Custo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 (USD MM)</t>
    </r>
  </si>
  <si>
    <r>
      <t>Emissão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(mil Ton)</t>
    </r>
  </si>
  <si>
    <t>Emissão CO2 (mil Ton):</t>
  </si>
  <si>
    <t>C</t>
  </si>
  <si>
    <t>Alt. A 1</t>
  </si>
  <si>
    <t>Alt. C 3</t>
  </si>
  <si>
    <t>Alt. 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</si>
</sst>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16]d\-mmm\-yy;@"/>
    <numFmt numFmtId="165" formatCode="0.000"/>
    <numFmt numFmtId="166" formatCode="_(* #,##0.00_);_(* \(#,##0.00\);_(* &quot;-&quot;??_);_(@_)"/>
    <numFmt numFmtId="167" formatCode="0.0%"/>
    <numFmt numFmtId="168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0" fontId="7" fillId="0" borderId="0"/>
    <xf numFmtId="166" fontId="7" fillId="0" borderId="0" applyFont="0" applyFill="0" applyBorder="0" applyAlignment="0" applyProtection="0"/>
  </cellStyleXfs>
  <cellXfs count="191">
    <xf numFmtId="0" fontId="0" fillId="0" borderId="0" xfId="0"/>
    <xf numFmtId="0" fontId="2" fillId="0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3" fontId="0" fillId="0" borderId="0" xfId="0" applyNumberFormat="1" applyFont="1" applyFill="1" applyBorder="1" applyAlignment="1">
      <alignment horizontal="center" vertical="top"/>
    </xf>
    <xf numFmtId="0" fontId="0" fillId="6" borderId="19" xfId="0" applyFont="1" applyFill="1" applyBorder="1" applyAlignment="1">
      <alignment horizontal="center" vertical="top"/>
    </xf>
    <xf numFmtId="0" fontId="0" fillId="6" borderId="20" xfId="0" applyFont="1" applyFill="1" applyBorder="1" applyAlignment="1">
      <alignment horizontal="center" vertical="top"/>
    </xf>
    <xf numFmtId="0" fontId="0" fillId="6" borderId="21" xfId="0" applyFont="1" applyFill="1" applyBorder="1" applyAlignment="1">
      <alignment horizontal="center" vertical="top"/>
    </xf>
    <xf numFmtId="0" fontId="0" fillId="7" borderId="0" xfId="0" applyFont="1" applyFill="1" applyBorder="1" applyAlignment="1">
      <alignment horizontal="center" vertical="top"/>
    </xf>
    <xf numFmtId="165" fontId="6" fillId="6" borderId="20" xfId="5" applyNumberFormat="1" applyFont="1" applyFill="1" applyBorder="1" applyAlignment="1">
      <alignment horizontal="center" vertical="center"/>
    </xf>
    <xf numFmtId="0" fontId="0" fillId="0" borderId="0" xfId="5" applyFont="1" applyAlignment="1">
      <alignment vertical="top"/>
    </xf>
    <xf numFmtId="0" fontId="0" fillId="0" borderId="2" xfId="5" applyFont="1" applyBorder="1" applyAlignment="1">
      <alignment horizontal="center" vertical="top"/>
    </xf>
    <xf numFmtId="0" fontId="6" fillId="0" borderId="0" xfId="5" applyFont="1" applyAlignment="1">
      <alignment vertical="top"/>
    </xf>
    <xf numFmtId="0" fontId="0" fillId="0" borderId="0" xfId="0" applyFont="1" applyAlignment="1">
      <alignment horizontal="right" vertical="top" indent="1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2" fontId="3" fillId="7" borderId="0" xfId="0" applyNumberFormat="1" applyFont="1" applyFill="1" applyBorder="1" applyAlignment="1">
      <alignment horizontal="center" vertical="top"/>
    </xf>
    <xf numFmtId="2" fontId="0" fillId="0" borderId="0" xfId="0" applyNumberFormat="1" applyFont="1" applyBorder="1" applyAlignment="1">
      <alignment horizontal="center" vertical="top"/>
    </xf>
    <xf numFmtId="0" fontId="8" fillId="6" borderId="19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top" wrapText="1"/>
    </xf>
    <xf numFmtId="3" fontId="3" fillId="0" borderId="28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8" fillId="0" borderId="29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3" fontId="3" fillId="0" borderId="30" xfId="0" applyNumberFormat="1" applyFont="1" applyFill="1" applyBorder="1" applyAlignment="1">
      <alignment horizontal="center" vertical="top"/>
    </xf>
    <xf numFmtId="2" fontId="3" fillId="7" borderId="1" xfId="0" applyNumberFormat="1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0" fillId="0" borderId="0" xfId="0" applyFont="1" applyAlignment="1">
      <alignment horizontal="right" vertical="top"/>
    </xf>
    <xf numFmtId="167" fontId="0" fillId="0" borderId="2" xfId="1" applyNumberFormat="1" applyFont="1" applyFill="1" applyBorder="1" applyAlignment="1">
      <alignment horizontal="center" vertical="top"/>
    </xf>
    <xf numFmtId="3" fontId="0" fillId="7" borderId="2" xfId="0" applyNumberFormat="1" applyFont="1" applyFill="1" applyBorder="1" applyAlignment="1">
      <alignment horizontal="center" vertical="top"/>
    </xf>
    <xf numFmtId="3" fontId="0" fillId="3" borderId="2" xfId="0" applyNumberFormat="1" applyFont="1" applyFill="1" applyBorder="1" applyAlignment="1">
      <alignment horizontal="center" vertical="top"/>
    </xf>
    <xf numFmtId="3" fontId="0" fillId="3" borderId="6" xfId="0" applyNumberFormat="1" applyFont="1" applyFill="1" applyBorder="1" applyAlignment="1">
      <alignment horizontal="center" vertical="top"/>
    </xf>
    <xf numFmtId="3" fontId="0" fillId="3" borderId="11" xfId="0" applyNumberFormat="1" applyFont="1" applyFill="1" applyBorder="1" applyAlignment="1">
      <alignment horizontal="center" vertical="top"/>
    </xf>
    <xf numFmtId="0" fontId="6" fillId="8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3" fillId="2" borderId="2" xfId="1" applyNumberFormat="1" applyFont="1" applyFill="1" applyBorder="1" applyAlignment="1">
      <alignment horizontal="center" vertical="center"/>
    </xf>
    <xf numFmtId="1" fontId="3" fillId="2" borderId="5" xfId="2" applyNumberFormat="1" applyFont="1" applyFill="1" applyBorder="1" applyAlignment="1">
      <alignment horizontal="center" vertical="center"/>
    </xf>
    <xf numFmtId="0" fontId="3" fillId="0" borderId="7" xfId="0" quotePrefix="1" applyFont="1" applyFill="1" applyBorder="1" applyAlignment="1">
      <alignment vertical="top"/>
    </xf>
    <xf numFmtId="0" fontId="0" fillId="0" borderId="0" xfId="0" quotePrefix="1" applyFont="1" applyFill="1" applyBorder="1" applyAlignment="1">
      <alignment horizontal="center" vertical="top"/>
    </xf>
    <xf numFmtId="0" fontId="3" fillId="0" borderId="0" xfId="0" quotePrefix="1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horizontal="center" vertical="top"/>
    </xf>
    <xf numFmtId="0" fontId="3" fillId="0" borderId="23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quotePrefix="1" applyFont="1" applyFill="1" applyBorder="1" applyAlignment="1">
      <alignment horizontal="center" vertical="top"/>
    </xf>
    <xf numFmtId="2" fontId="3" fillId="0" borderId="1" xfId="0" applyNumberFormat="1" applyFont="1" applyFill="1" applyBorder="1" applyAlignment="1">
      <alignment horizontal="center" vertical="top"/>
    </xf>
    <xf numFmtId="0" fontId="3" fillId="0" borderId="7" xfId="0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0" fontId="0" fillId="0" borderId="13" xfId="0" applyFont="1" applyFill="1" applyBorder="1" applyAlignment="1">
      <alignment vertical="top"/>
    </xf>
    <xf numFmtId="0" fontId="3" fillId="0" borderId="14" xfId="0" applyFont="1" applyFill="1" applyBorder="1" applyAlignment="1">
      <alignment horizontal="center" vertical="top"/>
    </xf>
    <xf numFmtId="0" fontId="3" fillId="0" borderId="14" xfId="0" quotePrefix="1" applyFont="1" applyFill="1" applyBorder="1" applyAlignment="1">
      <alignment horizontal="center" vertical="top"/>
    </xf>
    <xf numFmtId="0" fontId="0" fillId="0" borderId="14" xfId="0" applyFont="1" applyFill="1" applyBorder="1" applyAlignment="1">
      <alignment horizontal="center" vertical="top"/>
    </xf>
    <xf numFmtId="2" fontId="3" fillId="0" borderId="14" xfId="0" applyNumberFormat="1" applyFont="1" applyFill="1" applyBorder="1" applyAlignment="1">
      <alignment horizontal="center" vertical="top"/>
    </xf>
    <xf numFmtId="0" fontId="8" fillId="7" borderId="7" xfId="0" applyFont="1" applyFill="1" applyBorder="1" applyAlignment="1">
      <alignment vertical="top"/>
    </xf>
    <xf numFmtId="0" fontId="6" fillId="7" borderId="0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 vertical="top"/>
    </xf>
    <xf numFmtId="2" fontId="6" fillId="7" borderId="0" xfId="0" applyNumberFormat="1" applyFont="1" applyFill="1" applyBorder="1" applyAlignment="1">
      <alignment horizontal="center" vertical="top"/>
    </xf>
    <xf numFmtId="3" fontId="6" fillId="7" borderId="0" xfId="0" applyNumberFormat="1" applyFont="1" applyFill="1" applyBorder="1" applyAlignment="1">
      <alignment horizontal="center" vertical="top"/>
    </xf>
    <xf numFmtId="3" fontId="6" fillId="7" borderId="8" xfId="0" applyNumberFormat="1" applyFont="1" applyFill="1" applyBorder="1" applyAlignment="1">
      <alignment horizontal="center" vertical="top"/>
    </xf>
    <xf numFmtId="2" fontId="8" fillId="7" borderId="0" xfId="0" applyNumberFormat="1" applyFont="1" applyFill="1" applyBorder="1" applyAlignment="1">
      <alignment horizontal="center" vertical="top"/>
    </xf>
    <xf numFmtId="0" fontId="8" fillId="7" borderId="25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vertical="center"/>
    </xf>
    <xf numFmtId="2" fontId="6" fillId="7" borderId="31" xfId="0" applyNumberFormat="1" applyFont="1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center" vertical="top"/>
    </xf>
    <xf numFmtId="0" fontId="8" fillId="8" borderId="19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top"/>
    </xf>
    <xf numFmtId="0" fontId="6" fillId="6" borderId="16" xfId="5" applyFont="1" applyFill="1" applyBorder="1" applyAlignment="1">
      <alignment horizontal="left" vertical="center" wrapText="1"/>
    </xf>
    <xf numFmtId="0" fontId="6" fillId="6" borderId="18" xfId="5" applyFont="1" applyFill="1" applyBorder="1" applyAlignment="1">
      <alignment horizontal="center" vertical="center" wrapText="1"/>
    </xf>
    <xf numFmtId="4" fontId="8" fillId="6" borderId="18" xfId="0" applyNumberFormat="1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top"/>
    </xf>
    <xf numFmtId="1" fontId="3" fillId="2" borderId="9" xfId="2" applyNumberFormat="1" applyFont="1" applyFill="1" applyBorder="1" applyAlignment="1">
      <alignment horizontal="center" vertical="center"/>
    </xf>
    <xf numFmtId="0" fontId="0" fillId="0" borderId="10" xfId="5" applyFont="1" applyBorder="1" applyAlignment="1">
      <alignment horizontal="center" vertical="top"/>
    </xf>
    <xf numFmtId="3" fontId="3" fillId="2" borderId="10" xfId="1" applyNumberFormat="1" applyFont="1" applyFill="1" applyBorder="1" applyAlignment="1">
      <alignment horizontal="center" vertical="center"/>
    </xf>
    <xf numFmtId="3" fontId="3" fillId="0" borderId="10" xfId="1" applyNumberFormat="1" applyFont="1" applyFill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4" fontId="8" fillId="6" borderId="22" xfId="0" applyNumberFormat="1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top"/>
    </xf>
    <xf numFmtId="4" fontId="3" fillId="0" borderId="0" xfId="0" applyNumberFormat="1" applyFont="1" applyFill="1" applyBorder="1" applyAlignment="1">
      <alignment horizontal="center" vertical="top"/>
    </xf>
    <xf numFmtId="4" fontId="3" fillId="0" borderId="8" xfId="0" applyNumberFormat="1" applyFont="1" applyFill="1" applyBorder="1" applyAlignment="1">
      <alignment horizontal="center" vertical="top"/>
    </xf>
    <xf numFmtId="4" fontId="0" fillId="0" borderId="8" xfId="0" applyNumberFormat="1" applyFont="1" applyFill="1" applyBorder="1" applyAlignment="1">
      <alignment horizontal="center" vertical="top"/>
    </xf>
    <xf numFmtId="4" fontId="6" fillId="0" borderId="13" xfId="0" applyNumberFormat="1" applyFont="1" applyFill="1" applyBorder="1" applyAlignment="1">
      <alignment vertical="top"/>
    </xf>
    <xf numFmtId="3" fontId="6" fillId="0" borderId="14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4" fontId="8" fillId="0" borderId="2" xfId="0" applyNumberFormat="1" applyFont="1" applyFill="1" applyBorder="1" applyAlignment="1">
      <alignment horizontal="center" vertical="top"/>
    </xf>
    <xf numFmtId="4" fontId="8" fillId="9" borderId="14" xfId="0" applyNumberFormat="1" applyFont="1" applyFill="1" applyBorder="1" applyAlignment="1">
      <alignment horizontal="center" vertical="top"/>
    </xf>
    <xf numFmtId="4" fontId="8" fillId="9" borderId="15" xfId="0" applyNumberFormat="1" applyFont="1" applyFill="1" applyBorder="1" applyAlignment="1">
      <alignment horizontal="center" vertical="top"/>
    </xf>
    <xf numFmtId="4" fontId="8" fillId="9" borderId="2" xfId="0" applyNumberFormat="1" applyFont="1" applyFill="1" applyBorder="1" applyAlignment="1">
      <alignment horizontal="center" vertical="top"/>
    </xf>
    <xf numFmtId="0" fontId="0" fillId="6" borderId="19" xfId="0" applyFont="1" applyFill="1" applyBorder="1" applyAlignment="1">
      <alignment vertical="top"/>
    </xf>
    <xf numFmtId="0" fontId="6" fillId="6" borderId="20" xfId="0" applyFont="1" applyFill="1" applyBorder="1" applyAlignment="1">
      <alignment horizontal="center" vertical="top" wrapText="1"/>
    </xf>
    <xf numFmtId="0" fontId="6" fillId="6" borderId="21" xfId="0" applyFont="1" applyFill="1" applyBorder="1" applyAlignment="1">
      <alignment horizontal="center" vertical="top" wrapText="1"/>
    </xf>
    <xf numFmtId="3" fontId="0" fillId="7" borderId="6" xfId="0" applyNumberFormat="1" applyFont="1" applyFill="1" applyBorder="1" applyAlignment="1">
      <alignment horizontal="center" vertical="top"/>
    </xf>
    <xf numFmtId="0" fontId="8" fillId="7" borderId="27" xfId="0" applyFont="1" applyFill="1" applyBorder="1" applyAlignment="1">
      <alignment horizontal="center" vertical="top" wrapText="1"/>
    </xf>
    <xf numFmtId="0" fontId="3" fillId="7" borderId="28" xfId="0" applyFont="1" applyFill="1" applyBorder="1" applyAlignment="1">
      <alignment horizontal="center" vertical="top" wrapText="1"/>
    </xf>
    <xf numFmtId="2" fontId="8" fillId="7" borderId="31" xfId="0" applyNumberFormat="1" applyFont="1" applyFill="1" applyBorder="1" applyAlignment="1">
      <alignment vertical="center"/>
    </xf>
    <xf numFmtId="3" fontId="0" fillId="7" borderId="5" xfId="0" applyNumberFormat="1" applyFont="1" applyFill="1" applyBorder="1" applyAlignment="1">
      <alignment horizontal="center" vertical="top"/>
    </xf>
    <xf numFmtId="3" fontId="0" fillId="7" borderId="33" xfId="0" applyNumberFormat="1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3" fillId="0" borderId="0" xfId="0" quotePrefix="1" applyFont="1" applyFill="1" applyBorder="1" applyAlignment="1">
      <alignment vertical="top"/>
    </xf>
    <xf numFmtId="0" fontId="0" fillId="0" borderId="7" xfId="0" quotePrefix="1" applyFont="1" applyFill="1" applyBorder="1" applyAlignment="1">
      <alignment vertical="top"/>
    </xf>
    <xf numFmtId="0" fontId="0" fillId="0" borderId="7" xfId="0" applyFont="1" applyFill="1" applyBorder="1" applyAlignment="1">
      <alignment vertical="top"/>
    </xf>
    <xf numFmtId="0" fontId="0" fillId="0" borderId="8" xfId="0" applyFont="1" applyBorder="1" applyAlignment="1">
      <alignment horizontal="center" vertical="top"/>
    </xf>
    <xf numFmtId="0" fontId="8" fillId="7" borderId="38" xfId="0" applyFont="1" applyFill="1" applyBorder="1" applyAlignment="1">
      <alignment vertical="top"/>
    </xf>
    <xf numFmtId="0" fontId="6" fillId="7" borderId="34" xfId="0" applyFont="1" applyFill="1" applyBorder="1" applyAlignment="1">
      <alignment horizontal="center" vertical="top"/>
    </xf>
    <xf numFmtId="0" fontId="8" fillId="7" borderId="34" xfId="0" applyFont="1" applyFill="1" applyBorder="1" applyAlignment="1">
      <alignment horizontal="center" vertical="top"/>
    </xf>
    <xf numFmtId="2" fontId="8" fillId="7" borderId="34" xfId="0" applyNumberFormat="1" applyFont="1" applyFill="1" applyBorder="1" applyAlignment="1">
      <alignment horizontal="center" vertical="top"/>
    </xf>
    <xf numFmtId="3" fontId="6" fillId="7" borderId="34" xfId="0" applyNumberFormat="1" applyFont="1" applyFill="1" applyBorder="1" applyAlignment="1">
      <alignment horizontal="center" vertical="top"/>
    </xf>
    <xf numFmtId="0" fontId="8" fillId="7" borderId="38" xfId="0" applyFont="1" applyFill="1" applyBorder="1" applyAlignment="1">
      <alignment horizontal="center" vertical="top"/>
    </xf>
    <xf numFmtId="3" fontId="0" fillId="0" borderId="0" xfId="0" applyNumberFormat="1" applyFont="1" applyAlignment="1">
      <alignment vertical="top"/>
    </xf>
    <xf numFmtId="0" fontId="0" fillId="0" borderId="0" xfId="5" applyFont="1" applyFill="1" applyBorder="1" applyAlignment="1">
      <alignment horizontal="center" vertical="top"/>
    </xf>
    <xf numFmtId="2" fontId="0" fillId="0" borderId="8" xfId="0" applyNumberFormat="1" applyFont="1" applyBorder="1" applyAlignment="1">
      <alignment horizontal="center" vertical="top"/>
    </xf>
    <xf numFmtId="0" fontId="3" fillId="0" borderId="13" xfId="0" quotePrefix="1" applyFont="1" applyFill="1" applyBorder="1" applyAlignment="1">
      <alignment vertical="top"/>
    </xf>
    <xf numFmtId="0" fontId="0" fillId="0" borderId="14" xfId="0" applyFont="1" applyBorder="1" applyAlignment="1">
      <alignment horizontal="center" vertical="top"/>
    </xf>
    <xf numFmtId="2" fontId="0" fillId="0" borderId="15" xfId="0" applyNumberFormat="1" applyFont="1" applyBorder="1" applyAlignment="1">
      <alignment horizontal="center" vertical="top"/>
    </xf>
    <xf numFmtId="0" fontId="6" fillId="7" borderId="25" xfId="0" applyFont="1" applyFill="1" applyBorder="1" applyAlignment="1">
      <alignment vertical="top"/>
    </xf>
    <xf numFmtId="0" fontId="6" fillId="7" borderId="31" xfId="0" applyFont="1" applyFill="1" applyBorder="1" applyAlignment="1">
      <alignment horizontal="center" vertical="top"/>
    </xf>
    <xf numFmtId="0" fontId="6" fillId="7" borderId="26" xfId="0" applyFont="1" applyFill="1" applyBorder="1" applyAlignment="1">
      <alignment horizontal="center" vertical="top"/>
    </xf>
    <xf numFmtId="0" fontId="0" fillId="0" borderId="7" xfId="0" applyFont="1" applyBorder="1" applyAlignment="1">
      <alignment vertical="top"/>
    </xf>
    <xf numFmtId="0" fontId="0" fillId="0" borderId="15" xfId="0" applyFont="1" applyBorder="1" applyAlignment="1">
      <alignment horizontal="center" vertical="top"/>
    </xf>
    <xf numFmtId="0" fontId="3" fillId="0" borderId="13" xfId="0" applyFont="1" applyFill="1" applyBorder="1" applyAlignment="1">
      <alignment vertical="top"/>
    </xf>
    <xf numFmtId="0" fontId="6" fillId="0" borderId="7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3" fontId="0" fillId="0" borderId="14" xfId="0" applyNumberFormat="1" applyFont="1" applyFill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top"/>
    </xf>
    <xf numFmtId="3" fontId="6" fillId="7" borderId="31" xfId="0" applyNumberFormat="1" applyFont="1" applyFill="1" applyBorder="1" applyAlignment="1">
      <alignment vertical="center"/>
    </xf>
    <xf numFmtId="3" fontId="8" fillId="9" borderId="14" xfId="0" applyNumberFormat="1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/>
    </xf>
    <xf numFmtId="4" fontId="6" fillId="0" borderId="13" xfId="0" applyNumberFormat="1" applyFont="1" applyFill="1" applyBorder="1" applyAlignment="1">
      <alignment horizontal="right" vertical="top"/>
    </xf>
    <xf numFmtId="9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3" fontId="0" fillId="4" borderId="6" xfId="0" applyNumberFormat="1" applyFont="1" applyFill="1" applyBorder="1" applyAlignment="1">
      <alignment horizontal="center" vertical="top"/>
    </xf>
    <xf numFmtId="4" fontId="0" fillId="0" borderId="0" xfId="0" applyNumberFormat="1" applyFont="1" applyAlignment="1">
      <alignment horizontal="center" vertical="top"/>
    </xf>
    <xf numFmtId="4" fontId="0" fillId="0" borderId="0" xfId="0" applyNumberFormat="1" applyFont="1" applyAlignment="1">
      <alignment vertical="top"/>
    </xf>
    <xf numFmtId="4" fontId="3" fillId="0" borderId="2" xfId="0" applyNumberFormat="1" applyFont="1" applyFill="1" applyBorder="1" applyAlignment="1">
      <alignment horizontal="center" vertical="top"/>
    </xf>
    <xf numFmtId="167" fontId="6" fillId="0" borderId="2" xfId="1" applyNumberFormat="1" applyFont="1" applyFill="1" applyBorder="1" applyAlignment="1">
      <alignment horizontal="center" vertical="top"/>
    </xf>
    <xf numFmtId="2" fontId="8" fillId="9" borderId="14" xfId="0" applyNumberFormat="1" applyFont="1" applyFill="1" applyBorder="1" applyAlignment="1">
      <alignment horizontal="center" vertical="top"/>
    </xf>
    <xf numFmtId="168" fontId="0" fillId="0" borderId="8" xfId="0" applyNumberFormat="1" applyFont="1" applyFill="1" applyBorder="1" applyAlignment="1">
      <alignment horizontal="center" vertical="top"/>
    </xf>
    <xf numFmtId="168" fontId="0" fillId="0" borderId="24" xfId="0" applyNumberFormat="1" applyFont="1" applyFill="1" applyBorder="1" applyAlignment="1">
      <alignment horizontal="center" vertical="top"/>
    </xf>
    <xf numFmtId="168" fontId="0" fillId="0" borderId="15" xfId="0" applyNumberFormat="1" applyFont="1" applyFill="1" applyBorder="1" applyAlignment="1">
      <alignment horizontal="center" vertical="top"/>
    </xf>
    <xf numFmtId="4" fontId="0" fillId="0" borderId="24" xfId="0" applyNumberFormat="1" applyFont="1" applyFill="1" applyBorder="1" applyAlignment="1">
      <alignment horizontal="center" vertical="top"/>
    </xf>
    <xf numFmtId="4" fontId="6" fillId="7" borderId="8" xfId="0" applyNumberFormat="1" applyFont="1" applyFill="1" applyBorder="1" applyAlignment="1">
      <alignment horizontal="center" vertical="top"/>
    </xf>
    <xf numFmtId="4" fontId="6" fillId="7" borderId="26" xfId="0" applyNumberFormat="1" applyFont="1" applyFill="1" applyBorder="1" applyAlignment="1">
      <alignment horizontal="center" vertical="center"/>
    </xf>
    <xf numFmtId="4" fontId="0" fillId="0" borderId="15" xfId="0" applyNumberFormat="1" applyFont="1" applyFill="1" applyBorder="1" applyAlignment="1">
      <alignment horizontal="center" vertical="top"/>
    </xf>
    <xf numFmtId="3" fontId="0" fillId="7" borderId="32" xfId="0" applyNumberFormat="1" applyFont="1" applyFill="1" applyBorder="1" applyAlignment="1">
      <alignment horizontal="center" vertical="top" wrapText="1"/>
    </xf>
    <xf numFmtId="3" fontId="0" fillId="7" borderId="5" xfId="0" applyNumberFormat="1" applyFont="1" applyFill="1" applyBorder="1" applyAlignment="1">
      <alignment horizontal="center" vertical="top" wrapText="1"/>
    </xf>
    <xf numFmtId="3" fontId="0" fillId="3" borderId="6" xfId="0" applyNumberFormat="1" applyFont="1" applyFill="1" applyBorder="1" applyAlignment="1">
      <alignment horizontal="center" vertical="top" wrapText="1"/>
    </xf>
    <xf numFmtId="4" fontId="6" fillId="7" borderId="2" xfId="0" applyNumberFormat="1" applyFont="1" applyFill="1" applyBorder="1" applyAlignment="1">
      <alignment horizontal="center" vertical="top"/>
    </xf>
    <xf numFmtId="9" fontId="0" fillId="7" borderId="2" xfId="1" applyNumberFormat="1" applyFont="1" applyFill="1" applyBorder="1" applyAlignment="1">
      <alignment horizontal="center" vertical="top"/>
    </xf>
    <xf numFmtId="0" fontId="0" fillId="0" borderId="12" xfId="0" applyFont="1" applyBorder="1" applyAlignment="1">
      <alignment horizontal="right" vertical="top" indent="1"/>
    </xf>
    <xf numFmtId="0" fontId="0" fillId="0" borderId="37" xfId="0" applyFont="1" applyBorder="1" applyAlignment="1">
      <alignment horizontal="right" vertical="top" indent="1"/>
    </xf>
    <xf numFmtId="0" fontId="0" fillId="0" borderId="22" xfId="0" applyFont="1" applyBorder="1" applyAlignment="1">
      <alignment horizontal="right" vertical="top" indent="1"/>
    </xf>
    <xf numFmtId="0" fontId="6" fillId="6" borderId="2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vertical="top"/>
    </xf>
    <xf numFmtId="168" fontId="6" fillId="7" borderId="36" xfId="0" applyNumberFormat="1" applyFont="1" applyFill="1" applyBorder="1" applyAlignment="1">
      <alignment horizontal="center" vertical="top"/>
    </xf>
    <xf numFmtId="4" fontId="0" fillId="0" borderId="0" xfId="0" applyNumberFormat="1" applyFont="1" applyBorder="1" applyAlignment="1">
      <alignment horizontal="center" vertical="top"/>
    </xf>
    <xf numFmtId="10" fontId="0" fillId="0" borderId="2" xfId="1" applyNumberFormat="1" applyFont="1" applyFill="1" applyBorder="1" applyAlignment="1">
      <alignment horizontal="center" vertical="top"/>
    </xf>
    <xf numFmtId="10" fontId="6" fillId="0" borderId="2" xfId="1" applyNumberFormat="1" applyFont="1" applyFill="1" applyBorder="1" applyAlignment="1">
      <alignment horizontal="center" vertical="top"/>
    </xf>
    <xf numFmtId="10" fontId="0" fillId="0" borderId="12" xfId="1" applyNumberFormat="1" applyFont="1" applyFill="1" applyBorder="1" applyAlignment="1">
      <alignment horizontal="center" vertical="top"/>
    </xf>
    <xf numFmtId="10" fontId="6" fillId="0" borderId="12" xfId="1" applyNumberFormat="1" applyFont="1" applyFill="1" applyBorder="1" applyAlignment="1">
      <alignment horizontal="center" vertical="top"/>
    </xf>
    <xf numFmtId="0" fontId="0" fillId="0" borderId="12" xfId="0" applyFont="1" applyBorder="1" applyAlignment="1">
      <alignment horizontal="right" vertical="top"/>
    </xf>
    <xf numFmtId="0" fontId="0" fillId="0" borderId="37" xfId="0" applyFont="1" applyBorder="1" applyAlignment="1">
      <alignment horizontal="right" vertical="top"/>
    </xf>
    <xf numFmtId="0" fontId="0" fillId="0" borderId="22" xfId="0" applyFont="1" applyBorder="1" applyAlignment="1">
      <alignment horizontal="right" vertical="top"/>
    </xf>
    <xf numFmtId="10" fontId="0" fillId="0" borderId="0" xfId="0" applyNumberFormat="1" applyFont="1" applyAlignment="1">
      <alignment horizontal="center" vertical="top"/>
    </xf>
    <xf numFmtId="10" fontId="0" fillId="0" borderId="0" xfId="0" applyNumberFormat="1" applyFont="1" applyAlignment="1">
      <alignment vertical="top"/>
    </xf>
    <xf numFmtId="10" fontId="0" fillId="10" borderId="2" xfId="1" applyNumberFormat="1" applyFont="1" applyFill="1" applyBorder="1" applyAlignment="1">
      <alignment horizontal="center" vertical="top"/>
    </xf>
    <xf numFmtId="10" fontId="0" fillId="10" borderId="12" xfId="1" applyNumberFormat="1" applyFont="1" applyFill="1" applyBorder="1" applyAlignment="1">
      <alignment horizontal="center" vertical="top"/>
    </xf>
    <xf numFmtId="0" fontId="0" fillId="0" borderId="0" xfId="0" applyFont="1" applyBorder="1" applyAlignment="1">
      <alignment horizontal="right" vertical="top"/>
    </xf>
    <xf numFmtId="0" fontId="0" fillId="0" borderId="39" xfId="0" applyFont="1" applyBorder="1" applyAlignment="1">
      <alignment horizontal="right" vertical="top"/>
    </xf>
    <xf numFmtId="0" fontId="6" fillId="6" borderId="3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right" vertical="top"/>
    </xf>
    <xf numFmtId="0" fontId="0" fillId="0" borderId="35" xfId="0" applyFont="1" applyBorder="1" applyAlignment="1">
      <alignment horizontal="right" vertical="top"/>
    </xf>
  </cellXfs>
  <cellStyles count="7">
    <cellStyle name="Normal" xfId="0" builtinId="0"/>
    <cellStyle name="Normal 2" xfId="2" xr:uid="{DFEC5E82-423B-4EB2-B528-097CF2361874}"/>
    <cellStyle name="Normal 3" xfId="5" xr:uid="{C5E2B9A2-E3B4-4887-B6F4-6999BF2EA7EB}"/>
    <cellStyle name="Normal 3 4 2" xfId="3" xr:uid="{FB5ACB4F-3B5A-4741-86E5-6FA69BA7E095}"/>
    <cellStyle name="Normal 3 4 4" xfId="4" xr:uid="{FB342859-6A6A-47F7-9449-FF89FB6F5C65}"/>
    <cellStyle name="Porcentagem" xfId="1" builtinId="5"/>
    <cellStyle name="Vírgula 2" xfId="6" xr:uid="{AB109572-2A1D-4043-B3A2-4560F491DB53}"/>
  </cellStyles>
  <dxfs count="8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122144</xdr:rowOff>
    </xdr:from>
    <xdr:to>
      <xdr:col>7</xdr:col>
      <xdr:colOff>13867</xdr:colOff>
      <xdr:row>56</xdr:row>
      <xdr:rowOff>181629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35B749-AB94-499A-9B8E-0B881F7F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13619"/>
          <a:ext cx="6805192" cy="3297985"/>
        </a:xfrm>
        <a:prstGeom prst="rect">
          <a:avLst/>
        </a:prstGeom>
        <a:ln w="25400">
          <a:solidFill>
            <a:srgbClr val="0070C0"/>
          </a:solidFill>
        </a:ln>
      </xdr:spPr>
    </xdr:pic>
    <xdr:clientData/>
  </xdr:twoCellAnchor>
  <xdr:twoCellAnchor editAs="oneCell">
    <xdr:from>
      <xdr:col>0</xdr:col>
      <xdr:colOff>311026</xdr:colOff>
      <xdr:row>42</xdr:row>
      <xdr:rowOff>173587</xdr:rowOff>
    </xdr:from>
    <xdr:to>
      <xdr:col>7</xdr:col>
      <xdr:colOff>342860</xdr:colOff>
      <xdr:row>66</xdr:row>
      <xdr:rowOff>5825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45B2830-B8F6-4A27-90DF-121143B99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026" y="8736562"/>
          <a:ext cx="6823159" cy="4404238"/>
        </a:xfrm>
        <a:prstGeom prst="rect">
          <a:avLst/>
        </a:prstGeom>
        <a:ln w="25400">
          <a:solidFill>
            <a:srgbClr val="0070C0"/>
          </a:solidFill>
        </a:ln>
      </xdr:spPr>
    </xdr:pic>
    <xdr:clientData/>
  </xdr:twoCellAnchor>
  <xdr:twoCellAnchor editAs="oneCell">
    <xdr:from>
      <xdr:col>0</xdr:col>
      <xdr:colOff>0</xdr:colOff>
      <xdr:row>47</xdr:row>
      <xdr:rowOff>166868</xdr:rowOff>
    </xdr:from>
    <xdr:to>
      <xdr:col>8</xdr:col>
      <xdr:colOff>152546</xdr:colOff>
      <xdr:row>68</xdr:row>
      <xdr:rowOff>136826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9F479FB-E51D-4CBB-9548-E361146CE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680662"/>
          <a:ext cx="7667211" cy="3970458"/>
        </a:xfrm>
        <a:prstGeom prst="rect">
          <a:avLst/>
        </a:prstGeom>
        <a:ln w="25400">
          <a:solidFill>
            <a:schemeClr val="accent6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23C6-481F-4F9E-867D-856ADF9D3B97}">
  <dimension ref="A1:V82"/>
  <sheetViews>
    <sheetView showGridLines="0" tabSelected="1" zoomScaleNormal="100" workbookViewId="0">
      <selection activeCell="G12" sqref="G12"/>
    </sheetView>
  </sheetViews>
  <sheetFormatPr defaultRowHeight="15" x14ac:dyDescent="0.25"/>
  <cols>
    <col min="1" max="1" width="9.140625" style="3" customWidth="1"/>
    <col min="2" max="2" width="35.5703125" style="2" customWidth="1"/>
    <col min="3" max="3" width="9.5703125" style="3" customWidth="1"/>
    <col min="4" max="4" width="14.7109375" style="3" customWidth="1"/>
    <col min="5" max="5" width="10.85546875" style="3" customWidth="1"/>
    <col min="6" max="8" width="11" style="3" customWidth="1"/>
    <col min="9" max="9" width="12.7109375" style="3" customWidth="1"/>
    <col min="10" max="10" width="13.140625" style="3" customWidth="1"/>
    <col min="11" max="11" width="2.140625" customWidth="1"/>
    <col min="12" max="12" width="7.42578125" style="2" customWidth="1"/>
    <col min="13" max="13" width="10.28515625" style="2" bestFit="1" customWidth="1"/>
    <col min="14" max="14" width="11.85546875" style="2" bestFit="1" customWidth="1"/>
    <col min="15" max="15" width="10.85546875" style="2" bestFit="1" customWidth="1"/>
    <col min="16" max="16" width="13.5703125" style="2" customWidth="1"/>
    <col min="17" max="17" width="10.28515625" style="2" bestFit="1" customWidth="1"/>
    <col min="18" max="18" width="3.85546875" customWidth="1"/>
    <col min="19" max="19" width="32.140625" style="2" customWidth="1"/>
    <col min="20" max="20" width="10.140625" style="2" bestFit="1" customWidth="1"/>
    <col min="21" max="21" width="27.7109375" style="2" customWidth="1"/>
    <col min="22" max="22" width="27.42578125" style="2" customWidth="1"/>
    <col min="23" max="16384" width="9.140625" style="2"/>
  </cols>
  <sheetData>
    <row r="1" spans="1:22" ht="15.75" thickBot="1" x14ac:dyDescent="0.3">
      <c r="C1" s="4"/>
      <c r="D1" s="5"/>
      <c r="E1" s="4"/>
      <c r="F1" s="20"/>
      <c r="G1" s="1"/>
      <c r="H1" s="4"/>
      <c r="I1" s="4"/>
      <c r="J1" s="2"/>
      <c r="S1" s="3"/>
    </row>
    <row r="2" spans="1:22" s="6" customFormat="1" ht="33" x14ac:dyDescent="0.25">
      <c r="A2" s="111"/>
      <c r="B2" s="73" t="s">
        <v>12</v>
      </c>
      <c r="C2" s="42" t="s">
        <v>40</v>
      </c>
      <c r="D2" s="74" t="s">
        <v>41</v>
      </c>
      <c r="E2" s="43" t="s">
        <v>9</v>
      </c>
      <c r="F2" s="74" t="s">
        <v>20</v>
      </c>
      <c r="G2" s="74" t="s">
        <v>39</v>
      </c>
      <c r="H2" s="74" t="s">
        <v>42</v>
      </c>
      <c r="I2" s="74" t="s">
        <v>48</v>
      </c>
      <c r="J2" s="89" t="s">
        <v>96</v>
      </c>
      <c r="K2"/>
      <c r="L2" s="101"/>
      <c r="M2" s="102" t="s">
        <v>10</v>
      </c>
      <c r="N2" s="102" t="s">
        <v>98</v>
      </c>
      <c r="O2" s="102" t="s">
        <v>46</v>
      </c>
      <c r="P2" s="102" t="s">
        <v>97</v>
      </c>
      <c r="Q2" s="103" t="s">
        <v>52</v>
      </c>
      <c r="R2"/>
      <c r="T2" s="168" t="s">
        <v>21</v>
      </c>
      <c r="U2" s="168" t="s">
        <v>66</v>
      </c>
      <c r="V2" s="168" t="s">
        <v>7</v>
      </c>
    </row>
    <row r="3" spans="1:22" x14ac:dyDescent="0.25">
      <c r="A3" s="110">
        <v>1</v>
      </c>
      <c r="B3" s="63" t="s">
        <v>31</v>
      </c>
      <c r="C3" s="64"/>
      <c r="D3" s="65"/>
      <c r="E3" s="64"/>
      <c r="F3" s="66"/>
      <c r="G3" s="66"/>
      <c r="H3" s="67"/>
      <c r="I3" s="67"/>
      <c r="J3" s="68"/>
      <c r="L3" s="90" t="s">
        <v>49</v>
      </c>
      <c r="M3" s="91">
        <f>SUMIF($N$11:$N$33,"=1",$M$11:$M$33)/1000</f>
        <v>0</v>
      </c>
      <c r="N3" s="91">
        <f>SUM(I4:I7)/1000</f>
        <v>0</v>
      </c>
      <c r="O3" s="91">
        <f>SUM(J4:J7)</f>
        <v>0</v>
      </c>
      <c r="P3" s="91">
        <f>N3*10/1000</f>
        <v>0</v>
      </c>
      <c r="Q3" s="92">
        <f>O3+P3</f>
        <v>0</v>
      </c>
      <c r="T3" s="38" t="s">
        <v>62</v>
      </c>
      <c r="U3" s="39" t="s">
        <v>61</v>
      </c>
      <c r="V3" s="39" t="s">
        <v>62</v>
      </c>
    </row>
    <row r="4" spans="1:22" x14ac:dyDescent="0.25">
      <c r="A4" s="3">
        <v>1</v>
      </c>
      <c r="B4" s="47" t="s">
        <v>2</v>
      </c>
      <c r="C4" s="48">
        <v>2</v>
      </c>
      <c r="D4" s="49" t="str">
        <f>VLOOKUP(C4,$A$25:$C$26,3,FALSE)</f>
        <v>PLSV</v>
      </c>
      <c r="E4" s="49">
        <v>4</v>
      </c>
      <c r="F4" s="50">
        <f>INDEX($C$29:$D$32,A4,C4)</f>
        <v>0.16666666666666666</v>
      </c>
      <c r="G4" s="50">
        <f>COUNTIF($N$11:$N$33,"=1")*F4</f>
        <v>0</v>
      </c>
      <c r="H4" s="9">
        <f>INDEX($D$25:$H$26,C4,E4)*G4*24</f>
        <v>0</v>
      </c>
      <c r="I4" s="9">
        <f>_xlfn.XLOOKUP(C4,$A$25:$A$26,$I$25:$I$26)*H4/1000</f>
        <v>0</v>
      </c>
      <c r="J4" s="93">
        <f>VLOOKUP(C4,$A$25:$J$26,10)*G4</f>
        <v>0</v>
      </c>
      <c r="L4" s="90" t="s">
        <v>50</v>
      </c>
      <c r="M4" s="91">
        <f>SUMIF($N$11:$N$33,"=3",$M$11:$M$33)/1000</f>
        <v>4.5430000000000001</v>
      </c>
      <c r="N4" s="91">
        <f>SUM(I9:I12)/1000</f>
        <v>5.8034399999999993</v>
      </c>
      <c r="O4" s="91">
        <f>SUM(J9:J12)</f>
        <v>1.0392916666666667</v>
      </c>
      <c r="P4" s="91">
        <f>N4*10/1000</f>
        <v>5.8034399999999993E-2</v>
      </c>
      <c r="Q4" s="92">
        <f t="shared" ref="Q4:Q7" si="0">O4+P4</f>
        <v>1.0973260666666667</v>
      </c>
      <c r="T4" s="38" t="s">
        <v>62</v>
      </c>
      <c r="U4" s="39" t="s">
        <v>61</v>
      </c>
      <c r="V4" s="39" t="s">
        <v>62</v>
      </c>
    </row>
    <row r="5" spans="1:22" x14ac:dyDescent="0.25">
      <c r="A5" s="3">
        <v>2</v>
      </c>
      <c r="B5" s="47" t="s">
        <v>3</v>
      </c>
      <c r="C5" s="48">
        <v>2</v>
      </c>
      <c r="D5" s="49" t="str">
        <f t="shared" ref="D5:D7" si="1">VLOOKUP(C5,$A$25:$C$26,3,FALSE)</f>
        <v>PLSV</v>
      </c>
      <c r="E5" s="49">
        <v>4</v>
      </c>
      <c r="F5" s="50">
        <f>INDEX($C$29:$D$32,A5,C5)</f>
        <v>0.33333333333333331</v>
      </c>
      <c r="G5" s="50">
        <f>COUNTIF($N$11:$N$33,"=1")*F5</f>
        <v>0</v>
      </c>
      <c r="H5" s="9">
        <f>INDEX($D$25:$H$26,C5,E5)*G5*24</f>
        <v>0</v>
      </c>
      <c r="I5" s="9">
        <f t="shared" ref="I5:I7" si="2">_xlfn.XLOOKUP(C5,$A$25:$A$26,$I$25:$I$26)*H5/1000</f>
        <v>0</v>
      </c>
      <c r="J5" s="93">
        <f>VLOOKUP(C5,$A$25:$J$26,10)*G5</f>
        <v>0</v>
      </c>
      <c r="L5" s="90" t="s">
        <v>51</v>
      </c>
      <c r="M5" s="91">
        <f>SUMIF($N$11:$N$33,"=2",$M$11:$M$33)/1000</f>
        <v>43.494999999999997</v>
      </c>
      <c r="N5" s="91">
        <f>SUM(I14:I18)/1000</f>
        <v>57.239599999999996</v>
      </c>
      <c r="O5" s="91">
        <f>SUM(J14:J18)</f>
        <v>10.212291666666667</v>
      </c>
      <c r="P5" s="91">
        <f>N5*10/1000</f>
        <v>0.5723959999999999</v>
      </c>
      <c r="Q5" s="92">
        <f t="shared" si="0"/>
        <v>10.784687666666667</v>
      </c>
      <c r="T5" s="38" t="s">
        <v>62</v>
      </c>
      <c r="U5" s="39" t="s">
        <v>61</v>
      </c>
      <c r="V5" s="39" t="s">
        <v>62</v>
      </c>
    </row>
    <row r="6" spans="1:22" x14ac:dyDescent="0.25">
      <c r="B6" s="47" t="s">
        <v>53</v>
      </c>
      <c r="C6" s="19">
        <v>2</v>
      </c>
      <c r="D6" s="49" t="str">
        <f t="shared" si="1"/>
        <v>PLSV</v>
      </c>
      <c r="E6" s="49">
        <v>4</v>
      </c>
      <c r="F6" s="50">
        <v>1</v>
      </c>
      <c r="G6" s="50">
        <f>COUNTIF($N$11:$N$33,"=1")*F6</f>
        <v>0</v>
      </c>
      <c r="H6" s="9">
        <f>INDEX($D$25:$H$26,C6,E6)*G6*24</f>
        <v>0</v>
      </c>
      <c r="I6" s="9">
        <f t="shared" si="2"/>
        <v>0</v>
      </c>
      <c r="J6" s="93">
        <f>VLOOKUP(C6,$A$25:$J$26,10)*G6</f>
        <v>0</v>
      </c>
      <c r="L6" s="90" t="s">
        <v>37</v>
      </c>
      <c r="M6" s="56"/>
      <c r="N6" s="91">
        <f>I20/1000</f>
        <v>55.04</v>
      </c>
      <c r="O6" s="91">
        <f>J20</f>
        <v>1.875</v>
      </c>
      <c r="P6" s="91">
        <f>N6*10/1000</f>
        <v>0.5504</v>
      </c>
      <c r="Q6" s="93">
        <f t="shared" si="0"/>
        <v>2.4253999999999998</v>
      </c>
      <c r="T6" s="38" t="s">
        <v>62</v>
      </c>
      <c r="U6" s="39" t="s">
        <v>61</v>
      </c>
      <c r="V6" s="39" t="s">
        <v>62</v>
      </c>
    </row>
    <row r="7" spans="1:22" x14ac:dyDescent="0.25">
      <c r="B7" s="51" t="s">
        <v>36</v>
      </c>
      <c r="C7" s="52">
        <v>2</v>
      </c>
      <c r="D7" s="53" t="str">
        <f t="shared" si="1"/>
        <v>PLSV</v>
      </c>
      <c r="E7" s="52">
        <v>4</v>
      </c>
      <c r="F7" s="34"/>
      <c r="G7" s="54">
        <f>IF(M3=0,0,(M3/0.3)/24)</f>
        <v>0</v>
      </c>
      <c r="H7" s="139">
        <f>INDEX($D$25:$H$26,C7,E7)*M3</f>
        <v>0</v>
      </c>
      <c r="I7" s="139">
        <f t="shared" si="2"/>
        <v>0</v>
      </c>
      <c r="J7" s="156">
        <f>VLOOKUP(C7,$A$25:$J$26,10)*G7</f>
        <v>0</v>
      </c>
      <c r="L7" s="90" t="s">
        <v>22</v>
      </c>
      <c r="M7" s="56"/>
      <c r="N7" s="91">
        <f>I21/1000</f>
        <v>9.2159999999999993</v>
      </c>
      <c r="O7" s="91">
        <f>J21</f>
        <v>9</v>
      </c>
      <c r="P7" s="91">
        <f>N7*10/1000</f>
        <v>9.2159999999999992E-2</v>
      </c>
      <c r="Q7" s="93">
        <f t="shared" si="0"/>
        <v>9.0921599999999998</v>
      </c>
      <c r="T7" s="38" t="s">
        <v>63</v>
      </c>
      <c r="U7" s="38" t="s">
        <v>63</v>
      </c>
      <c r="V7" s="38" t="s">
        <v>63</v>
      </c>
    </row>
    <row r="8" spans="1:22" ht="15.75" thickBot="1" x14ac:dyDescent="0.3">
      <c r="A8" s="110">
        <v>3</v>
      </c>
      <c r="B8" s="63" t="s">
        <v>33</v>
      </c>
      <c r="C8" s="64"/>
      <c r="D8" s="65"/>
      <c r="E8" s="64"/>
      <c r="F8" s="69"/>
      <c r="G8" s="69"/>
      <c r="H8" s="67"/>
      <c r="I8" s="67"/>
      <c r="J8" s="157"/>
      <c r="L8" s="94"/>
      <c r="M8" s="95"/>
      <c r="N8" s="98">
        <f>SUM(N3:N7)</f>
        <v>127.29903999999999</v>
      </c>
      <c r="O8" s="98">
        <f>SUM(O3:O7)</f>
        <v>22.126583333333336</v>
      </c>
      <c r="P8" s="98">
        <f>SUM(P3:P7)</f>
        <v>1.2729904000000001</v>
      </c>
      <c r="Q8" s="99">
        <f>SUM(Q3:Q7)</f>
        <v>23.399573733333334</v>
      </c>
      <c r="T8" s="38" t="s">
        <v>62</v>
      </c>
      <c r="U8" s="39" t="s">
        <v>61</v>
      </c>
      <c r="V8" s="39" t="s">
        <v>62</v>
      </c>
    </row>
    <row r="9" spans="1:22" ht="15.75" thickBot="1" x14ac:dyDescent="0.3">
      <c r="A9" s="3">
        <v>1</v>
      </c>
      <c r="B9" s="47" t="s">
        <v>2</v>
      </c>
      <c r="C9" s="48">
        <v>2</v>
      </c>
      <c r="D9" s="49" t="str">
        <f>VLOOKUP(C9,$A$25:$C$26,3,FALSE)</f>
        <v>PLSV</v>
      </c>
      <c r="E9" s="49">
        <v>4</v>
      </c>
      <c r="F9" s="50">
        <f>INDEX($C$29:$D$32,A9,C9)</f>
        <v>0.16666666666666666</v>
      </c>
      <c r="G9" s="50">
        <f>COUNTIF($N$11:$N$33,"=3")*F9</f>
        <v>0.33333333333333331</v>
      </c>
      <c r="H9" s="9">
        <f>INDEX($D$25:$H$26,C9,E9)*G9*24</f>
        <v>199.99999999999997</v>
      </c>
      <c r="I9" s="9">
        <f>_xlfn.XLOOKUP(C9,$A$25:$A$26,$I$25:$I$26)*H9/1000</f>
        <v>639.99999999999989</v>
      </c>
      <c r="J9" s="93">
        <f>VLOOKUP(C9,$A$25:$J$26,10)*G9</f>
        <v>9.9999999999999992E-2</v>
      </c>
      <c r="T9" s="38" t="s">
        <v>61</v>
      </c>
      <c r="U9" s="39" t="s">
        <v>61</v>
      </c>
      <c r="V9" s="39" t="s">
        <v>62</v>
      </c>
    </row>
    <row r="10" spans="1:22" x14ac:dyDescent="0.25">
      <c r="A10" s="3">
        <v>3</v>
      </c>
      <c r="B10" s="47" t="s">
        <v>38</v>
      </c>
      <c r="C10" s="48">
        <v>2</v>
      </c>
      <c r="D10" s="49" t="str">
        <f t="shared" ref="D10:D12" si="3">VLOOKUP(C10,$A$25:$C$26,3,FALSE)</f>
        <v>PLSV</v>
      </c>
      <c r="E10" s="49">
        <v>4</v>
      </c>
      <c r="F10" s="50">
        <f>INDEX($C$29:$D$32,A10,C10)</f>
        <v>0.25</v>
      </c>
      <c r="G10" s="50">
        <f t="shared" ref="G10:G11" si="4">COUNTIF($N$11:$N$33,"=3")*F10</f>
        <v>0.5</v>
      </c>
      <c r="H10" s="9">
        <f>INDEX($D$25:$H$26,C10,E10)*G10*24</f>
        <v>300</v>
      </c>
      <c r="I10" s="9">
        <f>_xlfn.XLOOKUP(C10,$A$25:$A$26,$I$25:$I$26)*H10/1000</f>
        <v>960</v>
      </c>
      <c r="J10" s="93">
        <f>VLOOKUP(C10,$A$25:$J$26,10)*G10</f>
        <v>0.15</v>
      </c>
      <c r="L10" s="24" t="s">
        <v>44</v>
      </c>
      <c r="M10" s="25" t="s">
        <v>45</v>
      </c>
      <c r="N10" s="26" t="s">
        <v>1</v>
      </c>
      <c r="P10" s="168" t="s">
        <v>21</v>
      </c>
      <c r="T10" s="38" t="s">
        <v>61</v>
      </c>
      <c r="U10" s="39" t="s">
        <v>61</v>
      </c>
      <c r="V10" s="39" t="s">
        <v>62</v>
      </c>
    </row>
    <row r="11" spans="1:22" x14ac:dyDescent="0.25">
      <c r="B11" s="47" t="s">
        <v>53</v>
      </c>
      <c r="C11" s="19">
        <v>2</v>
      </c>
      <c r="D11" s="49" t="str">
        <f t="shared" si="3"/>
        <v>PLSV</v>
      </c>
      <c r="E11" s="49">
        <v>4</v>
      </c>
      <c r="F11" s="50">
        <v>1</v>
      </c>
      <c r="G11" s="50">
        <f t="shared" si="4"/>
        <v>2</v>
      </c>
      <c r="H11" s="9">
        <f>INDEX($D$25:$H$26,C11,E11)*G11*24</f>
        <v>1200</v>
      </c>
      <c r="I11" s="9">
        <f>_xlfn.XLOOKUP(C11,$A$25:$A$26,$I$25:$I$26)*H11/1000</f>
        <v>3840</v>
      </c>
      <c r="J11" s="93">
        <f>VLOOKUP(C11,$A$25:$J$26,10)*G11</f>
        <v>0.6</v>
      </c>
      <c r="L11" s="27">
        <v>1</v>
      </c>
      <c r="M11" s="28">
        <v>2560</v>
      </c>
      <c r="N11" s="162">
        <v>2</v>
      </c>
      <c r="P11" s="160">
        <v>2</v>
      </c>
      <c r="T11" s="38" t="s">
        <v>62</v>
      </c>
      <c r="U11" s="39" t="s">
        <v>61</v>
      </c>
      <c r="V11" s="39" t="s">
        <v>62</v>
      </c>
    </row>
    <row r="12" spans="1:22" x14ac:dyDescent="0.25">
      <c r="B12" s="51" t="s">
        <v>36</v>
      </c>
      <c r="C12" s="52">
        <v>2</v>
      </c>
      <c r="D12" s="53" t="str">
        <f t="shared" si="3"/>
        <v>PLSV</v>
      </c>
      <c r="E12" s="52">
        <v>4</v>
      </c>
      <c r="F12" s="34"/>
      <c r="G12" s="54">
        <f>IF(M4=0,0,(M4/0.3)/24)</f>
        <v>0.63097222222222227</v>
      </c>
      <c r="H12" s="139">
        <f>INDEX($D$25:$H$26,C12,E12)*M4</f>
        <v>113.575</v>
      </c>
      <c r="I12" s="139">
        <f>_xlfn.XLOOKUP(C12,$A$25:$A$26,$I$25:$I$26)*H12/1000</f>
        <v>363.44</v>
      </c>
      <c r="J12" s="156">
        <f>VLOOKUP(C12,$A$25:$J$26,10)*G12</f>
        <v>0.18929166666666666</v>
      </c>
      <c r="L12" s="27">
        <v>2</v>
      </c>
      <c r="M12" s="28">
        <v>1358</v>
      </c>
      <c r="N12" s="162">
        <v>2</v>
      </c>
      <c r="P12" s="161">
        <v>2</v>
      </c>
      <c r="T12" s="38" t="s">
        <v>61</v>
      </c>
      <c r="U12" s="39" t="s">
        <v>61</v>
      </c>
      <c r="V12" s="39" t="s">
        <v>62</v>
      </c>
    </row>
    <row r="13" spans="1:22" x14ac:dyDescent="0.25">
      <c r="A13" s="110">
        <v>2</v>
      </c>
      <c r="B13" s="63" t="s">
        <v>32</v>
      </c>
      <c r="C13" s="64"/>
      <c r="D13" s="65"/>
      <c r="E13" s="64"/>
      <c r="F13" s="69"/>
      <c r="G13" s="69"/>
      <c r="H13" s="67"/>
      <c r="I13" s="67"/>
      <c r="J13" s="157"/>
      <c r="L13" s="27">
        <v>3</v>
      </c>
      <c r="M13" s="28">
        <v>2580</v>
      </c>
      <c r="N13" s="162">
        <v>2</v>
      </c>
      <c r="P13" s="161">
        <v>2</v>
      </c>
      <c r="T13" s="38" t="s">
        <v>63</v>
      </c>
      <c r="U13" s="38" t="s">
        <v>63</v>
      </c>
      <c r="V13" s="38" t="s">
        <v>63</v>
      </c>
    </row>
    <row r="14" spans="1:22" x14ac:dyDescent="0.25">
      <c r="A14" s="3">
        <v>1</v>
      </c>
      <c r="B14" s="47" t="s">
        <v>2</v>
      </c>
      <c r="C14" s="48">
        <v>2</v>
      </c>
      <c r="D14" s="49" t="str">
        <f>VLOOKUP(C14,$A$25:$C$26,3,FALSE)</f>
        <v>PLSV</v>
      </c>
      <c r="E14" s="49">
        <v>4</v>
      </c>
      <c r="F14" s="50">
        <f>INDEX($C$29:$D$32,A14,C14)</f>
        <v>0.16666666666666666</v>
      </c>
      <c r="G14" s="50">
        <f>COUNTIF($N$11:$N$33,"=2")*F14</f>
        <v>3.5</v>
      </c>
      <c r="H14" s="9">
        <f>INDEX($D$25:$H$26,C14,E14)*G14*24</f>
        <v>2100</v>
      </c>
      <c r="I14" s="9">
        <f>_xlfn.XLOOKUP(C14,$A$25:$A$26,$I$25:$I$26)*H14/1000</f>
        <v>6720</v>
      </c>
      <c r="J14" s="93">
        <f>VLOOKUP(C14,$A$25:$J$26,10)*G14</f>
        <v>1.05</v>
      </c>
      <c r="L14" s="27">
        <v>4</v>
      </c>
      <c r="M14" s="28">
        <v>987</v>
      </c>
      <c r="N14" s="162">
        <v>2</v>
      </c>
      <c r="P14" s="161">
        <v>2</v>
      </c>
      <c r="T14" s="38" t="s">
        <v>61</v>
      </c>
      <c r="U14" s="39" t="s">
        <v>61</v>
      </c>
      <c r="V14" s="39" t="s">
        <v>62</v>
      </c>
    </row>
    <row r="15" spans="1:22" x14ac:dyDescent="0.25">
      <c r="A15" s="3">
        <v>2</v>
      </c>
      <c r="B15" s="47" t="s">
        <v>3</v>
      </c>
      <c r="C15" s="48">
        <v>2</v>
      </c>
      <c r="D15" s="49" t="str">
        <f t="shared" ref="D15:D17" si="5">VLOOKUP(C15,$A$25:$C$26,3,FALSE)</f>
        <v>PLSV</v>
      </c>
      <c r="E15" s="49">
        <v>4</v>
      </c>
      <c r="F15" s="50">
        <f>INDEX($C$29:$D$32,A15,C15)</f>
        <v>0.33333333333333331</v>
      </c>
      <c r="G15" s="50">
        <f t="shared" ref="G15:G17" si="6">COUNTIF($N$11:$N$33,"=2")*F15</f>
        <v>7</v>
      </c>
      <c r="H15" s="9">
        <f>INDEX($D$25:$H$26,C15,E15)*G15*24</f>
        <v>4200</v>
      </c>
      <c r="I15" s="9">
        <f>_xlfn.XLOOKUP(C15,$A$25:$A$26,$I$25:$I$26)*H15/1000</f>
        <v>13440</v>
      </c>
      <c r="J15" s="93">
        <f>VLOOKUP(C15,$A$25:$J$26,10)*G15</f>
        <v>2.1</v>
      </c>
      <c r="L15" s="105">
        <v>5</v>
      </c>
      <c r="M15" s="106">
        <v>2687</v>
      </c>
      <c r="N15" s="104">
        <v>3</v>
      </c>
      <c r="P15" s="161">
        <v>3</v>
      </c>
      <c r="T15" s="38" t="s">
        <v>61</v>
      </c>
      <c r="U15" s="39" t="s">
        <v>61</v>
      </c>
      <c r="V15" s="39" t="s">
        <v>62</v>
      </c>
    </row>
    <row r="16" spans="1:22" x14ac:dyDescent="0.25">
      <c r="A16" s="3">
        <v>4</v>
      </c>
      <c r="B16" s="47" t="s">
        <v>4</v>
      </c>
      <c r="C16" s="48">
        <v>2</v>
      </c>
      <c r="D16" s="49" t="str">
        <f t="shared" si="5"/>
        <v>PLSV</v>
      </c>
      <c r="E16" s="49">
        <v>4</v>
      </c>
      <c r="F16" s="50">
        <f>INDEX($C$29:$D$32,A16,C16)</f>
        <v>0.33333333333333331</v>
      </c>
      <c r="G16" s="50">
        <f t="shared" si="6"/>
        <v>7</v>
      </c>
      <c r="H16" s="9">
        <f>INDEX($D$25:$H$26,C16,E16)*G16*24</f>
        <v>4200</v>
      </c>
      <c r="I16" s="9">
        <f>_xlfn.XLOOKUP(C16,$A$25:$A$26,$I$25:$I$26)*H16/1000</f>
        <v>13440</v>
      </c>
      <c r="J16" s="93">
        <f>VLOOKUP(C16,$A$25:$J$26,10)*G16</f>
        <v>2.1</v>
      </c>
      <c r="L16" s="27">
        <v>6</v>
      </c>
      <c r="M16" s="28">
        <v>3651</v>
      </c>
      <c r="N16" s="162">
        <v>2</v>
      </c>
      <c r="P16" s="161">
        <v>2</v>
      </c>
      <c r="T16" s="38" t="s">
        <v>62</v>
      </c>
      <c r="U16" s="39" t="s">
        <v>61</v>
      </c>
      <c r="V16" s="39" t="s">
        <v>62</v>
      </c>
    </row>
    <row r="17" spans="1:22" x14ac:dyDescent="0.25">
      <c r="A17" s="112"/>
      <c r="B17" s="47" t="s">
        <v>54</v>
      </c>
      <c r="C17" s="19">
        <v>2</v>
      </c>
      <c r="D17" s="49" t="str">
        <f t="shared" si="5"/>
        <v>PLSV</v>
      </c>
      <c r="E17" s="49">
        <v>4</v>
      </c>
      <c r="F17" s="50">
        <v>0.5</v>
      </c>
      <c r="G17" s="50">
        <f t="shared" si="6"/>
        <v>10.5</v>
      </c>
      <c r="H17" s="9">
        <f>INDEX($D$25:$H$26,C17,E17)*G17*24</f>
        <v>6300</v>
      </c>
      <c r="I17" s="9">
        <f>_xlfn.XLOOKUP(C17,$A$25:$A$26,$I$25:$I$26)*H17/1000</f>
        <v>20160</v>
      </c>
      <c r="J17" s="93">
        <f>VLOOKUP(C17,$A$25:$J$26,10)*G17</f>
        <v>3.15</v>
      </c>
      <c r="L17" s="27">
        <v>7</v>
      </c>
      <c r="M17" s="28">
        <v>1243</v>
      </c>
      <c r="N17" s="40">
        <v>2</v>
      </c>
      <c r="P17" s="108">
        <v>1</v>
      </c>
      <c r="T17" s="38" t="s">
        <v>62</v>
      </c>
      <c r="U17" s="39" t="s">
        <v>61</v>
      </c>
      <c r="V17" s="39" t="s">
        <v>62</v>
      </c>
    </row>
    <row r="18" spans="1:22" ht="15.75" thickBot="1" x14ac:dyDescent="0.3">
      <c r="B18" s="51" t="s">
        <v>36</v>
      </c>
      <c r="C18" s="52">
        <v>2</v>
      </c>
      <c r="D18" s="53" t="str">
        <f>VLOOKUP(C18,$A$25:$C$26,3,FALSE)</f>
        <v>PLSV</v>
      </c>
      <c r="E18" s="53">
        <v>4</v>
      </c>
      <c r="F18" s="34"/>
      <c r="G18" s="54">
        <f>IF(M5=0,0,(M5/0.3)/24)</f>
        <v>6.040972222222222</v>
      </c>
      <c r="H18" s="139">
        <f>INDEX($D$25:$H$26,C18,E18)*M5</f>
        <v>1087.375</v>
      </c>
      <c r="I18" s="139">
        <f>_xlfn.XLOOKUP(C18,$A$25:$A$26,$I$25:$I$26)*H18/1000</f>
        <v>3479.6</v>
      </c>
      <c r="J18" s="156">
        <f>VLOOKUP(C18,$A$25:$J$26,10)*G18</f>
        <v>1.8122916666666664</v>
      </c>
      <c r="L18" s="27">
        <v>8</v>
      </c>
      <c r="M18" s="28">
        <v>4253</v>
      </c>
      <c r="N18" s="40">
        <v>2</v>
      </c>
      <c r="P18" s="108">
        <v>1</v>
      </c>
      <c r="T18" s="38" t="s">
        <v>62</v>
      </c>
      <c r="U18" s="39" t="s">
        <v>61</v>
      </c>
      <c r="V18" s="39" t="s">
        <v>62</v>
      </c>
    </row>
    <row r="19" spans="1:22" x14ac:dyDescent="0.25">
      <c r="B19" s="70" t="s">
        <v>15</v>
      </c>
      <c r="C19" s="71"/>
      <c r="D19" s="71"/>
      <c r="E19" s="71"/>
      <c r="F19" s="107"/>
      <c r="G19" s="72"/>
      <c r="H19" s="140"/>
      <c r="I19" s="140"/>
      <c r="J19" s="158"/>
      <c r="L19" s="27">
        <v>9</v>
      </c>
      <c r="M19" s="28">
        <v>1897</v>
      </c>
      <c r="N19" s="162">
        <v>2</v>
      </c>
      <c r="P19" s="161">
        <v>2</v>
      </c>
      <c r="T19" s="38" t="s">
        <v>62</v>
      </c>
      <c r="U19" s="39" t="s">
        <v>61</v>
      </c>
      <c r="V19" s="39" t="s">
        <v>62</v>
      </c>
    </row>
    <row r="20" spans="1:22" x14ac:dyDescent="0.25">
      <c r="B20" s="55" t="s">
        <v>55</v>
      </c>
      <c r="C20" s="19">
        <v>2</v>
      </c>
      <c r="D20" s="49" t="str">
        <f t="shared" ref="D20:D21" si="7">VLOOKUP(C20,$A$25:$C$26,3,FALSE)</f>
        <v>PLSV</v>
      </c>
      <c r="E20" s="56">
        <v>3</v>
      </c>
      <c r="F20" s="50">
        <f>30/24</f>
        <v>1.25</v>
      </c>
      <c r="G20" s="50">
        <f>(ROUNDUP(COUNT($N$11:$N$33,"&gt;0")/5,0))*F20</f>
        <v>6.25</v>
      </c>
      <c r="H20" s="57">
        <f>INDEX($D$25:$H$26,C20,E20)*(ROUNDUP(COUNT($N$11:$N$33,"&gt;0")/5,0))*86</f>
        <v>17200</v>
      </c>
      <c r="I20" s="57">
        <f>_xlfn.XLOOKUP(C20,$A$25:$A$26,$I$25:$I$26)*H20/1000</f>
        <v>55040</v>
      </c>
      <c r="J20" s="93">
        <f>VLOOKUP(C20,$A$25:$J$26,10)*G20</f>
        <v>1.875</v>
      </c>
      <c r="L20" s="27">
        <v>10</v>
      </c>
      <c r="M20" s="28">
        <v>2635</v>
      </c>
      <c r="N20" s="40">
        <v>2</v>
      </c>
      <c r="P20" s="108">
        <v>1</v>
      </c>
      <c r="T20" s="38" t="s">
        <v>61</v>
      </c>
      <c r="U20" s="39" t="s">
        <v>61</v>
      </c>
      <c r="V20" s="39" t="s">
        <v>62</v>
      </c>
    </row>
    <row r="21" spans="1:22" ht="15.75" thickBot="1" x14ac:dyDescent="0.3">
      <c r="B21" s="58" t="s">
        <v>43</v>
      </c>
      <c r="C21" s="59">
        <v>2</v>
      </c>
      <c r="D21" s="60" t="str">
        <f t="shared" si="7"/>
        <v>PLSV</v>
      </c>
      <c r="E21" s="61">
        <v>2</v>
      </c>
      <c r="F21" s="62">
        <v>6</v>
      </c>
      <c r="G21" s="62">
        <f>(ROUNDUP(COUNT($N$11:$N$33,"&gt;0")/5,0))*F21</f>
        <v>30</v>
      </c>
      <c r="H21" s="137">
        <f>INDEX($D$25:$H$26,C21,E21)*G21*24</f>
        <v>2880</v>
      </c>
      <c r="I21" s="137">
        <f>_xlfn.XLOOKUP(C21,$A$25:$A$26,$I$25:$I$26)*H21/1000</f>
        <v>9216</v>
      </c>
      <c r="J21" s="159">
        <f>VLOOKUP(C21,$A$25:$J$26,10)*G21</f>
        <v>9</v>
      </c>
      <c r="L21" s="105">
        <v>11</v>
      </c>
      <c r="M21" s="106">
        <v>1856</v>
      </c>
      <c r="N21" s="104">
        <v>3</v>
      </c>
      <c r="P21" s="161">
        <v>3</v>
      </c>
      <c r="T21" s="38" t="s">
        <v>61</v>
      </c>
      <c r="U21" s="39" t="s">
        <v>61</v>
      </c>
      <c r="V21" s="39" t="s">
        <v>62</v>
      </c>
    </row>
    <row r="22" spans="1:22" ht="15.75" thickBot="1" x14ac:dyDescent="0.3">
      <c r="L22" s="27">
        <v>12</v>
      </c>
      <c r="M22" s="28">
        <v>4015</v>
      </c>
      <c r="N22" s="40">
        <v>2</v>
      </c>
      <c r="P22" s="108">
        <v>1</v>
      </c>
      <c r="T22" s="38" t="s">
        <v>62</v>
      </c>
      <c r="U22" s="39" t="s">
        <v>61</v>
      </c>
      <c r="V22" s="39" t="s">
        <v>62</v>
      </c>
    </row>
    <row r="23" spans="1:22" ht="15.75" thickBot="1" x14ac:dyDescent="0.3">
      <c r="A23" s="7"/>
      <c r="B23" s="8"/>
      <c r="C23" s="7"/>
      <c r="D23" s="10"/>
      <c r="E23" s="11"/>
      <c r="F23" s="14" t="s">
        <v>35</v>
      </c>
      <c r="G23" s="11"/>
      <c r="H23" s="12"/>
      <c r="I23" s="35"/>
      <c r="J23" s="7"/>
      <c r="L23" s="27">
        <v>13</v>
      </c>
      <c r="M23" s="28">
        <v>1688</v>
      </c>
      <c r="N23" s="40">
        <v>2</v>
      </c>
      <c r="P23" s="108">
        <v>1</v>
      </c>
      <c r="T23" s="38" t="s">
        <v>61</v>
      </c>
      <c r="U23" s="39" t="s">
        <v>61</v>
      </c>
      <c r="V23" s="39" t="s">
        <v>62</v>
      </c>
    </row>
    <row r="24" spans="1:22" ht="26.25" customHeight="1" x14ac:dyDescent="0.25">
      <c r="A24" s="76" t="s">
        <v>40</v>
      </c>
      <c r="B24" s="78" t="s">
        <v>0</v>
      </c>
      <c r="C24" s="79" t="s">
        <v>34</v>
      </c>
      <c r="D24" s="88" t="s">
        <v>25</v>
      </c>
      <c r="E24" s="88" t="s">
        <v>27</v>
      </c>
      <c r="F24" s="88" t="s">
        <v>28</v>
      </c>
      <c r="G24" s="88" t="s">
        <v>29</v>
      </c>
      <c r="H24" s="88" t="s">
        <v>30</v>
      </c>
      <c r="I24" s="80" t="s">
        <v>47</v>
      </c>
      <c r="J24" s="81" t="s">
        <v>95</v>
      </c>
      <c r="L24" s="27">
        <v>14</v>
      </c>
      <c r="M24" s="28">
        <v>3879</v>
      </c>
      <c r="N24" s="162">
        <v>2</v>
      </c>
      <c r="P24" s="161">
        <v>2</v>
      </c>
      <c r="T24" s="38" t="s">
        <v>61</v>
      </c>
      <c r="U24" s="39" t="s">
        <v>61</v>
      </c>
      <c r="V24" s="39" t="s">
        <v>62</v>
      </c>
    </row>
    <row r="25" spans="1:22" x14ac:dyDescent="0.25">
      <c r="A25" s="77">
        <v>1</v>
      </c>
      <c r="B25" s="46" t="s">
        <v>24</v>
      </c>
      <c r="C25" s="16" t="s">
        <v>8</v>
      </c>
      <c r="D25" s="45">
        <v>1</v>
      </c>
      <c r="E25" s="45">
        <v>2</v>
      </c>
      <c r="F25" s="45">
        <f>(26+28)/2</f>
        <v>27</v>
      </c>
      <c r="G25" s="45">
        <f>(18+25)/2</f>
        <v>21.5</v>
      </c>
      <c r="H25" s="45">
        <f>(9+25)/2</f>
        <v>17</v>
      </c>
      <c r="I25" s="75">
        <v>3200</v>
      </c>
      <c r="J25" s="82">
        <v>0.1</v>
      </c>
      <c r="L25" s="27">
        <v>15</v>
      </c>
      <c r="M25" s="28">
        <v>1658</v>
      </c>
      <c r="N25" s="162">
        <v>2</v>
      </c>
      <c r="P25" s="161">
        <v>2</v>
      </c>
      <c r="T25" s="38" t="s">
        <v>61</v>
      </c>
      <c r="U25" s="39" t="s">
        <v>61</v>
      </c>
      <c r="V25" s="39" t="s">
        <v>62</v>
      </c>
    </row>
    <row r="26" spans="1:22" ht="15.75" thickBot="1" x14ac:dyDescent="0.3">
      <c r="A26" s="77">
        <v>2</v>
      </c>
      <c r="B26" s="83" t="s">
        <v>26</v>
      </c>
      <c r="C26" s="84" t="s">
        <v>7</v>
      </c>
      <c r="D26" s="85">
        <v>3</v>
      </c>
      <c r="E26" s="85">
        <v>4</v>
      </c>
      <c r="F26" s="85">
        <v>40</v>
      </c>
      <c r="G26" s="85">
        <v>25</v>
      </c>
      <c r="H26" s="85">
        <v>14</v>
      </c>
      <c r="I26" s="86">
        <v>3200</v>
      </c>
      <c r="J26" s="87">
        <v>0.3</v>
      </c>
      <c r="L26" s="27">
        <v>16</v>
      </c>
      <c r="M26" s="28">
        <v>1589</v>
      </c>
      <c r="N26" s="162">
        <v>2</v>
      </c>
      <c r="P26" s="161">
        <v>2</v>
      </c>
      <c r="Q26" s="9"/>
      <c r="S26" s="165" t="s">
        <v>56</v>
      </c>
      <c r="T26" s="163">
        <v>27.13</v>
      </c>
      <c r="U26" s="100">
        <v>26.5765833333333</v>
      </c>
      <c r="V26" s="100">
        <v>22.13</v>
      </c>
    </row>
    <row r="27" spans="1:22" customFormat="1" ht="15.75" thickBot="1" x14ac:dyDescent="0.3">
      <c r="A27" s="3"/>
      <c r="B27" s="2"/>
      <c r="C27" s="3"/>
      <c r="D27" s="3"/>
      <c r="E27" s="3"/>
      <c r="F27" s="3"/>
      <c r="G27" s="3"/>
      <c r="H27" s="3"/>
      <c r="I27" s="3"/>
      <c r="J27" s="3"/>
      <c r="L27" s="27">
        <v>17</v>
      </c>
      <c r="M27" s="28">
        <v>2781</v>
      </c>
      <c r="N27" s="162">
        <v>2</v>
      </c>
      <c r="O27" s="2"/>
      <c r="P27" s="161">
        <v>2</v>
      </c>
      <c r="Q27" s="2"/>
      <c r="S27" s="166" t="s">
        <v>99</v>
      </c>
      <c r="T27" s="163">
        <v>250.31</v>
      </c>
      <c r="U27" s="97">
        <v>224.54064</v>
      </c>
      <c r="V27" s="97">
        <v>127.29904000000001</v>
      </c>
    </row>
    <row r="28" spans="1:22" customFormat="1" x14ac:dyDescent="0.25">
      <c r="A28" s="3"/>
      <c r="B28" s="129" t="s">
        <v>67</v>
      </c>
      <c r="C28" s="130" t="s">
        <v>8</v>
      </c>
      <c r="D28" s="131" t="s">
        <v>7</v>
      </c>
      <c r="E28" s="3"/>
      <c r="F28" s="3"/>
      <c r="G28" s="3"/>
      <c r="H28" s="3"/>
      <c r="I28" s="3"/>
      <c r="J28" s="3"/>
      <c r="L28" s="27">
        <v>18</v>
      </c>
      <c r="M28" s="28">
        <v>1589</v>
      </c>
      <c r="N28" s="40">
        <v>2</v>
      </c>
      <c r="O28" s="2"/>
      <c r="P28" s="108">
        <v>1</v>
      </c>
      <c r="Q28" s="2"/>
      <c r="S28" s="167" t="s">
        <v>57</v>
      </c>
      <c r="T28" s="163">
        <v>29.63</v>
      </c>
      <c r="U28" s="97">
        <v>28.8219897333333</v>
      </c>
      <c r="V28" s="97">
        <v>23.399573733333298</v>
      </c>
    </row>
    <row r="29" spans="1:22" customFormat="1" x14ac:dyDescent="0.25">
      <c r="A29" s="3">
        <v>1</v>
      </c>
      <c r="B29" s="47" t="s">
        <v>2</v>
      </c>
      <c r="C29" s="7">
        <v>1</v>
      </c>
      <c r="D29" s="125">
        <f>C29/6</f>
        <v>0.16666666666666666</v>
      </c>
      <c r="E29" s="3"/>
      <c r="F29" s="3"/>
      <c r="G29" s="3"/>
      <c r="H29" s="3"/>
      <c r="I29" s="3"/>
      <c r="J29" s="3"/>
      <c r="L29" s="27">
        <v>19</v>
      </c>
      <c r="M29" s="28">
        <v>789</v>
      </c>
      <c r="N29" s="40">
        <v>2</v>
      </c>
      <c r="O29" s="2"/>
      <c r="P29" s="108">
        <v>1</v>
      </c>
      <c r="Q29" s="2"/>
      <c r="S29" s="165" t="s">
        <v>58</v>
      </c>
      <c r="T29" s="164">
        <v>1</v>
      </c>
      <c r="U29" s="37">
        <f t="shared" ref="U29" si="8">U26/$T$26</f>
        <v>0.9796013023712975</v>
      </c>
      <c r="V29" s="37">
        <f t="shared" ref="V29" si="9">V26/$T$26</f>
        <v>0.81570217471433837</v>
      </c>
    </row>
    <row r="30" spans="1:22" customFormat="1" x14ac:dyDescent="0.25">
      <c r="A30" s="3">
        <v>2</v>
      </c>
      <c r="B30" s="47" t="s">
        <v>3</v>
      </c>
      <c r="C30" s="7">
        <v>2</v>
      </c>
      <c r="D30" s="125">
        <f>C30/6</f>
        <v>0.33333333333333331</v>
      </c>
      <c r="E30" s="3"/>
      <c r="F30" s="3"/>
      <c r="G30" s="3"/>
      <c r="H30" s="3"/>
      <c r="I30" s="3"/>
      <c r="J30" s="3"/>
      <c r="L30" s="27">
        <v>20</v>
      </c>
      <c r="M30" s="28">
        <v>1543</v>
      </c>
      <c r="N30" s="162">
        <v>2</v>
      </c>
      <c r="O30" s="2"/>
      <c r="P30" s="161">
        <v>2</v>
      </c>
      <c r="Q30" s="2"/>
      <c r="S30" s="166" t="s">
        <v>59</v>
      </c>
      <c r="T30" s="164">
        <v>1</v>
      </c>
      <c r="U30" s="37">
        <f t="shared" ref="U30" si="10">U27/$T$27</f>
        <v>0.89705021773001481</v>
      </c>
      <c r="V30" s="37">
        <f t="shared" ref="V30" si="11">V27/$T$27</f>
        <v>0.50856553873197241</v>
      </c>
    </row>
    <row r="31" spans="1:22" customFormat="1" x14ac:dyDescent="0.25">
      <c r="A31" s="3">
        <v>3</v>
      </c>
      <c r="B31" s="47" t="s">
        <v>38</v>
      </c>
      <c r="C31" s="7">
        <v>1.5</v>
      </c>
      <c r="D31" s="116">
        <f>C31/6</f>
        <v>0.25</v>
      </c>
      <c r="E31" s="3"/>
      <c r="F31" s="3"/>
      <c r="G31" s="3"/>
      <c r="H31" s="3"/>
      <c r="I31" s="3"/>
      <c r="J31" s="3"/>
      <c r="L31" s="27">
        <v>21</v>
      </c>
      <c r="M31" s="28">
        <v>875</v>
      </c>
      <c r="N31" s="40">
        <v>2</v>
      </c>
      <c r="O31" s="2"/>
      <c r="P31" s="108">
        <v>1</v>
      </c>
      <c r="Q31" s="2"/>
      <c r="S31" s="167" t="s">
        <v>60</v>
      </c>
      <c r="T31" s="164">
        <v>1</v>
      </c>
      <c r="U31" s="37">
        <f t="shared" ref="U31" si="12">U28/$T$28</f>
        <v>0.97272999437506924</v>
      </c>
      <c r="V31" s="37">
        <f t="shared" ref="V31" si="13">V28/$T$28</f>
        <v>0.78972574192822476</v>
      </c>
    </row>
    <row r="32" spans="1:22" customFormat="1" ht="15.75" thickBot="1" x14ac:dyDescent="0.3">
      <c r="A32" s="3">
        <v>4</v>
      </c>
      <c r="B32" s="126" t="s">
        <v>4</v>
      </c>
      <c r="C32" s="127">
        <v>2</v>
      </c>
      <c r="D32" s="128">
        <f>C32/6</f>
        <v>0.33333333333333331</v>
      </c>
      <c r="E32" s="3"/>
      <c r="F32" s="3"/>
      <c r="G32" s="3"/>
      <c r="H32" s="3"/>
      <c r="I32" s="3"/>
      <c r="J32" s="3"/>
      <c r="L32" s="27">
        <v>22</v>
      </c>
      <c r="M32" s="30">
        <v>905</v>
      </c>
      <c r="N32" s="40">
        <v>2</v>
      </c>
      <c r="O32" s="2"/>
      <c r="P32" s="108">
        <v>1</v>
      </c>
      <c r="Q32" s="2"/>
      <c r="S32" s="18"/>
      <c r="T32" s="2"/>
      <c r="U32" s="149">
        <f>T26-U26</f>
        <v>0.55341666666669909</v>
      </c>
      <c r="V32" s="149">
        <f t="shared" ref="V32:V37" si="14">T26-V26</f>
        <v>5</v>
      </c>
    </row>
    <row r="33" spans="1:22" customFormat="1" ht="15.75" thickBot="1" x14ac:dyDescent="0.3">
      <c r="A33" s="19"/>
      <c r="B33" s="113"/>
      <c r="C33" s="124"/>
      <c r="D33" s="56"/>
      <c r="E33" s="21"/>
      <c r="F33" s="3"/>
      <c r="G33" s="3"/>
      <c r="H33" s="3"/>
      <c r="I33" s="3"/>
      <c r="J33" s="3"/>
      <c r="L33" s="31">
        <v>23</v>
      </c>
      <c r="M33" s="32">
        <v>1020</v>
      </c>
      <c r="N33" s="41">
        <v>2</v>
      </c>
      <c r="O33" s="2"/>
      <c r="P33" s="109">
        <v>1</v>
      </c>
      <c r="Q33" s="2"/>
      <c r="S33" s="2"/>
      <c r="T33" s="2"/>
      <c r="U33" s="149">
        <f t="shared" ref="U33:U37" si="15">T27-U27</f>
        <v>25.769360000000006</v>
      </c>
      <c r="V33" s="149">
        <f t="shared" si="14"/>
        <v>123.01096</v>
      </c>
    </row>
    <row r="34" spans="1:22" customFormat="1" x14ac:dyDescent="0.25">
      <c r="A34" s="3"/>
      <c r="B34" s="2"/>
      <c r="C34" s="3"/>
      <c r="D34" s="3"/>
      <c r="E34" s="3"/>
      <c r="F34" s="3"/>
      <c r="G34" s="3"/>
      <c r="H34" s="3"/>
      <c r="I34" s="3"/>
      <c r="J34" s="3"/>
      <c r="L34" s="2"/>
      <c r="M34" s="2"/>
      <c r="N34" s="2"/>
      <c r="O34" s="2"/>
      <c r="P34" s="2"/>
      <c r="Q34" s="2"/>
      <c r="U34" s="149">
        <f t="shared" si="15"/>
        <v>0.80801026666669884</v>
      </c>
      <c r="V34" s="149">
        <f t="shared" si="14"/>
        <v>6.2304262666667007</v>
      </c>
    </row>
    <row r="35" spans="1:22" x14ac:dyDescent="0.25">
      <c r="S35"/>
      <c r="U35" s="169">
        <f t="shared" si="15"/>
        <v>2.03986976287025E-2</v>
      </c>
      <c r="V35" s="169">
        <f t="shared" si="14"/>
        <v>0.18429782528566163</v>
      </c>
    </row>
    <row r="36" spans="1:22" x14ac:dyDescent="0.25">
      <c r="S36"/>
      <c r="U36" s="169">
        <f t="shared" si="15"/>
        <v>0.10294978226998519</v>
      </c>
      <c r="V36" s="169">
        <f t="shared" si="14"/>
        <v>0.49143446126802759</v>
      </c>
    </row>
    <row r="37" spans="1:22" x14ac:dyDescent="0.25">
      <c r="C37" s="2"/>
      <c r="D37" s="2"/>
      <c r="E37" s="2"/>
      <c r="M37" s="3"/>
      <c r="N37" s="96"/>
      <c r="S37"/>
      <c r="U37" s="169">
        <f t="shared" si="15"/>
        <v>2.727000562493076E-2</v>
      </c>
      <c r="V37" s="169">
        <f t="shared" si="14"/>
        <v>0.21027425807177524</v>
      </c>
    </row>
    <row r="38" spans="1:22" x14ac:dyDescent="0.25">
      <c r="C38" s="2"/>
      <c r="D38" s="2"/>
      <c r="E38" s="2"/>
      <c r="M38" s="3"/>
      <c r="N38" s="96"/>
      <c r="U38" s="123"/>
    </row>
    <row r="39" spans="1:22" x14ac:dyDescent="0.25">
      <c r="C39" s="2"/>
      <c r="D39" s="2"/>
      <c r="E39" s="2"/>
      <c r="M39" s="3"/>
      <c r="N39" s="96"/>
      <c r="S39" s="3"/>
    </row>
    <row r="40" spans="1:22" x14ac:dyDescent="0.25">
      <c r="B40" s="15"/>
      <c r="C40" s="2"/>
      <c r="D40" s="2"/>
      <c r="E40" s="2"/>
      <c r="F40" s="15"/>
      <c r="G40" s="15"/>
      <c r="H40" s="15"/>
      <c r="I40" s="15"/>
      <c r="M40" s="3"/>
      <c r="N40" s="96"/>
    </row>
    <row r="41" spans="1:22" x14ac:dyDescent="0.25">
      <c r="B41" s="17"/>
      <c r="C41" s="2"/>
      <c r="D41" s="2"/>
      <c r="E41" s="2"/>
      <c r="F41" s="15"/>
      <c r="G41" s="15"/>
      <c r="H41" s="15"/>
      <c r="I41" s="15"/>
      <c r="M41" s="3"/>
      <c r="N41" s="96"/>
    </row>
    <row r="42" spans="1:22" x14ac:dyDescent="0.25">
      <c r="B42" s="15"/>
      <c r="C42" s="2"/>
      <c r="D42" s="2"/>
      <c r="E42" s="2"/>
      <c r="F42" s="15"/>
      <c r="G42" s="15"/>
      <c r="H42" s="15"/>
      <c r="I42" s="15"/>
      <c r="M42" s="3"/>
      <c r="N42" s="96"/>
    </row>
    <row r="43" spans="1:22" x14ac:dyDescent="0.25">
      <c r="C43" s="2"/>
      <c r="D43" s="2"/>
      <c r="E43" s="2"/>
      <c r="M43" s="3"/>
      <c r="N43" s="96"/>
    </row>
    <row r="44" spans="1:22" x14ac:dyDescent="0.25">
      <c r="C44" s="2"/>
      <c r="D44" s="2"/>
      <c r="E44" s="2"/>
      <c r="M44" s="3"/>
      <c r="N44" s="96"/>
    </row>
    <row r="45" spans="1:22" x14ac:dyDescent="0.25">
      <c r="C45" s="2"/>
      <c r="D45" s="2"/>
      <c r="E45" s="2"/>
      <c r="M45" s="3"/>
      <c r="N45" s="96"/>
    </row>
    <row r="46" spans="1:22" x14ac:dyDescent="0.25">
      <c r="C46" s="2"/>
      <c r="D46" s="2"/>
      <c r="E46" s="2"/>
      <c r="M46" s="3"/>
      <c r="N46" s="96"/>
    </row>
    <row r="47" spans="1:22" x14ac:dyDescent="0.25">
      <c r="C47" s="2"/>
      <c r="D47" s="2"/>
      <c r="E47" s="2"/>
      <c r="M47" s="3"/>
      <c r="N47" s="96"/>
    </row>
    <row r="48" spans="1:22" x14ac:dyDescent="0.25">
      <c r="C48" s="2"/>
      <c r="D48" s="2"/>
      <c r="E48" s="2"/>
      <c r="M48" s="3"/>
      <c r="N48" s="96"/>
    </row>
    <row r="49" spans="1:19" x14ac:dyDescent="0.25">
      <c r="C49" s="2"/>
      <c r="D49" s="2"/>
      <c r="E49" s="2"/>
      <c r="M49" s="3"/>
      <c r="N49" s="96"/>
    </row>
    <row r="50" spans="1:19" s="6" customFormat="1" x14ac:dyDescent="0.25">
      <c r="A50" s="3"/>
      <c r="B50" s="2"/>
      <c r="F50" s="3"/>
      <c r="G50" s="3"/>
      <c r="H50" s="3"/>
      <c r="I50" s="3"/>
      <c r="J50" s="3"/>
      <c r="K50"/>
      <c r="N50" s="96"/>
      <c r="O50" s="3"/>
      <c r="P50" s="2"/>
      <c r="R50"/>
    </row>
    <row r="51" spans="1:19" x14ac:dyDescent="0.25">
      <c r="C51" s="2"/>
      <c r="D51" s="2"/>
      <c r="E51" s="2"/>
      <c r="M51" s="3"/>
      <c r="N51" s="96"/>
      <c r="O51" s="3"/>
      <c r="Q51" s="3"/>
    </row>
    <row r="52" spans="1:19" x14ac:dyDescent="0.25">
      <c r="M52" s="3"/>
      <c r="N52" s="96"/>
      <c r="O52" s="3"/>
      <c r="Q52" s="3"/>
    </row>
    <row r="53" spans="1:19" x14ac:dyDescent="0.25">
      <c r="M53" s="3"/>
      <c r="N53" s="96"/>
      <c r="O53" s="3"/>
      <c r="Q53" s="3"/>
    </row>
    <row r="54" spans="1:19" x14ac:dyDescent="0.25">
      <c r="M54" s="3"/>
      <c r="N54" s="96"/>
      <c r="O54" s="3"/>
      <c r="Q54" s="3"/>
    </row>
    <row r="55" spans="1:19" x14ac:dyDescent="0.25">
      <c r="M55" s="3"/>
      <c r="N55" s="96"/>
      <c r="O55" s="3"/>
      <c r="Q55" s="3"/>
    </row>
    <row r="56" spans="1:19" x14ac:dyDescent="0.25">
      <c r="M56" s="3"/>
      <c r="N56" s="96"/>
      <c r="O56" s="3"/>
      <c r="Q56" s="3"/>
    </row>
    <row r="57" spans="1:19" x14ac:dyDescent="0.25">
      <c r="M57" s="3"/>
      <c r="N57" s="96"/>
      <c r="O57" s="3"/>
      <c r="Q57" s="3"/>
    </row>
    <row r="58" spans="1:19" x14ac:dyDescent="0.25">
      <c r="M58" s="3"/>
      <c r="N58" s="96"/>
      <c r="O58" s="3"/>
      <c r="Q58" s="3"/>
    </row>
    <row r="59" spans="1:19" x14ac:dyDescent="0.25">
      <c r="M59" s="3"/>
      <c r="N59" s="96"/>
      <c r="O59" s="3"/>
      <c r="Q59" s="3"/>
    </row>
    <row r="60" spans="1:19" x14ac:dyDescent="0.25">
      <c r="M60" s="3"/>
      <c r="N60" s="3"/>
      <c r="O60" s="3"/>
      <c r="Q60" s="3"/>
    </row>
    <row r="61" spans="1:19" x14ac:dyDescent="0.25">
      <c r="M61" s="3"/>
      <c r="N61" s="3"/>
      <c r="O61" s="3"/>
      <c r="Q61" s="3"/>
    </row>
    <row r="62" spans="1:19" x14ac:dyDescent="0.25">
      <c r="M62" s="3"/>
      <c r="N62" s="3"/>
      <c r="O62" s="3"/>
      <c r="Q62" s="3"/>
    </row>
    <row r="63" spans="1:19" x14ac:dyDescent="0.25">
      <c r="M63" s="3"/>
      <c r="N63" s="3"/>
      <c r="O63" s="3"/>
      <c r="Q63" s="3"/>
      <c r="S63" s="3"/>
    </row>
    <row r="64" spans="1:19" x14ac:dyDescent="0.25">
      <c r="M64" s="3"/>
      <c r="N64" s="3"/>
      <c r="O64" s="3"/>
      <c r="Q64" s="3"/>
      <c r="S64" s="3"/>
    </row>
    <row r="65" spans="13:19" x14ac:dyDescent="0.25">
      <c r="M65" s="3"/>
      <c r="N65" s="3"/>
      <c r="O65" s="3"/>
      <c r="Q65" s="3"/>
      <c r="S65" s="3"/>
    </row>
    <row r="66" spans="13:19" x14ac:dyDescent="0.25">
      <c r="M66" s="3"/>
      <c r="N66" s="3"/>
      <c r="O66" s="3"/>
      <c r="Q66" s="3"/>
      <c r="S66" s="3"/>
    </row>
    <row r="67" spans="13:19" x14ac:dyDescent="0.25">
      <c r="M67" s="3"/>
      <c r="N67" s="3"/>
      <c r="O67" s="3"/>
      <c r="Q67" s="3"/>
      <c r="S67" s="3"/>
    </row>
    <row r="68" spans="13:19" x14ac:dyDescent="0.25">
      <c r="M68" s="3"/>
      <c r="N68" s="3"/>
      <c r="O68" s="3"/>
      <c r="Q68" s="3"/>
      <c r="S68" s="3"/>
    </row>
    <row r="69" spans="13:19" x14ac:dyDescent="0.25">
      <c r="M69" s="3"/>
      <c r="N69" s="3"/>
      <c r="O69" s="3"/>
      <c r="Q69" s="3"/>
      <c r="S69" s="3"/>
    </row>
    <row r="70" spans="13:19" x14ac:dyDescent="0.25">
      <c r="M70" s="3"/>
      <c r="N70" s="3"/>
      <c r="O70" s="3"/>
      <c r="Q70" s="3"/>
      <c r="S70" s="3"/>
    </row>
    <row r="71" spans="13:19" x14ac:dyDescent="0.25">
      <c r="M71" s="3"/>
      <c r="N71" s="3"/>
      <c r="O71" s="3"/>
      <c r="Q71" s="3"/>
      <c r="S71" s="3"/>
    </row>
    <row r="72" spans="13:19" x14ac:dyDescent="0.25">
      <c r="M72" s="3"/>
      <c r="N72" s="3"/>
      <c r="O72" s="3"/>
      <c r="Q72" s="3"/>
      <c r="S72" s="3"/>
    </row>
    <row r="73" spans="13:19" x14ac:dyDescent="0.25">
      <c r="P73" s="3"/>
    </row>
    <row r="74" spans="13:19" x14ac:dyDescent="0.25">
      <c r="P74" s="3"/>
    </row>
    <row r="75" spans="13:19" x14ac:dyDescent="0.25">
      <c r="P75" s="3"/>
    </row>
    <row r="76" spans="13:19" x14ac:dyDescent="0.25">
      <c r="P76" s="3"/>
    </row>
    <row r="77" spans="13:19" x14ac:dyDescent="0.25">
      <c r="P77" s="3"/>
    </row>
    <row r="78" spans="13:19" x14ac:dyDescent="0.25">
      <c r="P78" s="3"/>
    </row>
    <row r="79" spans="13:19" x14ac:dyDescent="0.25">
      <c r="P79" s="3"/>
    </row>
    <row r="80" spans="13:19" x14ac:dyDescent="0.25">
      <c r="P80" s="3"/>
    </row>
    <row r="81" spans="16:16" x14ac:dyDescent="0.25">
      <c r="P81" s="3"/>
    </row>
    <row r="82" spans="16:16" x14ac:dyDescent="0.25">
      <c r="P82" s="3"/>
    </row>
  </sheetData>
  <conditionalFormatting sqref="Q26">
    <cfRule type="cellIs" dxfId="7" priority="4" operator="equal">
      <formula>S</formula>
    </cfRule>
  </conditionalFormatting>
  <conditionalFormatting sqref="N11:N33">
    <cfRule type="containsText" dxfId="6" priority="3" operator="containsText" text="S">
      <formula>NOT(ISERROR(SEARCH("S",N11)))</formula>
    </cfRule>
  </conditionalFormatting>
  <conditionalFormatting sqref="T29:U31">
    <cfRule type="cellIs" dxfId="5" priority="2" operator="lessThan">
      <formula>1</formula>
    </cfRule>
  </conditionalFormatting>
  <conditionalFormatting sqref="V29:V31">
    <cfRule type="cellIs" dxfId="4" priority="1" operator="lessThan">
      <formula>1</formula>
    </cfRule>
  </conditionalFormatting>
  <dataValidations count="2">
    <dataValidation type="list" allowBlank="1" showInputMessage="1" showErrorMessage="1" sqref="E8 E13" xr:uid="{8902D30C-A9A0-41B3-B039-3729C15F6E98}">
      <formula1>#REF!</formula1>
    </dataValidation>
    <dataValidation type="list" allowBlank="1" showInputMessage="1" showErrorMessage="1" sqref="C4:C18 C20:C21" xr:uid="{14AAECBF-021C-4007-AF7E-F8A8CC0F5E17}">
      <formula1>$A$25:$A$26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F6E8-B385-4663-B9EB-683D375969A0}">
  <dimension ref="A1:AD87"/>
  <sheetViews>
    <sheetView showGridLines="0" zoomScale="85" zoomScaleNormal="85" workbookViewId="0"/>
  </sheetViews>
  <sheetFormatPr defaultRowHeight="15" x14ac:dyDescent="0.25"/>
  <cols>
    <col min="1" max="1" width="4.7109375" style="3" bestFit="1" customWidth="1"/>
    <col min="2" max="2" width="6.85546875" style="3" customWidth="1"/>
    <col min="3" max="3" width="35.5703125" style="2" customWidth="1"/>
    <col min="4" max="5" width="9.5703125" style="3" customWidth="1"/>
    <col min="6" max="6" width="10.85546875" style="3" customWidth="1"/>
    <col min="7" max="9" width="11" style="3" customWidth="1"/>
    <col min="10" max="10" width="12.7109375" style="3" customWidth="1"/>
    <col min="11" max="11" width="11" style="3" customWidth="1"/>
    <col min="12" max="12" width="2.140625" customWidth="1"/>
    <col min="13" max="13" width="9.7109375" style="2" customWidth="1"/>
    <col min="14" max="14" width="11.7109375" style="2" customWidth="1"/>
    <col min="15" max="15" width="14.5703125" style="2" bestFit="1" customWidth="1"/>
    <col min="16" max="16" width="19.28515625" style="2" customWidth="1"/>
    <col min="17" max="17" width="17.42578125" style="2" customWidth="1"/>
    <col min="18" max="18" width="14.140625" style="2" customWidth="1"/>
    <col min="19" max="19" width="28" style="2" customWidth="1"/>
    <col min="20" max="20" width="12" style="3" customWidth="1"/>
    <col min="21" max="23" width="11.140625" style="3" customWidth="1"/>
    <col min="24" max="25" width="11.140625" style="2" customWidth="1"/>
    <col min="26" max="28" width="10.140625" style="2" customWidth="1"/>
    <col min="29" max="16384" width="9.140625" style="2"/>
  </cols>
  <sheetData>
    <row r="1" spans="1:28" customFormat="1" ht="15.75" thickBot="1" x14ac:dyDescent="0.3">
      <c r="T1" s="44"/>
      <c r="U1" s="44"/>
      <c r="V1" s="44"/>
      <c r="W1" s="44"/>
    </row>
    <row r="2" spans="1:28" s="6" customFormat="1" ht="36" customHeight="1" x14ac:dyDescent="0.25">
      <c r="A2" s="111" t="s">
        <v>65</v>
      </c>
      <c r="B2" s="111" t="s">
        <v>23</v>
      </c>
      <c r="C2" s="73" t="s">
        <v>12</v>
      </c>
      <c r="D2" s="42" t="s">
        <v>40</v>
      </c>
      <c r="E2" s="74" t="s">
        <v>41</v>
      </c>
      <c r="F2" s="43" t="s">
        <v>9</v>
      </c>
      <c r="G2" s="74" t="s">
        <v>20</v>
      </c>
      <c r="H2" s="74" t="s">
        <v>39</v>
      </c>
      <c r="I2" s="74" t="s">
        <v>42</v>
      </c>
      <c r="J2" s="74" t="s">
        <v>48</v>
      </c>
      <c r="K2" s="89" t="s">
        <v>96</v>
      </c>
      <c r="L2"/>
      <c r="M2" s="101"/>
      <c r="N2" s="102" t="s">
        <v>73</v>
      </c>
      <c r="O2" s="102" t="s">
        <v>85</v>
      </c>
      <c r="P2" s="102" t="s">
        <v>75</v>
      </c>
      <c r="Q2" s="102" t="s">
        <v>72</v>
      </c>
      <c r="R2" s="102" t="s">
        <v>46</v>
      </c>
      <c r="S2" s="102" t="s">
        <v>71</v>
      </c>
      <c r="T2" s="102" t="s">
        <v>98</v>
      </c>
      <c r="U2" s="102" t="s">
        <v>97</v>
      </c>
      <c r="V2" s="103" t="s">
        <v>52</v>
      </c>
      <c r="W2" s="111"/>
    </row>
    <row r="3" spans="1:28" x14ac:dyDescent="0.25">
      <c r="A3" s="110">
        <v>1</v>
      </c>
      <c r="B3" s="110"/>
      <c r="C3" s="63" t="s">
        <v>31</v>
      </c>
      <c r="D3" s="64"/>
      <c r="E3" s="65"/>
      <c r="F3" s="64"/>
      <c r="G3" s="66"/>
      <c r="H3" s="66"/>
      <c r="I3" s="67"/>
      <c r="J3" s="67"/>
      <c r="K3" s="68"/>
      <c r="M3" s="90" t="s">
        <v>101</v>
      </c>
      <c r="N3" s="91">
        <f>SUMIF($R$12:$R$51,"=1",$N$12:$N$51)/1000</f>
        <v>0</v>
      </c>
      <c r="O3" s="57">
        <f>SUM(H4:H8)</f>
        <v>0</v>
      </c>
      <c r="P3" s="23">
        <f>O3*3/30</f>
        <v>0</v>
      </c>
      <c r="Q3" s="23">
        <f>O3*$Y$8/1000000</f>
        <v>0</v>
      </c>
      <c r="R3" s="50">
        <f>SUM(K4:K8)</f>
        <v>0</v>
      </c>
      <c r="S3" s="50">
        <f>SUM(P3:R3)</f>
        <v>0</v>
      </c>
      <c r="T3" s="91">
        <f>SUM(J4:J8)/1000</f>
        <v>0</v>
      </c>
      <c r="U3" s="91">
        <f>T3*$Y$9/1000</f>
        <v>0</v>
      </c>
      <c r="V3" s="92">
        <f t="shared" ref="V3:V8" si="0">S3+U3</f>
        <v>0</v>
      </c>
      <c r="X3" s="146" t="s">
        <v>76</v>
      </c>
      <c r="Y3" s="145">
        <v>0.1</v>
      </c>
    </row>
    <row r="4" spans="1:28" x14ac:dyDescent="0.25">
      <c r="B4" s="3">
        <v>1</v>
      </c>
      <c r="C4" s="47" t="str">
        <f>VLOOKUP(B4,$B$35:$C$47,2)</f>
        <v>Instalação de peso morto</v>
      </c>
      <c r="D4" s="48">
        <v>2</v>
      </c>
      <c r="E4" s="49" t="str">
        <f>VLOOKUP(D4,$B$31:$D$32,3)</f>
        <v>PLSV</v>
      </c>
      <c r="F4" s="49">
        <v>4</v>
      </c>
      <c r="G4" s="50">
        <f>INDEX($D$35:$E$47,B4,D4)</f>
        <v>0.16666666666666666</v>
      </c>
      <c r="H4" s="50">
        <f>COUNTIF($R$12:$R$51,"=1")*G4</f>
        <v>0</v>
      </c>
      <c r="I4" s="9">
        <f>INDEX($E$31:$I$32,D4,F4)*H4*24</f>
        <v>0</v>
      </c>
      <c r="J4" s="9">
        <f>_xlfn.XLOOKUP(D4,$B$31:$B$32,$J$31:$J$32)*I4/1000</f>
        <v>0</v>
      </c>
      <c r="K4" s="153">
        <f>VLOOKUP(D4,$B$31:$K$32,10)*H4</f>
        <v>0</v>
      </c>
      <c r="M4" s="90" t="s">
        <v>102</v>
      </c>
      <c r="N4" s="91">
        <f>SUMIF($R$12:$R$51,"=3",$N$12:$N$51)/1000</f>
        <v>0</v>
      </c>
      <c r="O4" s="138">
        <f>SUM(H10:H12)</f>
        <v>0</v>
      </c>
      <c r="P4" s="23">
        <f>O4*3/30</f>
        <v>0</v>
      </c>
      <c r="Q4" s="23">
        <f>O4*$Y$8/1000000</f>
        <v>0</v>
      </c>
      <c r="R4" s="23">
        <f>SUM(K10:K15)</f>
        <v>0</v>
      </c>
      <c r="S4" s="23">
        <f t="shared" ref="S4:S5" si="1">SUM(P4:R4)</f>
        <v>0</v>
      </c>
      <c r="T4" s="171">
        <f>SUM(J10:J15)/1000</f>
        <v>0</v>
      </c>
      <c r="U4" s="91">
        <f t="shared" ref="U4:U8" si="2">T4*$Y$9/1000</f>
        <v>0</v>
      </c>
      <c r="V4" s="92">
        <f t="shared" si="0"/>
        <v>0</v>
      </c>
      <c r="X4" s="36" t="s">
        <v>77</v>
      </c>
      <c r="Y4" s="123">
        <v>100000</v>
      </c>
    </row>
    <row r="5" spans="1:28" x14ac:dyDescent="0.25">
      <c r="B5" s="3">
        <v>2</v>
      </c>
      <c r="C5" s="47" t="str">
        <f>VLOOKUP(B5,$B$35:$C$47,2)</f>
        <v>Quebra de conexão</v>
      </c>
      <c r="D5" s="48">
        <v>2</v>
      </c>
      <c r="E5" s="49" t="str">
        <f>VLOOKUP(D5,$B$31:$D$32,3)</f>
        <v>PLSV</v>
      </c>
      <c r="F5" s="49">
        <v>4</v>
      </c>
      <c r="G5" s="50">
        <f>INDEX($D$35:$E$47,B5,D5)</f>
        <v>0.33333333333333331</v>
      </c>
      <c r="H5" s="50">
        <f>COUNTIF($R$12:$R$51,"=1")*G5</f>
        <v>0</v>
      </c>
      <c r="I5" s="9">
        <f>INDEX($E$31:$I$32,D5,F5)*H5*24</f>
        <v>0</v>
      </c>
      <c r="J5" s="9">
        <f>_xlfn.XLOOKUP(D5,$B$31:$B$32,$J$31:$J$32)*I5/1000</f>
        <v>0</v>
      </c>
      <c r="K5" s="153">
        <f>VLOOKUP(D5,$B$31:$K$32,10)*H5</f>
        <v>0</v>
      </c>
      <c r="M5" s="90" t="s">
        <v>103</v>
      </c>
      <c r="N5" s="91">
        <f>SUMIF($R$12:$R$51,"=2",$N$12:$N$51)/1000</f>
        <v>81.058999999999997</v>
      </c>
      <c r="O5" s="57">
        <f>SUM(H17:H22)</f>
        <v>124.59152777777777</v>
      </c>
      <c r="P5" s="23">
        <f>O5*3/30</f>
        <v>12.459152777777778</v>
      </c>
      <c r="Q5" s="23">
        <f>O5*$Y$8/1000000</f>
        <v>0.27307732115677319</v>
      </c>
      <c r="R5" s="50">
        <f>SUM(K17:K22)</f>
        <v>37.37745833333333</v>
      </c>
      <c r="S5" s="50">
        <f t="shared" si="1"/>
        <v>50.10968843226788</v>
      </c>
      <c r="T5" s="91">
        <f>SUM(J17:J22)/1000</f>
        <v>205.84513853333337</v>
      </c>
      <c r="U5" s="91">
        <f t="shared" si="2"/>
        <v>2.0584513853333339</v>
      </c>
      <c r="V5" s="92">
        <f>S5+U5</f>
        <v>52.168139817601215</v>
      </c>
      <c r="X5" s="36" t="s">
        <v>82</v>
      </c>
      <c r="Y5" s="2">
        <v>400</v>
      </c>
    </row>
    <row r="6" spans="1:28" x14ac:dyDescent="0.25">
      <c r="B6" s="3">
        <v>6</v>
      </c>
      <c r="C6" s="47" t="str">
        <f>VLOOKUP(B6,$B$35:$C$47,2)</f>
        <v>Pullout de 1ª extremidade</v>
      </c>
      <c r="D6" s="48">
        <v>2</v>
      </c>
      <c r="E6" s="49" t="str">
        <f>VLOOKUP(D6,$B$31:$D$32,3)</f>
        <v>PLSV</v>
      </c>
      <c r="F6" s="49">
        <v>4</v>
      </c>
      <c r="G6" s="50">
        <f>INDEX($D$35:$E$47,B6,D6)</f>
        <v>1</v>
      </c>
      <c r="H6" s="50">
        <f>COUNTIF($R$12:$R$51,"=1")*G6</f>
        <v>0</v>
      </c>
      <c r="I6" s="9">
        <f>INDEX($E$31:$I$32,D6,F6)*H6*24</f>
        <v>0</v>
      </c>
      <c r="J6" s="9">
        <f>_xlfn.XLOOKUP(D6,$B$31:$B$32,$J$31:$J$32)*I6/1000</f>
        <v>0</v>
      </c>
      <c r="K6" s="153">
        <f>VLOOKUP(D6,$B$31:$K$32,10)*H6</f>
        <v>0</v>
      </c>
      <c r="M6" s="135" t="s">
        <v>19</v>
      </c>
      <c r="N6" s="7">
        <v>0</v>
      </c>
      <c r="O6" s="7">
        <v>0</v>
      </c>
      <c r="P6" s="23">
        <v>0</v>
      </c>
      <c r="Q6" s="23">
        <v>0</v>
      </c>
      <c r="R6" s="23">
        <f>K24</f>
        <v>0.49999999999999994</v>
      </c>
      <c r="S6" s="23">
        <f>SUM(P6:R6)</f>
        <v>0.49999999999999994</v>
      </c>
      <c r="T6" s="171">
        <f>J24/1000</f>
        <v>2.7536000000000005</v>
      </c>
      <c r="U6" s="91">
        <f t="shared" si="2"/>
        <v>2.7536000000000005E-2</v>
      </c>
      <c r="V6" s="92">
        <f t="shared" si="0"/>
        <v>0.527536</v>
      </c>
      <c r="X6" s="36" t="s">
        <v>78</v>
      </c>
      <c r="Y6" s="2">
        <v>5</v>
      </c>
    </row>
    <row r="7" spans="1:28" x14ac:dyDescent="0.25">
      <c r="B7" s="3">
        <v>13</v>
      </c>
      <c r="C7" s="47" t="str">
        <f>VLOOKUP(B7,$B$35:$C$47,2)</f>
        <v>TNP associado a campanha de desmobilização</v>
      </c>
      <c r="D7" s="48">
        <v>2</v>
      </c>
      <c r="E7" s="49" t="str">
        <f>VLOOKUP(D7,$B$31:$D$32,3)</f>
        <v>PLSV</v>
      </c>
      <c r="F7" s="56">
        <v>4</v>
      </c>
      <c r="G7" s="50">
        <f>INDEX($D$35:$E$47,B7,D7)</f>
        <v>1.5</v>
      </c>
      <c r="H7" s="50">
        <f>COUNTIF($R$12:$R$51,"=1")*G7</f>
        <v>0</v>
      </c>
      <c r="I7" s="9">
        <f>INDEX($E$31:$I$32,D7,F7)*H7*24</f>
        <v>0</v>
      </c>
      <c r="J7" s="9">
        <f>_xlfn.XLOOKUP(D7,$B$31:$B$32,$J$31:$J$32)*I7/1000</f>
        <v>0</v>
      </c>
      <c r="K7" s="153">
        <f>VLOOKUP(D7,$B$31:$K$32,10)*H7</f>
        <v>0</v>
      </c>
      <c r="M7" s="90" t="s">
        <v>37</v>
      </c>
      <c r="N7" s="56">
        <v>0</v>
      </c>
      <c r="O7" s="7">
        <v>0</v>
      </c>
      <c r="P7" s="23">
        <v>0</v>
      </c>
      <c r="Q7" s="23">
        <v>0</v>
      </c>
      <c r="R7" s="50">
        <f>K25</f>
        <v>7.1999999999999993</v>
      </c>
      <c r="S7" s="50">
        <f>SUM(P7:R7)</f>
        <v>7.1999999999999993</v>
      </c>
      <c r="T7" s="91">
        <f>J25/1000</f>
        <v>63.442944000000011</v>
      </c>
      <c r="U7" s="91">
        <f t="shared" si="2"/>
        <v>0.63442944000000012</v>
      </c>
      <c r="V7" s="92">
        <f t="shared" si="0"/>
        <v>7.8344294399999992</v>
      </c>
      <c r="X7" s="36" t="s">
        <v>79</v>
      </c>
      <c r="Y7" s="123">
        <f>Y4*Y5/Y6</f>
        <v>8000000</v>
      </c>
    </row>
    <row r="8" spans="1:28" x14ac:dyDescent="0.25">
      <c r="B8" s="3">
        <v>10</v>
      </c>
      <c r="C8" s="47" t="str">
        <f>VLOOKUP(B8,$B$35:$C$47,2)</f>
        <v>Recolhimento (0,3km/h)</v>
      </c>
      <c r="D8" s="48">
        <v>2</v>
      </c>
      <c r="E8" s="49" t="str">
        <f>VLOOKUP(D8,$B$31:$D$32,3)</f>
        <v>PLSV</v>
      </c>
      <c r="F8" s="19">
        <v>4</v>
      </c>
      <c r="G8" s="22"/>
      <c r="H8" s="50">
        <f>IF(N3=0,0,(N3/0.3)/24)</f>
        <v>0</v>
      </c>
      <c r="I8" s="9">
        <f>INDEX($E$31:$I$32,D8,F8)*H8*24</f>
        <v>0</v>
      </c>
      <c r="J8" s="9">
        <f>_xlfn.XLOOKUP(D8,$B$31:$B$32,$J$31:$J$32)*I8/1000</f>
        <v>0</v>
      </c>
      <c r="K8" s="153">
        <f>VLOOKUP(D8,$B$31:$K$32,10)*H8</f>
        <v>0</v>
      </c>
      <c r="M8" s="90" t="s">
        <v>22</v>
      </c>
      <c r="N8" s="56">
        <v>0</v>
      </c>
      <c r="O8" s="7">
        <v>0</v>
      </c>
      <c r="P8" s="23">
        <v>0</v>
      </c>
      <c r="Q8" s="23">
        <v>0</v>
      </c>
      <c r="R8" s="50">
        <f>K26</f>
        <v>21.599999999999998</v>
      </c>
      <c r="S8" s="50">
        <f>SUM(P8:R8)</f>
        <v>21.599999999999998</v>
      </c>
      <c r="T8" s="91">
        <f>J26/1000</f>
        <v>19.032883200000004</v>
      </c>
      <c r="U8" s="91">
        <f t="shared" si="2"/>
        <v>0.19032883200000003</v>
      </c>
      <c r="V8" s="92">
        <f t="shared" si="0"/>
        <v>21.790328831999997</v>
      </c>
      <c r="X8" s="36" t="s">
        <v>80</v>
      </c>
      <c r="Y8" s="123">
        <f>Y7*Y3/365</f>
        <v>2191.7808219178082</v>
      </c>
    </row>
    <row r="9" spans="1:28" ht="15.75" thickBot="1" x14ac:dyDescent="0.3">
      <c r="A9" s="110">
        <v>3</v>
      </c>
      <c r="B9" s="110"/>
      <c r="C9" s="117" t="s">
        <v>64</v>
      </c>
      <c r="D9" s="118"/>
      <c r="E9" s="119"/>
      <c r="F9" s="118"/>
      <c r="G9" s="120"/>
      <c r="H9" s="120"/>
      <c r="I9" s="121"/>
      <c r="J9" s="121"/>
      <c r="K9" s="170"/>
      <c r="M9" s="144" t="s">
        <v>74</v>
      </c>
      <c r="N9" s="95"/>
      <c r="O9" s="141">
        <f t="shared" ref="O9:V9" si="3">SUM(O3:O8)</f>
        <v>124.59152777777777</v>
      </c>
      <c r="P9" s="152">
        <f t="shared" si="3"/>
        <v>12.459152777777778</v>
      </c>
      <c r="Q9" s="152">
        <f t="shared" si="3"/>
        <v>0.27307732115677319</v>
      </c>
      <c r="R9" s="152">
        <f t="shared" si="3"/>
        <v>66.67745833333332</v>
      </c>
      <c r="S9" s="152">
        <f t="shared" si="3"/>
        <v>79.40968843226787</v>
      </c>
      <c r="T9" s="98">
        <f t="shared" si="3"/>
        <v>291.07456573333343</v>
      </c>
      <c r="U9" s="98">
        <f t="shared" si="3"/>
        <v>2.9107456573333343</v>
      </c>
      <c r="V9" s="99">
        <f t="shared" si="3"/>
        <v>82.320434089601207</v>
      </c>
      <c r="X9" s="36" t="s">
        <v>81</v>
      </c>
      <c r="Y9" s="123">
        <v>10</v>
      </c>
    </row>
    <row r="10" spans="1:28" ht="15.75" thickBot="1" x14ac:dyDescent="0.3">
      <c r="B10" s="3">
        <v>6</v>
      </c>
      <c r="C10" s="47" t="str">
        <f t="shared" ref="C10:C15" si="4">VLOOKUP(B10,$B$35:$C$47,2)</f>
        <v>Pullout de 1ª extremidade</v>
      </c>
      <c r="D10" s="19">
        <v>2</v>
      </c>
      <c r="E10" s="49" t="str">
        <f t="shared" ref="E10:E15" si="5">VLOOKUP(D10,$B$31:$D$32,3)</f>
        <v>PLSV</v>
      </c>
      <c r="F10" s="49">
        <v>4</v>
      </c>
      <c r="G10" s="50">
        <f>INDEX($D$35:$E$47,B10,D10)</f>
        <v>1</v>
      </c>
      <c r="H10" s="50">
        <f>COUNTIF($R$12:$R$51,"=3")*G10</f>
        <v>0</v>
      </c>
      <c r="I10" s="9">
        <f t="shared" ref="I10:I15" si="6">INDEX($E$31:$I$32,D10,F10)*H10*24</f>
        <v>0</v>
      </c>
      <c r="J10" s="9">
        <f t="shared" ref="J10:J15" si="7">_xlfn.XLOOKUP(D10,$B$31:$B$32,$J$31:$J$32)*I10/1000</f>
        <v>0</v>
      </c>
      <c r="K10" s="153">
        <f t="shared" ref="K10:K15" si="8">VLOOKUP(D10,$B$31:$K$32,10)*H10</f>
        <v>0</v>
      </c>
      <c r="P10" s="3">
        <v>2</v>
      </c>
      <c r="Q10" s="3" t="s">
        <v>86</v>
      </c>
      <c r="Y10" s="123"/>
    </row>
    <row r="11" spans="1:28" ht="30" x14ac:dyDescent="0.25">
      <c r="B11" s="3">
        <v>8</v>
      </c>
      <c r="C11" s="47" t="str">
        <f t="shared" si="4"/>
        <v>Deposição no fundo marinho</v>
      </c>
      <c r="D11" s="19">
        <v>2</v>
      </c>
      <c r="E11" s="49" t="str">
        <f t="shared" si="5"/>
        <v>PLSV</v>
      </c>
      <c r="F11" s="49">
        <v>4</v>
      </c>
      <c r="G11" s="50">
        <f>INDEX($D$35:$E$47,B11,D11)</f>
        <v>0.5</v>
      </c>
      <c r="H11" s="50">
        <f>COUNTIF($R$12:$R$51,"=3")*G11</f>
        <v>0</v>
      </c>
      <c r="I11" s="9">
        <f t="shared" si="6"/>
        <v>0</v>
      </c>
      <c r="J11" s="9">
        <f t="shared" si="7"/>
        <v>0</v>
      </c>
      <c r="K11" s="153">
        <f t="shared" si="8"/>
        <v>0</v>
      </c>
      <c r="M11" s="24" t="s">
        <v>44</v>
      </c>
      <c r="N11" s="25" t="s">
        <v>45</v>
      </c>
      <c r="O11" s="25" t="s">
        <v>11</v>
      </c>
      <c r="P11" s="25" t="s">
        <v>6</v>
      </c>
      <c r="Q11" s="25" t="s">
        <v>5</v>
      </c>
      <c r="R11" s="26" t="s">
        <v>1</v>
      </c>
      <c r="S11" s="6"/>
      <c r="T11" s="168" t="s">
        <v>21</v>
      </c>
      <c r="U11" s="185" t="s">
        <v>66</v>
      </c>
      <c r="V11" s="186"/>
      <c r="W11" s="186"/>
      <c r="X11" s="187"/>
      <c r="Y11" s="188" t="s">
        <v>7</v>
      </c>
      <c r="Z11" s="188"/>
      <c r="AA11" s="188"/>
      <c r="AB11" s="188"/>
    </row>
    <row r="12" spans="1:28" x14ac:dyDescent="0.25">
      <c r="B12" s="3">
        <v>13</v>
      </c>
      <c r="C12" s="142" t="str">
        <f t="shared" si="4"/>
        <v>TNP associado a campanha de desmobilização</v>
      </c>
      <c r="D12" s="52">
        <v>2</v>
      </c>
      <c r="E12" s="53" t="str">
        <f t="shared" si="5"/>
        <v>PLSV</v>
      </c>
      <c r="F12" s="143">
        <v>4</v>
      </c>
      <c r="G12" s="54">
        <f>INDEX($D$35:$E$47,B12,D12)</f>
        <v>1.5</v>
      </c>
      <c r="H12" s="54">
        <f>COUNTIF($R$12:$R$51,"=3")*G12</f>
        <v>0</v>
      </c>
      <c r="I12" s="139">
        <f t="shared" si="6"/>
        <v>0</v>
      </c>
      <c r="J12" s="139">
        <f t="shared" si="7"/>
        <v>0</v>
      </c>
      <c r="K12" s="154">
        <f t="shared" si="8"/>
        <v>0</v>
      </c>
      <c r="M12" s="27">
        <v>1</v>
      </c>
      <c r="N12" s="28">
        <v>2560</v>
      </c>
      <c r="O12" s="29" t="s">
        <v>13</v>
      </c>
      <c r="P12" s="29" t="s">
        <v>13</v>
      </c>
      <c r="Q12" s="29" t="s">
        <v>13</v>
      </c>
      <c r="R12" s="40">
        <v>2</v>
      </c>
      <c r="T12" s="38" t="s">
        <v>100</v>
      </c>
      <c r="U12" s="39" t="s">
        <v>62</v>
      </c>
      <c r="V12" s="39" t="s">
        <v>100</v>
      </c>
      <c r="W12" s="39" t="s">
        <v>62</v>
      </c>
      <c r="X12" s="39" t="s">
        <v>100</v>
      </c>
      <c r="Y12" s="39" t="s">
        <v>62</v>
      </c>
      <c r="Z12" s="39" t="s">
        <v>62</v>
      </c>
      <c r="AA12" s="39" t="s">
        <v>62</v>
      </c>
      <c r="AB12" s="39" t="s">
        <v>62</v>
      </c>
    </row>
    <row r="13" spans="1:28" x14ac:dyDescent="0.25">
      <c r="B13" s="3">
        <v>2</v>
      </c>
      <c r="C13" s="47" t="str">
        <f t="shared" si="4"/>
        <v>Quebra de conexão</v>
      </c>
      <c r="D13" s="19">
        <v>2</v>
      </c>
      <c r="E13" s="49" t="str">
        <f t="shared" si="5"/>
        <v>PLSV</v>
      </c>
      <c r="F13" s="49">
        <v>4</v>
      </c>
      <c r="G13" s="50">
        <f>INDEX($D$35:$E$47,B13,D13)</f>
        <v>0.33333333333333331</v>
      </c>
      <c r="H13" s="50">
        <f>COUNTIF($R$12:$R$51,"=3")*G13</f>
        <v>0</v>
      </c>
      <c r="I13" s="9">
        <f t="shared" si="6"/>
        <v>0</v>
      </c>
      <c r="J13" s="9">
        <f t="shared" si="7"/>
        <v>0</v>
      </c>
      <c r="K13" s="153">
        <f t="shared" si="8"/>
        <v>0</v>
      </c>
      <c r="M13" s="27">
        <v>2</v>
      </c>
      <c r="N13" s="28">
        <v>1358</v>
      </c>
      <c r="O13" s="29" t="s">
        <v>13</v>
      </c>
      <c r="P13" s="29" t="s">
        <v>13</v>
      </c>
      <c r="Q13" s="29" t="s">
        <v>13</v>
      </c>
      <c r="R13" s="40">
        <v>2</v>
      </c>
      <c r="T13" s="38" t="s">
        <v>100</v>
      </c>
      <c r="U13" s="39" t="s">
        <v>62</v>
      </c>
      <c r="V13" s="39" t="s">
        <v>100</v>
      </c>
      <c r="W13" s="39" t="s">
        <v>62</v>
      </c>
      <c r="X13" s="39" t="s">
        <v>100</v>
      </c>
      <c r="Y13" s="39" t="s">
        <v>62</v>
      </c>
      <c r="Z13" s="39" t="s">
        <v>62</v>
      </c>
      <c r="AA13" s="39" t="s">
        <v>62</v>
      </c>
      <c r="AB13" s="39" t="s">
        <v>62</v>
      </c>
    </row>
    <row r="14" spans="1:28" x14ac:dyDescent="0.25">
      <c r="B14" s="3">
        <v>9</v>
      </c>
      <c r="C14" s="47" t="str">
        <f t="shared" si="4"/>
        <v>Recuperação da extremidade</v>
      </c>
      <c r="D14" s="19">
        <v>2</v>
      </c>
      <c r="E14" s="49" t="str">
        <f t="shared" si="5"/>
        <v>PLSV</v>
      </c>
      <c r="F14" s="56">
        <v>4</v>
      </c>
      <c r="G14" s="50">
        <f>INDEX($D$35:$E$47,B14,D14)</f>
        <v>0.5</v>
      </c>
      <c r="H14" s="50">
        <f>COUNTIF($R$12:$R$51,"=3")*G14</f>
        <v>0</v>
      </c>
      <c r="I14" s="9">
        <f t="shared" si="6"/>
        <v>0</v>
      </c>
      <c r="J14" s="9">
        <f t="shared" si="7"/>
        <v>0</v>
      </c>
      <c r="K14" s="153">
        <f t="shared" si="8"/>
        <v>0</v>
      </c>
      <c r="M14" s="27">
        <v>3</v>
      </c>
      <c r="N14" s="28">
        <v>3579</v>
      </c>
      <c r="O14" s="29" t="s">
        <v>14</v>
      </c>
      <c r="P14" s="29" t="s">
        <v>13</v>
      </c>
      <c r="Q14" s="29" t="s">
        <v>13</v>
      </c>
      <c r="R14" s="40">
        <v>2</v>
      </c>
      <c r="T14" s="38" t="s">
        <v>100</v>
      </c>
      <c r="U14" s="39" t="s">
        <v>62</v>
      </c>
      <c r="V14" s="39" t="s">
        <v>100</v>
      </c>
      <c r="W14" s="39" t="s">
        <v>62</v>
      </c>
      <c r="X14" s="39" t="s">
        <v>100</v>
      </c>
      <c r="Y14" s="39" t="s">
        <v>62</v>
      </c>
      <c r="Z14" s="39" t="s">
        <v>62</v>
      </c>
      <c r="AA14" s="39" t="s">
        <v>62</v>
      </c>
      <c r="AB14" s="39" t="s">
        <v>62</v>
      </c>
    </row>
    <row r="15" spans="1:28" x14ac:dyDescent="0.25">
      <c r="B15" s="3">
        <v>10</v>
      </c>
      <c r="C15" s="47" t="str">
        <f t="shared" si="4"/>
        <v>Recolhimento (0,3km/h)</v>
      </c>
      <c r="D15" s="19">
        <v>2</v>
      </c>
      <c r="E15" s="49" t="str">
        <f t="shared" si="5"/>
        <v>PLSV</v>
      </c>
      <c r="F15" s="56">
        <v>4</v>
      </c>
      <c r="G15" s="13"/>
      <c r="H15" s="50">
        <f>IF(N4=0,0,(N4/0.3)/24)</f>
        <v>0</v>
      </c>
      <c r="I15" s="9">
        <f t="shared" si="6"/>
        <v>0</v>
      </c>
      <c r="J15" s="9">
        <f t="shared" si="7"/>
        <v>0</v>
      </c>
      <c r="K15" s="153">
        <f t="shared" si="8"/>
        <v>0</v>
      </c>
      <c r="M15" s="27">
        <v>4</v>
      </c>
      <c r="N15" s="28">
        <v>987</v>
      </c>
      <c r="O15" s="29" t="s">
        <v>13</v>
      </c>
      <c r="P15" s="29" t="s">
        <v>13</v>
      </c>
      <c r="Q15" s="29" t="s">
        <v>13</v>
      </c>
      <c r="R15" s="40">
        <v>2</v>
      </c>
      <c r="T15" s="38" t="s">
        <v>100</v>
      </c>
      <c r="U15" s="39" t="s">
        <v>62</v>
      </c>
      <c r="V15" s="39" t="s">
        <v>100</v>
      </c>
      <c r="W15" s="39" t="s">
        <v>62</v>
      </c>
      <c r="X15" s="39" t="s">
        <v>62</v>
      </c>
      <c r="Y15" s="39" t="s">
        <v>62</v>
      </c>
      <c r="Z15" s="39" t="s">
        <v>62</v>
      </c>
      <c r="AA15" s="39" t="s">
        <v>62</v>
      </c>
      <c r="AB15" s="39" t="s">
        <v>62</v>
      </c>
    </row>
    <row r="16" spans="1:28" x14ac:dyDescent="0.25">
      <c r="A16" s="110">
        <v>2</v>
      </c>
      <c r="B16" s="110"/>
      <c r="C16" s="117" t="s">
        <v>32</v>
      </c>
      <c r="D16" s="118"/>
      <c r="E16" s="119"/>
      <c r="F16" s="118"/>
      <c r="G16" s="120"/>
      <c r="H16" s="120"/>
      <c r="I16" s="121"/>
      <c r="J16" s="121"/>
      <c r="K16" s="170"/>
      <c r="M16" s="27">
        <v>5</v>
      </c>
      <c r="N16" s="28">
        <v>2687</v>
      </c>
      <c r="O16" s="29" t="s">
        <v>13</v>
      </c>
      <c r="P16" s="29" t="s">
        <v>13</v>
      </c>
      <c r="Q16" s="29" t="s">
        <v>13</v>
      </c>
      <c r="R16" s="40">
        <v>2</v>
      </c>
      <c r="T16" s="38" t="s">
        <v>100</v>
      </c>
      <c r="U16" s="39" t="s">
        <v>62</v>
      </c>
      <c r="V16" s="39" t="s">
        <v>100</v>
      </c>
      <c r="W16" s="39" t="s">
        <v>62</v>
      </c>
      <c r="X16" s="39" t="s">
        <v>100</v>
      </c>
      <c r="Y16" s="39" t="s">
        <v>62</v>
      </c>
      <c r="Z16" s="39" t="s">
        <v>62</v>
      </c>
      <c r="AA16" s="39" t="s">
        <v>62</v>
      </c>
      <c r="AB16" s="39" t="s">
        <v>62</v>
      </c>
    </row>
    <row r="17" spans="1:28" x14ac:dyDescent="0.25">
      <c r="B17" s="3">
        <v>1</v>
      </c>
      <c r="C17" s="47" t="str">
        <f t="shared" ref="C17:C22" si="9">VLOOKUP(B17,$B$35:$C$47,2)</f>
        <v>Instalação de peso morto</v>
      </c>
      <c r="D17" s="48">
        <v>2</v>
      </c>
      <c r="E17" s="49" t="str">
        <f t="shared" ref="E17:E22" si="10">VLOOKUP(D17,$B$31:$D$32,3)</f>
        <v>PLSV</v>
      </c>
      <c r="F17" s="49">
        <v>4</v>
      </c>
      <c r="G17" s="50">
        <f>INDEX($D$35:$E$47,B17,D17)</f>
        <v>0.16666666666666666</v>
      </c>
      <c r="H17" s="50">
        <f>COUNTIF($R$12:$R$51,"=2")*G17</f>
        <v>6.6666666666666661</v>
      </c>
      <c r="I17" s="9">
        <f t="shared" ref="I17:I22" si="11">INDEX($E$31:$I$32,D17,F17)*H17*24</f>
        <v>4000</v>
      </c>
      <c r="J17" s="9">
        <f t="shared" ref="J17:J22" si="12">_xlfn.XLOOKUP(D17,$B$31:$B$32,$J$31:$J$32)*I17/1000</f>
        <v>11014.400000000001</v>
      </c>
      <c r="K17" s="153">
        <f t="shared" ref="K17:K22" si="13">VLOOKUP(D17,$B$31:$K$32,10)*H17</f>
        <v>1.9999999999999998</v>
      </c>
      <c r="M17" s="27">
        <v>6</v>
      </c>
      <c r="N17" s="28">
        <v>3651</v>
      </c>
      <c r="O17" s="29" t="s">
        <v>13</v>
      </c>
      <c r="P17" s="29" t="s">
        <v>13</v>
      </c>
      <c r="Q17" s="29" t="s">
        <v>13</v>
      </c>
      <c r="R17" s="40">
        <v>2</v>
      </c>
      <c r="T17" s="38" t="s">
        <v>100</v>
      </c>
      <c r="U17" s="39" t="s">
        <v>62</v>
      </c>
      <c r="V17" s="39" t="s">
        <v>100</v>
      </c>
      <c r="W17" s="39" t="s">
        <v>62</v>
      </c>
      <c r="X17" s="39" t="s">
        <v>100</v>
      </c>
      <c r="Y17" s="39" t="s">
        <v>62</v>
      </c>
      <c r="Z17" s="39" t="s">
        <v>62</v>
      </c>
      <c r="AA17" s="39" t="s">
        <v>62</v>
      </c>
      <c r="AB17" s="39" t="s">
        <v>62</v>
      </c>
    </row>
    <row r="18" spans="1:28" x14ac:dyDescent="0.25">
      <c r="B18" s="3">
        <v>2</v>
      </c>
      <c r="C18" s="47" t="str">
        <f t="shared" si="9"/>
        <v>Quebra de conexão</v>
      </c>
      <c r="D18" s="48">
        <v>2</v>
      </c>
      <c r="E18" s="49" t="str">
        <f t="shared" si="10"/>
        <v>PLSV</v>
      </c>
      <c r="F18" s="49">
        <v>4</v>
      </c>
      <c r="G18" s="50">
        <f>INDEX($D$35:$E$47,B18,D18)</f>
        <v>0.33333333333333331</v>
      </c>
      <c r="H18" s="50">
        <f>COUNTIF($R$12:$R$51,"=2")*G18</f>
        <v>13.333333333333332</v>
      </c>
      <c r="I18" s="9">
        <f t="shared" si="11"/>
        <v>8000</v>
      </c>
      <c r="J18" s="9">
        <f t="shared" si="12"/>
        <v>22028.800000000003</v>
      </c>
      <c r="K18" s="153">
        <f t="shared" si="13"/>
        <v>3.9999999999999996</v>
      </c>
      <c r="M18" s="27">
        <v>7</v>
      </c>
      <c r="N18" s="28">
        <v>1243</v>
      </c>
      <c r="O18" s="29" t="s">
        <v>13</v>
      </c>
      <c r="P18" s="29" t="s">
        <v>13</v>
      </c>
      <c r="Q18" s="29" t="s">
        <v>13</v>
      </c>
      <c r="R18" s="40">
        <v>2</v>
      </c>
      <c r="T18" s="38" t="s">
        <v>100</v>
      </c>
      <c r="U18" s="39" t="s">
        <v>62</v>
      </c>
      <c r="V18" s="39" t="s">
        <v>100</v>
      </c>
      <c r="W18" s="39" t="s">
        <v>62</v>
      </c>
      <c r="X18" s="39" t="s">
        <v>100</v>
      </c>
      <c r="Y18" s="39" t="s">
        <v>62</v>
      </c>
      <c r="Z18" s="39" t="s">
        <v>62</v>
      </c>
      <c r="AA18" s="39" t="s">
        <v>62</v>
      </c>
      <c r="AB18" s="39" t="s">
        <v>62</v>
      </c>
    </row>
    <row r="19" spans="1:28" x14ac:dyDescent="0.25">
      <c r="B19" s="3">
        <v>4</v>
      </c>
      <c r="C19" s="47" t="str">
        <f t="shared" si="9"/>
        <v>Instalação de cabeça de tração</v>
      </c>
      <c r="D19" s="48">
        <v>2</v>
      </c>
      <c r="E19" s="49" t="str">
        <f t="shared" si="10"/>
        <v>PLSV</v>
      </c>
      <c r="F19" s="49">
        <v>4</v>
      </c>
      <c r="G19" s="50">
        <f>INDEX($D$35:$E$47,B19,D19)</f>
        <v>0.33333333333333331</v>
      </c>
      <c r="H19" s="50">
        <f>COUNTIF($R$12:$R$51,"=2")*G19</f>
        <v>13.333333333333332</v>
      </c>
      <c r="I19" s="9">
        <f t="shared" si="11"/>
        <v>8000</v>
      </c>
      <c r="J19" s="9">
        <f t="shared" si="12"/>
        <v>22028.800000000003</v>
      </c>
      <c r="K19" s="153">
        <f t="shared" si="13"/>
        <v>3.9999999999999996</v>
      </c>
      <c r="M19" s="27">
        <v>8</v>
      </c>
      <c r="N19" s="28">
        <v>4253</v>
      </c>
      <c r="O19" s="29" t="s">
        <v>14</v>
      </c>
      <c r="P19" s="29" t="s">
        <v>13</v>
      </c>
      <c r="Q19" s="29" t="s">
        <v>13</v>
      </c>
      <c r="R19" s="40">
        <v>2</v>
      </c>
      <c r="T19" s="38" t="s">
        <v>100</v>
      </c>
      <c r="U19" s="39" t="s">
        <v>62</v>
      </c>
      <c r="V19" s="39" t="s">
        <v>100</v>
      </c>
      <c r="W19" s="39" t="s">
        <v>62</v>
      </c>
      <c r="X19" s="39" t="s">
        <v>100</v>
      </c>
      <c r="Y19" s="39" t="s">
        <v>62</v>
      </c>
      <c r="Z19" s="39" t="s">
        <v>62</v>
      </c>
      <c r="AA19" s="39" t="s">
        <v>62</v>
      </c>
      <c r="AB19" s="39" t="s">
        <v>62</v>
      </c>
    </row>
    <row r="20" spans="1:28" x14ac:dyDescent="0.25">
      <c r="B20" s="3">
        <v>7</v>
      </c>
      <c r="C20" s="47" t="str">
        <f t="shared" si="9"/>
        <v>Pullout de 2ª extremidade</v>
      </c>
      <c r="D20" s="48">
        <v>2</v>
      </c>
      <c r="E20" s="49" t="str">
        <f t="shared" si="10"/>
        <v>PLSV</v>
      </c>
      <c r="F20" s="49">
        <v>4</v>
      </c>
      <c r="G20" s="50">
        <f>INDEX($D$35:$E$47,B20,D20)</f>
        <v>0.5</v>
      </c>
      <c r="H20" s="50">
        <f>COUNTIF($R$12:$R$51,"=2")*G20</f>
        <v>20</v>
      </c>
      <c r="I20" s="9">
        <f t="shared" si="11"/>
        <v>12000</v>
      </c>
      <c r="J20" s="9">
        <f t="shared" si="12"/>
        <v>33043.200000000004</v>
      </c>
      <c r="K20" s="153">
        <f t="shared" si="13"/>
        <v>6</v>
      </c>
      <c r="M20" s="27">
        <v>9</v>
      </c>
      <c r="N20" s="28">
        <v>1897</v>
      </c>
      <c r="O20" s="29" t="s">
        <v>13</v>
      </c>
      <c r="P20" s="29" t="s">
        <v>13</v>
      </c>
      <c r="Q20" s="29" t="s">
        <v>13</v>
      </c>
      <c r="R20" s="40">
        <v>2</v>
      </c>
      <c r="T20" s="38" t="s">
        <v>100</v>
      </c>
      <c r="U20" s="39" t="s">
        <v>62</v>
      </c>
      <c r="V20" s="39" t="s">
        <v>100</v>
      </c>
      <c r="W20" s="39" t="s">
        <v>62</v>
      </c>
      <c r="X20" s="39" t="s">
        <v>100</v>
      </c>
      <c r="Y20" s="39" t="s">
        <v>62</v>
      </c>
      <c r="Z20" s="39" t="s">
        <v>62</v>
      </c>
      <c r="AA20" s="39" t="s">
        <v>62</v>
      </c>
      <c r="AB20" s="39" t="s">
        <v>62</v>
      </c>
    </row>
    <row r="21" spans="1:28" x14ac:dyDescent="0.25">
      <c r="B21" s="3">
        <v>13</v>
      </c>
      <c r="C21" s="47" t="str">
        <f t="shared" si="9"/>
        <v>TNP associado a campanha de desmobilização</v>
      </c>
      <c r="D21" s="48">
        <v>2</v>
      </c>
      <c r="E21" s="49" t="str">
        <f t="shared" si="10"/>
        <v>PLSV</v>
      </c>
      <c r="F21" s="56">
        <v>4</v>
      </c>
      <c r="G21" s="50">
        <f>INDEX($D$35:$E$47,B21,D21)</f>
        <v>1.5</v>
      </c>
      <c r="H21" s="50">
        <f>COUNTIF($R$12:$R$51,"=2")*G21</f>
        <v>60</v>
      </c>
      <c r="I21" s="9">
        <f t="shared" si="11"/>
        <v>36000</v>
      </c>
      <c r="J21" s="9">
        <f t="shared" si="12"/>
        <v>99129.60000000002</v>
      </c>
      <c r="K21" s="153">
        <f t="shared" si="13"/>
        <v>18</v>
      </c>
      <c r="M21" s="27">
        <v>10</v>
      </c>
      <c r="N21" s="28">
        <v>2635</v>
      </c>
      <c r="O21" s="29" t="s">
        <v>13</v>
      </c>
      <c r="P21" s="29" t="s">
        <v>13</v>
      </c>
      <c r="Q21" s="29" t="s">
        <v>13</v>
      </c>
      <c r="R21" s="40">
        <v>2</v>
      </c>
      <c r="T21" s="38" t="s">
        <v>100</v>
      </c>
      <c r="U21" s="39" t="s">
        <v>62</v>
      </c>
      <c r="V21" s="39" t="s">
        <v>100</v>
      </c>
      <c r="W21" s="39" t="s">
        <v>62</v>
      </c>
      <c r="X21" s="39" t="s">
        <v>100</v>
      </c>
      <c r="Y21" s="39" t="s">
        <v>62</v>
      </c>
      <c r="Z21" s="39" t="s">
        <v>62</v>
      </c>
      <c r="AA21" s="39" t="s">
        <v>62</v>
      </c>
      <c r="AB21" s="39" t="s">
        <v>62</v>
      </c>
    </row>
    <row r="22" spans="1:28" x14ac:dyDescent="0.25">
      <c r="B22" s="3">
        <v>10</v>
      </c>
      <c r="C22" s="47" t="str">
        <f t="shared" si="9"/>
        <v>Recolhimento (0,3km/h)</v>
      </c>
      <c r="D22" s="48">
        <v>2</v>
      </c>
      <c r="E22" s="49" t="str">
        <f t="shared" si="10"/>
        <v>PLSV</v>
      </c>
      <c r="F22" s="49">
        <v>4</v>
      </c>
      <c r="G22" s="22"/>
      <c r="H22" s="50">
        <f>IF(N5=0,0,(N5/0.3)/24)</f>
        <v>11.258194444444444</v>
      </c>
      <c r="I22" s="9">
        <f t="shared" si="11"/>
        <v>6754.9166666666661</v>
      </c>
      <c r="J22" s="9">
        <f t="shared" si="12"/>
        <v>18600.338533333335</v>
      </c>
      <c r="K22" s="153">
        <f t="shared" si="13"/>
        <v>3.3774583333333328</v>
      </c>
      <c r="M22" s="27">
        <v>11</v>
      </c>
      <c r="N22" s="28">
        <v>1856</v>
      </c>
      <c r="O22" s="29" t="s">
        <v>13</v>
      </c>
      <c r="P22" s="29" t="s">
        <v>13</v>
      </c>
      <c r="Q22" s="29" t="s">
        <v>13</v>
      </c>
      <c r="R22" s="40">
        <v>2</v>
      </c>
      <c r="T22" s="38" t="s">
        <v>100</v>
      </c>
      <c r="U22" s="39" t="s">
        <v>62</v>
      </c>
      <c r="V22" s="39" t="s">
        <v>100</v>
      </c>
      <c r="W22" s="39" t="s">
        <v>62</v>
      </c>
      <c r="X22" s="39" t="s">
        <v>100</v>
      </c>
      <c r="Y22" s="39" t="s">
        <v>62</v>
      </c>
      <c r="Z22" s="39" t="s">
        <v>62</v>
      </c>
      <c r="AA22" s="39" t="s">
        <v>62</v>
      </c>
      <c r="AB22" s="39" t="s">
        <v>62</v>
      </c>
    </row>
    <row r="23" spans="1:28" x14ac:dyDescent="0.25">
      <c r="C23" s="122" t="s">
        <v>15</v>
      </c>
      <c r="D23" s="118"/>
      <c r="E23" s="119"/>
      <c r="F23" s="118"/>
      <c r="G23" s="120"/>
      <c r="H23" s="120"/>
      <c r="I23" s="121"/>
      <c r="J23" s="121"/>
      <c r="K23" s="170"/>
      <c r="M23" s="27">
        <v>12</v>
      </c>
      <c r="N23" s="28">
        <v>1589</v>
      </c>
      <c r="O23" s="29" t="s">
        <v>13</v>
      </c>
      <c r="P23" s="29" t="s">
        <v>14</v>
      </c>
      <c r="Q23" s="29" t="s">
        <v>13</v>
      </c>
      <c r="R23" s="104">
        <v>2</v>
      </c>
      <c r="T23" s="38" t="s">
        <v>62</v>
      </c>
      <c r="U23" s="38" t="s">
        <v>62</v>
      </c>
      <c r="V23" s="38" t="s">
        <v>62</v>
      </c>
      <c r="W23" s="38" t="s">
        <v>62</v>
      </c>
      <c r="X23" s="38" t="s">
        <v>62</v>
      </c>
      <c r="Y23" s="38" t="s">
        <v>62</v>
      </c>
      <c r="Z23" s="38" t="s">
        <v>62</v>
      </c>
      <c r="AA23" s="38" t="s">
        <v>62</v>
      </c>
      <c r="AB23" s="38" t="s">
        <v>62</v>
      </c>
    </row>
    <row r="24" spans="1:28" ht="15.75" customHeight="1" x14ac:dyDescent="0.25">
      <c r="B24" s="3">
        <v>5</v>
      </c>
      <c r="C24" s="47" t="str">
        <f>VLOOKUP(B24,$B$35:$C$47,2)</f>
        <v>Tamponamento da linha de óleo</v>
      </c>
      <c r="D24" s="19">
        <v>2</v>
      </c>
      <c r="E24" s="49" t="str">
        <f>VLOOKUP(D24,$B$31:$D$32,3)</f>
        <v>PLSV</v>
      </c>
      <c r="F24" s="7">
        <v>4</v>
      </c>
      <c r="G24" s="23">
        <f>INDEX($D$35:$E$47,B24,D24)</f>
        <v>0.33333333333333331</v>
      </c>
      <c r="H24" s="23">
        <f>COUNTIF($O$12:$O$51,"=S")*G24</f>
        <v>1.6666666666666665</v>
      </c>
      <c r="I24" s="9">
        <f>INDEX($E$31:$I$32,D24,F24)*H24*24</f>
        <v>1000</v>
      </c>
      <c r="J24" s="9">
        <f>_xlfn.XLOOKUP(D24,$B$31:$B$32,$J$31:$J$32)*I24/1000</f>
        <v>2753.6000000000004</v>
      </c>
      <c r="K24" s="153">
        <f>VLOOKUP(D24,$B$31:$K$32,10)*H24</f>
        <v>0.49999999999999994</v>
      </c>
      <c r="M24" s="27">
        <v>13</v>
      </c>
      <c r="N24" s="28">
        <v>854</v>
      </c>
      <c r="O24" s="29" t="s">
        <v>13</v>
      </c>
      <c r="P24" s="29" t="s">
        <v>13</v>
      </c>
      <c r="Q24" s="29" t="s">
        <v>13</v>
      </c>
      <c r="R24" s="40">
        <v>2</v>
      </c>
      <c r="T24" s="38" t="s">
        <v>100</v>
      </c>
      <c r="U24" s="39" t="s">
        <v>62</v>
      </c>
      <c r="V24" s="39" t="s">
        <v>100</v>
      </c>
      <c r="W24" s="39" t="s">
        <v>62</v>
      </c>
      <c r="X24" s="39" t="s">
        <v>62</v>
      </c>
      <c r="Y24" s="39" t="s">
        <v>62</v>
      </c>
      <c r="Z24" s="39" t="s">
        <v>62</v>
      </c>
      <c r="AA24" s="39" t="s">
        <v>62</v>
      </c>
      <c r="AB24" s="39" t="s">
        <v>62</v>
      </c>
    </row>
    <row r="25" spans="1:28" x14ac:dyDescent="0.25">
      <c r="B25" s="3">
        <v>11</v>
      </c>
      <c r="C25" s="47" t="str">
        <f>VLOOKUP(B25,$B$35:$C$47,2)</f>
        <v>Transporte (125km e 43h)</v>
      </c>
      <c r="D25" s="19">
        <v>2</v>
      </c>
      <c r="E25" s="49" t="str">
        <f>VLOOKUP(D25,$B$31:$D$32,3)</f>
        <v>PLSV</v>
      </c>
      <c r="F25" s="56">
        <v>3</v>
      </c>
      <c r="G25" s="50">
        <f>INDEX($D$35:$E$47,B25,D25)</f>
        <v>2</v>
      </c>
      <c r="H25" s="50">
        <f>(ROUNDUP(COUNTIF($O$12:$O$51,"=N")/5,0)+COUNTIF($O$12:$O$51,"=S"))*G25</f>
        <v>24</v>
      </c>
      <c r="I25" s="57">
        <f>INDEX($E$31:$I$32,D25,F25)*H25*24</f>
        <v>23040</v>
      </c>
      <c r="J25" s="57">
        <f>_xlfn.XLOOKUP(D25,$B$31:$B$32,$J$31:$J$32)*I25/1000</f>
        <v>63442.94400000001</v>
      </c>
      <c r="K25" s="153">
        <f>VLOOKUP(D25,$B$31:$K$32,10)*H25</f>
        <v>7.1999999999999993</v>
      </c>
      <c r="M25" s="27">
        <v>14</v>
      </c>
      <c r="N25" s="28">
        <v>956</v>
      </c>
      <c r="O25" s="29" t="s">
        <v>13</v>
      </c>
      <c r="P25" s="29" t="s">
        <v>13</v>
      </c>
      <c r="Q25" s="29" t="s">
        <v>14</v>
      </c>
      <c r="R25" s="147">
        <v>2</v>
      </c>
      <c r="T25" s="38" t="s">
        <v>61</v>
      </c>
      <c r="U25" s="39" t="s">
        <v>62</v>
      </c>
      <c r="V25" s="39" t="s">
        <v>62</v>
      </c>
      <c r="W25" s="39" t="s">
        <v>62</v>
      </c>
      <c r="X25" s="39" t="s">
        <v>62</v>
      </c>
      <c r="Y25" s="39" t="s">
        <v>62</v>
      </c>
      <c r="Z25" s="39" t="s">
        <v>62</v>
      </c>
      <c r="AA25" s="39" t="s">
        <v>62</v>
      </c>
      <c r="AB25" s="39" t="s">
        <v>62</v>
      </c>
    </row>
    <row r="26" spans="1:28" ht="15.75" thickBot="1" x14ac:dyDescent="0.3">
      <c r="B26" s="3">
        <v>12</v>
      </c>
      <c r="C26" s="58" t="str">
        <f>VLOOKUP(B26,$B$35:$C$47,2)</f>
        <v>Descarregamento (5un)</v>
      </c>
      <c r="D26" s="59">
        <v>2</v>
      </c>
      <c r="E26" s="60" t="str">
        <f>VLOOKUP(D26,$B$31:$D$32,3)</f>
        <v>PLSV</v>
      </c>
      <c r="F26" s="61">
        <v>2</v>
      </c>
      <c r="G26" s="62">
        <f>INDEX($D$35:$E$47,B26,D26)</f>
        <v>6</v>
      </c>
      <c r="H26" s="62">
        <f>(ROUNDUP(COUNTIF($O$12:$O$51,"=N")/5,0)+COUNTIF($O$12:$O$51,"=S"))*G26</f>
        <v>72</v>
      </c>
      <c r="I26" s="137">
        <f>INDEX($E$31:$I$32,D26,F26)*H26*24</f>
        <v>6912</v>
      </c>
      <c r="J26" s="137">
        <f>_xlfn.XLOOKUP(D26,$B$31:$B$32,$J$31:$J$32)*I26/1000</f>
        <v>19032.883200000004</v>
      </c>
      <c r="K26" s="155">
        <f>VLOOKUP(D26,$B$31:$K$32,10)*H26</f>
        <v>21.599999999999998</v>
      </c>
      <c r="M26" s="27">
        <v>15</v>
      </c>
      <c r="N26" s="28">
        <v>1456</v>
      </c>
      <c r="O26" s="29" t="s">
        <v>13</v>
      </c>
      <c r="P26" s="29" t="s">
        <v>13</v>
      </c>
      <c r="Q26" s="29" t="s">
        <v>13</v>
      </c>
      <c r="R26" s="40">
        <v>2</v>
      </c>
      <c r="T26" s="38" t="s">
        <v>100</v>
      </c>
      <c r="U26" s="39" t="s">
        <v>62</v>
      </c>
      <c r="V26" s="39" t="s">
        <v>100</v>
      </c>
      <c r="W26" s="39" t="s">
        <v>62</v>
      </c>
      <c r="X26" s="39" t="s">
        <v>100</v>
      </c>
      <c r="Y26" s="39" t="s">
        <v>62</v>
      </c>
      <c r="Z26" s="39" t="s">
        <v>62</v>
      </c>
      <c r="AA26" s="39" t="s">
        <v>62</v>
      </c>
      <c r="AB26" s="39" t="s">
        <v>62</v>
      </c>
    </row>
    <row r="27" spans="1:28" customFormat="1" x14ac:dyDescent="0.25">
      <c r="A27" s="3"/>
      <c r="B27" s="3"/>
      <c r="C27" s="2"/>
      <c r="D27" s="3"/>
      <c r="E27" s="3"/>
      <c r="F27" s="3"/>
      <c r="G27" s="3"/>
      <c r="H27" s="3"/>
      <c r="I27" s="3"/>
      <c r="J27" s="3"/>
      <c r="K27" s="3"/>
      <c r="M27" s="27">
        <v>16</v>
      </c>
      <c r="N27" s="28">
        <v>2514</v>
      </c>
      <c r="O27" s="29" t="s">
        <v>13</v>
      </c>
      <c r="P27" s="29" t="s">
        <v>13</v>
      </c>
      <c r="Q27" s="29" t="s">
        <v>13</v>
      </c>
      <c r="R27" s="40">
        <v>2</v>
      </c>
      <c r="S27" s="2"/>
      <c r="T27" s="38" t="s">
        <v>100</v>
      </c>
      <c r="U27" s="39" t="s">
        <v>62</v>
      </c>
      <c r="V27" s="39" t="s">
        <v>100</v>
      </c>
      <c r="W27" s="39" t="s">
        <v>62</v>
      </c>
      <c r="X27" s="39" t="s">
        <v>100</v>
      </c>
      <c r="Y27" s="39" t="s">
        <v>62</v>
      </c>
      <c r="Z27" s="39" t="s">
        <v>62</v>
      </c>
      <c r="AA27" s="39" t="s">
        <v>62</v>
      </c>
      <c r="AB27" s="39" t="s">
        <v>62</v>
      </c>
    </row>
    <row r="28" spans="1:28" customFormat="1" ht="15.75" thickBot="1" x14ac:dyDescent="0.3">
      <c r="A28" s="3"/>
      <c r="B28" s="3"/>
      <c r="C28" s="2"/>
      <c r="D28" s="3"/>
      <c r="E28" s="3"/>
      <c r="F28" s="3"/>
      <c r="G28" s="3"/>
      <c r="H28" s="3"/>
      <c r="I28" s="3"/>
      <c r="J28" s="3"/>
      <c r="K28" s="3"/>
      <c r="M28" s="27">
        <v>17</v>
      </c>
      <c r="N28" s="28">
        <v>1032</v>
      </c>
      <c r="O28" s="29" t="s">
        <v>13</v>
      </c>
      <c r="P28" s="29" t="s">
        <v>13</v>
      </c>
      <c r="Q28" s="29" t="s">
        <v>13</v>
      </c>
      <c r="R28" s="40">
        <v>2</v>
      </c>
      <c r="S28" s="2"/>
      <c r="T28" s="38" t="s">
        <v>100</v>
      </c>
      <c r="U28" s="39" t="s">
        <v>62</v>
      </c>
      <c r="V28" s="39" t="s">
        <v>100</v>
      </c>
      <c r="W28" s="39" t="s">
        <v>62</v>
      </c>
      <c r="X28" s="39" t="s">
        <v>62</v>
      </c>
      <c r="Y28" s="39" t="s">
        <v>62</v>
      </c>
      <c r="Z28" s="39" t="s">
        <v>62</v>
      </c>
      <c r="AA28" s="39" t="s">
        <v>62</v>
      </c>
      <c r="AB28" s="39" t="s">
        <v>62</v>
      </c>
    </row>
    <row r="29" spans="1:28" customFormat="1" ht="15.75" thickBot="1" x14ac:dyDescent="0.3">
      <c r="A29" s="7"/>
      <c r="B29" s="7"/>
      <c r="C29" s="8"/>
      <c r="D29" s="7"/>
      <c r="E29" s="10"/>
      <c r="F29" s="11"/>
      <c r="G29" s="14" t="s">
        <v>35</v>
      </c>
      <c r="H29" s="11"/>
      <c r="I29" s="12"/>
      <c r="J29" s="35"/>
      <c r="K29" s="7"/>
      <c r="M29" s="27">
        <v>18</v>
      </c>
      <c r="N29" s="28">
        <v>798</v>
      </c>
      <c r="O29" s="29" t="s">
        <v>13</v>
      </c>
      <c r="P29" s="29" t="s">
        <v>13</v>
      </c>
      <c r="Q29" s="29" t="s">
        <v>13</v>
      </c>
      <c r="R29" s="40">
        <v>2</v>
      </c>
      <c r="S29" s="2"/>
      <c r="T29" s="38" t="s">
        <v>100</v>
      </c>
      <c r="U29" s="39" t="s">
        <v>62</v>
      </c>
      <c r="V29" s="39" t="s">
        <v>62</v>
      </c>
      <c r="W29" s="39" t="s">
        <v>62</v>
      </c>
      <c r="X29" s="39" t="s">
        <v>62</v>
      </c>
      <c r="Y29" s="39" t="s">
        <v>62</v>
      </c>
      <c r="Z29" s="39" t="s">
        <v>62</v>
      </c>
      <c r="AA29" s="39" t="s">
        <v>62</v>
      </c>
      <c r="AB29" s="39" t="s">
        <v>62</v>
      </c>
    </row>
    <row r="30" spans="1:28" customFormat="1" ht="15" customHeight="1" x14ac:dyDescent="0.25">
      <c r="A30" s="3"/>
      <c r="B30" s="76" t="s">
        <v>40</v>
      </c>
      <c r="C30" s="78" t="s">
        <v>0</v>
      </c>
      <c r="D30" s="79" t="s">
        <v>34</v>
      </c>
      <c r="E30" s="88" t="s">
        <v>25</v>
      </c>
      <c r="F30" s="88" t="s">
        <v>27</v>
      </c>
      <c r="G30" s="88" t="s">
        <v>28</v>
      </c>
      <c r="H30" s="88" t="s">
        <v>29</v>
      </c>
      <c r="I30" s="88" t="s">
        <v>30</v>
      </c>
      <c r="J30" s="80" t="s">
        <v>47</v>
      </c>
      <c r="K30" s="81" t="s">
        <v>95</v>
      </c>
      <c r="M30" s="27">
        <v>19</v>
      </c>
      <c r="N30" s="28">
        <v>2987</v>
      </c>
      <c r="O30" s="29" t="s">
        <v>13</v>
      </c>
      <c r="P30" s="29" t="s">
        <v>13</v>
      </c>
      <c r="Q30" s="29" t="s">
        <v>13</v>
      </c>
      <c r="R30" s="40">
        <v>2</v>
      </c>
      <c r="S30" s="2"/>
      <c r="T30" s="38" t="s">
        <v>100</v>
      </c>
      <c r="U30" s="39" t="s">
        <v>62</v>
      </c>
      <c r="V30" s="39" t="s">
        <v>100</v>
      </c>
      <c r="W30" s="39" t="s">
        <v>62</v>
      </c>
      <c r="X30" s="39" t="s">
        <v>100</v>
      </c>
      <c r="Y30" s="39" t="s">
        <v>62</v>
      </c>
      <c r="Z30" s="39" t="s">
        <v>62</v>
      </c>
      <c r="AA30" s="39" t="s">
        <v>62</v>
      </c>
      <c r="AB30" s="39" t="s">
        <v>62</v>
      </c>
    </row>
    <row r="31" spans="1:28" customFormat="1" x14ac:dyDescent="0.25">
      <c r="A31" s="3"/>
      <c r="B31" s="77">
        <v>1</v>
      </c>
      <c r="C31" s="46" t="s">
        <v>24</v>
      </c>
      <c r="D31" s="16" t="s">
        <v>8</v>
      </c>
      <c r="E31" s="45">
        <v>1</v>
      </c>
      <c r="F31" s="45">
        <v>2</v>
      </c>
      <c r="G31" s="45">
        <f>(26+28)/2</f>
        <v>27</v>
      </c>
      <c r="H31" s="45">
        <f>(18+25)/2</f>
        <v>21.5</v>
      </c>
      <c r="I31" s="45">
        <f>(9+25)/2</f>
        <v>17</v>
      </c>
      <c r="J31" s="75">
        <f xml:space="preserve"> 0.8605*3200</f>
        <v>2753.6000000000004</v>
      </c>
      <c r="K31" s="82">
        <v>0.1</v>
      </c>
      <c r="M31" s="27">
        <v>20</v>
      </c>
      <c r="N31" s="28">
        <v>1568</v>
      </c>
      <c r="O31" s="29" t="s">
        <v>13</v>
      </c>
      <c r="P31" s="29" t="s">
        <v>13</v>
      </c>
      <c r="Q31" s="29" t="s">
        <v>13</v>
      </c>
      <c r="R31" s="40">
        <v>2</v>
      </c>
      <c r="S31" s="2"/>
      <c r="T31" s="38" t="s">
        <v>100</v>
      </c>
      <c r="U31" s="39" t="s">
        <v>62</v>
      </c>
      <c r="V31" s="39" t="s">
        <v>100</v>
      </c>
      <c r="W31" s="39" t="s">
        <v>62</v>
      </c>
      <c r="X31" s="39" t="s">
        <v>100</v>
      </c>
      <c r="Y31" s="39" t="s">
        <v>62</v>
      </c>
      <c r="Z31" s="39" t="s">
        <v>62</v>
      </c>
      <c r="AA31" s="39" t="s">
        <v>62</v>
      </c>
      <c r="AB31" s="39" t="s">
        <v>62</v>
      </c>
    </row>
    <row r="32" spans="1:28" customFormat="1" ht="15.75" thickBot="1" x14ac:dyDescent="0.3">
      <c r="A32" s="3"/>
      <c r="B32" s="77">
        <v>2</v>
      </c>
      <c r="C32" s="83" t="s">
        <v>26</v>
      </c>
      <c r="D32" s="84" t="s">
        <v>7</v>
      </c>
      <c r="E32" s="85">
        <v>3</v>
      </c>
      <c r="F32" s="85">
        <v>4</v>
      </c>
      <c r="G32" s="85">
        <v>40</v>
      </c>
      <c r="H32" s="85">
        <v>25</v>
      </c>
      <c r="I32" s="85">
        <v>14</v>
      </c>
      <c r="J32" s="86">
        <f xml:space="preserve"> 0.8605*3200</f>
        <v>2753.6000000000004</v>
      </c>
      <c r="K32" s="87">
        <v>0.3</v>
      </c>
      <c r="M32" s="27">
        <v>21</v>
      </c>
      <c r="N32" s="28">
        <v>1698</v>
      </c>
      <c r="O32" s="29" t="s">
        <v>13</v>
      </c>
      <c r="P32" s="29" t="s">
        <v>13</v>
      </c>
      <c r="Q32" s="29" t="s">
        <v>13</v>
      </c>
      <c r="R32" s="40">
        <v>2</v>
      </c>
      <c r="S32" s="2"/>
      <c r="T32" s="38" t="s">
        <v>100</v>
      </c>
      <c r="U32" s="39" t="s">
        <v>62</v>
      </c>
      <c r="V32" s="39" t="s">
        <v>100</v>
      </c>
      <c r="W32" s="39" t="s">
        <v>62</v>
      </c>
      <c r="X32" s="39" t="s">
        <v>100</v>
      </c>
      <c r="Y32" s="39" t="s">
        <v>62</v>
      </c>
      <c r="Z32" s="39" t="s">
        <v>62</v>
      </c>
      <c r="AA32" s="39" t="s">
        <v>62</v>
      </c>
      <c r="AB32" s="39" t="s">
        <v>62</v>
      </c>
    </row>
    <row r="33" spans="1:28" customFormat="1" ht="15.75" thickBot="1" x14ac:dyDescent="0.3">
      <c r="A33" s="3"/>
      <c r="B33" s="3"/>
      <c r="C33" s="2"/>
      <c r="D33" s="2"/>
      <c r="E33" s="2"/>
      <c r="F33" s="2"/>
      <c r="G33" s="3"/>
      <c r="H33" s="3"/>
      <c r="I33" s="3"/>
      <c r="J33" s="3"/>
      <c r="K33" s="3"/>
      <c r="M33" s="27">
        <v>22</v>
      </c>
      <c r="N33" s="28">
        <v>4568</v>
      </c>
      <c r="O33" s="29" t="s">
        <v>14</v>
      </c>
      <c r="P33" s="29" t="s">
        <v>13</v>
      </c>
      <c r="Q33" s="29" t="s">
        <v>13</v>
      </c>
      <c r="R33" s="40">
        <v>2</v>
      </c>
      <c r="S33" s="2"/>
      <c r="T33" s="38" t="s">
        <v>100</v>
      </c>
      <c r="U33" s="39" t="s">
        <v>62</v>
      </c>
      <c r="V33" s="39" t="s">
        <v>100</v>
      </c>
      <c r="W33" s="39" t="s">
        <v>62</v>
      </c>
      <c r="X33" s="39" t="s">
        <v>100</v>
      </c>
      <c r="Y33" s="39" t="s">
        <v>62</v>
      </c>
      <c r="Z33" s="39" t="s">
        <v>62</v>
      </c>
      <c r="AA33" s="39" t="s">
        <v>62</v>
      </c>
      <c r="AB33" s="39" t="s">
        <v>62</v>
      </c>
    </row>
    <row r="34" spans="1:28" customFormat="1" x14ac:dyDescent="0.25">
      <c r="A34" s="3"/>
      <c r="B34" s="3"/>
      <c r="C34" s="129" t="s">
        <v>67</v>
      </c>
      <c r="D34" s="130" t="s">
        <v>8</v>
      </c>
      <c r="E34" s="131" t="s">
        <v>7</v>
      </c>
      <c r="F34" s="2"/>
      <c r="G34" s="3"/>
      <c r="H34" s="3"/>
      <c r="I34" s="3"/>
      <c r="J34" s="3"/>
      <c r="K34" s="3"/>
      <c r="M34" s="27">
        <v>23</v>
      </c>
      <c r="N34" s="28">
        <v>1789</v>
      </c>
      <c r="O34" s="29" t="s">
        <v>13</v>
      </c>
      <c r="P34" s="29" t="s">
        <v>13</v>
      </c>
      <c r="Q34" s="29" t="s">
        <v>13</v>
      </c>
      <c r="R34" s="40">
        <v>2</v>
      </c>
      <c r="S34" s="2"/>
      <c r="T34" s="38" t="s">
        <v>100</v>
      </c>
      <c r="U34" s="39" t="s">
        <v>62</v>
      </c>
      <c r="V34" s="39" t="s">
        <v>100</v>
      </c>
      <c r="W34" s="39" t="s">
        <v>62</v>
      </c>
      <c r="X34" s="39" t="s">
        <v>100</v>
      </c>
      <c r="Y34" s="39" t="s">
        <v>62</v>
      </c>
      <c r="Z34" s="39" t="s">
        <v>62</v>
      </c>
      <c r="AA34" s="39" t="s">
        <v>62</v>
      </c>
      <c r="AB34" s="39" t="s">
        <v>62</v>
      </c>
    </row>
    <row r="35" spans="1:28" x14ac:dyDescent="0.25">
      <c r="B35" s="3">
        <v>1</v>
      </c>
      <c r="C35" s="47" t="s">
        <v>2</v>
      </c>
      <c r="D35" s="7">
        <v>1</v>
      </c>
      <c r="E35" s="125">
        <f>D35/6</f>
        <v>0.16666666666666666</v>
      </c>
      <c r="F35" s="2"/>
      <c r="M35" s="27">
        <v>24</v>
      </c>
      <c r="N35" s="28">
        <v>2036</v>
      </c>
      <c r="O35" s="29" t="s">
        <v>13</v>
      </c>
      <c r="P35" s="29" t="s">
        <v>13</v>
      </c>
      <c r="Q35" s="29" t="s">
        <v>13</v>
      </c>
      <c r="R35" s="40">
        <v>2</v>
      </c>
      <c r="T35" s="38" t="s">
        <v>100</v>
      </c>
      <c r="U35" s="39" t="s">
        <v>62</v>
      </c>
      <c r="V35" s="39" t="s">
        <v>100</v>
      </c>
      <c r="W35" s="39" t="s">
        <v>62</v>
      </c>
      <c r="X35" s="39" t="s">
        <v>100</v>
      </c>
      <c r="Y35" s="39" t="s">
        <v>62</v>
      </c>
      <c r="Z35" s="39" t="s">
        <v>62</v>
      </c>
      <c r="AA35" s="39" t="s">
        <v>62</v>
      </c>
      <c r="AB35" s="39" t="s">
        <v>62</v>
      </c>
    </row>
    <row r="36" spans="1:28" x14ac:dyDescent="0.25">
      <c r="B36" s="3">
        <v>2</v>
      </c>
      <c r="C36" s="47" t="s">
        <v>3</v>
      </c>
      <c r="D36" s="7">
        <v>2</v>
      </c>
      <c r="E36" s="125">
        <f>D36/6</f>
        <v>0.33333333333333331</v>
      </c>
      <c r="F36" s="6"/>
      <c r="M36" s="27">
        <v>25</v>
      </c>
      <c r="N36" s="28">
        <v>5014</v>
      </c>
      <c r="O36" s="29" t="s">
        <v>14</v>
      </c>
      <c r="P36" s="29" t="s">
        <v>13</v>
      </c>
      <c r="Q36" s="29" t="s">
        <v>13</v>
      </c>
      <c r="R36" s="40">
        <v>2</v>
      </c>
      <c r="T36" s="38" t="s">
        <v>100</v>
      </c>
      <c r="U36" s="39" t="s">
        <v>62</v>
      </c>
      <c r="V36" s="39" t="s">
        <v>100</v>
      </c>
      <c r="W36" s="39" t="s">
        <v>62</v>
      </c>
      <c r="X36" s="39" t="s">
        <v>100</v>
      </c>
      <c r="Y36" s="39" t="s">
        <v>62</v>
      </c>
      <c r="Z36" s="39" t="s">
        <v>62</v>
      </c>
      <c r="AA36" s="39" t="s">
        <v>62</v>
      </c>
      <c r="AB36" s="39" t="s">
        <v>62</v>
      </c>
    </row>
    <row r="37" spans="1:28" x14ac:dyDescent="0.25">
      <c r="B37" s="3">
        <v>3</v>
      </c>
      <c r="C37" s="47" t="s">
        <v>38</v>
      </c>
      <c r="D37" s="7">
        <v>1.5</v>
      </c>
      <c r="E37" s="116">
        <f>D37/6</f>
        <v>0.25</v>
      </c>
      <c r="F37" s="2"/>
      <c r="M37" s="27">
        <v>26</v>
      </c>
      <c r="N37" s="28">
        <v>1056</v>
      </c>
      <c r="O37" s="29" t="s">
        <v>13</v>
      </c>
      <c r="P37" s="29" t="s">
        <v>13</v>
      </c>
      <c r="Q37" s="29" t="s">
        <v>13</v>
      </c>
      <c r="R37" s="40">
        <v>2</v>
      </c>
      <c r="T37" s="38" t="s">
        <v>100</v>
      </c>
      <c r="U37" s="39" t="s">
        <v>62</v>
      </c>
      <c r="V37" s="39" t="s">
        <v>100</v>
      </c>
      <c r="W37" s="39" t="s">
        <v>62</v>
      </c>
      <c r="X37" s="39" t="s">
        <v>62</v>
      </c>
      <c r="Y37" s="39" t="s">
        <v>62</v>
      </c>
      <c r="Z37" s="39" t="s">
        <v>62</v>
      </c>
      <c r="AA37" s="39" t="s">
        <v>62</v>
      </c>
      <c r="AB37" s="39" t="s">
        <v>62</v>
      </c>
    </row>
    <row r="38" spans="1:28" x14ac:dyDescent="0.25">
      <c r="B38" s="3">
        <v>4</v>
      </c>
      <c r="C38" s="47" t="s">
        <v>4</v>
      </c>
      <c r="D38" s="7">
        <v>2</v>
      </c>
      <c r="E38" s="125">
        <f>D38/6</f>
        <v>0.33333333333333331</v>
      </c>
      <c r="M38" s="27">
        <v>27</v>
      </c>
      <c r="N38" s="28">
        <v>987</v>
      </c>
      <c r="O38" s="29" t="s">
        <v>13</v>
      </c>
      <c r="P38" s="29" t="s">
        <v>14</v>
      </c>
      <c r="Q38" s="29" t="s">
        <v>13</v>
      </c>
      <c r="R38" s="104">
        <v>2</v>
      </c>
      <c r="T38" s="38" t="s">
        <v>62</v>
      </c>
      <c r="U38" s="38" t="s">
        <v>62</v>
      </c>
      <c r="V38" s="38" t="s">
        <v>62</v>
      </c>
      <c r="W38" s="38" t="s">
        <v>62</v>
      </c>
      <c r="X38" s="38" t="s">
        <v>62</v>
      </c>
      <c r="Y38" s="38" t="s">
        <v>62</v>
      </c>
      <c r="Z38" s="38" t="s">
        <v>62</v>
      </c>
      <c r="AA38" s="38" t="s">
        <v>62</v>
      </c>
      <c r="AB38" s="38" t="s">
        <v>62</v>
      </c>
    </row>
    <row r="39" spans="1:28" x14ac:dyDescent="0.25">
      <c r="B39" s="3">
        <v>5</v>
      </c>
      <c r="C39" s="114" t="s">
        <v>19</v>
      </c>
      <c r="D39" s="7">
        <v>2</v>
      </c>
      <c r="E39" s="125">
        <f>D39/6</f>
        <v>0.33333333333333331</v>
      </c>
      <c r="G39" s="2"/>
      <c r="M39" s="27">
        <v>28</v>
      </c>
      <c r="N39" s="28">
        <v>1120</v>
      </c>
      <c r="O39" s="29" t="s">
        <v>13</v>
      </c>
      <c r="P39" s="29" t="s">
        <v>13</v>
      </c>
      <c r="Q39" s="29" t="s">
        <v>13</v>
      </c>
      <c r="R39" s="40">
        <v>2</v>
      </c>
      <c r="T39" s="38" t="s">
        <v>100</v>
      </c>
      <c r="U39" s="39" t="s">
        <v>62</v>
      </c>
      <c r="V39" s="39" t="s">
        <v>100</v>
      </c>
      <c r="W39" s="39" t="s">
        <v>62</v>
      </c>
      <c r="X39" s="39" t="s">
        <v>62</v>
      </c>
      <c r="Y39" s="39" t="s">
        <v>62</v>
      </c>
      <c r="Z39" s="39" t="s">
        <v>62</v>
      </c>
      <c r="AA39" s="39" t="s">
        <v>62</v>
      </c>
      <c r="AB39" s="39" t="s">
        <v>62</v>
      </c>
    </row>
    <row r="40" spans="1:28" x14ac:dyDescent="0.25">
      <c r="B40" s="3">
        <v>6</v>
      </c>
      <c r="C40" s="132" t="s">
        <v>53</v>
      </c>
      <c r="D40" s="7" t="s">
        <v>69</v>
      </c>
      <c r="E40" s="116">
        <v>1</v>
      </c>
      <c r="G40" s="2"/>
      <c r="M40" s="27">
        <v>29</v>
      </c>
      <c r="N40" s="28">
        <v>4015</v>
      </c>
      <c r="O40" s="29" t="s">
        <v>14</v>
      </c>
      <c r="P40" s="29" t="s">
        <v>13</v>
      </c>
      <c r="Q40" s="29" t="s">
        <v>13</v>
      </c>
      <c r="R40" s="40">
        <v>2</v>
      </c>
      <c r="T40" s="38" t="s">
        <v>100</v>
      </c>
      <c r="U40" s="39" t="s">
        <v>62</v>
      </c>
      <c r="V40" s="39" t="s">
        <v>100</v>
      </c>
      <c r="W40" s="39" t="s">
        <v>62</v>
      </c>
      <c r="X40" s="39" t="s">
        <v>100</v>
      </c>
      <c r="Y40" s="39" t="s">
        <v>62</v>
      </c>
      <c r="Z40" s="39" t="s">
        <v>62</v>
      </c>
      <c r="AA40" s="39" t="s">
        <v>62</v>
      </c>
      <c r="AB40" s="39" t="s">
        <v>62</v>
      </c>
    </row>
    <row r="41" spans="1:28" x14ac:dyDescent="0.25">
      <c r="B41" s="3">
        <v>7</v>
      </c>
      <c r="C41" s="132" t="s">
        <v>54</v>
      </c>
      <c r="D41" s="7" t="s">
        <v>69</v>
      </c>
      <c r="E41" s="116">
        <v>0.5</v>
      </c>
      <c r="M41" s="27">
        <v>30</v>
      </c>
      <c r="N41" s="28">
        <v>1688</v>
      </c>
      <c r="O41" s="29" t="s">
        <v>13</v>
      </c>
      <c r="P41" s="29" t="s">
        <v>13</v>
      </c>
      <c r="Q41" s="29" t="s">
        <v>13</v>
      </c>
      <c r="R41" s="40">
        <v>2</v>
      </c>
      <c r="T41" s="38" t="s">
        <v>100</v>
      </c>
      <c r="U41" s="39" t="s">
        <v>62</v>
      </c>
      <c r="V41" s="39" t="s">
        <v>100</v>
      </c>
      <c r="W41" s="39" t="s">
        <v>62</v>
      </c>
      <c r="X41" s="39" t="s">
        <v>100</v>
      </c>
      <c r="Y41" s="39" t="s">
        <v>62</v>
      </c>
      <c r="Z41" s="39" t="s">
        <v>62</v>
      </c>
      <c r="AA41" s="39" t="s">
        <v>62</v>
      </c>
      <c r="AB41" s="39" t="s">
        <v>62</v>
      </c>
    </row>
    <row r="42" spans="1:28" x14ac:dyDescent="0.25">
      <c r="B42" s="3">
        <v>8</v>
      </c>
      <c r="C42" s="47" t="s">
        <v>16</v>
      </c>
      <c r="D42" s="7" t="s">
        <v>69</v>
      </c>
      <c r="E42" s="116">
        <v>0.5</v>
      </c>
      <c r="M42" s="27">
        <v>31</v>
      </c>
      <c r="N42" s="28">
        <v>3879</v>
      </c>
      <c r="O42" s="29" t="s">
        <v>13</v>
      </c>
      <c r="P42" s="29" t="s">
        <v>13</v>
      </c>
      <c r="Q42" s="29" t="s">
        <v>13</v>
      </c>
      <c r="R42" s="40">
        <v>2</v>
      </c>
      <c r="T42" s="38" t="s">
        <v>100</v>
      </c>
      <c r="U42" s="39" t="s">
        <v>62</v>
      </c>
      <c r="V42" s="39" t="s">
        <v>100</v>
      </c>
      <c r="W42" s="39" t="s">
        <v>62</v>
      </c>
      <c r="X42" s="39" t="s">
        <v>100</v>
      </c>
      <c r="Y42" s="39" t="s">
        <v>62</v>
      </c>
      <c r="Z42" s="39" t="s">
        <v>62</v>
      </c>
      <c r="AA42" s="39" t="s">
        <v>62</v>
      </c>
      <c r="AB42" s="39" t="s">
        <v>62</v>
      </c>
    </row>
    <row r="43" spans="1:28" x14ac:dyDescent="0.25">
      <c r="B43" s="3">
        <v>9</v>
      </c>
      <c r="C43" s="115" t="s">
        <v>18</v>
      </c>
      <c r="D43" s="3" t="s">
        <v>69</v>
      </c>
      <c r="E43" s="116">
        <v>0.5</v>
      </c>
      <c r="M43" s="27">
        <v>32</v>
      </c>
      <c r="N43" s="28">
        <v>1658</v>
      </c>
      <c r="O43" s="29" t="s">
        <v>13</v>
      </c>
      <c r="P43" s="29" t="s">
        <v>13</v>
      </c>
      <c r="Q43" s="29" t="s">
        <v>13</v>
      </c>
      <c r="R43" s="40">
        <v>2</v>
      </c>
      <c r="T43" s="38" t="s">
        <v>100</v>
      </c>
      <c r="U43" s="39" t="s">
        <v>62</v>
      </c>
      <c r="V43" s="39" t="s">
        <v>100</v>
      </c>
      <c r="W43" s="39" t="s">
        <v>62</v>
      </c>
      <c r="X43" s="39" t="s">
        <v>100</v>
      </c>
      <c r="Y43" s="39" t="s">
        <v>62</v>
      </c>
      <c r="Z43" s="39" t="s">
        <v>62</v>
      </c>
      <c r="AA43" s="39" t="s">
        <v>62</v>
      </c>
      <c r="AB43" s="39" t="s">
        <v>62</v>
      </c>
    </row>
    <row r="44" spans="1:28" x14ac:dyDescent="0.25">
      <c r="B44" s="3">
        <v>10</v>
      </c>
      <c r="C44" s="132" t="s">
        <v>36</v>
      </c>
      <c r="D44" s="7" t="s">
        <v>69</v>
      </c>
      <c r="E44" s="125">
        <v>0.3</v>
      </c>
      <c r="M44" s="27">
        <v>33</v>
      </c>
      <c r="N44" s="28">
        <v>1589</v>
      </c>
      <c r="O44" s="29" t="s">
        <v>13</v>
      </c>
      <c r="P44" s="29" t="s">
        <v>13</v>
      </c>
      <c r="Q44" s="29" t="s">
        <v>13</v>
      </c>
      <c r="R44" s="40">
        <v>2</v>
      </c>
      <c r="T44" s="38" t="s">
        <v>100</v>
      </c>
      <c r="U44" s="39" t="s">
        <v>62</v>
      </c>
      <c r="V44" s="39" t="s">
        <v>100</v>
      </c>
      <c r="W44" s="39" t="s">
        <v>62</v>
      </c>
      <c r="X44" s="39" t="s">
        <v>100</v>
      </c>
      <c r="Y44" s="39" t="s">
        <v>62</v>
      </c>
      <c r="Z44" s="39" t="s">
        <v>62</v>
      </c>
      <c r="AA44" s="39" t="s">
        <v>62</v>
      </c>
      <c r="AB44" s="39" t="s">
        <v>62</v>
      </c>
    </row>
    <row r="45" spans="1:28" x14ac:dyDescent="0.25">
      <c r="B45" s="3">
        <v>11</v>
      </c>
      <c r="C45" s="132" t="s">
        <v>68</v>
      </c>
      <c r="D45" s="7" t="s">
        <v>69</v>
      </c>
      <c r="E45" s="116">
        <v>2</v>
      </c>
      <c r="F45" s="136" t="s">
        <v>70</v>
      </c>
      <c r="M45" s="27">
        <v>34</v>
      </c>
      <c r="N45" s="28">
        <v>2781</v>
      </c>
      <c r="O45" s="29" t="s">
        <v>13</v>
      </c>
      <c r="P45" s="29" t="s">
        <v>13</v>
      </c>
      <c r="Q45" s="29" t="s">
        <v>13</v>
      </c>
      <c r="R45" s="40">
        <v>2</v>
      </c>
      <c r="T45" s="38" t="s">
        <v>100</v>
      </c>
      <c r="U45" s="39" t="s">
        <v>62</v>
      </c>
      <c r="V45" s="39" t="s">
        <v>100</v>
      </c>
      <c r="W45" s="39" t="s">
        <v>62</v>
      </c>
      <c r="X45" s="39" t="s">
        <v>100</v>
      </c>
      <c r="Y45" s="39" t="s">
        <v>62</v>
      </c>
      <c r="Z45" s="39" t="s">
        <v>62</v>
      </c>
      <c r="AA45" s="39" t="s">
        <v>62</v>
      </c>
      <c r="AB45" s="39" t="s">
        <v>62</v>
      </c>
    </row>
    <row r="46" spans="1:28" x14ac:dyDescent="0.25">
      <c r="B46" s="3">
        <v>12</v>
      </c>
      <c r="C46" s="132" t="s">
        <v>43</v>
      </c>
      <c r="D46" s="7" t="s">
        <v>69</v>
      </c>
      <c r="E46" s="116">
        <v>6</v>
      </c>
      <c r="M46" s="27">
        <v>35</v>
      </c>
      <c r="N46" s="28">
        <v>1589</v>
      </c>
      <c r="O46" s="29" t="s">
        <v>13</v>
      </c>
      <c r="P46" s="29" t="s">
        <v>13</v>
      </c>
      <c r="Q46" s="29" t="s">
        <v>13</v>
      </c>
      <c r="R46" s="40">
        <v>2</v>
      </c>
      <c r="T46" s="38" t="s">
        <v>100</v>
      </c>
      <c r="U46" s="39" t="s">
        <v>62</v>
      </c>
      <c r="V46" s="39" t="s">
        <v>100</v>
      </c>
      <c r="W46" s="39" t="s">
        <v>62</v>
      </c>
      <c r="X46" s="39" t="s">
        <v>100</v>
      </c>
      <c r="Y46" s="39" t="s">
        <v>62</v>
      </c>
      <c r="Z46" s="39" t="s">
        <v>62</v>
      </c>
      <c r="AA46" s="39" t="s">
        <v>62</v>
      </c>
      <c r="AB46" s="39" t="s">
        <v>62</v>
      </c>
    </row>
    <row r="47" spans="1:28" ht="15.75" thickBot="1" x14ac:dyDescent="0.3">
      <c r="B47" s="3">
        <v>13</v>
      </c>
      <c r="C47" s="134" t="s">
        <v>17</v>
      </c>
      <c r="D47" s="127" t="s">
        <v>69</v>
      </c>
      <c r="E47" s="133">
        <v>1.5</v>
      </c>
      <c r="M47" s="27">
        <v>36</v>
      </c>
      <c r="N47" s="28">
        <v>789</v>
      </c>
      <c r="O47" s="29" t="s">
        <v>13</v>
      </c>
      <c r="P47" s="29" t="s">
        <v>13</v>
      </c>
      <c r="Q47" s="29" t="s">
        <v>14</v>
      </c>
      <c r="R47" s="147">
        <v>2</v>
      </c>
      <c r="T47" s="38" t="s">
        <v>61</v>
      </c>
      <c r="U47" s="39" t="s">
        <v>62</v>
      </c>
      <c r="V47" s="39" t="s">
        <v>62</v>
      </c>
      <c r="W47" s="39" t="s">
        <v>62</v>
      </c>
      <c r="X47" s="39" t="s">
        <v>62</v>
      </c>
      <c r="Y47" s="39" t="s">
        <v>62</v>
      </c>
      <c r="Z47" s="39" t="s">
        <v>62</v>
      </c>
      <c r="AA47" s="39" t="s">
        <v>62</v>
      </c>
      <c r="AB47" s="39" t="s">
        <v>62</v>
      </c>
    </row>
    <row r="48" spans="1:28" x14ac:dyDescent="0.25">
      <c r="M48" s="27">
        <v>37</v>
      </c>
      <c r="N48" s="28">
        <v>1543</v>
      </c>
      <c r="O48" s="29" t="s">
        <v>13</v>
      </c>
      <c r="P48" s="29" t="s">
        <v>13</v>
      </c>
      <c r="Q48" s="29" t="s">
        <v>13</v>
      </c>
      <c r="R48" s="40">
        <v>2</v>
      </c>
      <c r="S48" s="6"/>
      <c r="T48" s="38" t="s">
        <v>100</v>
      </c>
      <c r="U48" s="39" t="s">
        <v>62</v>
      </c>
      <c r="V48" s="39" t="s">
        <v>100</v>
      </c>
      <c r="W48" s="39" t="s">
        <v>62</v>
      </c>
      <c r="X48" s="39" t="s">
        <v>100</v>
      </c>
      <c r="Y48" s="39" t="s">
        <v>62</v>
      </c>
      <c r="Z48" s="39" t="s">
        <v>62</v>
      </c>
      <c r="AA48" s="39" t="s">
        <v>62</v>
      </c>
      <c r="AB48" s="39" t="s">
        <v>62</v>
      </c>
    </row>
    <row r="49" spans="6:30" x14ac:dyDescent="0.25">
      <c r="M49" s="27">
        <v>38</v>
      </c>
      <c r="N49" s="28">
        <v>875</v>
      </c>
      <c r="O49" s="29" t="s">
        <v>13</v>
      </c>
      <c r="P49" s="29" t="s">
        <v>13</v>
      </c>
      <c r="Q49" s="29" t="s">
        <v>13</v>
      </c>
      <c r="R49" s="40">
        <v>2</v>
      </c>
      <c r="T49" s="38" t="s">
        <v>100</v>
      </c>
      <c r="U49" s="39" t="s">
        <v>62</v>
      </c>
      <c r="V49" s="39" t="s">
        <v>100</v>
      </c>
      <c r="W49" s="39" t="s">
        <v>62</v>
      </c>
      <c r="X49" s="39" t="s">
        <v>62</v>
      </c>
      <c r="Y49" s="39" t="s">
        <v>62</v>
      </c>
      <c r="Z49" s="39" t="s">
        <v>62</v>
      </c>
      <c r="AA49" s="39" t="s">
        <v>62</v>
      </c>
      <c r="AB49" s="39" t="s">
        <v>62</v>
      </c>
    </row>
    <row r="50" spans="6:30" s="6" customFormat="1" x14ac:dyDescent="0.25">
      <c r="L50"/>
      <c r="M50" s="27">
        <v>39</v>
      </c>
      <c r="N50" s="30">
        <v>905</v>
      </c>
      <c r="O50" s="29" t="s">
        <v>13</v>
      </c>
      <c r="P50" s="29" t="s">
        <v>13</v>
      </c>
      <c r="Q50" s="29" t="s">
        <v>13</v>
      </c>
      <c r="R50" s="40">
        <v>2</v>
      </c>
      <c r="S50" s="2"/>
      <c r="T50" s="38" t="s">
        <v>100</v>
      </c>
      <c r="U50" s="39" t="s">
        <v>62</v>
      </c>
      <c r="V50" s="39" t="s">
        <v>100</v>
      </c>
      <c r="W50" s="39" t="s">
        <v>62</v>
      </c>
      <c r="X50" s="39" t="s">
        <v>62</v>
      </c>
      <c r="Y50" s="39" t="s">
        <v>62</v>
      </c>
      <c r="Z50" s="39" t="s">
        <v>62</v>
      </c>
      <c r="AA50" s="39" t="s">
        <v>62</v>
      </c>
      <c r="AB50" s="39" t="s">
        <v>62</v>
      </c>
    </row>
    <row r="51" spans="6:30" ht="15.75" thickBot="1" x14ac:dyDescent="0.3">
      <c r="M51" s="31">
        <v>40</v>
      </c>
      <c r="N51" s="32">
        <v>1020</v>
      </c>
      <c r="O51" s="33" t="s">
        <v>13</v>
      </c>
      <c r="P51" s="33" t="s">
        <v>13</v>
      </c>
      <c r="Q51" s="33" t="s">
        <v>13</v>
      </c>
      <c r="R51" s="41">
        <v>2</v>
      </c>
      <c r="T51" s="38" t="s">
        <v>100</v>
      </c>
      <c r="U51" s="39" t="s">
        <v>62</v>
      </c>
      <c r="V51" s="39" t="s">
        <v>100</v>
      </c>
      <c r="W51" s="39" t="s">
        <v>62</v>
      </c>
      <c r="X51" s="39" t="s">
        <v>62</v>
      </c>
      <c r="Y51" s="39" t="s">
        <v>62</v>
      </c>
      <c r="Z51" s="39" t="s">
        <v>62</v>
      </c>
      <c r="AA51" s="39" t="s">
        <v>62</v>
      </c>
      <c r="AB51" s="39" t="s">
        <v>62</v>
      </c>
    </row>
    <row r="52" spans="6:30" x14ac:dyDescent="0.25">
      <c r="N52" s="3"/>
      <c r="O52" s="96"/>
      <c r="P52" s="3"/>
      <c r="R52" s="3"/>
      <c r="S52" s="176" t="s">
        <v>87</v>
      </c>
      <c r="T52" s="163">
        <v>82.28</v>
      </c>
      <c r="U52" s="100">
        <v>73.180000000000007</v>
      </c>
      <c r="V52" s="150">
        <v>81.93</v>
      </c>
      <c r="W52" s="150">
        <v>73.180000000000007</v>
      </c>
      <c r="X52" s="150">
        <v>79.930000000000007</v>
      </c>
      <c r="Y52" s="100">
        <v>66.680000000000007</v>
      </c>
      <c r="Z52" s="150">
        <v>66.680000000000007</v>
      </c>
      <c r="AA52" s="150">
        <v>66.680000000000007</v>
      </c>
      <c r="AB52" s="150">
        <v>66.680000000000007</v>
      </c>
      <c r="AC52" s="2">
        <f>SMALL(T52:AB52,1)</f>
        <v>66.680000000000007</v>
      </c>
      <c r="AD52" s="149">
        <f>T52-AC52</f>
        <v>15.599999999999994</v>
      </c>
    </row>
    <row r="53" spans="6:30" x14ac:dyDescent="0.25">
      <c r="N53" s="3"/>
      <c r="O53" s="96"/>
      <c r="P53" s="3"/>
      <c r="R53" s="3"/>
      <c r="S53" s="177" t="s">
        <v>88</v>
      </c>
      <c r="T53" s="163">
        <v>95.59</v>
      </c>
      <c r="U53" s="150">
        <v>96.13</v>
      </c>
      <c r="V53" s="100">
        <v>95.46</v>
      </c>
      <c r="W53" s="150">
        <v>96.13</v>
      </c>
      <c r="X53" s="150">
        <v>95.47</v>
      </c>
      <c r="Y53" s="150">
        <v>79.41</v>
      </c>
      <c r="Z53" s="100">
        <v>79.41</v>
      </c>
      <c r="AA53" s="150">
        <v>79.41</v>
      </c>
      <c r="AB53" s="150">
        <v>79.41</v>
      </c>
      <c r="AC53" s="2">
        <f t="shared" ref="AC53:AC59" si="14">SMALL(T53:AB53,1)</f>
        <v>79.41</v>
      </c>
      <c r="AD53" s="149">
        <f t="shared" ref="AD53:AD59" si="15">T53-AC53</f>
        <v>16.180000000000007</v>
      </c>
    </row>
    <row r="54" spans="6:30" x14ac:dyDescent="0.25">
      <c r="N54" s="3"/>
      <c r="O54" s="96"/>
      <c r="P54" s="3"/>
      <c r="R54" s="3"/>
      <c r="S54" s="177" t="s">
        <v>99</v>
      </c>
      <c r="T54" s="163">
        <v>458.78</v>
      </c>
      <c r="U54" s="150">
        <v>439.99</v>
      </c>
      <c r="V54" s="150">
        <v>457.72</v>
      </c>
      <c r="W54" s="100">
        <v>439.99</v>
      </c>
      <c r="X54" s="150">
        <v>453.67</v>
      </c>
      <c r="Y54" s="150">
        <v>291.07</v>
      </c>
      <c r="Z54" s="150">
        <v>291.07</v>
      </c>
      <c r="AA54" s="100">
        <v>291.07</v>
      </c>
      <c r="AB54" s="150">
        <v>291.07</v>
      </c>
      <c r="AC54" s="2">
        <f t="shared" si="14"/>
        <v>291.07</v>
      </c>
      <c r="AD54" s="149">
        <f t="shared" si="15"/>
        <v>167.70999999999998</v>
      </c>
    </row>
    <row r="55" spans="6:30" x14ac:dyDescent="0.25">
      <c r="N55" s="3"/>
      <c r="O55" s="96"/>
      <c r="P55" s="3"/>
      <c r="R55" s="3"/>
      <c r="S55" s="178" t="s">
        <v>89</v>
      </c>
      <c r="T55" s="163">
        <v>100.18</v>
      </c>
      <c r="U55" s="150">
        <v>100.53</v>
      </c>
      <c r="V55" s="150">
        <v>100.03</v>
      </c>
      <c r="W55" s="150">
        <v>100.53</v>
      </c>
      <c r="X55" s="100">
        <v>100.01</v>
      </c>
      <c r="Y55" s="150">
        <v>82.32</v>
      </c>
      <c r="Z55" s="150">
        <v>82.32</v>
      </c>
      <c r="AA55" s="150">
        <v>82.32</v>
      </c>
      <c r="AB55" s="100">
        <v>82.32</v>
      </c>
      <c r="AC55" s="2">
        <f t="shared" si="14"/>
        <v>82.32</v>
      </c>
      <c r="AD55" s="149">
        <f t="shared" si="15"/>
        <v>17.860000000000014</v>
      </c>
    </row>
    <row r="56" spans="6:30" x14ac:dyDescent="0.25">
      <c r="N56" s="3"/>
      <c r="O56" s="96"/>
      <c r="P56" s="3"/>
      <c r="R56" s="3"/>
      <c r="S56" s="176" t="s">
        <v>90</v>
      </c>
      <c r="T56" s="164">
        <v>1</v>
      </c>
      <c r="U56" s="173">
        <f t="shared" ref="U56:AB56" si="16">U52/$T$52</f>
        <v>0.88940204180845894</v>
      </c>
      <c r="V56" s="172">
        <f t="shared" si="16"/>
        <v>0.99574623237724846</v>
      </c>
      <c r="W56" s="172">
        <f t="shared" si="16"/>
        <v>0.88940204180845894</v>
      </c>
      <c r="X56" s="172">
        <f t="shared" si="16"/>
        <v>0.97143898881866808</v>
      </c>
      <c r="Y56" s="173">
        <f t="shared" si="16"/>
        <v>0.81040350024307251</v>
      </c>
      <c r="Z56" s="172">
        <f t="shared" si="16"/>
        <v>0.81040350024307251</v>
      </c>
      <c r="AA56" s="172">
        <f t="shared" si="16"/>
        <v>0.81040350024307251</v>
      </c>
      <c r="AB56" s="172">
        <f t="shared" si="16"/>
        <v>0.81040350024307251</v>
      </c>
      <c r="AC56" s="169">
        <f t="shared" si="14"/>
        <v>0.81040350024307251</v>
      </c>
      <c r="AD56" s="169">
        <f t="shared" si="15"/>
        <v>0.18959649975692749</v>
      </c>
    </row>
    <row r="57" spans="6:30" x14ac:dyDescent="0.25">
      <c r="N57" s="3"/>
      <c r="O57" s="96"/>
      <c r="P57" s="3"/>
      <c r="R57" s="3"/>
      <c r="S57" s="177" t="s">
        <v>83</v>
      </c>
      <c r="T57" s="164">
        <v>1</v>
      </c>
      <c r="U57" s="181">
        <f t="shared" ref="U57:AB57" si="17">U53/$T$53</f>
        <v>1.005649126477665</v>
      </c>
      <c r="V57" s="173">
        <f t="shared" si="17"/>
        <v>0.99864002510722871</v>
      </c>
      <c r="W57" s="181">
        <f t="shared" si="17"/>
        <v>1.005649126477665</v>
      </c>
      <c r="X57" s="172">
        <f t="shared" si="17"/>
        <v>0.99874463856051887</v>
      </c>
      <c r="Y57" s="172">
        <f t="shared" si="17"/>
        <v>0.8307354325766293</v>
      </c>
      <c r="Z57" s="173">
        <f t="shared" si="17"/>
        <v>0.8307354325766293</v>
      </c>
      <c r="AA57" s="172">
        <f t="shared" si="17"/>
        <v>0.8307354325766293</v>
      </c>
      <c r="AB57" s="172">
        <f t="shared" si="17"/>
        <v>0.8307354325766293</v>
      </c>
      <c r="AC57" s="169">
        <f t="shared" si="14"/>
        <v>0.8307354325766293</v>
      </c>
      <c r="AD57" s="169">
        <f t="shared" si="15"/>
        <v>0.1692645674233707</v>
      </c>
    </row>
    <row r="58" spans="6:30" x14ac:dyDescent="0.25">
      <c r="S58" s="177" t="s">
        <v>59</v>
      </c>
      <c r="T58" s="164">
        <v>1</v>
      </c>
      <c r="U58" s="172">
        <f t="shared" ref="U58:AB58" si="18">U54/$T$54</f>
        <v>0.95904355028554</v>
      </c>
      <c r="V58" s="172">
        <f t="shared" si="18"/>
        <v>0.99768952439077563</v>
      </c>
      <c r="W58" s="173">
        <f t="shared" si="18"/>
        <v>0.95904355028554</v>
      </c>
      <c r="X58" s="172">
        <f t="shared" si="18"/>
        <v>0.98886176380836144</v>
      </c>
      <c r="Y58" s="172">
        <f t="shared" si="18"/>
        <v>0.63444352412921223</v>
      </c>
      <c r="Z58" s="172">
        <f t="shared" si="18"/>
        <v>0.63444352412921223</v>
      </c>
      <c r="AA58" s="173">
        <f t="shared" si="18"/>
        <v>0.63444352412921223</v>
      </c>
      <c r="AB58" s="172">
        <f t="shared" si="18"/>
        <v>0.63444352412921223</v>
      </c>
      <c r="AC58" s="169">
        <f t="shared" si="14"/>
        <v>0.63444352412921223</v>
      </c>
      <c r="AD58" s="169">
        <f t="shared" si="15"/>
        <v>0.36555647587078777</v>
      </c>
    </row>
    <row r="59" spans="6:30" x14ac:dyDescent="0.25">
      <c r="S59" s="178" t="s">
        <v>84</v>
      </c>
      <c r="T59" s="164">
        <v>1</v>
      </c>
      <c r="U59" s="182">
        <f t="shared" ref="U59:AB59" si="19">U55/$T$55</f>
        <v>1.0034937113196247</v>
      </c>
      <c r="V59" s="174">
        <f t="shared" si="19"/>
        <v>0.99850269514873224</v>
      </c>
      <c r="W59" s="182">
        <f t="shared" si="19"/>
        <v>1.0034937113196247</v>
      </c>
      <c r="X59" s="175">
        <f t="shared" si="19"/>
        <v>0.9983030545018966</v>
      </c>
      <c r="Y59" s="172">
        <f t="shared" si="19"/>
        <v>0.82172090237572359</v>
      </c>
      <c r="Z59" s="172">
        <f t="shared" si="19"/>
        <v>0.82172090237572359</v>
      </c>
      <c r="AA59" s="172">
        <f t="shared" si="19"/>
        <v>0.82172090237572359</v>
      </c>
      <c r="AB59" s="173">
        <f t="shared" si="19"/>
        <v>0.82172090237572359</v>
      </c>
      <c r="AC59" s="169">
        <f t="shared" si="14"/>
        <v>0.82172090237572359</v>
      </c>
      <c r="AD59" s="169">
        <f t="shared" si="15"/>
        <v>0.17827909762427641</v>
      </c>
    </row>
    <row r="60" spans="6:30" x14ac:dyDescent="0.25">
      <c r="L60" s="3"/>
      <c r="T60" s="189" t="s">
        <v>91</v>
      </c>
      <c r="U60" s="189"/>
      <c r="V60" s="189"/>
      <c r="W60" s="189"/>
      <c r="X60" s="190"/>
      <c r="Y60" s="151">
        <f>Y56/U56</f>
        <v>0.91117791746378796</v>
      </c>
      <c r="Z60" s="37">
        <f t="shared" ref="Z60:AB63" si="20">Z56/V56</f>
        <v>0.8138654949347004</v>
      </c>
      <c r="AA60" s="37">
        <f t="shared" si="20"/>
        <v>0.91117791746378796</v>
      </c>
      <c r="AB60" s="37">
        <f t="shared" si="20"/>
        <v>0.83422995120730636</v>
      </c>
    </row>
    <row r="61" spans="6:30" x14ac:dyDescent="0.25">
      <c r="F61"/>
      <c r="G61" s="2"/>
      <c r="I61" s="96"/>
      <c r="K61" s="2"/>
      <c r="L61" s="3"/>
      <c r="T61" s="183" t="s">
        <v>92</v>
      </c>
      <c r="U61" s="183"/>
      <c r="V61" s="183"/>
      <c r="W61" s="183"/>
      <c r="X61" s="184"/>
      <c r="Y61" s="37">
        <f t="shared" ref="Y61:Y63" si="21">Y57/U57</f>
        <v>0.82606886507853938</v>
      </c>
      <c r="Z61" s="151">
        <f t="shared" si="20"/>
        <v>0.83186675047140168</v>
      </c>
      <c r="AA61" s="37">
        <f t="shared" si="20"/>
        <v>0.82606886507853938</v>
      </c>
      <c r="AB61" s="37">
        <f t="shared" si="20"/>
        <v>0.83177961663349742</v>
      </c>
    </row>
    <row r="62" spans="6:30" x14ac:dyDescent="0.25">
      <c r="F62"/>
      <c r="G62" s="2"/>
      <c r="I62" s="96"/>
      <c r="K62" s="2"/>
      <c r="L62" s="3"/>
      <c r="T62" s="183" t="s">
        <v>93</v>
      </c>
      <c r="U62" s="183"/>
      <c r="V62" s="183"/>
      <c r="W62" s="183"/>
      <c r="X62" s="184"/>
      <c r="Y62" s="37">
        <f t="shared" si="21"/>
        <v>0.66153776222186855</v>
      </c>
      <c r="Z62" s="37">
        <f t="shared" si="20"/>
        <v>0.6359127851088</v>
      </c>
      <c r="AA62" s="151">
        <f t="shared" si="20"/>
        <v>0.66153776222186855</v>
      </c>
      <c r="AB62" s="37">
        <f t="shared" si="20"/>
        <v>0.64158970176560048</v>
      </c>
    </row>
    <row r="63" spans="6:30" x14ac:dyDescent="0.25">
      <c r="F63"/>
      <c r="G63" s="2"/>
      <c r="I63" s="96"/>
      <c r="K63" s="2"/>
      <c r="L63" s="3"/>
      <c r="T63" s="183" t="s">
        <v>94</v>
      </c>
      <c r="U63" s="183"/>
      <c r="V63" s="183"/>
      <c r="W63" s="183"/>
      <c r="X63" s="184"/>
      <c r="Y63" s="37">
        <f t="shared" si="21"/>
        <v>0.81886004177857341</v>
      </c>
      <c r="Z63" s="37">
        <f t="shared" si="20"/>
        <v>0.8229531140657802</v>
      </c>
      <c r="AA63" s="37">
        <f t="shared" si="20"/>
        <v>0.81886004177857341</v>
      </c>
      <c r="AB63" s="151">
        <f t="shared" si="20"/>
        <v>0.82311768823117681</v>
      </c>
    </row>
    <row r="64" spans="6:30" x14ac:dyDescent="0.25">
      <c r="F64"/>
      <c r="G64" s="2"/>
      <c r="I64" s="96"/>
      <c r="K64" s="2"/>
      <c r="L64" s="3"/>
    </row>
    <row r="65" spans="6:27" x14ac:dyDescent="0.25">
      <c r="F65"/>
      <c r="G65" s="2"/>
      <c r="K65" s="2"/>
      <c r="L65" s="3"/>
      <c r="U65" s="148">
        <f>$T$52-U52</f>
        <v>9.0999999999999943</v>
      </c>
      <c r="V65" s="148">
        <f t="shared" ref="V65:W65" si="22">$T$52-V52</f>
        <v>0.34999999999999432</v>
      </c>
      <c r="W65" s="148">
        <f t="shared" si="22"/>
        <v>9.0999999999999943</v>
      </c>
      <c r="X65" s="148">
        <f t="shared" ref="X65" si="23">$T$52-X52</f>
        <v>2.3499999999999943</v>
      </c>
      <c r="Z65" s="149">
        <f>T52-Y52</f>
        <v>15.599999999999994</v>
      </c>
      <c r="AA65" s="149">
        <f>U52-Y52</f>
        <v>6.5</v>
      </c>
    </row>
    <row r="66" spans="6:27" x14ac:dyDescent="0.25">
      <c r="F66"/>
      <c r="G66" s="2"/>
      <c r="K66" s="2"/>
      <c r="L66" s="3"/>
      <c r="U66" s="148">
        <f>$T$53-U53</f>
        <v>-0.53999999999999204</v>
      </c>
      <c r="V66" s="148">
        <f t="shared" ref="V66:W66" si="24">$T$53-V53</f>
        <v>0.13000000000000966</v>
      </c>
      <c r="W66" s="148">
        <f t="shared" si="24"/>
        <v>-0.53999999999999204</v>
      </c>
      <c r="X66" s="148">
        <f t="shared" ref="X66" si="25">$T$53-X53</f>
        <v>0.12000000000000455</v>
      </c>
      <c r="Z66" s="149">
        <f>T53-Y53</f>
        <v>16.180000000000007</v>
      </c>
      <c r="AA66" s="149">
        <f>U53-Y53</f>
        <v>16.72</v>
      </c>
    </row>
    <row r="67" spans="6:27" x14ac:dyDescent="0.25">
      <c r="F67"/>
      <c r="G67" s="2"/>
      <c r="K67" s="2"/>
      <c r="L67" s="3"/>
      <c r="U67" s="148">
        <f>$T$54-U54</f>
        <v>18.789999999999964</v>
      </c>
      <c r="V67" s="148">
        <f t="shared" ref="V67:W67" si="26">$T$54-V54</f>
        <v>1.0599999999999454</v>
      </c>
      <c r="W67" s="148">
        <f t="shared" si="26"/>
        <v>18.789999999999964</v>
      </c>
      <c r="X67" s="148">
        <f t="shared" ref="X67" si="27">$T$54-X54</f>
        <v>5.1099999999999568</v>
      </c>
      <c r="Z67" s="149">
        <f>T54-Y54</f>
        <v>167.70999999999998</v>
      </c>
      <c r="AA67" s="149">
        <f>U54-Y54</f>
        <v>148.92000000000002</v>
      </c>
    </row>
    <row r="68" spans="6:27" x14ac:dyDescent="0.25">
      <c r="F68"/>
      <c r="G68" s="2"/>
      <c r="K68" s="2"/>
      <c r="L68" s="3"/>
      <c r="M68" s="3"/>
      <c r="U68" s="148">
        <f>$T$55-U55</f>
        <v>-0.34999999999999432</v>
      </c>
      <c r="V68" s="148">
        <f t="shared" ref="V68:W68" si="28">$T$55-V55</f>
        <v>0.15000000000000568</v>
      </c>
      <c r="W68" s="148">
        <f t="shared" si="28"/>
        <v>-0.34999999999999432</v>
      </c>
      <c r="X68" s="148">
        <f t="shared" ref="X68" si="29">$T$55-X55</f>
        <v>0.17000000000000171</v>
      </c>
      <c r="Z68" s="149">
        <f>T55-Y55</f>
        <v>17.860000000000014</v>
      </c>
      <c r="AA68" s="149">
        <f>U55-Y55</f>
        <v>18.210000000000008</v>
      </c>
    </row>
    <row r="69" spans="6:27" x14ac:dyDescent="0.25">
      <c r="F69"/>
      <c r="G69" s="2"/>
      <c r="K69" s="2"/>
      <c r="L69" s="3"/>
      <c r="M69" s="3"/>
      <c r="U69" s="179"/>
      <c r="V69" s="179"/>
      <c r="W69" s="179"/>
      <c r="Z69" s="180"/>
      <c r="AA69" s="180"/>
    </row>
    <row r="70" spans="6:27" x14ac:dyDescent="0.25">
      <c r="F70"/>
      <c r="G70" s="2"/>
      <c r="K70" s="2"/>
      <c r="L70" s="3"/>
      <c r="M70" s="3"/>
      <c r="U70" s="179">
        <f>$T$56-U56</f>
        <v>0.11059795819154106</v>
      </c>
      <c r="V70" s="179">
        <f>$T$56-V56</f>
        <v>4.2537676227515364E-3</v>
      </c>
      <c r="W70" s="179"/>
      <c r="Z70" s="180">
        <f>T56-Y60</f>
        <v>8.8822082536212044E-2</v>
      </c>
      <c r="AA70" s="180">
        <f>U56-Y60</f>
        <v>-2.1775875655329013E-2</v>
      </c>
    </row>
    <row r="71" spans="6:27" x14ac:dyDescent="0.25">
      <c r="F71"/>
      <c r="G71" s="2"/>
      <c r="K71" s="2"/>
      <c r="L71" s="3"/>
      <c r="M71" s="3"/>
      <c r="U71" s="179">
        <f>$T$57-U57</f>
        <v>-5.649126477665023E-3</v>
      </c>
      <c r="V71" s="179">
        <f>$T$57-V57</f>
        <v>1.3599748927712874E-3</v>
      </c>
      <c r="W71" s="179"/>
      <c r="Z71" s="180">
        <f>T57-Y61</f>
        <v>0.17393113492146062</v>
      </c>
      <c r="AA71" s="180">
        <f>U57-Y61</f>
        <v>0.17958026139912564</v>
      </c>
    </row>
    <row r="72" spans="6:27" x14ac:dyDescent="0.25">
      <c r="F72"/>
      <c r="G72" s="2"/>
      <c r="K72" s="2"/>
      <c r="L72" s="3"/>
      <c r="M72" s="3"/>
      <c r="U72" s="179">
        <f>$T$58-U58</f>
        <v>4.0956449714459997E-2</v>
      </c>
      <c r="V72" s="179">
        <f>$T$58-V58</f>
        <v>2.3104756092243717E-3</v>
      </c>
      <c r="W72" s="179"/>
      <c r="Z72" s="180">
        <f>T58-Y62</f>
        <v>0.33846223777813145</v>
      </c>
      <c r="AA72" s="180">
        <f>U58-Y62</f>
        <v>0.29750578806367145</v>
      </c>
    </row>
    <row r="73" spans="6:27" x14ac:dyDescent="0.25">
      <c r="F73"/>
      <c r="G73" s="2"/>
      <c r="K73" s="2"/>
      <c r="L73" s="3"/>
      <c r="M73" s="3"/>
      <c r="U73" s="179">
        <f>$T$59-U59</f>
        <v>-3.493711319624726E-3</v>
      </c>
      <c r="V73" s="179">
        <f>$T$59-V59</f>
        <v>1.4973048512677556E-3</v>
      </c>
      <c r="W73" s="179"/>
      <c r="Z73" s="180">
        <f>T59-Y63</f>
        <v>0.18113995822142659</v>
      </c>
      <c r="AA73" s="180">
        <f>U59-Y63</f>
        <v>0.18463366954105132</v>
      </c>
    </row>
    <row r="74" spans="6:27" x14ac:dyDescent="0.25">
      <c r="F74"/>
      <c r="G74" s="2"/>
      <c r="K74" s="2"/>
      <c r="L74" s="3"/>
      <c r="M74" s="3"/>
      <c r="X74" s="149"/>
    </row>
    <row r="75" spans="6:27" x14ac:dyDescent="0.25">
      <c r="F75"/>
      <c r="G75" s="2"/>
      <c r="K75" s="2"/>
      <c r="L75" s="3"/>
      <c r="M75" s="3"/>
    </row>
    <row r="76" spans="6:27" x14ac:dyDescent="0.25">
      <c r="F76"/>
      <c r="G76" s="2"/>
      <c r="K76" s="2"/>
      <c r="L76" s="3"/>
      <c r="M76" s="3"/>
    </row>
    <row r="77" spans="6:27" x14ac:dyDescent="0.25">
      <c r="F77"/>
      <c r="G77" s="2"/>
      <c r="K77" s="2"/>
      <c r="L77" s="3"/>
      <c r="M77" s="3"/>
    </row>
    <row r="78" spans="6:27" x14ac:dyDescent="0.25">
      <c r="F78"/>
      <c r="G78" s="2"/>
      <c r="H78" s="2"/>
      <c r="I78" s="2"/>
      <c r="J78" s="2"/>
      <c r="L78" s="2"/>
    </row>
    <row r="79" spans="6:27" x14ac:dyDescent="0.25">
      <c r="F79"/>
      <c r="G79" s="2"/>
      <c r="H79" s="2"/>
      <c r="I79" s="2"/>
      <c r="J79" s="2"/>
      <c r="L79" s="2"/>
    </row>
    <row r="80" spans="6:27" x14ac:dyDescent="0.25">
      <c r="Q80" s="3"/>
    </row>
    <row r="81" spans="17:17" x14ac:dyDescent="0.25">
      <c r="Q81" s="3"/>
    </row>
    <row r="82" spans="17:17" x14ac:dyDescent="0.25">
      <c r="Q82" s="3"/>
    </row>
    <row r="83" spans="17:17" x14ac:dyDescent="0.25">
      <c r="Q83" s="3"/>
    </row>
    <row r="84" spans="17:17" x14ac:dyDescent="0.25">
      <c r="Q84" s="3"/>
    </row>
    <row r="85" spans="17:17" x14ac:dyDescent="0.25">
      <c r="Q85" s="3"/>
    </row>
    <row r="86" spans="17:17" x14ac:dyDescent="0.25">
      <c r="Q86" s="3"/>
    </row>
    <row r="87" spans="17:17" x14ac:dyDescent="0.25">
      <c r="Q87" s="3"/>
    </row>
  </sheetData>
  <mergeCells count="6">
    <mergeCell ref="T63:X63"/>
    <mergeCell ref="U11:X11"/>
    <mergeCell ref="Y11:AB11"/>
    <mergeCell ref="T60:X60"/>
    <mergeCell ref="T61:X61"/>
    <mergeCell ref="T62:X62"/>
  </mergeCells>
  <conditionalFormatting sqref="T56:X59">
    <cfRule type="cellIs" dxfId="3" priority="4" operator="lessThan">
      <formula>1</formula>
    </cfRule>
  </conditionalFormatting>
  <conditionalFormatting sqref="O12:Q51">
    <cfRule type="containsText" dxfId="2" priority="3" operator="containsText" text="S">
      <formula>NOT(ISERROR(SEARCH("S",O12)))</formula>
    </cfRule>
  </conditionalFormatting>
  <conditionalFormatting sqref="Y56:AB59">
    <cfRule type="cellIs" dxfId="1" priority="2" operator="lessThan">
      <formula>1</formula>
    </cfRule>
  </conditionalFormatting>
  <conditionalFormatting sqref="Y60:AB63">
    <cfRule type="cellIs" dxfId="0" priority="1" operator="lessThan">
      <formula>1</formula>
    </cfRule>
  </conditionalFormatting>
  <dataValidations count="1">
    <dataValidation type="list" allowBlank="1" showInputMessage="1" showErrorMessage="1" sqref="D24:D26 D4:D22" xr:uid="{49132B49-0977-466E-9753-A6279BEC339C}">
      <formula1>$B$31:$B$32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E 4 t F U Q W D D 7 G j A A A A 9 Q A A A B I A H A B D b 2 5 m a W c v U G F j a 2 F n Z S 5 4 b W w g o h g A K K A U A A A A A A A A A A A A A A A A A A A A A A A A A A A A h Y 8 x D o I w G I W v Q r r T l u p A y E 9 J d J X E a G J c m 1 K h E Q q h x X I 3 B 4 / k F c Q o 6 u b 4 3 v c N 7 9 2 v N 8 j G p g 4 u q r e 6 N S m K M E W B M r I t t C l T N L h T G K O M w 1 b I s y h V M M n G J q M t U l Q 5 1 y W E e O + x X + C 2 L w m j N C L H f L O X l W o E + s j 6 v x x q Y 5 0 w U i E O h 9 c Y z n C 8 x D G d J g G Z O 8 i 1 + X I 2 s S f 9 K W E 9 1 G 7 o F e 9 c u N o B m S O Q 9 w X + A F B L A w Q U A A I A C A A T i 0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t F U f X z m G z 9 A A A A V w E A A B M A H A B G b 3 J t d W x h c y 9 T Z W N 0 a W 9 u M S 5 t I K I Y A C i g F A A A A A A A A A A A A A A A A A A A A A A A A A A A A F 2 P Q W u D M B T H 7 4 L f I X h K o A h u t J e S g y Q Z F Y o R E 7 q D S H m m o Q p W S 8 x 2 W N l 3 n 6 7 D w 9 7 l w f / 9 / v B + k z W + G w e k n j v Z h 0 E Y T C 0 4 e 0 G n 9 7 O S R y 0 Y o q i 3 P g z Q P G / j 4 O 0 c S A e m t z E H D w 1 M F k e Y C 8 X K r N C Z z C l O O S + F U h Q X p d S S y S P V r C D 4 I J W e y 8 M d Y L d 7 3 c Z 3 6 9 3 Y O J j i p v s i u J C l p s n 2 J S E E M 5 n n g u k z T 3 V K s R L l S Z S U C 5 6 x V A t O s M o 4 n S 5 g C C H R B l W H z j p w p u 0 M 9 D l 8 d l d Y f K h 3 H 7 Y m m + f v i q e L y 6 / C o 1 K m t T e g 0 Z J G 9 X e 1 q N R / 5 K q e z P w C P K o c b p Z G 6 2 F t h E E 3 / C / t f w B Q S w E C L Q A U A A I A C A A T i 0 V R B Y M P s a M A A A D 1 A A A A E g A A A A A A A A A A A A A A A A A A A A A A Q 2 9 u Z m l n L 1 B h Y 2 t h Z 2 U u e G 1 s U E s B A i 0 A F A A C A A g A E 4 t F U Q / K 6 a u k A A A A 6 Q A A A B M A A A A A A A A A A A A A A A A A 7 w A A A F t D b 2 5 0 Z W 5 0 X 1 R 5 c G V z X S 5 4 b W x Q S w E C L Q A U A A I A C A A T i 0 V R 9 f O Y b P 0 A A A B X A Q A A E w A A A A A A A A A A A A A A A A D g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G w A A A A A A A E w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V 1 9 T T 0 x U R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V U M T k 6 M T E 6 M z E u N D Y z M z I w M 1 o i I C 8 + P E V u d H J 5 I F R 5 c G U 9 I k Z p b G x D b 2 x 1 b W 5 U e X B l c y I g V m F s d W U 9 I n N E d 1 l H Q m d Z R 0 J n W U d C Z 1 l H I i A v P j x F b n R y e S B U e X B l P S J G a W x s Q 2 9 s d W 1 u T m F t Z X M i I F Z h b H V l P S J z W y Z x d W 9 0 O 0 l E X 1 N P T F R F Q y Z x d W 9 0 O y w m c X V v d D t D T 0 R f U 1 Q m c X V v d D s s J n F 1 b 3 Q 7 V E l U V U x P J n F 1 b 3 Q 7 L C Z x d W 9 0 O 0 R F U 0 N S S U N B T y Z x d W 9 0 O y w m c X V v d D t M S U R F U l 9 T V F 9 D S E F W R S Z x d W 9 0 O y w m c X V v d D t M S U R F U l 9 T V F 9 O T 0 1 F J n F 1 b 3 Q 7 L C Z x d W 9 0 O 0 x J R E V S X 1 N U X 0 x P V E F D Q U 8 m c X V v d D s s J n F 1 b 3 Q 7 T E l E R V J f U 1 R f T U F U U k l D V U x B J n F 1 b 3 Q 7 L C Z x d W 9 0 O 0 N U T y Z x d W 9 0 O y w m c X V v d D t H R 1 9 D V E 8 m c X V v d D s s J n F 1 b 3 Q 7 Q 0 9 E X 0 l U J n F 1 b 3 Q 7 L C Z x d W 9 0 O 1 R J V F V M T 1 9 J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S U R f U 0 9 M V E V D L D B 9 J n F 1 b 3 Q 7 L C Z x d W 9 0 O 1 N l c n Z l c i 5 E Y X R h Y m F z Z V x c L z I v T 3 J h Y 2 x l L y h k Z X N j c m l w d G l v b j 0 o Y W R k c m V z c z 0 o c H J v d G 9 j b 2 w 9 d G N w K S h o b 3 N 0 I D 0 g b n B h Y T Y 2 M z U u c G V 0 c m 9 i c m F z L m J p e i k o c G 9 y d D 0 x N T I x K S k o Y 2 9 u b m V j d F 9 k Y X R h P S h z Z X J 2 Z X I 9 Z G V k a W N h d G V k K S h z a W Q 9 c 2 R h Y y k p K S 9 T R E F D L 1 N E Q U M u V l d f U 0 9 M V E V D L n t D T 0 R f U 1 Q s M X 0 m c X V v d D s s J n F 1 b 3 Q 7 U 2 V y d m V y L k R h d G F i Y X N l X F w v M i 9 P c m F j b G U v K G R l c 2 N y a X B 0 a W 9 u P S h h Z G R y Z X N z P S h w c m 9 0 b 2 N v b D 1 0 Y 3 A p K G h v c 3 Q g P S B u c G F h N j Y z N S 5 w Z X R y b 2 J y Y X M u Y m l 6 K S h w b 3 J 0 P T E 1 M j E p K S h j b 2 5 u Z W N 0 X 2 R h d G E 9 K H N l c n Z l c j 1 k Z W R p Y 2 F 0 Z W Q p K H N p Z D 1 z Z G F j K S k p L 1 N E Q U M v U 0 R B Q y 5 W V 1 9 T T 0 x U R U M u e 1 R J V F V M T y w y f S Z x d W 9 0 O y w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R E V T Q 1 J J Q 0 F P L D N 9 J n F 1 b 3 Q 7 L C Z x d W 9 0 O 1 N l c n Z l c i 5 E Y X R h Y m F z Z V x c L z I v T 3 J h Y 2 x l L y h k Z X N j c m l w d G l v b j 0 o Y W R k c m V z c z 0 o c H J v d G 9 j b 2 w 9 d G N w K S h o b 3 N 0 I D 0 g b n B h Y T Y 2 M z U u c G V 0 c m 9 i c m F z L m J p e i k o c G 9 y d D 0 x N T I x K S k o Y 2 9 u b m V j d F 9 k Y X R h P S h z Z X J 2 Z X I 9 Z G V k a W N h d G V k K S h z a W Q 9 c 2 R h Y y k p K S 9 T R E F D L 1 N E Q U M u V l d f U 0 9 M V E V D L n t M S U R F U l 9 T V F 9 D S E F W R S w 0 f S Z x d W 9 0 O y w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T E l E R V J f U 1 R f T k 9 N R S w 1 f S Z x d W 9 0 O y w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T E l E R V J f U 1 R f T E 9 U Q U N B T y w 2 f S Z x d W 9 0 O y w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T E l E R V J f U 1 R f T U F U U k l D V U x B L D d 9 J n F 1 b 3 Q 7 L C Z x d W 9 0 O 1 N l c n Z l c i 5 E Y X R h Y m F z Z V x c L z I v T 3 J h Y 2 x l L y h k Z X N j c m l w d G l v b j 0 o Y W R k c m V z c z 0 o c H J v d G 9 j b 2 w 9 d G N w K S h o b 3 N 0 I D 0 g b n B h Y T Y 2 M z U u c G V 0 c m 9 i c m F z L m J p e i k o c G 9 y d D 0 x N T I x K S k o Y 2 9 u b m V j d F 9 k Y X R h P S h z Z X J 2 Z X I 9 Z G V k a W N h d G V k K S h z a W Q 9 c 2 R h Y y k p K S 9 T R E F D L 1 N E Q U M u V l d f U 0 9 M V E V D L n t D V E 8 s O H 0 m c X V v d D s s J n F 1 b 3 Q 7 U 2 V y d m V y L k R h d G F i Y X N l X F w v M i 9 P c m F j b G U v K G R l c 2 N y a X B 0 a W 9 u P S h h Z G R y Z X N z P S h w c m 9 0 b 2 N v b D 1 0 Y 3 A p K G h v c 3 Q g P S B u c G F h N j Y z N S 5 w Z X R y b 2 J y Y X M u Y m l 6 K S h w b 3 J 0 P T E 1 M j E p K S h j b 2 5 u Z W N 0 X 2 R h d G E 9 K H N l c n Z l c j 1 k Z W R p Y 2 F 0 Z W Q p K H N p Z D 1 z Z G F j K S k p L 1 N E Q U M v U 0 R B Q y 5 W V 1 9 T T 0 x U R U M u e 0 d H X 0 N U T y w 5 f S Z x d W 9 0 O y w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Q 0 9 E X 0 l U L D E w f S Z x d W 9 0 O y w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V E l U V U x P X 0 l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y d m V y L k R h d G F i Y X N l X F w v M i 9 P c m F j b G U v K G R l c 2 N y a X B 0 a W 9 u P S h h Z G R y Z X N z P S h w c m 9 0 b 2 N v b D 1 0 Y 3 A p K G h v c 3 Q g P S B u c G F h N j Y z N S 5 w Z X R y b 2 J y Y X M u Y m l 6 K S h w b 3 J 0 P T E 1 M j E p K S h j b 2 5 u Z W N 0 X 2 R h d G E 9 K H N l c n Z l c j 1 k Z W R p Y 2 F 0 Z W Q p K H N p Z D 1 z Z G F j K S k p L 1 N E Q U M v U 0 R B Q y 5 W V 1 9 T T 0 x U R U M u e 0 l E X 1 N P T F R F Q y w w f S Z x d W 9 0 O y w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Q 0 9 E X 1 N U L D F 9 J n F 1 b 3 Q 7 L C Z x d W 9 0 O 1 N l c n Z l c i 5 E Y X R h Y m F z Z V x c L z I v T 3 J h Y 2 x l L y h k Z X N j c m l w d G l v b j 0 o Y W R k c m V z c z 0 o c H J v d G 9 j b 2 w 9 d G N w K S h o b 3 N 0 I D 0 g b n B h Y T Y 2 M z U u c G V 0 c m 9 i c m F z L m J p e i k o c G 9 y d D 0 x N T I x K S k o Y 2 9 u b m V j d F 9 k Y X R h P S h z Z X J 2 Z X I 9 Z G V k a W N h d G V k K S h z a W Q 9 c 2 R h Y y k p K S 9 T R E F D L 1 N E Q U M u V l d f U 0 9 M V E V D L n t U S V R V T E 8 s M n 0 m c X V v d D s s J n F 1 b 3 Q 7 U 2 V y d m V y L k R h d G F i Y X N l X F w v M i 9 P c m F j b G U v K G R l c 2 N y a X B 0 a W 9 u P S h h Z G R y Z X N z P S h w c m 9 0 b 2 N v b D 1 0 Y 3 A p K G h v c 3 Q g P S B u c G F h N j Y z N S 5 w Z X R y b 2 J y Y X M u Y m l 6 K S h w b 3 J 0 P T E 1 M j E p K S h j b 2 5 u Z W N 0 X 2 R h d G E 9 K H N l c n Z l c j 1 k Z W R p Y 2 F 0 Z W Q p K H N p Z D 1 z Z G F j K S k p L 1 N E Q U M v U 0 R B Q y 5 W V 1 9 T T 0 x U R U M u e 0 R F U 0 N S S U N B T y w z f S Z x d W 9 0 O y w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T E l E R V J f U 1 R f Q 0 h B V k U s N H 0 m c X V v d D s s J n F 1 b 3 Q 7 U 2 V y d m V y L k R h d G F i Y X N l X F w v M i 9 P c m F j b G U v K G R l c 2 N y a X B 0 a W 9 u P S h h Z G R y Z X N z P S h w c m 9 0 b 2 N v b D 1 0 Y 3 A p K G h v c 3 Q g P S B u c G F h N j Y z N S 5 w Z X R y b 2 J y Y X M u Y m l 6 K S h w b 3 J 0 P T E 1 M j E p K S h j b 2 5 u Z W N 0 X 2 R h d G E 9 K H N l c n Z l c j 1 k Z W R p Y 2 F 0 Z W Q p K H N p Z D 1 z Z G F j K S k p L 1 N E Q U M v U 0 R B Q y 5 W V 1 9 T T 0 x U R U M u e 0 x J R E V S X 1 N U X 0 5 P T U U s N X 0 m c X V v d D s s J n F 1 b 3 Q 7 U 2 V y d m V y L k R h d G F i Y X N l X F w v M i 9 P c m F j b G U v K G R l c 2 N y a X B 0 a W 9 u P S h h Z G R y Z X N z P S h w c m 9 0 b 2 N v b D 1 0 Y 3 A p K G h v c 3 Q g P S B u c G F h N j Y z N S 5 w Z X R y b 2 J y Y X M u Y m l 6 K S h w b 3 J 0 P T E 1 M j E p K S h j b 2 5 u Z W N 0 X 2 R h d G E 9 K H N l c n Z l c j 1 k Z W R p Y 2 F 0 Z W Q p K H N p Z D 1 z Z G F j K S k p L 1 N E Q U M v U 0 R B Q y 5 W V 1 9 T T 0 x U R U M u e 0 x J R E V S X 1 N U X 0 x P V E F D Q U 8 s N n 0 m c X V v d D s s J n F 1 b 3 Q 7 U 2 V y d m V y L k R h d G F i Y X N l X F w v M i 9 P c m F j b G U v K G R l c 2 N y a X B 0 a W 9 u P S h h Z G R y Z X N z P S h w c m 9 0 b 2 N v b D 1 0 Y 3 A p K G h v c 3 Q g P S B u c G F h N j Y z N S 5 w Z X R y b 2 J y Y X M u Y m l 6 K S h w b 3 J 0 P T E 1 M j E p K S h j b 2 5 u Z W N 0 X 2 R h d G E 9 K H N l c n Z l c j 1 k Z W R p Y 2 F 0 Z W Q p K H N p Z D 1 z Z G F j K S k p L 1 N E Q U M v U 0 R B Q y 5 W V 1 9 T T 0 x U R U M u e 0 x J R E V S X 1 N U X 0 1 B V F J J Q 1 V M Q S w 3 f S Z x d W 9 0 O y w m c X V v d D t T Z X J 2 Z X I u R G F 0 Y W J h c 2 V c X C 8 y L 0 9 y Y W N s Z S 8 o Z G V z Y 3 J p c H R p b 2 4 9 K G F k Z H J l c 3 M 9 K H B y b 3 R v Y 2 9 s P X R j c C k o a G 9 z d C A 9 I G 5 w Y W E 2 N j M 1 L n B l d H J v Y n J h c y 5 i a X o p K H B v c n Q 9 M T U y M S k p K G N v b m 5 l Y 3 R f Z G F 0 Y T 0 o c 2 V y d m V y P W R l Z G l j Y X R l Z C k o c 2 l k P X N k Y W M p K S k v U 0 R B Q y 9 T R E F D L l Z X X 1 N P T F R F Q y 5 7 Q 1 R P L D h 9 J n F 1 b 3 Q 7 L C Z x d W 9 0 O 1 N l c n Z l c i 5 E Y X R h Y m F z Z V x c L z I v T 3 J h Y 2 x l L y h k Z X N j c m l w d G l v b j 0 o Y W R k c m V z c z 0 o c H J v d G 9 j b 2 w 9 d G N w K S h o b 3 N 0 I D 0 g b n B h Y T Y 2 M z U u c G V 0 c m 9 i c m F z L m J p e i k o c G 9 y d D 0 x N T I x K S k o Y 2 9 u b m V j d F 9 k Y X R h P S h z Z X J 2 Z X I 9 Z G V k a W N h d G V k K S h z a W Q 9 c 2 R h Y y k p K S 9 T R E F D L 1 N E Q U M u V l d f U 0 9 M V E V D L n t H R 1 9 D V E 8 s O X 0 m c X V v d D s s J n F 1 b 3 Q 7 U 2 V y d m V y L k R h d G F i Y X N l X F w v M i 9 P c m F j b G U v K G R l c 2 N y a X B 0 a W 9 u P S h h Z G R y Z X N z P S h w c m 9 0 b 2 N v b D 1 0 Y 3 A p K G h v c 3 Q g P S B u c G F h N j Y z N S 5 w Z X R y b 2 J y Y X M u Y m l 6 K S h w b 3 J 0 P T E 1 M j E p K S h j b 2 5 u Z W N 0 X 2 R h d G E 9 K H N l c n Z l c j 1 k Z W R p Y 2 F 0 Z W Q p K H N p Z D 1 z Z G F j K S k p L 1 N E Q U M v U 0 R B Q y 5 W V 1 9 T T 0 x U R U M u e 0 N P R F 9 J V C w x M H 0 m c X V v d D s s J n F 1 b 3 Q 7 U 2 V y d m V y L k R h d G F i Y X N l X F w v M i 9 P c m F j b G U v K G R l c 2 N y a X B 0 a W 9 u P S h h Z G R y Z X N z P S h w c m 9 0 b 2 N v b D 1 0 Y 3 A p K G h v c 3 Q g P S B u c G F h N j Y z N S 5 w Z X R y b 2 J y Y X M u Y m l 6 K S h w b 3 J 0 P T E 1 M j E p K S h j b 2 5 u Z W N 0 X 2 R h d G E 9 K H N l c n Z l c j 1 k Z W R p Y 2 F 0 Z W Q p K H N p Z D 1 z Z G F j K S k p L 1 N E Q U M v U 0 R B Q y 5 W V 1 9 T T 0 x U R U M u e 1 R J V F V M T 1 9 J V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X X 1 N P T F R F Q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X X 1 N P T F R F Q y 9 T R E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d f U 0 9 M V E V D L 1 Z X X 1 N P T F R F Q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j p 1 o m X T s k a t h L 2 X D h m L 5 w A A A A A C A A A A A A A D Z g A A w A A A A B A A A A B G S A 4 5 1 H d 6 g a J e D m j M J s / B A A A A A A S A A A C g A A A A E A A A A G x y V 0 p 1 d 7 p G f V I z u G F T / 1 l Q A A A A 9 i S 6 f k V x n A W 9 1 j U 1 u 0 + 4 z S l / x U I 9 m h l 5 D u t d t n d n a g v E 1 i t 4 / W m F q R W V y b s P F u V f T v 3 5 p e a a Q i t + S 3 y R z k y 6 d u F Y v / 4 g 5 y N L I i Y K i E m f 4 n 0 U A A A A U o D h + L + f P P v B i / K v 5 5 G Z x S n D l b c = < / D a t a M a s h u p > 
</file>

<file path=customXml/itemProps1.xml><?xml version="1.0" encoding="utf-8"?>
<ds:datastoreItem xmlns:ds="http://schemas.openxmlformats.org/officeDocument/2006/customXml" ds:itemID="{4FD2B210-594A-4617-A7CA-3D3E907C4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UEP-1</vt:lpstr>
      <vt:lpstr>UEP-2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Milene França</dc:creator>
  <cp:lastModifiedBy>Milene França</cp:lastModifiedBy>
  <dcterms:created xsi:type="dcterms:W3CDTF">2020-08-24T13:39:11Z</dcterms:created>
  <dcterms:modified xsi:type="dcterms:W3CDTF">2020-10-28T12:23:53Z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2020-09-21T20:02:02Z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c20b8987-4831-4449-8229-17ecc03591da</vt:lpwstr>
  </property>
  <property fmtid="{D5CDD505-2E9C-101B-9397-08002B2CF9AE}" pid="8" name="MSIP_Label_8e61996e-cafd-4c9a-8a94-2dc1b82131ae_ContentBits">
    <vt:lpwstr>0</vt:lpwstr>
  </property>
</Properties>
</file>